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80" yWindow="-1305" windowWidth="20445" windowHeight="9000" tabRatio="881" activeTab="4"/>
  </bookViews>
  <sheets>
    <sheet name="AUM &amp; Performance" sheetId="24" r:id="rId1"/>
    <sheet name="new monthly" sheetId="11" r:id="rId2"/>
    <sheet name="12528_buy" sheetId="7" r:id="rId3"/>
    <sheet name="12528-sell" sheetId="19" r:id="rId4"/>
    <sheet name="HK CL A-12229" sheetId="3" r:id="rId5"/>
    <sheet name="HK Class G-12630" sheetId="8" r:id="rId6"/>
    <sheet name="Macau A-12366" sheetId="4" r:id="rId7"/>
    <sheet name="Macau G" sheetId="6" r:id="rId8"/>
    <sheet name="HK Capital" sheetId="16" r:id="rId9"/>
    <sheet name="Inhouse &amp; clients" sheetId="17" r:id="rId10"/>
  </sheets>
  <definedNames>
    <definedName name="_xlnm._FilterDatabase" localSheetId="4" hidden="1">'HK CL A-12229'!$A$5:$AL$5</definedName>
    <definedName name="_xlnm.Print_Area" localSheetId="4">'HK CL A-12229'!$A$1:$AC$569</definedName>
    <definedName name="_xlnm.Print_Area" localSheetId="6">'Macau A-12366'!$A$1:$AC$128</definedName>
    <definedName name="_xlnm.Print_Area" localSheetId="1">'new monthly'!$N$1150:$P$1161</definedName>
    <definedName name="_xlnm.Print_Titles" localSheetId="4">'HK CL A-12229'!$G:$G,'HK CL A-12229'!$5:$5</definedName>
  </definedNames>
  <calcPr calcId="124519"/>
</workbook>
</file>

<file path=xl/calcChain.xml><?xml version="1.0" encoding="utf-8"?>
<calcChain xmlns="http://schemas.openxmlformats.org/spreadsheetml/2006/main">
  <c r="J560" i="3"/>
  <c r="J561"/>
  <c r="J562"/>
  <c r="J563"/>
  <c r="J564"/>
  <c r="J568"/>
  <c r="J569"/>
  <c r="J570"/>
  <c r="J571"/>
  <c r="J572"/>
  <c r="J573"/>
  <c r="J574"/>
  <c r="J575"/>
  <c r="J576"/>
  <c r="J577"/>
  <c r="J578"/>
  <c r="J579"/>
  <c r="J580"/>
  <c r="J581"/>
  <c r="J582"/>
  <c r="J583"/>
  <c r="J585"/>
  <c r="J586"/>
  <c r="J587"/>
  <c r="J588"/>
  <c r="J589"/>
  <c r="J590"/>
  <c r="Y590"/>
  <c r="AC590"/>
  <c r="Y589"/>
  <c r="AC589"/>
  <c r="Y587"/>
  <c r="Y586"/>
  <c r="Y585"/>
  <c r="AC588"/>
  <c r="Y588"/>
  <c r="AC587"/>
  <c r="AC586"/>
  <c r="AC585"/>
  <c r="H1664" i="11"/>
  <c r="G1664"/>
  <c r="F1664"/>
  <c r="H1652"/>
  <c r="G1652"/>
  <c r="F1652"/>
  <c r="J113" i="7"/>
  <c r="Y113"/>
  <c r="AC113"/>
  <c r="AC126" i="4"/>
  <c r="AC127"/>
  <c r="Y126"/>
  <c r="Y127"/>
  <c r="Y125"/>
  <c r="AC125"/>
  <c r="G1640" i="11"/>
  <c r="F1640"/>
  <c r="H1640" s="1"/>
  <c r="Y581" i="3"/>
  <c r="AC581"/>
  <c r="Y583"/>
  <c r="AC583"/>
  <c r="Y582"/>
  <c r="AC582"/>
  <c r="H1628" i="11"/>
  <c r="G1628"/>
  <c r="F1628"/>
  <c r="H1618"/>
  <c r="G1618"/>
  <c r="F1618"/>
  <c r="G1608"/>
  <c r="F1608"/>
  <c r="H1608" s="1"/>
  <c r="AC580" i="3"/>
  <c r="Y580"/>
  <c r="Y579"/>
  <c r="Y578"/>
  <c r="AC579"/>
  <c r="AC578"/>
  <c r="F35" i="24"/>
  <c r="F34"/>
  <c r="F28"/>
  <c r="E35" l="1"/>
  <c r="F27"/>
  <c r="E32"/>
  <c r="E34"/>
  <c r="E27"/>
  <c r="E28" l="1"/>
  <c r="AC577" i="3"/>
  <c r="AC576"/>
  <c r="Y576"/>
  <c r="Y577"/>
  <c r="G1597" i="11"/>
  <c r="F1597"/>
  <c r="H1597" s="1"/>
  <c r="Y574" i="3"/>
  <c r="AC574"/>
  <c r="Y575"/>
  <c r="AC575"/>
  <c r="AC572"/>
  <c r="AC573"/>
  <c r="Y572"/>
  <c r="Y573"/>
  <c r="F1587" i="11"/>
  <c r="G1587" s="1"/>
  <c r="H1580"/>
  <c r="G1580"/>
  <c r="F1580"/>
  <c r="H1587" l="1"/>
  <c r="AC571" i="3" l="1"/>
  <c r="Y571"/>
  <c r="AC570"/>
  <c r="Y570"/>
  <c r="F1568" i="11"/>
  <c r="G1568" s="1"/>
  <c r="AC569" i="3"/>
  <c r="Y569"/>
  <c r="AC568"/>
  <c r="Y568"/>
  <c r="H1568" i="11" l="1"/>
  <c r="AC564" i="3"/>
  <c r="AG4"/>
  <c r="AG6" s="1"/>
  <c r="AH6" s="1"/>
  <c r="AG13"/>
  <c r="AH13" s="1"/>
  <c r="AG21"/>
  <c r="AH21" s="1"/>
  <c r="AG27"/>
  <c r="AH27" s="1"/>
  <c r="AG34"/>
  <c r="AH34" s="1"/>
  <c r="AG43"/>
  <c r="AH43" s="1"/>
  <c r="AG52"/>
  <c r="AH52" s="1"/>
  <c r="AG59"/>
  <c r="AH59" s="1"/>
  <c r="AG67"/>
  <c r="AF68" s="1"/>
  <c r="AG86"/>
  <c r="AH86" s="1"/>
  <c r="AF90"/>
  <c r="AG94"/>
  <c r="AH94" s="1"/>
  <c r="AG105"/>
  <c r="AH105" s="1"/>
  <c r="AG111"/>
  <c r="AH111" s="1"/>
  <c r="AG116"/>
  <c r="AH116" s="1"/>
  <c r="AG121"/>
  <c r="AH121" s="1"/>
  <c r="AG126"/>
  <c r="AH126" s="1"/>
  <c r="AG130"/>
  <c r="AH130" s="1"/>
  <c r="AG134"/>
  <c r="AH134" s="1"/>
  <c r="AG139"/>
  <c r="AH139" s="1"/>
  <c r="AG159"/>
  <c r="AH159" s="1"/>
  <c r="AG163"/>
  <c r="AH163" s="1"/>
  <c r="AG166"/>
  <c r="AH166" s="1"/>
  <c r="AG167"/>
  <c r="AH167" s="1"/>
  <c r="AG170"/>
  <c r="AH170" s="1"/>
  <c r="AG171"/>
  <c r="AH171" s="1"/>
  <c r="AG174"/>
  <c r="AH174" s="1"/>
  <c r="AG175"/>
  <c r="AH175" s="1"/>
  <c r="AG178"/>
  <c r="AH178" s="1"/>
  <c r="AG179"/>
  <c r="AH179" s="1"/>
  <c r="AG182"/>
  <c r="AH182" s="1"/>
  <c r="AG183"/>
  <c r="AH183" s="1"/>
  <c r="AG186"/>
  <c r="AH186" s="1"/>
  <c r="AG187"/>
  <c r="AH187" s="1"/>
  <c r="AG190"/>
  <c r="AH190" s="1"/>
  <c r="AG212"/>
  <c r="AH212" s="1"/>
  <c r="AG215"/>
  <c r="AH215" s="1"/>
  <c r="AG216"/>
  <c r="AH216" s="1"/>
  <c r="AG219"/>
  <c r="AH219" s="1"/>
  <c r="AG220"/>
  <c r="AH220" s="1"/>
  <c r="F1557" i="11"/>
  <c r="G1557" s="1"/>
  <c r="F1550"/>
  <c r="H1550" s="1"/>
  <c r="F1541"/>
  <c r="G1541" s="1"/>
  <c r="J9" i="17"/>
  <c r="AC560" i="3"/>
  <c r="AC561"/>
  <c r="AC562"/>
  <c r="AC563"/>
  <c r="Y560"/>
  <c r="Y561"/>
  <c r="Y562"/>
  <c r="Y563"/>
  <c r="Y564"/>
  <c r="AC559"/>
  <c r="Y559"/>
  <c r="J559"/>
  <c r="J8" i="17"/>
  <c r="J7"/>
  <c r="AC558" i="3"/>
  <c r="Y558"/>
  <c r="J558"/>
  <c r="AC557"/>
  <c r="Y557"/>
  <c r="J557"/>
  <c r="F1526" i="11"/>
  <c r="H1526" s="1"/>
  <c r="F1519"/>
  <c r="H1519" s="1"/>
  <c r="F1512"/>
  <c r="H1512" s="1"/>
  <c r="AC556" i="3"/>
  <c r="Y556"/>
  <c r="J556"/>
  <c r="AC555"/>
  <c r="Y555"/>
  <c r="J555"/>
  <c r="AC554"/>
  <c r="Y554"/>
  <c r="J554"/>
  <c r="AC553"/>
  <c r="Y553"/>
  <c r="J553"/>
  <c r="AC551"/>
  <c r="AC552"/>
  <c r="Y551"/>
  <c r="Y552"/>
  <c r="J551"/>
  <c r="J552"/>
  <c r="F1496" i="11"/>
  <c r="H1496" s="1"/>
  <c r="AC550" i="3"/>
  <c r="Y550"/>
  <c r="J550"/>
  <c r="AC549"/>
  <c r="Y549"/>
  <c r="J549"/>
  <c r="J1485" i="11"/>
  <c r="K1485" s="1"/>
  <c r="K1488" s="1"/>
  <c r="F1488"/>
  <c r="G1488" s="1"/>
  <c r="AC124" i="19"/>
  <c r="Y124"/>
  <c r="AG68" i="3"/>
  <c r="AG82" l="1"/>
  <c r="AH82" s="1"/>
  <c r="AF77"/>
  <c r="AG218"/>
  <c r="AH218" s="1"/>
  <c r="AG214"/>
  <c r="AH214" s="1"/>
  <c r="AG189"/>
  <c r="AH189" s="1"/>
  <c r="AG185"/>
  <c r="AH185" s="1"/>
  <c r="AG181"/>
  <c r="AH181" s="1"/>
  <c r="AG177"/>
  <c r="AH177" s="1"/>
  <c r="AG173"/>
  <c r="AH173" s="1"/>
  <c r="AG169"/>
  <c r="AH169" s="1"/>
  <c r="AG165"/>
  <c r="AH165" s="1"/>
  <c r="AG161"/>
  <c r="AH161" s="1"/>
  <c r="AG157"/>
  <c r="AH157" s="1"/>
  <c r="AG136"/>
  <c r="AH136" s="1"/>
  <c r="AG132"/>
  <c r="AH132" s="1"/>
  <c r="AG128"/>
  <c r="AH128" s="1"/>
  <c r="AG124"/>
  <c r="AH124" s="1"/>
  <c r="AG119"/>
  <c r="AH119" s="1"/>
  <c r="AG113"/>
  <c r="AH113" s="1"/>
  <c r="AG108"/>
  <c r="AH108" s="1"/>
  <c r="AG103"/>
  <c r="AH103" s="1"/>
  <c r="AG98"/>
  <c r="AH98" s="1"/>
  <c r="AG91"/>
  <c r="AH91" s="1"/>
  <c r="AG88"/>
  <c r="AH88" s="1"/>
  <c r="AF84"/>
  <c r="AG79"/>
  <c r="AH79" s="1"/>
  <c r="AF75"/>
  <c r="AG63"/>
  <c r="AH63" s="1"/>
  <c r="AG57"/>
  <c r="AH57" s="1"/>
  <c r="AG48"/>
  <c r="AH48" s="1"/>
  <c r="AG39"/>
  <c r="AH39" s="1"/>
  <c r="AG31"/>
  <c r="AH31" s="1"/>
  <c r="AG23"/>
  <c r="AH23" s="1"/>
  <c r="AG17"/>
  <c r="AH17" s="1"/>
  <c r="AG10"/>
  <c r="AH10" s="1"/>
  <c r="AG162"/>
  <c r="AH162" s="1"/>
  <c r="AG158"/>
  <c r="AH158" s="1"/>
  <c r="AG138"/>
  <c r="AH138" s="1"/>
  <c r="AG133"/>
  <c r="AH133" s="1"/>
  <c r="AG129"/>
  <c r="AH129" s="1"/>
  <c r="AG125"/>
  <c r="AH125" s="1"/>
  <c r="AG120"/>
  <c r="AH120" s="1"/>
  <c r="AG115"/>
  <c r="AH115" s="1"/>
  <c r="AG109"/>
  <c r="AH109" s="1"/>
  <c r="AG104"/>
  <c r="AH104" s="1"/>
  <c r="AG100"/>
  <c r="AH100" s="1"/>
  <c r="AG92"/>
  <c r="AH92" s="1"/>
  <c r="AG89"/>
  <c r="AH89" s="1"/>
  <c r="AF86"/>
  <c r="AG80"/>
  <c r="AH80" s="1"/>
  <c r="AG75"/>
  <c r="AH75" s="1"/>
  <c r="AG64"/>
  <c r="AH64" s="1"/>
  <c r="AG58"/>
  <c r="AH58" s="1"/>
  <c r="AG50"/>
  <c r="AH50" s="1"/>
  <c r="AG40"/>
  <c r="AH40" s="1"/>
  <c r="AG33"/>
  <c r="AH33" s="1"/>
  <c r="AG26"/>
  <c r="AH26" s="1"/>
  <c r="AG18"/>
  <c r="AH18" s="1"/>
  <c r="AG11"/>
  <c r="AH11" s="1"/>
  <c r="AG221"/>
  <c r="AH221" s="1"/>
  <c r="AG217"/>
  <c r="AH217" s="1"/>
  <c r="AG213"/>
  <c r="AH213" s="1"/>
  <c r="AG188"/>
  <c r="AH188" s="1"/>
  <c r="AG184"/>
  <c r="AH184" s="1"/>
  <c r="AG180"/>
  <c r="AH180" s="1"/>
  <c r="AG176"/>
  <c r="AH176" s="1"/>
  <c r="AG172"/>
  <c r="AH172" s="1"/>
  <c r="AG168"/>
  <c r="AH168" s="1"/>
  <c r="AG164"/>
  <c r="AH164" s="1"/>
  <c r="AG160"/>
  <c r="AH160" s="1"/>
  <c r="AG156"/>
  <c r="AH156" s="1"/>
  <c r="AG135"/>
  <c r="AH135" s="1"/>
  <c r="AG131"/>
  <c r="AH131" s="1"/>
  <c r="AG127"/>
  <c r="AH127" s="1"/>
  <c r="AG123"/>
  <c r="AH123" s="1"/>
  <c r="AG117"/>
  <c r="AH117" s="1"/>
  <c r="AG112"/>
  <c r="AH112" s="1"/>
  <c r="AG107"/>
  <c r="AH107" s="1"/>
  <c r="AG101"/>
  <c r="AH101" s="1"/>
  <c r="AG97"/>
  <c r="AH97" s="1"/>
  <c r="AF91"/>
  <c r="AG87"/>
  <c r="AH87" s="1"/>
  <c r="AF83"/>
  <c r="AF78"/>
  <c r="AG73"/>
  <c r="AH73" s="1"/>
  <c r="AG62"/>
  <c r="AH62" s="1"/>
  <c r="AG53"/>
  <c r="AH53" s="1"/>
  <c r="AG44"/>
  <c r="AH44" s="1"/>
  <c r="AG38"/>
  <c r="AH38" s="1"/>
  <c r="AG29"/>
  <c r="AH29" s="1"/>
  <c r="AG22"/>
  <c r="AH22" s="1"/>
  <c r="AG15"/>
  <c r="AH15" s="1"/>
  <c r="AG7"/>
  <c r="AH7" s="1"/>
  <c r="AG122"/>
  <c r="AH122" s="1"/>
  <c r="AG118"/>
  <c r="AH118" s="1"/>
  <c r="AG114"/>
  <c r="AH114" s="1"/>
  <c r="AG110"/>
  <c r="AH110" s="1"/>
  <c r="AG106"/>
  <c r="AH106" s="1"/>
  <c r="AG102"/>
  <c r="AH102" s="1"/>
  <c r="AG99"/>
  <c r="AH99" s="1"/>
  <c r="AG93"/>
  <c r="AH93" s="1"/>
  <c r="AG61"/>
  <c r="AH61" s="1"/>
  <c r="AG54"/>
  <c r="AH54" s="1"/>
  <c r="AG49"/>
  <c r="AH49" s="1"/>
  <c r="AG42"/>
  <c r="AH42" s="1"/>
  <c r="AG35"/>
  <c r="AH35" s="1"/>
  <c r="AG30"/>
  <c r="AH30" s="1"/>
  <c r="AG25"/>
  <c r="AH25" s="1"/>
  <c r="AG19"/>
  <c r="AH19" s="1"/>
  <c r="AG14"/>
  <c r="AH14" s="1"/>
  <c r="AG9"/>
  <c r="AH9" s="1"/>
  <c r="AG90"/>
  <c r="AH90" s="1"/>
  <c r="AF88"/>
  <c r="AF85"/>
  <c r="AF81"/>
  <c r="AG77"/>
  <c r="AH77" s="1"/>
  <c r="AG74"/>
  <c r="AH74" s="1"/>
  <c r="AG60"/>
  <c r="AH60" s="1"/>
  <c r="AG56"/>
  <c r="AH56" s="1"/>
  <c r="AG51"/>
  <c r="AH51" s="1"/>
  <c r="AG47"/>
  <c r="AH47" s="1"/>
  <c r="AG41"/>
  <c r="AH41" s="1"/>
  <c r="AG36"/>
  <c r="AH36" s="1"/>
  <c r="AG32"/>
  <c r="AH32" s="1"/>
  <c r="AG28"/>
  <c r="AH28" s="1"/>
  <c r="AG24"/>
  <c r="AH24" s="1"/>
  <c r="AG20"/>
  <c r="AH20" s="1"/>
  <c r="AG16"/>
  <c r="AH16" s="1"/>
  <c r="AG12"/>
  <c r="AH12" s="1"/>
  <c r="AG8"/>
  <c r="AH8" s="1"/>
  <c r="AF72"/>
  <c r="AG70"/>
  <c r="AH70" s="1"/>
  <c r="AG72"/>
  <c r="AH72" s="1"/>
  <c r="AF70"/>
  <c r="AG84"/>
  <c r="AH84" s="1"/>
  <c r="AG81"/>
  <c r="AH81" s="1"/>
  <c r="AF79"/>
  <c r="AF76"/>
  <c r="AF74"/>
  <c r="AG71"/>
  <c r="AH71" s="1"/>
  <c r="AF89"/>
  <c r="AF87"/>
  <c r="AG85"/>
  <c r="AH85" s="1"/>
  <c r="AG83"/>
  <c r="AH83" s="1"/>
  <c r="AF82"/>
  <c r="AF80"/>
  <c r="AG78"/>
  <c r="AH78" s="1"/>
  <c r="AG76"/>
  <c r="AH76" s="1"/>
  <c r="AF73"/>
  <c r="AF71"/>
  <c r="AF69"/>
  <c r="AG69"/>
  <c r="AH69" s="1"/>
  <c r="AH68"/>
  <c r="H1488" i="11"/>
  <c r="H1557"/>
  <c r="G1550"/>
  <c r="H1541"/>
  <c r="G1519"/>
  <c r="G1496"/>
  <c r="G1512"/>
  <c r="G1526"/>
  <c r="J1456"/>
  <c r="K1456" s="1"/>
  <c r="J1457"/>
  <c r="K1457" s="1"/>
  <c r="J1458"/>
  <c r="K1458" s="1"/>
  <c r="Y548" i="3"/>
  <c r="AC123" i="19"/>
  <c r="Y123"/>
  <c r="AC548" i="3"/>
  <c r="AC547"/>
  <c r="Y547"/>
  <c r="J1454" i="11"/>
  <c r="K1454" s="1"/>
  <c r="J1455"/>
  <c r="K1455" s="1"/>
  <c r="AC546" i="3"/>
  <c r="Y546"/>
  <c r="AC545"/>
  <c r="Y545"/>
  <c r="J1446" i="11"/>
  <c r="K1446" s="1"/>
  <c r="J1447"/>
  <c r="K1447" s="1"/>
  <c r="J1448"/>
  <c r="K1448" s="1"/>
  <c r="J1449"/>
  <c r="K1449" s="1"/>
  <c r="J1450"/>
  <c r="K1450" s="1"/>
  <c r="J1451"/>
  <c r="K1451" s="1"/>
  <c r="J1452"/>
  <c r="K1452" s="1"/>
  <c r="J1453"/>
  <c r="K1453" s="1"/>
  <c r="AC544" i="3"/>
  <c r="Y544"/>
  <c r="AC543"/>
  <c r="Y543"/>
  <c r="AC542"/>
  <c r="Y542"/>
  <c r="AC541"/>
  <c r="Y541"/>
  <c r="AC540"/>
  <c r="Y540"/>
  <c r="AC539"/>
  <c r="Y539"/>
  <c r="AC538"/>
  <c r="Y538"/>
  <c r="AC537"/>
  <c r="Y537"/>
  <c r="J1441" i="11"/>
  <c r="K1441" s="1"/>
  <c r="J1442"/>
  <c r="K1442" s="1"/>
  <c r="J1443"/>
  <c r="K1443" s="1"/>
  <c r="J1444"/>
  <c r="K1444" s="1"/>
  <c r="J1445"/>
  <c r="K1445" s="1"/>
  <c r="AC122" i="19"/>
  <c r="Y122"/>
  <c r="AC536" i="3"/>
  <c r="Y536"/>
  <c r="AC535"/>
  <c r="Y535"/>
  <c r="AC534"/>
  <c r="Y534"/>
  <c r="AC533"/>
  <c r="Y533"/>
  <c r="F1462" i="11"/>
  <c r="AC121" i="19"/>
  <c r="Y121"/>
  <c r="J1438" i="11"/>
  <c r="K1438" s="1"/>
  <c r="J1439"/>
  <c r="K1439" s="1"/>
  <c r="J1440"/>
  <c r="K1440" s="1"/>
  <c r="AC532" i="3"/>
  <c r="Y532"/>
  <c r="AC531"/>
  <c r="Y531"/>
  <c r="J1434" i="11"/>
  <c r="K1434" s="1"/>
  <c r="J1435"/>
  <c r="K1435" s="1"/>
  <c r="J1436"/>
  <c r="K1436" s="1"/>
  <c r="J1437"/>
  <c r="K1437" s="1"/>
  <c r="J1433"/>
  <c r="K1433" s="1"/>
  <c r="AC530" i="3"/>
  <c r="Y530"/>
  <c r="AC529"/>
  <c r="Y529"/>
  <c r="AC528"/>
  <c r="Y528"/>
  <c r="AC527"/>
  <c r="Y527"/>
  <c r="F1470" i="11"/>
  <c r="H1470" s="1"/>
  <c r="J526" i="3"/>
  <c r="J525"/>
  <c r="AC526"/>
  <c r="Y526"/>
  <c r="AC525"/>
  <c r="Y525"/>
  <c r="J1430" i="11"/>
  <c r="K1430" s="1"/>
  <c r="J1431"/>
  <c r="K1431" s="1"/>
  <c r="J1432"/>
  <c r="K1432" s="1"/>
  <c r="J1427"/>
  <c r="J1428"/>
  <c r="J1429"/>
  <c r="J1426"/>
  <c r="K1426" s="1"/>
  <c r="G1470" l="1"/>
  <c r="AC524" i="3"/>
  <c r="Y524"/>
  <c r="AC523"/>
  <c r="Y523"/>
  <c r="AC522"/>
  <c r="Y522"/>
  <c r="AC521"/>
  <c r="Y521"/>
  <c r="H1462" i="11"/>
  <c r="K1429"/>
  <c r="K1428"/>
  <c r="K1427"/>
  <c r="Y520" i="3"/>
  <c r="Y519"/>
  <c r="Y518"/>
  <c r="Y517"/>
  <c r="AC518"/>
  <c r="AC517"/>
  <c r="AC520"/>
  <c r="AC519"/>
  <c r="G1417" i="11"/>
  <c r="F1417"/>
  <c r="H1417" s="1"/>
  <c r="Z515" i="3"/>
  <c r="Z513"/>
  <c r="Z511"/>
  <c r="Z509"/>
  <c r="AC516"/>
  <c r="Y516"/>
  <c r="J516"/>
  <c r="AC515"/>
  <c r="Y515"/>
  <c r="J515"/>
  <c r="F1407" i="11"/>
  <c r="H1407" s="1"/>
  <c r="AC514" i="3"/>
  <c r="Y514"/>
  <c r="J514"/>
  <c r="AC513"/>
  <c r="Y513"/>
  <c r="J513"/>
  <c r="G1407" i="11" l="1"/>
  <c r="K1460"/>
  <c r="K1462" s="1"/>
  <c r="K1464" s="1"/>
  <c r="G1462"/>
  <c r="F1397"/>
  <c r="G1397" s="1"/>
  <c r="F1391"/>
  <c r="H1391" s="1"/>
  <c r="AC512" i="3"/>
  <c r="Y512"/>
  <c r="J512"/>
  <c r="AC511"/>
  <c r="Y511"/>
  <c r="J511"/>
  <c r="AC510"/>
  <c r="Y510"/>
  <c r="J510"/>
  <c r="AC509"/>
  <c r="Y509"/>
  <c r="J509"/>
  <c r="G1391" i="11" l="1"/>
  <c r="H1397"/>
  <c r="F1357"/>
  <c r="G1357" s="1"/>
  <c r="J507" i="3"/>
  <c r="J508"/>
  <c r="Y507"/>
  <c r="Y508"/>
  <c r="H1357" i="11" l="1"/>
  <c r="AC508" i="3"/>
  <c r="AC507"/>
  <c r="N806" i="11"/>
  <c r="F1325"/>
  <c r="H1325" s="1"/>
  <c r="F1319"/>
  <c r="H1319" s="1"/>
  <c r="AC506" i="3"/>
  <c r="Y506"/>
  <c r="J506"/>
  <c r="AC505"/>
  <c r="Y505"/>
  <c r="J505"/>
  <c r="AC124" i="4"/>
  <c r="Y124"/>
  <c r="J124"/>
  <c r="AC123"/>
  <c r="Y123"/>
  <c r="J123"/>
  <c r="AC122"/>
  <c r="Y122"/>
  <c r="J122"/>
  <c r="AC121"/>
  <c r="Y121"/>
  <c r="J121"/>
  <c r="AC504" i="3"/>
  <c r="Y504"/>
  <c r="J504"/>
  <c r="AC503"/>
  <c r="Y503"/>
  <c r="J503"/>
  <c r="AC120" i="4"/>
  <c r="Y120"/>
  <c r="J120"/>
  <c r="AC119"/>
  <c r="Y119"/>
  <c r="J119"/>
  <c r="AC502" i="3"/>
  <c r="Y502"/>
  <c r="J502"/>
  <c r="AC501"/>
  <c r="Y501"/>
  <c r="J501"/>
  <c r="J1335" i="11"/>
  <c r="K1335" s="1"/>
  <c r="F1346"/>
  <c r="H1346" s="1"/>
  <c r="J46" i="6"/>
  <c r="Y46"/>
  <c r="G1346" i="11" l="1"/>
  <c r="G1325"/>
  <c r="G1319"/>
  <c r="Y120" i="19"/>
  <c r="F1311" i="11"/>
  <c r="H1311" s="1"/>
  <c r="J1310"/>
  <c r="K1310" s="1"/>
  <c r="J1303"/>
  <c r="J1302"/>
  <c r="K1302" s="1"/>
  <c r="AC60" i="8"/>
  <c r="Y60"/>
  <c r="AC119" i="19"/>
  <c r="Y119"/>
  <c r="J119"/>
  <c r="AC500" i="3"/>
  <c r="Y500"/>
  <c r="AC499"/>
  <c r="Y499"/>
  <c r="G1311" i="11" l="1"/>
  <c r="J118" i="19" l="1"/>
  <c r="Y118"/>
  <c r="AC118"/>
  <c r="J1300" i="11"/>
  <c r="K1300" s="1"/>
  <c r="AC117" i="19"/>
  <c r="Y117"/>
  <c r="J117"/>
  <c r="K1303" i="11"/>
  <c r="J1301"/>
  <c r="J1299"/>
  <c r="K1299" s="1"/>
  <c r="J1298"/>
  <c r="K1298" s="1"/>
  <c r="J498" i="3"/>
  <c r="Y498"/>
  <c r="AC498"/>
  <c r="AC497"/>
  <c r="Y497"/>
  <c r="J497"/>
  <c r="F1304" i="11"/>
  <c r="H1304" s="1"/>
  <c r="G1304" l="1"/>
  <c r="K1301"/>
  <c r="AC116" i="19"/>
  <c r="Y116"/>
  <c r="J116"/>
  <c r="AC115"/>
  <c r="Y115"/>
  <c r="J115"/>
  <c r="J1296" i="11"/>
  <c r="K1296" s="1"/>
  <c r="J1297"/>
  <c r="K1297" s="1"/>
  <c r="J113" i="19"/>
  <c r="AC114"/>
  <c r="Y114"/>
  <c r="J114"/>
  <c r="AC113"/>
  <c r="Y113"/>
  <c r="AC112"/>
  <c r="Y112"/>
  <c r="J112"/>
  <c r="J1295" i="11"/>
  <c r="K1295" s="1"/>
  <c r="AC111" i="19"/>
  <c r="Y111"/>
  <c r="J111"/>
  <c r="J1294" i="11"/>
  <c r="K1294" s="1"/>
  <c r="J1293"/>
  <c r="K1293" s="1"/>
  <c r="AC110" i="19"/>
  <c r="Y110"/>
  <c r="J110"/>
  <c r="AC109"/>
  <c r="Y109"/>
  <c r="J109"/>
  <c r="AC118" i="4"/>
  <c r="Y118"/>
  <c r="J118"/>
  <c r="AC117"/>
  <c r="Y117"/>
  <c r="J117"/>
  <c r="AC496" i="3"/>
  <c r="Y496"/>
  <c r="J496"/>
  <c r="AC495"/>
  <c r="Y495"/>
  <c r="J495"/>
  <c r="J1263" i="11"/>
  <c r="K1263" s="1"/>
  <c r="J1262"/>
  <c r="K1262" s="1"/>
  <c r="J1261"/>
  <c r="K1261" s="1"/>
  <c r="Y108" i="19"/>
  <c r="Y107"/>
  <c r="Y45" i="6"/>
  <c r="J45"/>
  <c r="J112" i="7"/>
  <c r="AC112"/>
  <c r="Y112"/>
  <c r="Y106" i="19" l="1"/>
  <c r="J1260" i="11"/>
  <c r="K1260" s="1"/>
  <c r="Y105" i="19"/>
  <c r="J1259" i="11" l="1"/>
  <c r="K1259" s="1"/>
  <c r="J1258"/>
  <c r="K1258" s="1"/>
  <c r="J1257"/>
  <c r="K1257" s="1"/>
  <c r="J1256"/>
  <c r="K1256" s="1"/>
  <c r="J1255"/>
  <c r="K1255" s="1"/>
  <c r="J1254"/>
  <c r="K1254" s="1"/>
  <c r="J1253"/>
  <c r="K1253" s="1"/>
  <c r="J1252"/>
  <c r="K1252" s="1"/>
  <c r="J1251"/>
  <c r="K1251" s="1"/>
  <c r="F1265"/>
  <c r="H1265" s="1"/>
  <c r="F1287"/>
  <c r="H1287" s="1"/>
  <c r="G1287" l="1"/>
  <c r="G1265"/>
  <c r="Y104" i="19"/>
  <c r="Y103"/>
  <c r="Y102"/>
  <c r="Y100"/>
  <c r="Y101"/>
  <c r="Y99"/>
  <c r="F1236" i="11"/>
  <c r="H1236" s="1"/>
  <c r="G1236" l="1"/>
  <c r="AC114" i="4"/>
  <c r="Y114"/>
  <c r="J114"/>
  <c r="AC113"/>
  <c r="Y113"/>
  <c r="J113"/>
  <c r="AC488" i="3"/>
  <c r="Y488"/>
  <c r="J488"/>
  <c r="AC487"/>
  <c r="Y487"/>
  <c r="J487"/>
  <c r="J1274" i="11" l="1"/>
  <c r="K1274" s="1"/>
  <c r="J1275"/>
  <c r="K1275" s="1"/>
  <c r="AC98" i="19" l="1"/>
  <c r="Y98"/>
  <c r="J98"/>
  <c r="AC97"/>
  <c r="Y97"/>
  <c r="J97"/>
  <c r="J1272" i="11"/>
  <c r="K1272" s="1"/>
  <c r="J1273"/>
  <c r="K1273" s="1"/>
  <c r="AC96" i="19"/>
  <c r="Y96"/>
  <c r="J96"/>
  <c r="AC95"/>
  <c r="Y95"/>
  <c r="J95"/>
  <c r="Y94"/>
  <c r="J1270" i="11" l="1"/>
  <c r="K1270" s="1"/>
  <c r="J1271"/>
  <c r="K1271" s="1"/>
  <c r="AC93" i="19"/>
  <c r="Y93"/>
  <c r="J93"/>
  <c r="AC92"/>
  <c r="Y92"/>
  <c r="J92"/>
  <c r="Y91" l="1"/>
  <c r="I1207" i="11"/>
  <c r="I1201"/>
  <c r="J1269"/>
  <c r="K1269" s="1"/>
  <c r="F1277"/>
  <c r="G1277" s="1"/>
  <c r="AC90" i="19"/>
  <c r="Y90"/>
  <c r="J90"/>
  <c r="AC116" i="4"/>
  <c r="Y116"/>
  <c r="J116"/>
  <c r="AC115"/>
  <c r="Y115"/>
  <c r="J115"/>
  <c r="AC494" i="3"/>
  <c r="Y494"/>
  <c r="J494"/>
  <c r="AC493"/>
  <c r="Y493"/>
  <c r="J493"/>
  <c r="H1277" i="11" l="1"/>
  <c r="Y89" i="19" l="1"/>
  <c r="J1189" i="11" l="1"/>
  <c r="K1189" s="1"/>
  <c r="AC88" i="19" l="1"/>
  <c r="Y88"/>
  <c r="J88"/>
  <c r="J1227" i="11" l="1"/>
  <c r="K1227" s="1"/>
  <c r="J1226"/>
  <c r="K1226" s="1"/>
  <c r="J1225"/>
  <c r="K1225" s="1"/>
  <c r="Y86" i="19"/>
  <c r="Y87"/>
  <c r="Y85"/>
  <c r="AC492" i="3"/>
  <c r="Y492"/>
  <c r="J492"/>
  <c r="AC491"/>
  <c r="Y491"/>
  <c r="J491"/>
  <c r="AC490"/>
  <c r="Y490"/>
  <c r="J490"/>
  <c r="AC489"/>
  <c r="Y489"/>
  <c r="J489"/>
  <c r="J84" i="19"/>
  <c r="Y84"/>
  <c r="AC84"/>
  <c r="AC83"/>
  <c r="Y83"/>
  <c r="J83"/>
  <c r="AC82"/>
  <c r="Y82"/>
  <c r="J82"/>
  <c r="AC81"/>
  <c r="Y81"/>
  <c r="J81"/>
  <c r="J1224" i="11"/>
  <c r="K1224" s="1"/>
  <c r="J1207" l="1"/>
  <c r="K1207" s="1"/>
  <c r="J1201"/>
  <c r="K1201" s="1"/>
  <c r="AC80" i="19" l="1"/>
  <c r="Y80"/>
  <c r="J80"/>
  <c r="AC79"/>
  <c r="Y79"/>
  <c r="J1213" i="11"/>
  <c r="K1213" s="1"/>
  <c r="F1218"/>
  <c r="H1218" s="1"/>
  <c r="F1210"/>
  <c r="H1210" s="1"/>
  <c r="G1218" l="1"/>
  <c r="G1210"/>
  <c r="J1221" l="1"/>
  <c r="K1221" s="1"/>
  <c r="J1223"/>
  <c r="K1223" s="1"/>
  <c r="J1222"/>
  <c r="K1222" s="1"/>
  <c r="J1188"/>
  <c r="K1188" s="1"/>
  <c r="J1187"/>
  <c r="K1187" s="1"/>
  <c r="J1194" l="1"/>
  <c r="K1194" s="1"/>
  <c r="J1195"/>
  <c r="K1195" s="1"/>
  <c r="F1204"/>
  <c r="H1204" s="1"/>
  <c r="F1197"/>
  <c r="H1197" s="1"/>
  <c r="F1191"/>
  <c r="G1191" s="1"/>
  <c r="F1231"/>
  <c r="J1177"/>
  <c r="K1177" s="1"/>
  <c r="J1161"/>
  <c r="J1176"/>
  <c r="Y78" i="19"/>
  <c r="AC78"/>
  <c r="H1231" i="11" l="1"/>
  <c r="G1231"/>
  <c r="G1204"/>
  <c r="G1197"/>
  <c r="H1191"/>
  <c r="J77" i="19"/>
  <c r="AC77"/>
  <c r="Y77"/>
  <c r="AC76"/>
  <c r="Y76"/>
  <c r="AC75"/>
  <c r="Y75"/>
  <c r="J75"/>
  <c r="AC74"/>
  <c r="Y74"/>
  <c r="J74"/>
  <c r="Y73"/>
  <c r="AC73"/>
  <c r="J73"/>
  <c r="AC72" l="1"/>
  <c r="Y72"/>
  <c r="J111" i="7"/>
  <c r="AC111"/>
  <c r="Y111"/>
  <c r="K1176" i="11" l="1"/>
  <c r="F1181"/>
  <c r="H1181" s="1"/>
  <c r="AC71" i="19"/>
  <c r="AC70"/>
  <c r="Y71"/>
  <c r="Y70"/>
  <c r="J71"/>
  <c r="J70"/>
  <c r="F1172" i="11"/>
  <c r="H1172" s="1"/>
  <c r="G1181" l="1"/>
  <c r="G1172"/>
  <c r="K1161"/>
  <c r="AC69" i="19"/>
  <c r="Y69"/>
  <c r="J69"/>
  <c r="AC111" i="4" l="1"/>
  <c r="Y111"/>
  <c r="J111"/>
  <c r="AC110"/>
  <c r="Y110"/>
  <c r="J110"/>
  <c r="AC482" i="3"/>
  <c r="Y482"/>
  <c r="J482"/>
  <c r="AC481"/>
  <c r="Y481"/>
  <c r="J481"/>
  <c r="J1160" i="11"/>
  <c r="K1160" s="1"/>
  <c r="AC67" i="19"/>
  <c r="Y67"/>
  <c r="J67"/>
  <c r="J1159" i="11"/>
  <c r="F1165" l="1"/>
  <c r="H1165" s="1"/>
  <c r="K1159"/>
  <c r="G1165" l="1"/>
  <c r="J68" i="19" l="1"/>
  <c r="AC68"/>
  <c r="Y68"/>
  <c r="J1152" i="11"/>
  <c r="K1152" s="1"/>
  <c r="AC66" i="19"/>
  <c r="AC65"/>
  <c r="J66"/>
  <c r="Y66"/>
  <c r="J1151" i="11"/>
  <c r="K1151" s="1"/>
  <c r="AC64" i="19"/>
  <c r="Y65"/>
  <c r="J65"/>
  <c r="J486" i="3"/>
  <c r="J485"/>
  <c r="AC486"/>
  <c r="AC485"/>
  <c r="Y486"/>
  <c r="Y485"/>
  <c r="J1150" i="11" l="1"/>
  <c r="J1246" s="1"/>
  <c r="K1150" l="1"/>
  <c r="K1246" s="1"/>
  <c r="F1155"/>
  <c r="H1155" s="1"/>
  <c r="J64" i="19"/>
  <c r="Y64"/>
  <c r="F1144" i="11"/>
  <c r="G1144" s="1"/>
  <c r="G1155" l="1"/>
  <c r="H1144"/>
  <c r="J1104" l="1"/>
  <c r="K1104" s="1"/>
  <c r="Y63" i="19"/>
  <c r="AC63"/>
  <c r="J63"/>
  <c r="J1134" i="11"/>
  <c r="K1134" s="1"/>
  <c r="F1136"/>
  <c r="H1136" s="1"/>
  <c r="AC112" i="4"/>
  <c r="Y112"/>
  <c r="J112"/>
  <c r="F1130" i="11"/>
  <c r="H1130" s="1"/>
  <c r="J1128"/>
  <c r="K1128" s="1"/>
  <c r="J1127"/>
  <c r="K1127" s="1"/>
  <c r="AC484" i="3"/>
  <c r="AC483"/>
  <c r="Y484"/>
  <c r="Y483"/>
  <c r="J484"/>
  <c r="J483"/>
  <c r="G1130" i="11" l="1"/>
  <c r="G1136"/>
  <c r="AC108" i="4" l="1"/>
  <c r="W108"/>
  <c r="Y108" s="1"/>
  <c r="AC109"/>
  <c r="Y109"/>
  <c r="J109"/>
  <c r="J108"/>
  <c r="AC480" i="3"/>
  <c r="Y480"/>
  <c r="J480"/>
  <c r="AC479"/>
  <c r="Y479"/>
  <c r="J479"/>
  <c r="J1112" i="11" l="1"/>
  <c r="J1111"/>
  <c r="AC62" i="19" l="1"/>
  <c r="Y62"/>
  <c r="J62"/>
  <c r="AC61"/>
  <c r="Y61"/>
  <c r="J61"/>
  <c r="K1112" i="11" l="1"/>
  <c r="K1111"/>
  <c r="J1094"/>
  <c r="K1094" s="1"/>
  <c r="AC60" i="19"/>
  <c r="Y60"/>
  <c r="J60"/>
  <c r="J1121" i="11"/>
  <c r="K1121" s="1"/>
  <c r="J1120"/>
  <c r="K1120" s="1"/>
  <c r="J1119"/>
  <c r="K1119" s="1"/>
  <c r="J1118"/>
  <c r="K1118" s="1"/>
  <c r="J1110" l="1"/>
  <c r="K1110" s="1"/>
  <c r="AC59" i="19" l="1"/>
  <c r="Y59"/>
  <c r="J59"/>
  <c r="AC478" i="3"/>
  <c r="AC477"/>
  <c r="Y478"/>
  <c r="Y477"/>
  <c r="J478"/>
  <c r="J477"/>
  <c r="J1109" i="11"/>
  <c r="K1109" s="1"/>
  <c r="F1114"/>
  <c r="H1114" s="1"/>
  <c r="J1101"/>
  <c r="J1102"/>
  <c r="K1102" s="1"/>
  <c r="J1103"/>
  <c r="K1103" s="1"/>
  <c r="K1101" l="1"/>
  <c r="G1114"/>
  <c r="F1106" l="1"/>
  <c r="H1106" s="1"/>
  <c r="J1093"/>
  <c r="K1093" s="1"/>
  <c r="J58" i="19"/>
  <c r="AC58"/>
  <c r="Y58"/>
  <c r="J54"/>
  <c r="J55"/>
  <c r="J56"/>
  <c r="AC57"/>
  <c r="Y57"/>
  <c r="J57"/>
  <c r="AC56"/>
  <c r="AC55"/>
  <c r="AC54"/>
  <c r="Y56"/>
  <c r="Y55"/>
  <c r="Y54"/>
  <c r="J1092" i="11"/>
  <c r="N1092" s="1"/>
  <c r="J1077"/>
  <c r="K1077" s="1"/>
  <c r="F1097"/>
  <c r="H1097" s="1"/>
  <c r="K1092" l="1"/>
  <c r="G1106"/>
  <c r="G1097"/>
  <c r="O1092" l="1"/>
  <c r="J53" i="19"/>
  <c r="AC53"/>
  <c r="Y53"/>
  <c r="AC106" i="4"/>
  <c r="Y106"/>
  <c r="J106"/>
  <c r="AC105"/>
  <c r="Y105"/>
  <c r="J105"/>
  <c r="AC474" i="3"/>
  <c r="Y474"/>
  <c r="J474"/>
  <c r="AC473"/>
  <c r="Y473"/>
  <c r="J473"/>
  <c r="AC100" i="4"/>
  <c r="Y100"/>
  <c r="J100"/>
  <c r="AC99"/>
  <c r="Y99"/>
  <c r="J99"/>
  <c r="AC468" i="3"/>
  <c r="Y468"/>
  <c r="J468"/>
  <c r="AC467"/>
  <c r="Y467"/>
  <c r="J467"/>
  <c r="AC98" i="4"/>
  <c r="Y98"/>
  <c r="J98"/>
  <c r="AC97"/>
  <c r="Y97"/>
  <c r="J97"/>
  <c r="AC466" i="3"/>
  <c r="Y466"/>
  <c r="J466"/>
  <c r="AC465"/>
  <c r="Y465"/>
  <c r="J465"/>
  <c r="AC104" i="4"/>
  <c r="Y104"/>
  <c r="J104"/>
  <c r="AC103"/>
  <c r="Y103"/>
  <c r="J103"/>
  <c r="AC472" i="3"/>
  <c r="Y472"/>
  <c r="J472"/>
  <c r="AC471"/>
  <c r="Y471"/>
  <c r="J471"/>
  <c r="AC102" i="4"/>
  <c r="Y102"/>
  <c r="J102"/>
  <c r="AC101"/>
  <c r="Y101"/>
  <c r="J101"/>
  <c r="AC470" i="3"/>
  <c r="Y470"/>
  <c r="J470"/>
  <c r="AC469"/>
  <c r="Y469"/>
  <c r="J469"/>
  <c r="F1123" i="11"/>
  <c r="H1123" s="1"/>
  <c r="AC107" i="4"/>
  <c r="Y107"/>
  <c r="J107"/>
  <c r="AC59" i="8"/>
  <c r="Y59"/>
  <c r="J59"/>
  <c r="AC475" i="3"/>
  <c r="AC476"/>
  <c r="Y476"/>
  <c r="J476"/>
  <c r="Y475"/>
  <c r="J475"/>
  <c r="G1123" i="11" l="1"/>
  <c r="AC94" i="4"/>
  <c r="Y94"/>
  <c r="J94"/>
  <c r="AC93"/>
  <c r="Y93"/>
  <c r="J93"/>
  <c r="AC460" i="3"/>
  <c r="Y460"/>
  <c r="J460"/>
  <c r="AC459"/>
  <c r="Y459"/>
  <c r="J459"/>
  <c r="AC96" i="4" l="1"/>
  <c r="Y96"/>
  <c r="J96"/>
  <c r="AC95"/>
  <c r="Y95"/>
  <c r="J95"/>
  <c r="AC464" i="3"/>
  <c r="Y464"/>
  <c r="J464"/>
  <c r="AC463"/>
  <c r="Y463"/>
  <c r="J463"/>
  <c r="J1078" i="11"/>
  <c r="K1078" s="1"/>
  <c r="F1080"/>
  <c r="H1080" s="1"/>
  <c r="J462" i="3"/>
  <c r="J461"/>
  <c r="F1071" i="11"/>
  <c r="H1071" s="1"/>
  <c r="AC92" i="4"/>
  <c r="AC91"/>
  <c r="Y92"/>
  <c r="Y91"/>
  <c r="J92"/>
  <c r="J91"/>
  <c r="AC456" i="3"/>
  <c r="Y456"/>
  <c r="J456"/>
  <c r="AC455"/>
  <c r="Y455"/>
  <c r="J455"/>
  <c r="Y44" i="6"/>
  <c r="Y58" i="8"/>
  <c r="AC458" i="3"/>
  <c r="AC457"/>
  <c r="Y458"/>
  <c r="Y457"/>
  <c r="J44" i="6"/>
  <c r="J58" i="8"/>
  <c r="AC58"/>
  <c r="J458" i="3"/>
  <c r="J457"/>
  <c r="G1080" i="11" l="1"/>
  <c r="Y90" i="4"/>
  <c r="Y89"/>
  <c r="AC90"/>
  <c r="J90"/>
  <c r="AC89"/>
  <c r="J89"/>
  <c r="Y454" i="3"/>
  <c r="AC454"/>
  <c r="J454"/>
  <c r="AC453"/>
  <c r="Y453"/>
  <c r="J453"/>
  <c r="F1063" i="11"/>
  <c r="H1063" s="1"/>
  <c r="J1056"/>
  <c r="K1056" s="1"/>
  <c r="F1057"/>
  <c r="G1057" s="1"/>
  <c r="AC52" i="19"/>
  <c r="Y52"/>
  <c r="J52"/>
  <c r="J1055" i="11"/>
  <c r="K1055" s="1"/>
  <c r="AC51" i="19"/>
  <c r="Y51"/>
  <c r="J51"/>
  <c r="H1057" i="11" l="1"/>
  <c r="J1054"/>
  <c r="K1054" s="1"/>
  <c r="J1053"/>
  <c r="K1053" s="1"/>
  <c r="J1052"/>
  <c r="K1052" s="1"/>
  <c r="Y110" i="7"/>
  <c r="AC50" i="19"/>
  <c r="Y50"/>
  <c r="J50"/>
  <c r="AC49"/>
  <c r="Y49"/>
  <c r="J49"/>
  <c r="J48"/>
  <c r="AC48"/>
  <c r="Y48"/>
  <c r="AC88" i="4"/>
  <c r="Y88"/>
  <c r="J88"/>
  <c r="AC87"/>
  <c r="Y87"/>
  <c r="J87"/>
  <c r="AC452" i="3"/>
  <c r="Y452"/>
  <c r="J452"/>
  <c r="AC451"/>
  <c r="Y451"/>
  <c r="J451"/>
  <c r="F1045" i="11"/>
  <c r="H1045" s="1"/>
  <c r="J450" i="3"/>
  <c r="J449"/>
  <c r="AC450"/>
  <c r="AC449"/>
  <c r="Y450"/>
  <c r="Y449"/>
  <c r="W43" i="6"/>
  <c r="Y43" s="1"/>
  <c r="J43"/>
  <c r="J1037" i="11"/>
  <c r="K1037" s="1"/>
  <c r="F1039"/>
  <c r="H1039" s="1"/>
  <c r="F1031"/>
  <c r="H1031" s="1"/>
  <c r="F1025"/>
  <c r="H1025" s="1"/>
  <c r="F1017"/>
  <c r="H1017" s="1"/>
  <c r="F1009"/>
  <c r="H1009" s="1"/>
  <c r="J42" i="6"/>
  <c r="Y42"/>
  <c r="O1369" i="11" l="1"/>
  <c r="O1335"/>
  <c r="O1293"/>
  <c r="O1252"/>
  <c r="O1151"/>
  <c r="O1153"/>
  <c r="O1152"/>
  <c r="O1136"/>
  <c r="O1168"/>
  <c r="O1371" l="1"/>
  <c r="O1370"/>
  <c r="O1337"/>
  <c r="O1336"/>
  <c r="O1295"/>
  <c r="O1294"/>
  <c r="O1253"/>
  <c r="O1254"/>
  <c r="AC86" i="4"/>
  <c r="Y86"/>
  <c r="J86"/>
  <c r="AC448" i="3"/>
  <c r="Y448"/>
  <c r="J448"/>
  <c r="AC447"/>
  <c r="Y447"/>
  <c r="J447"/>
  <c r="F1000" i="11"/>
  <c r="H1000" s="1"/>
  <c r="F989"/>
  <c r="H989" s="1"/>
  <c r="F978"/>
  <c r="H978" s="1"/>
  <c r="F967"/>
  <c r="H967" s="1"/>
  <c r="F961"/>
  <c r="H961" s="1"/>
  <c r="AC85" i="4"/>
  <c r="Y85"/>
  <c r="J85"/>
  <c r="J84"/>
  <c r="AC84"/>
  <c r="Y84"/>
  <c r="AC83"/>
  <c r="Y83"/>
  <c r="J83"/>
  <c r="Y445" i="3" l="1"/>
  <c r="AC446"/>
  <c r="Y446"/>
  <c r="J446"/>
  <c r="AC445" l="1"/>
  <c r="J445"/>
  <c r="Y7" i="16" l="1"/>
  <c r="Y6"/>
  <c r="Y39" i="6"/>
  <c r="Y461" i="3" l="1"/>
  <c r="Y444"/>
  <c r="Y443"/>
  <c r="AC444"/>
  <c r="J444"/>
  <c r="AC443"/>
  <c r="J443"/>
  <c r="AC57" i="8"/>
  <c r="Y57"/>
  <c r="J57"/>
  <c r="AC442" i="3"/>
  <c r="Y442"/>
  <c r="J442"/>
  <c r="Y462" l="1"/>
  <c r="Y441"/>
  <c r="Y440"/>
  <c r="AC441"/>
  <c r="J441"/>
  <c r="J440"/>
  <c r="AC440"/>
  <c r="AC56" i="8"/>
  <c r="Y56"/>
  <c r="J56"/>
  <c r="Y41" i="6"/>
  <c r="J41"/>
  <c r="Y40"/>
  <c r="J40"/>
  <c r="Y80" i="4"/>
  <c r="AC81"/>
  <c r="AC82"/>
  <c r="Y82"/>
  <c r="J82"/>
  <c r="Y81"/>
  <c r="J81"/>
  <c r="AC439" i="3"/>
  <c r="AC438"/>
  <c r="Y439"/>
  <c r="Y438"/>
  <c r="J439"/>
  <c r="J438"/>
  <c r="Y437"/>
  <c r="AC437"/>
  <c r="AC436"/>
  <c r="J437"/>
  <c r="J436"/>
  <c r="Y436"/>
  <c r="AC55" i="8"/>
  <c r="Y55"/>
  <c r="J55"/>
  <c r="AC52"/>
  <c r="Y52"/>
  <c r="J52"/>
  <c r="AC54"/>
  <c r="Y54"/>
  <c r="Y53"/>
  <c r="AC53"/>
  <c r="J53"/>
  <c r="J54"/>
  <c r="Y435" i="3" l="1"/>
  <c r="Y434"/>
  <c r="AC435"/>
  <c r="J435"/>
  <c r="AC434"/>
  <c r="J434"/>
  <c r="AC80" i="4"/>
  <c r="J80"/>
  <c r="AC79"/>
  <c r="Y79"/>
  <c r="J79"/>
  <c r="J39" i="6"/>
  <c r="J951" i="11"/>
  <c r="K951" s="1"/>
  <c r="M953" s="1"/>
  <c r="M1039" s="1"/>
  <c r="M1057" s="1"/>
  <c r="M1081" s="1"/>
  <c r="M1138" s="1"/>
  <c r="M1246" s="1"/>
  <c r="M1288" s="1"/>
  <c r="M1329" s="1"/>
  <c r="M1362" s="1"/>
  <c r="M1381" s="1"/>
  <c r="F953"/>
  <c r="H953" s="1"/>
  <c r="J941" l="1"/>
  <c r="K941" s="1"/>
  <c r="F944"/>
  <c r="H944" s="1"/>
  <c r="Y47" i="19"/>
  <c r="AC47"/>
  <c r="J47"/>
  <c r="AC46"/>
  <c r="J46"/>
  <c r="X46"/>
  <c r="Y46" s="1"/>
  <c r="J935" i="11"/>
  <c r="F937"/>
  <c r="H937" s="1"/>
  <c r="K934"/>
  <c r="F929"/>
  <c r="H929" s="1"/>
  <c r="F923"/>
  <c r="H923" s="1"/>
  <c r="J912"/>
  <c r="K912" s="1"/>
  <c r="J907"/>
  <c r="K907" s="1"/>
  <c r="K900"/>
  <c r="J901"/>
  <c r="F915"/>
  <c r="H915" s="1"/>
  <c r="F908"/>
  <c r="H908" s="1"/>
  <c r="F903"/>
  <c r="H903" s="1"/>
  <c r="J45" i="19"/>
  <c r="AC45"/>
  <c r="Y45"/>
  <c r="J44"/>
  <c r="AC44"/>
  <c r="Y44"/>
  <c r="J43"/>
  <c r="X43"/>
  <c r="Y43" s="1"/>
  <c r="AC43"/>
  <c r="F895" i="11"/>
  <c r="H895" s="1"/>
  <c r="Y98" i="3"/>
  <c r="AC433"/>
  <c r="AC78" i="4"/>
  <c r="Y78"/>
  <c r="AC430" i="3"/>
  <c r="Y430"/>
  <c r="J430"/>
  <c r="J432"/>
  <c r="J78" i="4"/>
  <c r="Y431" i="3"/>
  <c r="AC431"/>
  <c r="J431"/>
  <c r="Y433"/>
  <c r="J433"/>
  <c r="AC432"/>
  <c r="Y432"/>
  <c r="AC51" i="8"/>
  <c r="Y51"/>
  <c r="J51"/>
  <c r="J428" i="3"/>
  <c r="Y429"/>
  <c r="Y428"/>
  <c r="AC429"/>
  <c r="J429"/>
  <c r="AC428"/>
  <c r="J886" i="11"/>
  <c r="K886" s="1"/>
  <c r="J885"/>
  <c r="K885" s="1"/>
  <c r="F887"/>
  <c r="H887" s="1"/>
  <c r="AC42" i="19"/>
  <c r="AC41"/>
  <c r="Y42"/>
  <c r="J42"/>
  <c r="Y41"/>
  <c r="J41"/>
  <c r="J879" i="11"/>
  <c r="K879" s="1"/>
  <c r="F881"/>
  <c r="H881" s="1"/>
  <c r="AC40" i="19"/>
  <c r="Y40"/>
  <c r="J40"/>
  <c r="F873" i="11"/>
  <c r="H873" s="1"/>
  <c r="Y38" i="6"/>
  <c r="AC77" i="4"/>
  <c r="J77"/>
  <c r="J38" i="6"/>
  <c r="Y77" i="4"/>
  <c r="Y427" i="3"/>
  <c r="Y426"/>
  <c r="AC427"/>
  <c r="J427"/>
  <c r="AC426"/>
  <c r="J426"/>
  <c r="F865" i="11"/>
  <c r="H865" s="1"/>
  <c r="F859"/>
  <c r="H859" s="1"/>
  <c r="F849"/>
  <c r="H849" s="1"/>
  <c r="F843"/>
  <c r="H843" s="1"/>
  <c r="F837"/>
  <c r="H837" s="1"/>
  <c r="F831"/>
  <c r="H831" s="1"/>
  <c r="F821"/>
  <c r="H821" s="1"/>
  <c r="F815"/>
  <c r="H815" s="1"/>
  <c r="F784"/>
  <c r="H784" s="1"/>
  <c r="J800"/>
  <c r="K800" s="1"/>
  <c r="F802"/>
  <c r="H802" s="1"/>
  <c r="J38" i="19"/>
  <c r="Y39"/>
  <c r="AC39"/>
  <c r="J39"/>
  <c r="J424" i="3"/>
  <c r="AC425"/>
  <c r="Y425"/>
  <c r="J425"/>
  <c r="AC424"/>
  <c r="Y424"/>
  <c r="F723" i="11"/>
  <c r="H723" s="1"/>
  <c r="F768"/>
  <c r="H768" s="1"/>
  <c r="F794"/>
  <c r="H794" s="1"/>
  <c r="F703"/>
  <c r="H703" s="1"/>
  <c r="F688"/>
  <c r="H688" s="1"/>
  <c r="F742"/>
  <c r="H742" s="1"/>
  <c r="F732"/>
  <c r="H732" s="1"/>
  <c r="AC423" i="3"/>
  <c r="Y423"/>
  <c r="J423"/>
  <c r="AC422"/>
  <c r="Y422"/>
  <c r="J422"/>
  <c r="Y421"/>
  <c r="Y420"/>
  <c r="AC421"/>
  <c r="J421"/>
  <c r="AC420"/>
  <c r="J420"/>
  <c r="Y419"/>
  <c r="Y418"/>
  <c r="AC419"/>
  <c r="J419"/>
  <c r="AC418"/>
  <c r="J418"/>
  <c r="Y417"/>
  <c r="Y416"/>
  <c r="AC417"/>
  <c r="J417"/>
  <c r="AC416"/>
  <c r="J416"/>
  <c r="Y415"/>
  <c r="AC415"/>
  <c r="J415"/>
  <c r="Y414"/>
  <c r="Y413"/>
  <c r="J413"/>
  <c r="AC414"/>
  <c r="J414"/>
  <c r="AC413"/>
  <c r="AC50" i="8"/>
  <c r="Y50"/>
  <c r="J50"/>
  <c r="Y412" i="3"/>
  <c r="AC412"/>
  <c r="J412"/>
  <c r="Y410"/>
  <c r="Y409"/>
  <c r="Y408"/>
  <c r="Y407"/>
  <c r="AC411"/>
  <c r="Y411"/>
  <c r="J411"/>
  <c r="AC410"/>
  <c r="AC409"/>
  <c r="J410"/>
  <c r="J409"/>
  <c r="J408"/>
  <c r="J407"/>
  <c r="AC408"/>
  <c r="AC407"/>
  <c r="Y406"/>
  <c r="Y405"/>
  <c r="AC406"/>
  <c r="J406"/>
  <c r="AC405"/>
  <c r="J405"/>
  <c r="Y109" i="7"/>
  <c r="Y108"/>
  <c r="AC109"/>
  <c r="J109"/>
  <c r="AC108"/>
  <c r="J108"/>
  <c r="Y404" i="3"/>
  <c r="AC404"/>
  <c r="J404"/>
  <c r="AC403"/>
  <c r="Y403"/>
  <c r="J403"/>
  <c r="AC402"/>
  <c r="Y402"/>
  <c r="J402"/>
  <c r="Y401"/>
  <c r="Y400"/>
  <c r="AC401"/>
  <c r="J401"/>
  <c r="AC400"/>
  <c r="J400"/>
  <c r="Y107" i="7"/>
  <c r="AC107"/>
  <c r="J107"/>
  <c r="Y399" i="3"/>
  <c r="Y398"/>
  <c r="AC399"/>
  <c r="J399"/>
  <c r="AC398"/>
  <c r="J398"/>
  <c r="Y397"/>
  <c r="Y396"/>
  <c r="AC397"/>
  <c r="J397"/>
  <c r="AC396"/>
  <c r="J396"/>
  <c r="Y106" i="7"/>
  <c r="AC106"/>
  <c r="J106"/>
  <c r="Y105"/>
  <c r="AC105"/>
  <c r="J105"/>
  <c r="Y104"/>
  <c r="AC104"/>
  <c r="J104"/>
  <c r="Y103"/>
  <c r="AC103"/>
  <c r="J103"/>
  <c r="Y391" i="3"/>
  <c r="Y390"/>
  <c r="Y388"/>
  <c r="Y395"/>
  <c r="Y394"/>
  <c r="AC395"/>
  <c r="J395"/>
  <c r="AC394"/>
  <c r="J394"/>
  <c r="Y102" i="7"/>
  <c r="AC102"/>
  <c r="J102"/>
  <c r="Y393" i="3"/>
  <c r="Y392"/>
  <c r="AC393"/>
  <c r="J393"/>
  <c r="AC392"/>
  <c r="J392"/>
  <c r="AC391"/>
  <c r="AC390"/>
  <c r="J391"/>
  <c r="J390"/>
  <c r="Y101" i="7"/>
  <c r="AC101"/>
  <c r="J101"/>
  <c r="AC389" i="3"/>
  <c r="Y389"/>
  <c r="J389"/>
  <c r="AC388"/>
  <c r="J388"/>
  <c r="AC387"/>
  <c r="Y387"/>
  <c r="J387"/>
  <c r="AC386"/>
  <c r="Y386"/>
  <c r="J386"/>
  <c r="AC385"/>
  <c r="Y385"/>
  <c r="J385"/>
  <c r="AC384"/>
  <c r="Y384"/>
  <c r="J384"/>
  <c r="AC383"/>
  <c r="Y383"/>
  <c r="J383"/>
  <c r="AC382"/>
  <c r="Y382"/>
  <c r="J382"/>
  <c r="Y381"/>
  <c r="AC381"/>
  <c r="J381"/>
  <c r="Y380"/>
  <c r="Y379"/>
  <c r="AC380"/>
  <c r="J380"/>
  <c r="AC379"/>
  <c r="J379"/>
  <c r="J378"/>
  <c r="AC378"/>
  <c r="AC377"/>
  <c r="Y378"/>
  <c r="Y377"/>
  <c r="J377"/>
  <c r="Y376"/>
  <c r="Y375"/>
  <c r="AC376"/>
  <c r="J376"/>
  <c r="AC375"/>
  <c r="J375"/>
  <c r="Y374"/>
  <c r="Y373"/>
  <c r="AC374"/>
  <c r="J374"/>
  <c r="AC373"/>
  <c r="J373"/>
  <c r="Y372"/>
  <c r="Y371"/>
  <c r="AC372"/>
  <c r="J372"/>
  <c r="AC371"/>
  <c r="J371"/>
  <c r="Y370"/>
  <c r="Y369"/>
  <c r="AC370"/>
  <c r="J370"/>
  <c r="AC369"/>
  <c r="J369"/>
  <c r="Y368"/>
  <c r="AC368"/>
  <c r="J368"/>
  <c r="J782" i="11"/>
  <c r="K782" s="1"/>
  <c r="M784" s="1"/>
  <c r="F778"/>
  <c r="H778" s="1"/>
  <c r="Y367" i="3"/>
  <c r="Y366"/>
  <c r="AC367"/>
  <c r="J367"/>
  <c r="J366"/>
  <c r="AC366"/>
  <c r="AC100" i="7"/>
  <c r="Y100"/>
  <c r="Y38" i="19"/>
  <c r="AC38"/>
  <c r="Y365" i="3"/>
  <c r="AC365"/>
  <c r="J365"/>
  <c r="J100" i="7"/>
  <c r="AC99"/>
  <c r="Y99"/>
  <c r="J99"/>
  <c r="J364" i="3"/>
  <c r="AC364"/>
  <c r="Y364"/>
  <c r="F668" i="11"/>
  <c r="H668" s="1"/>
  <c r="F573"/>
  <c r="H573" s="1"/>
  <c r="F636"/>
  <c r="H636" s="1"/>
  <c r="F661"/>
  <c r="H661" s="1"/>
  <c r="F603"/>
  <c r="H603" s="1"/>
  <c r="F654"/>
  <c r="H654" s="1"/>
  <c r="AC49" i="8"/>
  <c r="Y49"/>
  <c r="J49"/>
  <c r="AC98" i="7"/>
  <c r="Y98"/>
  <c r="J98"/>
  <c r="J48" i="8"/>
  <c r="AC48"/>
  <c r="AC47"/>
  <c r="Y48"/>
  <c r="Y363" i="3"/>
  <c r="Y362"/>
  <c r="AC363"/>
  <c r="J363"/>
  <c r="AC362"/>
  <c r="J362"/>
  <c r="Y361"/>
  <c r="Y360"/>
  <c r="J360"/>
  <c r="AC361"/>
  <c r="J361"/>
  <c r="AC360"/>
  <c r="Y359"/>
  <c r="AC359"/>
  <c r="J359"/>
  <c r="Y358"/>
  <c r="Y357"/>
  <c r="AC357"/>
  <c r="AC358"/>
  <c r="J358"/>
  <c r="J357"/>
  <c r="Y97" i="7"/>
  <c r="AC97"/>
  <c r="J97"/>
  <c r="AC96"/>
  <c r="Y96"/>
  <c r="J96"/>
  <c r="Y356" i="3"/>
  <c r="AC356"/>
  <c r="J356"/>
  <c r="Y354"/>
  <c r="Y353"/>
  <c r="Y355"/>
  <c r="AC355"/>
  <c r="J355"/>
  <c r="Y95" i="7"/>
  <c r="AC95"/>
  <c r="J95"/>
  <c r="AC353" i="3"/>
  <c r="AC354"/>
  <c r="J354"/>
  <c r="J353"/>
  <c r="Y94" i="7"/>
  <c r="AC94"/>
  <c r="J94"/>
  <c r="Y352" i="3"/>
  <c r="Y351"/>
  <c r="AC352"/>
  <c r="J352"/>
  <c r="AC351"/>
  <c r="J351"/>
  <c r="Y350"/>
  <c r="AC350"/>
  <c r="J350"/>
  <c r="Y349"/>
  <c r="Y348"/>
  <c r="AC349"/>
  <c r="J349"/>
  <c r="AC348"/>
  <c r="J348"/>
  <c r="Y347"/>
  <c r="AC347"/>
  <c r="J347"/>
  <c r="Y346"/>
  <c r="Y345"/>
  <c r="AC346"/>
  <c r="J346"/>
  <c r="AC345"/>
  <c r="J345"/>
  <c r="Y344"/>
  <c r="Y343"/>
  <c r="J344"/>
  <c r="J343"/>
  <c r="AC344"/>
  <c r="AC343"/>
  <c r="Y342"/>
  <c r="J342"/>
  <c r="AC342"/>
  <c r="AC337"/>
  <c r="AC336"/>
  <c r="Y337"/>
  <c r="Y336"/>
  <c r="J336"/>
  <c r="AC338"/>
  <c r="J338"/>
  <c r="AC339"/>
  <c r="Y338"/>
  <c r="Y339"/>
  <c r="J339"/>
  <c r="J337"/>
  <c r="Y341"/>
  <c r="Y340"/>
  <c r="J340"/>
  <c r="AC341"/>
  <c r="J341"/>
  <c r="AC340"/>
  <c r="Y37" i="6"/>
  <c r="J37"/>
  <c r="AC76" i="4"/>
  <c r="Y76"/>
  <c r="J76"/>
  <c r="AC335" i="3"/>
  <c r="AC334"/>
  <c r="Y335"/>
  <c r="Y334"/>
  <c r="J335"/>
  <c r="J334"/>
  <c r="Y333"/>
  <c r="Y332"/>
  <c r="J332"/>
  <c r="J333"/>
  <c r="AC333"/>
  <c r="AC332"/>
  <c r="Y331"/>
  <c r="Y330"/>
  <c r="AC331"/>
  <c r="J331"/>
  <c r="AC330"/>
  <c r="J330"/>
  <c r="Y93" i="7"/>
  <c r="AC93"/>
  <c r="J93"/>
  <c r="J578" i="11"/>
  <c r="K578" s="1"/>
  <c r="Y37" i="19"/>
  <c r="AC37"/>
  <c r="AC36"/>
  <c r="J37"/>
  <c r="Y329" i="3"/>
  <c r="Y328"/>
  <c r="AC329"/>
  <c r="J329"/>
  <c r="AC328"/>
  <c r="J328"/>
  <c r="Y327"/>
  <c r="AC327"/>
  <c r="J327"/>
  <c r="AC320"/>
  <c r="J320"/>
  <c r="J323"/>
  <c r="J324"/>
  <c r="AC323"/>
  <c r="AC324"/>
  <c r="Y324"/>
  <c r="Y323"/>
  <c r="Y326"/>
  <c r="Y325"/>
  <c r="AC326"/>
  <c r="J326"/>
  <c r="AC325"/>
  <c r="J325"/>
  <c r="Y321"/>
  <c r="Y322"/>
  <c r="Y92" i="7"/>
  <c r="AC322" i="3"/>
  <c r="J322"/>
  <c r="AC321"/>
  <c r="J321"/>
  <c r="AC92" i="7"/>
  <c r="J92"/>
  <c r="Y75" i="4"/>
  <c r="AC75"/>
  <c r="J75"/>
  <c r="AC91" i="7"/>
  <c r="Y91"/>
  <c r="J91"/>
  <c r="Y320" i="3"/>
  <c r="Y74" i="4"/>
  <c r="AC74"/>
  <c r="J74"/>
  <c r="F563" i="11"/>
  <c r="H563" s="1"/>
  <c r="F553"/>
  <c r="H553" s="1"/>
  <c r="F543"/>
  <c r="H543" s="1"/>
  <c r="T262" i="3"/>
  <c r="J262" s="1"/>
  <c r="AC262"/>
  <c r="Y43" i="7"/>
  <c r="Y73" i="4"/>
  <c r="AC73"/>
  <c r="J73"/>
  <c r="Y90" i="7"/>
  <c r="AC90"/>
  <c r="J90"/>
  <c r="Y319" i="3"/>
  <c r="AC319"/>
  <c r="J319"/>
  <c r="Y318"/>
  <c r="Y317"/>
  <c r="AC318"/>
  <c r="J318"/>
  <c r="AC317"/>
  <c r="J317"/>
  <c r="Y72" i="4"/>
  <c r="AC72"/>
  <c r="J72"/>
  <c r="AC71"/>
  <c r="Y71"/>
  <c r="J71"/>
  <c r="AC89" i="7"/>
  <c r="Y89"/>
  <c r="J89"/>
  <c r="AC316" i="3"/>
  <c r="Y316"/>
  <c r="J316"/>
  <c r="AC88" i="7"/>
  <c r="Y88"/>
  <c r="J88"/>
  <c r="J577" i="11"/>
  <c r="K577" s="1"/>
  <c r="F579"/>
  <c r="H579" s="1"/>
  <c r="J36" i="19"/>
  <c r="Y36"/>
  <c r="Y315" i="3"/>
  <c r="Y314"/>
  <c r="AC315"/>
  <c r="J315"/>
  <c r="AC314"/>
  <c r="J314"/>
  <c r="Y70" i="4"/>
  <c r="AC70"/>
  <c r="J70"/>
  <c r="Y313" i="3"/>
  <c r="Y312"/>
  <c r="AC313"/>
  <c r="J313"/>
  <c r="AC312"/>
  <c r="J312"/>
  <c r="AC311"/>
  <c r="Y311"/>
  <c r="AC310"/>
  <c r="Y310"/>
  <c r="J311"/>
  <c r="J310"/>
  <c r="Y87" i="7"/>
  <c r="AC87"/>
  <c r="J87"/>
  <c r="Y309" i="3"/>
  <c r="AC309"/>
  <c r="J309"/>
  <c r="Y86" i="7"/>
  <c r="AC86"/>
  <c r="J86"/>
  <c r="AC308" i="3"/>
  <c r="AC307"/>
  <c r="Y308"/>
  <c r="Y307"/>
  <c r="J308"/>
  <c r="J307"/>
  <c r="Y69" i="4"/>
  <c r="AC69"/>
  <c r="J69"/>
  <c r="Y68"/>
  <c r="AC68"/>
  <c r="J68"/>
  <c r="Y85" i="7"/>
  <c r="AC85"/>
  <c r="J85"/>
  <c r="Y306" i="3"/>
  <c r="Y305"/>
  <c r="AC306"/>
  <c r="J306"/>
  <c r="AC305"/>
  <c r="J305"/>
  <c r="Y84" i="7"/>
  <c r="AC84"/>
  <c r="J84"/>
  <c r="Y83"/>
  <c r="AC83"/>
  <c r="J83"/>
  <c r="Y82"/>
  <c r="AC82"/>
  <c r="J82"/>
  <c r="J81"/>
  <c r="AC81"/>
  <c r="Y81"/>
  <c r="AC80"/>
  <c r="Y80"/>
  <c r="J80"/>
  <c r="AC304" i="3"/>
  <c r="Y304"/>
  <c r="J304"/>
  <c r="AC303"/>
  <c r="Y303"/>
  <c r="J303"/>
  <c r="F496" i="11"/>
  <c r="H496" s="1"/>
  <c r="F512"/>
  <c r="H512" s="1"/>
  <c r="F424"/>
  <c r="H424" s="1"/>
  <c r="F440"/>
  <c r="H440" s="1"/>
  <c r="F459"/>
  <c r="H459" s="1"/>
  <c r="F526"/>
  <c r="H526" s="1"/>
  <c r="F521"/>
  <c r="H521" s="1"/>
  <c r="F517"/>
  <c r="H517" s="1"/>
  <c r="F503"/>
  <c r="H503" s="1"/>
  <c r="AC67" i="4"/>
  <c r="Y67"/>
  <c r="J67"/>
  <c r="Y79" i="7"/>
  <c r="AC79"/>
  <c r="J79"/>
  <c r="Y78"/>
  <c r="Y77"/>
  <c r="J77"/>
  <c r="AC78"/>
  <c r="J78"/>
  <c r="AC77"/>
  <c r="AC76"/>
  <c r="Y76"/>
  <c r="J76"/>
  <c r="Y75"/>
  <c r="AC75"/>
  <c r="J75"/>
  <c r="Y302" i="3"/>
  <c r="AC302"/>
  <c r="J302"/>
  <c r="AC301"/>
  <c r="Y301"/>
  <c r="J301"/>
  <c r="AC300"/>
  <c r="Y300"/>
  <c r="J300"/>
  <c r="J299"/>
  <c r="Y299"/>
  <c r="AC299"/>
  <c r="AC74" i="7"/>
  <c r="Y74"/>
  <c r="J74"/>
  <c r="AC73"/>
  <c r="Y73"/>
  <c r="J73"/>
  <c r="J298" i="3"/>
  <c r="AC298"/>
  <c r="AC297"/>
  <c r="Y298"/>
  <c r="Y297"/>
  <c r="J297"/>
  <c r="J72" i="7"/>
  <c r="AC72"/>
  <c r="Y72"/>
  <c r="Y296" i="3"/>
  <c r="Y295"/>
  <c r="AC296"/>
  <c r="J296"/>
  <c r="AC295"/>
  <c r="J295"/>
  <c r="AC294"/>
  <c r="Y294"/>
  <c r="AC293"/>
  <c r="Y293"/>
  <c r="J294"/>
  <c r="J293"/>
  <c r="Y292"/>
  <c r="J291"/>
  <c r="AC291"/>
  <c r="Y291"/>
  <c r="AC292"/>
  <c r="J292"/>
  <c r="Y36" i="6"/>
  <c r="Y35"/>
  <c r="J36"/>
  <c r="J35"/>
  <c r="Y66" i="4"/>
  <c r="AC66"/>
  <c r="J66"/>
  <c r="J65"/>
  <c r="AC65"/>
  <c r="Y65"/>
  <c r="F407" i="11"/>
  <c r="H407" s="1"/>
  <c r="F413"/>
  <c r="H413" s="1"/>
  <c r="F446"/>
  <c r="H446" s="1"/>
  <c r="J406"/>
  <c r="K406" s="1"/>
  <c r="J405"/>
  <c r="K405" s="1"/>
  <c r="J404"/>
  <c r="K404" s="1"/>
  <c r="AC290" i="3"/>
  <c r="Y290"/>
  <c r="J290"/>
  <c r="AC289"/>
  <c r="Y289"/>
  <c r="J289"/>
  <c r="AC288"/>
  <c r="Y288"/>
  <c r="J288"/>
  <c r="E288"/>
  <c r="AC287"/>
  <c r="Y287"/>
  <c r="J287"/>
  <c r="AC286"/>
  <c r="Y286"/>
  <c r="J286"/>
  <c r="E286"/>
  <c r="AC285"/>
  <c r="Y285"/>
  <c r="J285"/>
  <c r="AC71" i="7"/>
  <c r="Y71"/>
  <c r="J71"/>
  <c r="AC70"/>
  <c r="Y70"/>
  <c r="J70"/>
  <c r="AC69"/>
  <c r="Y69"/>
  <c r="J69"/>
  <c r="AC68"/>
  <c r="Y68"/>
  <c r="J68"/>
  <c r="AC67"/>
  <c r="Y67"/>
  <c r="J67"/>
  <c r="J66"/>
  <c r="AC66"/>
  <c r="Y66"/>
  <c r="J65"/>
  <c r="AC65"/>
  <c r="Y65"/>
  <c r="AC284" i="3"/>
  <c r="Y284"/>
  <c r="J284"/>
  <c r="E284"/>
  <c r="AC283"/>
  <c r="Y283"/>
  <c r="J283"/>
  <c r="AC64" i="7"/>
  <c r="Y64"/>
  <c r="J64"/>
  <c r="AC63"/>
  <c r="Y63"/>
  <c r="J63"/>
  <c r="AC62"/>
  <c r="Y62"/>
  <c r="J62"/>
  <c r="AC282" i="3"/>
  <c r="Y282"/>
  <c r="J282"/>
  <c r="E282"/>
  <c r="AC281"/>
  <c r="Y281"/>
  <c r="J281"/>
  <c r="AC280"/>
  <c r="Y280"/>
  <c r="J280"/>
  <c r="E280"/>
  <c r="AC279"/>
  <c r="Y279"/>
  <c r="J279"/>
  <c r="AC278"/>
  <c r="Y278"/>
  <c r="J278"/>
  <c r="E278"/>
  <c r="AC277"/>
  <c r="Y277"/>
  <c r="J277"/>
  <c r="AC276"/>
  <c r="Y276"/>
  <c r="J276"/>
  <c r="E276"/>
  <c r="AC275"/>
  <c r="Y275"/>
  <c r="J275"/>
  <c r="E274"/>
  <c r="AC274"/>
  <c r="Y274"/>
  <c r="J274"/>
  <c r="AC273"/>
  <c r="Y273"/>
  <c r="J273"/>
  <c r="AC272"/>
  <c r="Y272"/>
  <c r="J272"/>
  <c r="AC271"/>
  <c r="Y271"/>
  <c r="J271"/>
  <c r="AC270"/>
  <c r="Y270"/>
  <c r="J270"/>
  <c r="AC269"/>
  <c r="Y269"/>
  <c r="J269"/>
  <c r="Y60" i="7"/>
  <c r="AC61"/>
  <c r="Y61"/>
  <c r="J61"/>
  <c r="AC60"/>
  <c r="J60"/>
  <c r="AC59"/>
  <c r="Y59"/>
  <c r="J59"/>
  <c r="Y268" i="3"/>
  <c r="Y267"/>
  <c r="AC268"/>
  <c r="AC267"/>
  <c r="J268"/>
  <c r="J267"/>
  <c r="AC58" i="7"/>
  <c r="Y58"/>
  <c r="J58"/>
  <c r="J266" i="3"/>
  <c r="J265"/>
  <c r="AC266"/>
  <c r="AC265"/>
  <c r="Y266"/>
  <c r="Y265"/>
  <c r="J57" i="7"/>
  <c r="AC57"/>
  <c r="Y57"/>
  <c r="J55"/>
  <c r="J56"/>
  <c r="AC56"/>
  <c r="AC55"/>
  <c r="AC54"/>
  <c r="Y56"/>
  <c r="Y55"/>
  <c r="J35" i="19"/>
  <c r="AC35"/>
  <c r="Y35"/>
  <c r="J263" i="3"/>
  <c r="AC263"/>
  <c r="AC264"/>
  <c r="Y264"/>
  <c r="J264"/>
  <c r="E264"/>
  <c r="Y263"/>
  <c r="AC34" i="19"/>
  <c r="Y34"/>
  <c r="J34"/>
  <c r="AC33"/>
  <c r="Y33"/>
  <c r="J33"/>
  <c r="Y32"/>
  <c r="J398" i="11"/>
  <c r="K398" s="1"/>
  <c r="F399"/>
  <c r="H399" s="1"/>
  <c r="AB5" i="19"/>
  <c r="AC32" s="1"/>
  <c r="Y8"/>
  <c r="J385" i="11"/>
  <c r="K385" s="1"/>
  <c r="J384"/>
  <c r="K384" s="1"/>
  <c r="J386"/>
  <c r="K386" s="1"/>
  <c r="J336"/>
  <c r="K336" s="1"/>
  <c r="J337"/>
  <c r="K337" s="1"/>
  <c r="J338"/>
  <c r="K338" s="1"/>
  <c r="J339"/>
  <c r="K339" s="1"/>
  <c r="J343"/>
  <c r="K343" s="1"/>
  <c r="J347"/>
  <c r="K347" s="1"/>
  <c r="J348"/>
  <c r="K348" s="1"/>
  <c r="J349"/>
  <c r="K349" s="1"/>
  <c r="J350"/>
  <c r="K350" s="1"/>
  <c r="J351"/>
  <c r="K351" s="1"/>
  <c r="J355"/>
  <c r="K355" s="1"/>
  <c r="J317"/>
  <c r="K317" s="1"/>
  <c r="J316"/>
  <c r="K316" s="1"/>
  <c r="J305"/>
  <c r="K305" s="1"/>
  <c r="J301"/>
  <c r="K301" s="1"/>
  <c r="J370"/>
  <c r="K370" s="1"/>
  <c r="J369"/>
  <c r="K369" s="1"/>
  <c r="J371"/>
  <c r="K371" s="1"/>
  <c r="J394"/>
  <c r="K394" s="1"/>
  <c r="F395"/>
  <c r="H395" s="1"/>
  <c r="AC31" i="19"/>
  <c r="Y31"/>
  <c r="J31"/>
  <c r="F387" i="11"/>
  <c r="H387" s="1"/>
  <c r="AC30" i="19"/>
  <c r="Y30"/>
  <c r="J30"/>
  <c r="F391" i="11"/>
  <c r="H391" s="1"/>
  <c r="Y54" i="7"/>
  <c r="J54"/>
  <c r="AC29" i="19"/>
  <c r="Y29"/>
  <c r="J29"/>
  <c r="J28"/>
  <c r="Y28"/>
  <c r="AC28"/>
  <c r="F380" i="11"/>
  <c r="H380" s="1"/>
  <c r="F366"/>
  <c r="H366" s="1"/>
  <c r="F372"/>
  <c r="H372" s="1"/>
  <c r="AC53" i="7"/>
  <c r="Y53"/>
  <c r="J53"/>
  <c r="AC52"/>
  <c r="Y52"/>
  <c r="T52"/>
  <c r="J52" s="1"/>
  <c r="AC27" i="19"/>
  <c r="Y27"/>
  <c r="J27"/>
  <c r="AC26"/>
  <c r="Y26"/>
  <c r="J26"/>
  <c r="AC64" i="4"/>
  <c r="W64"/>
  <c r="Y64" s="1"/>
  <c r="J64"/>
  <c r="F376" i="11"/>
  <c r="H376" s="1"/>
  <c r="F324"/>
  <c r="H324" s="1"/>
  <c r="AC25" i="19"/>
  <c r="Y25"/>
  <c r="J25"/>
  <c r="AC24"/>
  <c r="Y24"/>
  <c r="J24"/>
  <c r="AC51" i="7"/>
  <c r="Y51"/>
  <c r="T51"/>
  <c r="J51" s="1"/>
  <c r="F361" i="11"/>
  <c r="H361" s="1"/>
  <c r="AC23" i="19"/>
  <c r="Y23"/>
  <c r="J23"/>
  <c r="F340" i="11"/>
  <c r="H340" s="1"/>
  <c r="Y22" i="19"/>
  <c r="T22"/>
  <c r="J22" s="1"/>
  <c r="F356" i="11"/>
  <c r="H356" s="1"/>
  <c r="AC21" i="19"/>
  <c r="Y21"/>
  <c r="T21"/>
  <c r="J21" s="1"/>
  <c r="F352" i="11"/>
  <c r="H352" s="1"/>
  <c r="T18" i="19"/>
  <c r="J18" s="1"/>
  <c r="T19"/>
  <c r="J19" s="1"/>
  <c r="T20"/>
  <c r="J20" s="1"/>
  <c r="AC18"/>
  <c r="Y18"/>
  <c r="AC19"/>
  <c r="Y19"/>
  <c r="AC20"/>
  <c r="Y20"/>
  <c r="AC17"/>
  <c r="Y17"/>
  <c r="J17"/>
  <c r="F344" i="11"/>
  <c r="H344" s="1"/>
  <c r="T16" i="19"/>
  <c r="J16" s="1"/>
  <c r="AC16"/>
  <c r="Y16"/>
  <c r="AC15"/>
  <c r="Y15"/>
  <c r="J15"/>
  <c r="F318" i="11"/>
  <c r="H318" s="1"/>
  <c r="F333"/>
  <c r="H333" s="1"/>
  <c r="T14" i="19"/>
  <c r="J14" s="1"/>
  <c r="S14"/>
  <c r="AC14" s="1"/>
  <c r="Y14"/>
  <c r="AC13"/>
  <c r="Y13"/>
  <c r="J13"/>
  <c r="T50" i="7"/>
  <c r="J50" s="1"/>
  <c r="AC50"/>
  <c r="Y50"/>
  <c r="F328" i="11"/>
  <c r="H328" s="1"/>
  <c r="AC49" i="7"/>
  <c r="Y49"/>
  <c r="J49"/>
  <c r="AC261" i="3"/>
  <c r="W261"/>
  <c r="Y261" s="1"/>
  <c r="T261"/>
  <c r="J261" s="1"/>
  <c r="AC260"/>
  <c r="W260"/>
  <c r="Y260" s="1"/>
  <c r="T260"/>
  <c r="J260" s="1"/>
  <c r="E261"/>
  <c r="W47" i="8"/>
  <c r="Y47" s="1"/>
  <c r="T47"/>
  <c r="J47" s="1"/>
  <c r="AC12" i="19"/>
  <c r="Y12"/>
  <c r="J12"/>
  <c r="AC11"/>
  <c r="Y11"/>
  <c r="J11"/>
  <c r="F313" i="11"/>
  <c r="G313" s="1"/>
  <c r="F284"/>
  <c r="F306"/>
  <c r="H306" s="1"/>
  <c r="F116"/>
  <c r="H116" s="1"/>
  <c r="F158"/>
  <c r="H158" s="1"/>
  <c r="AC47" i="7"/>
  <c r="Y47"/>
  <c r="J47"/>
  <c r="AC48"/>
  <c r="Y48"/>
  <c r="J48"/>
  <c r="AC10" i="19"/>
  <c r="Y10"/>
  <c r="J10"/>
  <c r="F302" i="11"/>
  <c r="H302" s="1"/>
  <c r="Y34" i="7"/>
  <c r="Y41"/>
  <c r="Y42"/>
  <c r="W44"/>
  <c r="Y44" s="1"/>
  <c r="Y45"/>
  <c r="Y46"/>
  <c r="Y9" i="19"/>
  <c r="AC9"/>
  <c r="J9"/>
  <c r="J259" i="3"/>
  <c r="L55" i="4"/>
  <c r="AC56"/>
  <c r="W56"/>
  <c r="J56"/>
  <c r="AC55"/>
  <c r="X55"/>
  <c r="J55"/>
  <c r="L238" i="3"/>
  <c r="W238" s="1"/>
  <c r="AC238"/>
  <c r="X238"/>
  <c r="J238"/>
  <c r="AC239"/>
  <c r="W239"/>
  <c r="X236"/>
  <c r="X237" s="1"/>
  <c r="X239" s="1"/>
  <c r="J239"/>
  <c r="E237"/>
  <c r="E239" s="1"/>
  <c r="F297" i="11"/>
  <c r="H297" s="1"/>
  <c r="W258" i="3"/>
  <c r="Y258" s="1"/>
  <c r="W259"/>
  <c r="Y259" s="1"/>
  <c r="AC257"/>
  <c r="W257"/>
  <c r="Y257" s="1"/>
  <c r="J257"/>
  <c r="E257"/>
  <c r="AC256"/>
  <c r="W256"/>
  <c r="Y256" s="1"/>
  <c r="J256"/>
  <c r="AC46" i="7"/>
  <c r="J46"/>
  <c r="F291" i="11"/>
  <c r="H291" s="1"/>
  <c r="AC45" i="7"/>
  <c r="J45"/>
  <c r="AB5"/>
  <c r="AC31" s="1"/>
  <c r="AC41"/>
  <c r="AC42"/>
  <c r="AC43"/>
  <c r="AC44"/>
  <c r="J44"/>
  <c r="J43"/>
  <c r="J42"/>
  <c r="J41"/>
  <c r="Y36"/>
  <c r="J36"/>
  <c r="J35"/>
  <c r="J34"/>
  <c r="J33"/>
  <c r="X24"/>
  <c r="Y24" s="1"/>
  <c r="O11"/>
  <c r="AC259" i="3"/>
  <c r="AC258"/>
  <c r="J258"/>
  <c r="E259"/>
  <c r="F273" i="11"/>
  <c r="H273" s="1"/>
  <c r="F267"/>
  <c r="H267" s="1"/>
  <c r="AC63" i="4"/>
  <c r="W63"/>
  <c r="Y63" s="1"/>
  <c r="J63"/>
  <c r="AC255" i="3"/>
  <c r="W255"/>
  <c r="Y255" s="1"/>
  <c r="J255"/>
  <c r="E255"/>
  <c r="AC254"/>
  <c r="W254"/>
  <c r="Y254" s="1"/>
  <c r="J254"/>
  <c r="F259" i="11"/>
  <c r="H259" s="1"/>
  <c r="F254"/>
  <c r="H254" s="1"/>
  <c r="F236"/>
  <c r="H236" s="1"/>
  <c r="W46" i="8"/>
  <c r="AC46"/>
  <c r="J46"/>
  <c r="AC253" i="3"/>
  <c r="W253"/>
  <c r="Y253" s="1"/>
  <c r="J253"/>
  <c r="AC252"/>
  <c r="W252"/>
  <c r="Y252" s="1"/>
  <c r="J252"/>
  <c r="AC251"/>
  <c r="W251"/>
  <c r="Y251" s="1"/>
  <c r="J251"/>
  <c r="E251"/>
  <c r="AC250"/>
  <c r="L250"/>
  <c r="W250" s="1"/>
  <c r="Y250" s="1"/>
  <c r="J250"/>
  <c r="W62" i="4"/>
  <c r="Y62" s="1"/>
  <c r="AC62"/>
  <c r="J62"/>
  <c r="W246" i="3"/>
  <c r="Y246" s="1"/>
  <c r="F245" i="11"/>
  <c r="H245" s="1"/>
  <c r="AC61" i="4"/>
  <c r="W61"/>
  <c r="Y61" s="1"/>
  <c r="J61"/>
  <c r="AC45" i="8"/>
  <c r="W45"/>
  <c r="Y45" s="1"/>
  <c r="J45"/>
  <c r="W244" i="3"/>
  <c r="Y244" s="1"/>
  <c r="W245"/>
  <c r="Y245" s="1"/>
  <c r="W243"/>
  <c r="Y243" s="1"/>
  <c r="W249"/>
  <c r="Y249" s="1"/>
  <c r="AC249"/>
  <c r="J249"/>
  <c r="E249"/>
  <c r="AC248"/>
  <c r="W248"/>
  <c r="Y248" s="1"/>
  <c r="J248"/>
  <c r="W34" i="6"/>
  <c r="Y34" s="1"/>
  <c r="J34"/>
  <c r="AC60" i="4"/>
  <c r="W60"/>
  <c r="Y60" s="1"/>
  <c r="J60"/>
  <c r="AC44" i="8"/>
  <c r="W44"/>
  <c r="Y44" s="1"/>
  <c r="J44"/>
  <c r="E253" i="3"/>
  <c r="F225" i="11"/>
  <c r="H225" s="1"/>
  <c r="K15"/>
  <c r="K16"/>
  <c r="F24"/>
  <c r="H24" s="1"/>
  <c r="F28"/>
  <c r="H28" s="1"/>
  <c r="F46"/>
  <c r="H46" s="1"/>
  <c r="F50"/>
  <c r="H50" s="1"/>
  <c r="F62"/>
  <c r="H62" s="1"/>
  <c r="F67"/>
  <c r="F76"/>
  <c r="H76" s="1"/>
  <c r="K80"/>
  <c r="M80" s="1"/>
  <c r="M93" s="1"/>
  <c r="K81"/>
  <c r="M81" s="1"/>
  <c r="N81" s="1"/>
  <c r="K82"/>
  <c r="M82" s="1"/>
  <c r="N82" s="1"/>
  <c r="K83"/>
  <c r="M83" s="1"/>
  <c r="N83" s="1"/>
  <c r="M84"/>
  <c r="N84" s="1"/>
  <c r="F86"/>
  <c r="H86" s="1"/>
  <c r="M86"/>
  <c r="N86" s="1"/>
  <c r="K87"/>
  <c r="M87" s="1"/>
  <c r="N87" s="1"/>
  <c r="F142"/>
  <c r="K88" s="1"/>
  <c r="M88" s="1"/>
  <c r="N88" s="1"/>
  <c r="K90"/>
  <c r="M90" s="1"/>
  <c r="N90" s="1"/>
  <c r="M91"/>
  <c r="N91" s="1"/>
  <c r="M92"/>
  <c r="N92" s="1"/>
  <c r="F93"/>
  <c r="H93" s="1"/>
  <c r="K99"/>
  <c r="F100"/>
  <c r="K100"/>
  <c r="K101"/>
  <c r="F120"/>
  <c r="F132"/>
  <c r="H132" s="1"/>
  <c r="K136"/>
  <c r="F150"/>
  <c r="H150" s="1"/>
  <c r="K151"/>
  <c r="J164"/>
  <c r="J167"/>
  <c r="J171"/>
  <c r="J175"/>
  <c r="F176"/>
  <c r="H176" s="1"/>
  <c r="F182"/>
  <c r="H182" s="1"/>
  <c r="F194"/>
  <c r="H194" s="1"/>
  <c r="F200"/>
  <c r="H200" s="1"/>
  <c r="F208"/>
  <c r="H208" s="1"/>
  <c r="F216"/>
  <c r="H216" s="1"/>
  <c r="F2" i="17"/>
  <c r="J6"/>
  <c r="F2" i="16"/>
  <c r="J6"/>
  <c r="J7"/>
  <c r="W6" i="6"/>
  <c r="W7"/>
  <c r="W10"/>
  <c r="J23"/>
  <c r="J24"/>
  <c r="J26"/>
  <c r="Y26"/>
  <c r="J27"/>
  <c r="J28"/>
  <c r="J29"/>
  <c r="Y29"/>
  <c r="J30"/>
  <c r="Y30"/>
  <c r="J31"/>
  <c r="Y31"/>
  <c r="J32"/>
  <c r="Y32"/>
  <c r="J33"/>
  <c r="Y33"/>
  <c r="G2" i="4"/>
  <c r="AB5"/>
  <c r="AC14" s="1"/>
  <c r="W8"/>
  <c r="W9"/>
  <c r="X12"/>
  <c r="Y12"/>
  <c r="L14"/>
  <c r="X21"/>
  <c r="Y21"/>
  <c r="X23"/>
  <c r="Y23"/>
  <c r="J29"/>
  <c r="J30"/>
  <c r="J31"/>
  <c r="J32"/>
  <c r="AC36"/>
  <c r="J35"/>
  <c r="Y35"/>
  <c r="J36"/>
  <c r="Y36"/>
  <c r="E37"/>
  <c r="E38" s="1"/>
  <c r="E39" s="1"/>
  <c r="E40" s="1"/>
  <c r="E41" s="1"/>
  <c r="E42" s="1"/>
  <c r="E43" s="1"/>
  <c r="E44" s="1"/>
  <c r="E45" s="1"/>
  <c r="E46" s="1"/>
  <c r="E47" s="1"/>
  <c r="E48" s="1"/>
  <c r="J37"/>
  <c r="Y37"/>
  <c r="J38"/>
  <c r="Y38"/>
  <c r="J39"/>
  <c r="W39"/>
  <c r="Y39" s="1"/>
  <c r="J40"/>
  <c r="W40"/>
  <c r="Y40" s="1"/>
  <c r="J41"/>
  <c r="Y41"/>
  <c r="J42"/>
  <c r="Y42"/>
  <c r="J43"/>
  <c r="Y43"/>
  <c r="J44"/>
  <c r="Y44"/>
  <c r="J45"/>
  <c r="Y45"/>
  <c r="AC45"/>
  <c r="J46"/>
  <c r="X46"/>
  <c r="Y46" s="1"/>
  <c r="AC46"/>
  <c r="J47"/>
  <c r="Y47"/>
  <c r="AC47"/>
  <c r="J48"/>
  <c r="Y48"/>
  <c r="AC48"/>
  <c r="J49"/>
  <c r="Y49"/>
  <c r="AC49"/>
  <c r="E50"/>
  <c r="E51" s="1"/>
  <c r="E52" s="1"/>
  <c r="E53" s="1"/>
  <c r="J50"/>
  <c r="Y50"/>
  <c r="J51"/>
  <c r="Y51"/>
  <c r="J52"/>
  <c r="Y52"/>
  <c r="J53"/>
  <c r="W53"/>
  <c r="Y53" s="1"/>
  <c r="J54"/>
  <c r="W54"/>
  <c r="X54"/>
  <c r="AC54"/>
  <c r="J57"/>
  <c r="W57"/>
  <c r="Y57" s="1"/>
  <c r="W58"/>
  <c r="Y58" s="1"/>
  <c r="W59"/>
  <c r="AC57"/>
  <c r="J58"/>
  <c r="AC58"/>
  <c r="J59"/>
  <c r="AC59"/>
  <c r="AB3" i="8"/>
  <c r="AC16" s="1"/>
  <c r="W5"/>
  <c r="W6"/>
  <c r="W8"/>
  <c r="X14"/>
  <c r="Y14" s="1"/>
  <c r="J23"/>
  <c r="J24"/>
  <c r="J25"/>
  <c r="J26"/>
  <c r="J27"/>
  <c r="AC30"/>
  <c r="J30"/>
  <c r="J31"/>
  <c r="J32"/>
  <c r="AC32"/>
  <c r="J33"/>
  <c r="AC33"/>
  <c r="J34"/>
  <c r="Y34"/>
  <c r="AC34"/>
  <c r="J35"/>
  <c r="Y35"/>
  <c r="AC35"/>
  <c r="J36"/>
  <c r="Y36"/>
  <c r="AC36"/>
  <c r="J37"/>
  <c r="Y37"/>
  <c r="AC37"/>
  <c r="J38"/>
  <c r="Y38"/>
  <c r="AC38"/>
  <c r="J39"/>
  <c r="W39"/>
  <c r="Y39" s="1"/>
  <c r="AC39"/>
  <c r="J40"/>
  <c r="Y40"/>
  <c r="AC40"/>
  <c r="J41"/>
  <c r="Y41"/>
  <c r="AC41"/>
  <c r="J42"/>
  <c r="Y42"/>
  <c r="AC42"/>
  <c r="J43"/>
  <c r="W43"/>
  <c r="Y43" s="1"/>
  <c r="AC43"/>
  <c r="G1" i="3"/>
  <c r="AB4"/>
  <c r="B6"/>
  <c r="B7"/>
  <c r="E7"/>
  <c r="B8"/>
  <c r="B9"/>
  <c r="X9"/>
  <c r="Y9"/>
  <c r="Y13" s="1"/>
  <c r="Y12"/>
  <c r="B13"/>
  <c r="X13"/>
  <c r="B14"/>
  <c r="W14"/>
  <c r="W16"/>
  <c r="B15"/>
  <c r="AC16"/>
  <c r="B17"/>
  <c r="B18"/>
  <c r="B20"/>
  <c r="B22"/>
  <c r="B23"/>
  <c r="B24"/>
  <c r="B25"/>
  <c r="B26"/>
  <c r="B29"/>
  <c r="B30"/>
  <c r="B31"/>
  <c r="B32"/>
  <c r="B33"/>
  <c r="B34"/>
  <c r="B35"/>
  <c r="B36"/>
  <c r="O37"/>
  <c r="B37" s="1"/>
  <c r="L37"/>
  <c r="AG37" s="1"/>
  <c r="AH37" s="1"/>
  <c r="B38"/>
  <c r="B39"/>
  <c r="W39"/>
  <c r="Y40" s="1"/>
  <c r="B40"/>
  <c r="B41"/>
  <c r="B42"/>
  <c r="B43"/>
  <c r="B44"/>
  <c r="B45"/>
  <c r="L45"/>
  <c r="AG45" s="1"/>
  <c r="AH45" s="1"/>
  <c r="B46"/>
  <c r="L46"/>
  <c r="AG46" s="1"/>
  <c r="AH46" s="1"/>
  <c r="B47"/>
  <c r="B48"/>
  <c r="B49"/>
  <c r="B50"/>
  <c r="B51"/>
  <c r="B52"/>
  <c r="B53"/>
  <c r="B54"/>
  <c r="L55"/>
  <c r="AG55" s="1"/>
  <c r="AH55" s="1"/>
  <c r="Y55"/>
  <c r="Z55" s="1"/>
  <c r="B56"/>
  <c r="B57"/>
  <c r="X58"/>
  <c r="Y58" s="1"/>
  <c r="Z58" s="1"/>
  <c r="B59"/>
  <c r="B60"/>
  <c r="B62"/>
  <c r="B63"/>
  <c r="B64"/>
  <c r="J68"/>
  <c r="J69"/>
  <c r="J70"/>
  <c r="B71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7"/>
  <c r="J98"/>
  <c r="J99"/>
  <c r="J100"/>
  <c r="J101"/>
  <c r="J102"/>
  <c r="J103"/>
  <c r="J104"/>
  <c r="J105"/>
  <c r="J106"/>
  <c r="J107"/>
  <c r="J108"/>
  <c r="J109"/>
  <c r="J110"/>
  <c r="J111"/>
  <c r="Y111"/>
  <c r="J112"/>
  <c r="Y112"/>
  <c r="J113"/>
  <c r="W113"/>
  <c r="J114"/>
  <c r="W114"/>
  <c r="W115"/>
  <c r="W116"/>
  <c r="J117"/>
  <c r="W117"/>
  <c r="J118"/>
  <c r="W118"/>
  <c r="J119"/>
  <c r="J120"/>
  <c r="J121"/>
  <c r="J122"/>
  <c r="J123"/>
  <c r="W123"/>
  <c r="Y123" s="1"/>
  <c r="J124"/>
  <c r="W124"/>
  <c r="Y124" s="1"/>
  <c r="J125"/>
  <c r="J126"/>
  <c r="J127"/>
  <c r="J128"/>
  <c r="J129"/>
  <c r="J130"/>
  <c r="J131"/>
  <c r="E132"/>
  <c r="J132"/>
  <c r="J133"/>
  <c r="E134"/>
  <c r="J134"/>
  <c r="J135"/>
  <c r="E136"/>
  <c r="J136"/>
  <c r="J137"/>
  <c r="E138"/>
  <c r="E139" s="1"/>
  <c r="J138"/>
  <c r="J139"/>
  <c r="J140"/>
  <c r="J141"/>
  <c r="J142"/>
  <c r="J143"/>
  <c r="J144"/>
  <c r="J145"/>
  <c r="J146"/>
  <c r="J147"/>
  <c r="J148"/>
  <c r="E149"/>
  <c r="J149"/>
  <c r="J150"/>
  <c r="E151"/>
  <c r="J151"/>
  <c r="J152"/>
  <c r="AC152"/>
  <c r="E153"/>
  <c r="J153"/>
  <c r="AC153"/>
  <c r="J154"/>
  <c r="AC154"/>
  <c r="E155"/>
  <c r="J155"/>
  <c r="AC155"/>
  <c r="J156"/>
  <c r="E157"/>
  <c r="J157"/>
  <c r="E160"/>
  <c r="J161"/>
  <c r="E162"/>
  <c r="J162"/>
  <c r="J163"/>
  <c r="E164"/>
  <c r="J164"/>
  <c r="J165"/>
  <c r="E166"/>
  <c r="J166"/>
  <c r="J167"/>
  <c r="AC167"/>
  <c r="J168"/>
  <c r="AC168"/>
  <c r="E169"/>
  <c r="J169"/>
  <c r="AC169"/>
  <c r="J170"/>
  <c r="E171"/>
  <c r="J171"/>
  <c r="J172"/>
  <c r="AC172"/>
  <c r="E173"/>
  <c r="J173"/>
  <c r="AC173"/>
  <c r="J174"/>
  <c r="AC174"/>
  <c r="E175"/>
  <c r="J175"/>
  <c r="AC175"/>
  <c r="J176"/>
  <c r="AC176"/>
  <c r="E177"/>
  <c r="J177"/>
  <c r="AC177"/>
  <c r="J178"/>
  <c r="X178"/>
  <c r="X179" s="1"/>
  <c r="Y179" s="1"/>
  <c r="AC178"/>
  <c r="E179"/>
  <c r="J179"/>
  <c r="AC179"/>
  <c r="J180"/>
  <c r="E181"/>
  <c r="J181"/>
  <c r="J182"/>
  <c r="E183"/>
  <c r="J183"/>
  <c r="J184"/>
  <c r="E185"/>
  <c r="J185"/>
  <c r="J186"/>
  <c r="J187"/>
  <c r="E188"/>
  <c r="J188"/>
  <c r="J189"/>
  <c r="E190"/>
  <c r="J190"/>
  <c r="J191"/>
  <c r="E192"/>
  <c r="J192"/>
  <c r="J193"/>
  <c r="E194"/>
  <c r="J194"/>
  <c r="J195"/>
  <c r="J196"/>
  <c r="E197"/>
  <c r="J197"/>
  <c r="J198"/>
  <c r="E199"/>
  <c r="J199"/>
  <c r="J200"/>
  <c r="E201"/>
  <c r="J201"/>
  <c r="J202"/>
  <c r="X202"/>
  <c r="Y202" s="1"/>
  <c r="E203"/>
  <c r="J203"/>
  <c r="J204"/>
  <c r="E205"/>
  <c r="J205"/>
  <c r="J206"/>
  <c r="E207"/>
  <c r="J207"/>
  <c r="J208"/>
  <c r="E209"/>
  <c r="J209"/>
  <c r="J210"/>
  <c r="E211"/>
  <c r="J211"/>
  <c r="J212"/>
  <c r="E213"/>
  <c r="J213"/>
  <c r="J214"/>
  <c r="E215"/>
  <c r="J215"/>
  <c r="J216"/>
  <c r="E217"/>
  <c r="J217"/>
  <c r="J218"/>
  <c r="E219"/>
  <c r="J219"/>
  <c r="J220"/>
  <c r="W220"/>
  <c r="Y220" s="1"/>
  <c r="E221"/>
  <c r="J221"/>
  <c r="W221"/>
  <c r="Y221" s="1"/>
  <c r="J222"/>
  <c r="E223"/>
  <c r="J223"/>
  <c r="J224"/>
  <c r="E225"/>
  <c r="J225"/>
  <c r="J226"/>
  <c r="E227"/>
  <c r="J227"/>
  <c r="J228"/>
  <c r="Y228"/>
  <c r="AC228"/>
  <c r="E229"/>
  <c r="J229"/>
  <c r="Y229"/>
  <c r="AC229"/>
  <c r="J230"/>
  <c r="Y230"/>
  <c r="AC230"/>
  <c r="E231"/>
  <c r="J231"/>
  <c r="Y231"/>
  <c r="AC231"/>
  <c r="J232"/>
  <c r="X232"/>
  <c r="X233" s="1"/>
  <c r="Y233" s="1"/>
  <c r="AC232"/>
  <c r="E233"/>
  <c r="J233"/>
  <c r="AC233"/>
  <c r="J234"/>
  <c r="Y234"/>
  <c r="AC234"/>
  <c r="E235"/>
  <c r="J235"/>
  <c r="Y235"/>
  <c r="AC235"/>
  <c r="J236"/>
  <c r="W236"/>
  <c r="AC236"/>
  <c r="J237"/>
  <c r="W237"/>
  <c r="AC237"/>
  <c r="J240"/>
  <c r="X240"/>
  <c r="Y240" s="1"/>
  <c r="AC240"/>
  <c r="E241"/>
  <c r="J241"/>
  <c r="X241"/>
  <c r="Y241" s="1"/>
  <c r="AC241"/>
  <c r="J242"/>
  <c r="W242"/>
  <c r="Y242" s="1"/>
  <c r="AC242"/>
  <c r="E243"/>
  <c r="J243"/>
  <c r="AC243"/>
  <c r="J244"/>
  <c r="AC244"/>
  <c r="E245"/>
  <c r="J245"/>
  <c r="AC245"/>
  <c r="J246"/>
  <c r="AC246"/>
  <c r="E247"/>
  <c r="J247"/>
  <c r="W247"/>
  <c r="Y247" s="1"/>
  <c r="AC247"/>
  <c r="AC23" i="8"/>
  <c r="AC17" i="3"/>
  <c r="Y40" i="7"/>
  <c r="AC119" i="3"/>
  <c r="AC10"/>
  <c r="AC190"/>
  <c r="AC145"/>
  <c r="AC114"/>
  <c r="AC85" l="1"/>
  <c r="AF6"/>
  <c r="AF9"/>
  <c r="AF11"/>
  <c r="AF14"/>
  <c r="AF17"/>
  <c r="AF19"/>
  <c r="AF22"/>
  <c r="AF25"/>
  <c r="AF27"/>
  <c r="AF30"/>
  <c r="AF33"/>
  <c r="AF35"/>
  <c r="AF38"/>
  <c r="AF41"/>
  <c r="AF43"/>
  <c r="AF46"/>
  <c r="AF49"/>
  <c r="AF51"/>
  <c r="AF54"/>
  <c r="AF57"/>
  <c r="AF59"/>
  <c r="AF92"/>
  <c r="AF97"/>
  <c r="AF102"/>
  <c r="AF105"/>
  <c r="AF110"/>
  <c r="AF113"/>
  <c r="AF118"/>
  <c r="AF121"/>
  <c r="AF126"/>
  <c r="AF129"/>
  <c r="AF134"/>
  <c r="AF138"/>
  <c r="AF159"/>
  <c r="AF162"/>
  <c r="AF164"/>
  <c r="AF171"/>
  <c r="AF173"/>
  <c r="AF178"/>
  <c r="AF180"/>
  <c r="AF187"/>
  <c r="AF189"/>
  <c r="AF215"/>
  <c r="AF217"/>
  <c r="AF190"/>
  <c r="AF12"/>
  <c r="AF20"/>
  <c r="AF28"/>
  <c r="AF36"/>
  <c r="AF44"/>
  <c r="AF52"/>
  <c r="AF62"/>
  <c r="AF64"/>
  <c r="AF93"/>
  <c r="AF100"/>
  <c r="AF103"/>
  <c r="AF108"/>
  <c r="AF111"/>
  <c r="AF116"/>
  <c r="AF119"/>
  <c r="AF124"/>
  <c r="AF127"/>
  <c r="AF132"/>
  <c r="AF135"/>
  <c r="AF157"/>
  <c r="AF160"/>
  <c r="AF167"/>
  <c r="AF169"/>
  <c r="AF174"/>
  <c r="AF176"/>
  <c r="AF183"/>
  <c r="AF185"/>
  <c r="AF213"/>
  <c r="AF220"/>
  <c r="AF7"/>
  <c r="AF10"/>
  <c r="AF13"/>
  <c r="AF15"/>
  <c r="AF18"/>
  <c r="AF21"/>
  <c r="AF23"/>
  <c r="AF26"/>
  <c r="AF29"/>
  <c r="AF31"/>
  <c r="AF34"/>
  <c r="AF37"/>
  <c r="AF39"/>
  <c r="AF42"/>
  <c r="AF45"/>
  <c r="AF47"/>
  <c r="AF50"/>
  <c r="AF53"/>
  <c r="AF55"/>
  <c r="AF58"/>
  <c r="AF60"/>
  <c r="AF98"/>
  <c r="AF101"/>
  <c r="AF106"/>
  <c r="AF109"/>
  <c r="AF114"/>
  <c r="AF117"/>
  <c r="AF122"/>
  <c r="AF125"/>
  <c r="AF130"/>
  <c r="AF133"/>
  <c r="AF139"/>
  <c r="AF158"/>
  <c r="AF163"/>
  <c r="AF165"/>
  <c r="AF170"/>
  <c r="AF172"/>
  <c r="AF179"/>
  <c r="AF181"/>
  <c r="AF186"/>
  <c r="AF188"/>
  <c r="AF216"/>
  <c r="AF218"/>
  <c r="AF219"/>
  <c r="AF221"/>
  <c r="AF8"/>
  <c r="AF16"/>
  <c r="AF24"/>
  <c r="AF32"/>
  <c r="AF40"/>
  <c r="AF48"/>
  <c r="AF56"/>
  <c r="AF61"/>
  <c r="AF63"/>
  <c r="AF94"/>
  <c r="AF99"/>
  <c r="AF104"/>
  <c r="AF107"/>
  <c r="AF112"/>
  <c r="AF115"/>
  <c r="AF120"/>
  <c r="AF123"/>
  <c r="AF128"/>
  <c r="AF131"/>
  <c r="AF136"/>
  <c r="AF156"/>
  <c r="AF161"/>
  <c r="AF166"/>
  <c r="AF168"/>
  <c r="AF175"/>
  <c r="AF177"/>
  <c r="AF182"/>
  <c r="AF184"/>
  <c r="AF212"/>
  <c r="AF214"/>
  <c r="AC133"/>
  <c r="AC222"/>
  <c r="AC165"/>
  <c r="AC211"/>
  <c r="AC209"/>
  <c r="AC197"/>
  <c r="AC195"/>
  <c r="AC107"/>
  <c r="AC30"/>
  <c r="AC181"/>
  <c r="AC92"/>
  <c r="AC206"/>
  <c r="AC73"/>
  <c r="AC33"/>
  <c r="AC146"/>
  <c r="AC193"/>
  <c r="AC11"/>
  <c r="AC199"/>
  <c r="AC21"/>
  <c r="AC129"/>
  <c r="AC225"/>
  <c r="AC81"/>
  <c r="AC40"/>
  <c r="AC86"/>
  <c r="AC99"/>
  <c r="AC11" i="8"/>
  <c r="AC17"/>
  <c r="AC19"/>
  <c r="AC14"/>
  <c r="AC26" i="3"/>
  <c r="AC51"/>
  <c r="AC79"/>
  <c r="AC132"/>
  <c r="AC157"/>
  <c r="AC198"/>
  <c r="AC216"/>
  <c r="AC49"/>
  <c r="AC83"/>
  <c r="AC120"/>
  <c r="AC158"/>
  <c r="AC171"/>
  <c r="AC194"/>
  <c r="AC37"/>
  <c r="AC52"/>
  <c r="AC69"/>
  <c r="AC159"/>
  <c r="AC103"/>
  <c r="AC72"/>
  <c r="AC70"/>
  <c r="AC60"/>
  <c r="AC57"/>
  <c r="Y178"/>
  <c r="AC42"/>
  <c r="AC71"/>
  <c r="AC123"/>
  <c r="AC141"/>
  <c r="AC164"/>
  <c r="AC212"/>
  <c r="AC24"/>
  <c r="AC43"/>
  <c r="AC59"/>
  <c r="AC130"/>
  <c r="AC162"/>
  <c r="AC207"/>
  <c r="AC31"/>
  <c r="AC58"/>
  <c r="X203"/>
  <c r="Y203" s="1"/>
  <c r="AC126"/>
  <c r="AC93"/>
  <c r="AC11" i="4"/>
  <c r="AC15"/>
  <c r="N80" i="11"/>
  <c r="N93" s="1"/>
  <c r="AC8" i="8"/>
  <c r="AC6"/>
  <c r="AC10"/>
  <c r="AC15"/>
  <c r="AC220" i="3"/>
  <c r="AC208"/>
  <c r="AC203"/>
  <c r="AC148"/>
  <c r="AC139"/>
  <c r="AC134"/>
  <c r="AC124"/>
  <c r="AC105"/>
  <c r="AC97"/>
  <c r="AC32"/>
  <c r="AC29"/>
  <c r="AC18"/>
  <c r="AC186"/>
  <c r="AC180"/>
  <c r="AC161"/>
  <c r="AC143"/>
  <c r="AC140"/>
  <c r="AC128"/>
  <c r="AC111"/>
  <c r="AC109"/>
  <c r="AC101"/>
  <c r="AC91"/>
  <c r="Y29"/>
  <c r="Y30" s="1"/>
  <c r="AC18" i="8"/>
  <c r="AC5"/>
  <c r="AC7"/>
  <c r="AC13"/>
  <c r="AC12"/>
  <c r="K318" i="11"/>
  <c r="AC462" i="3"/>
  <c r="AC461"/>
  <c r="H313" i="11"/>
  <c r="AC31" i="8"/>
  <c r="K306" i="11"/>
  <c r="K62"/>
  <c r="K103"/>
  <c r="K76"/>
  <c r="K935"/>
  <c r="M937" s="1"/>
  <c r="M942" s="1"/>
  <c r="AC25" i="4"/>
  <c r="AC17"/>
  <c r="AC52"/>
  <c r="AC7"/>
  <c r="AC41"/>
  <c r="AC50"/>
  <c r="AC24"/>
  <c r="AC23"/>
  <c r="AC9"/>
  <c r="AC22"/>
  <c r="AC8"/>
  <c r="AC20"/>
  <c r="AC16"/>
  <c r="AC38"/>
  <c r="AC12"/>
  <c r="AC42"/>
  <c r="AC39"/>
  <c r="AC10"/>
  <c r="AC44"/>
  <c r="AC21"/>
  <c r="AC18"/>
  <c r="AC13"/>
  <c r="X13" i="6"/>
  <c r="Y13" s="1"/>
  <c r="K372" i="11"/>
  <c r="K407"/>
  <c r="K901"/>
  <c r="K85"/>
  <c r="M85" s="1"/>
  <c r="N85" s="1"/>
  <c r="AC19" i="4"/>
  <c r="AC22" i="3"/>
  <c r="Y232"/>
  <c r="Y7" i="19"/>
  <c r="Y238" i="3"/>
  <c r="K357" i="11"/>
  <c r="H142"/>
  <c r="AC40" i="4"/>
  <c r="AC51"/>
  <c r="AC37"/>
  <c r="AC53"/>
  <c r="J234" i="11"/>
  <c r="K236" s="1"/>
  <c r="AC35" i="4"/>
  <c r="AC43"/>
  <c r="K387" i="11"/>
  <c r="K395" s="1"/>
  <c r="K399" s="1"/>
  <c r="Y237" i="3"/>
  <c r="AC39"/>
  <c r="AC77"/>
  <c r="AC116"/>
  <c r="AC137"/>
  <c r="AC151"/>
  <c r="AC192"/>
  <c r="AC205"/>
  <c r="AC215"/>
  <c r="AC19"/>
  <c r="AC46"/>
  <c r="AC54"/>
  <c r="AC63"/>
  <c r="AC90"/>
  <c r="AC113"/>
  <c r="AC122"/>
  <c r="AC142"/>
  <c r="AC189"/>
  <c r="AC201"/>
  <c r="AC214"/>
  <c r="AC224"/>
  <c r="AC13"/>
  <c r="AC20"/>
  <c r="AC35"/>
  <c r="AC48"/>
  <c r="AC56"/>
  <c r="AC61"/>
  <c r="AC84"/>
  <c r="AC227"/>
  <c r="AC221"/>
  <c r="AC219"/>
  <c r="AC218"/>
  <c r="AC210"/>
  <c r="AC202"/>
  <c r="AC196"/>
  <c r="AC187"/>
  <c r="AC185"/>
  <c r="AC184"/>
  <c r="AC160"/>
  <c r="AC156"/>
  <c r="AC147"/>
  <c r="AC144"/>
  <c r="AC138"/>
  <c r="AC135"/>
  <c r="AC110"/>
  <c r="AC108"/>
  <c r="AC106"/>
  <c r="AC104"/>
  <c r="AC102"/>
  <c r="AC100"/>
  <c r="AC98"/>
  <c r="AC94"/>
  <c r="AC89"/>
  <c r="AC76"/>
  <c r="AC62"/>
  <c r="AC41"/>
  <c r="AC23"/>
  <c r="AC55"/>
  <c r="AC75"/>
  <c r="AC115"/>
  <c r="AC136"/>
  <c r="AC150"/>
  <c r="AC182"/>
  <c r="AC191"/>
  <c r="AC204"/>
  <c r="AC223"/>
  <c r="AC15"/>
  <c r="AC28"/>
  <c r="AC36"/>
  <c r="AC45"/>
  <c r="AC88"/>
  <c r="AC112"/>
  <c r="AC121"/>
  <c r="AC131"/>
  <c r="AC163"/>
  <c r="AC188"/>
  <c r="AC200"/>
  <c r="AC213"/>
  <c r="AC12"/>
  <c r="AC25"/>
  <c r="AC44"/>
  <c r="AC82"/>
  <c r="Y236"/>
  <c r="AC226"/>
  <c r="AC217"/>
  <c r="AC183"/>
  <c r="AC170"/>
  <c r="AC166"/>
  <c r="AC149"/>
  <c r="AC127"/>
  <c r="AC125"/>
  <c r="AC80"/>
  <c r="AC50"/>
  <c r="AC14"/>
  <c r="Y118"/>
  <c r="Y214"/>
  <c r="Y219"/>
  <c r="Y172"/>
  <c r="Y226"/>
  <c r="X30"/>
  <c r="AC74"/>
  <c r="AC53"/>
  <c r="X41"/>
  <c r="Y41" s="1"/>
  <c r="Z41" s="1"/>
  <c r="AC7"/>
  <c r="AC6"/>
  <c r="AC9"/>
  <c r="AC8"/>
  <c r="Y239"/>
  <c r="Y225"/>
  <c r="Y218"/>
  <c r="Y212"/>
  <c r="Y227"/>
  <c r="Y222"/>
  <c r="Y215"/>
  <c r="Y207"/>
  <c r="Y224"/>
  <c r="Y216"/>
  <c r="Y211"/>
  <c r="Y210"/>
  <c r="Y208"/>
  <c r="Y206"/>
  <c r="Y190"/>
  <c r="Y223"/>
  <c r="Y217"/>
  <c r="Y213"/>
  <c r="Y209"/>
  <c r="Y198"/>
  <c r="Y205"/>
  <c r="Y195"/>
  <c r="Y186"/>
  <c r="Y168"/>
  <c r="Y141"/>
  <c r="Y199"/>
  <c r="Y191"/>
  <c r="Y176"/>
  <c r="Y160"/>
  <c r="Y204"/>
  <c r="Y194"/>
  <c r="Y182"/>
  <c r="Y164"/>
  <c r="Y155"/>
  <c r="Y154"/>
  <c r="Y143"/>
  <c r="Y158"/>
  <c r="Y146"/>
  <c r="Y135"/>
  <c r="Y150"/>
  <c r="Y113"/>
  <c r="Y109"/>
  <c r="Y119"/>
  <c r="Y201"/>
  <c r="Y197"/>
  <c r="Y193"/>
  <c r="Y189"/>
  <c r="Y185"/>
  <c r="Y181"/>
  <c r="Y175"/>
  <c r="Y171"/>
  <c r="Y167"/>
  <c r="Y162"/>
  <c r="Y161"/>
  <c r="Y156"/>
  <c r="Y151"/>
  <c r="Y144"/>
  <c r="Y130"/>
  <c r="Y121"/>
  <c r="Y116"/>
  <c r="Y114"/>
  <c r="Y101"/>
  <c r="Y187"/>
  <c r="Y183"/>
  <c r="Y177"/>
  <c r="Y173"/>
  <c r="Y169"/>
  <c r="Y165"/>
  <c r="Y163"/>
  <c r="Y159"/>
  <c r="Y153"/>
  <c r="Y152"/>
  <c r="Y149"/>
  <c r="Y148"/>
  <c r="Y140"/>
  <c r="Y139"/>
  <c r="Y138"/>
  <c r="Y137"/>
  <c r="Y134"/>
  <c r="Y133"/>
  <c r="Y131"/>
  <c r="Y126"/>
  <c r="Y200"/>
  <c r="Y196"/>
  <c r="Y192"/>
  <c r="Y188"/>
  <c r="Y184"/>
  <c r="Y180"/>
  <c r="Y174"/>
  <c r="Y170"/>
  <c r="Y166"/>
  <c r="Y157"/>
  <c r="Y147"/>
  <c r="Y145"/>
  <c r="Y142"/>
  <c r="Y136"/>
  <c r="Y125"/>
  <c r="Y104"/>
  <c r="Y132"/>
  <c r="Y128"/>
  <c r="Y117"/>
  <c r="Y115"/>
  <c r="Y108"/>
  <c r="Y100"/>
  <c r="Y129"/>
  <c r="Y127"/>
  <c r="Y122"/>
  <c r="Y120"/>
  <c r="Y105"/>
  <c r="Y97"/>
  <c r="Y107"/>
  <c r="Y103"/>
  <c r="Y99"/>
  <c r="Y110"/>
  <c r="Y106"/>
  <c r="Y102"/>
  <c r="AC10" i="7"/>
  <c r="AC24"/>
  <c r="AC8" i="19"/>
  <c r="AC22"/>
  <c r="AC39" i="7"/>
  <c r="AC27"/>
  <c r="AC28"/>
  <c r="AC20"/>
  <c r="AC15"/>
  <c r="AC26"/>
  <c r="AC25"/>
  <c r="AC19"/>
  <c r="AC7" i="19"/>
  <c r="AC13" i="7"/>
  <c r="AC22"/>
  <c r="AC35"/>
  <c r="AC23"/>
  <c r="AC36"/>
  <c r="AC17"/>
  <c r="AC14"/>
  <c r="AC40"/>
  <c r="AC34"/>
  <c r="AC8"/>
  <c r="AC21"/>
  <c r="AC29"/>
  <c r="AC37"/>
  <c r="AC33"/>
  <c r="AC9"/>
  <c r="AC11"/>
  <c r="AC7"/>
  <c r="AC38"/>
  <c r="AC12"/>
  <c r="AC16"/>
  <c r="AC18"/>
  <c r="AC30"/>
  <c r="Y54" i="4"/>
  <c r="X56"/>
  <c r="Y56" s="1"/>
  <c r="X9"/>
  <c r="Y9"/>
  <c r="H67" i="11"/>
  <c r="K67"/>
  <c r="W55" i="4"/>
  <c r="Y55" s="1"/>
  <c r="AC27" i="8"/>
  <c r="AC25"/>
  <c r="AC26"/>
  <c r="AC24"/>
  <c r="Y59" i="4"/>
  <c r="Y46" i="8"/>
  <c r="Y38" i="7"/>
  <c r="Y37"/>
  <c r="Y39"/>
  <c r="Y35"/>
  <c r="Y33"/>
  <c r="G284" i="11"/>
  <c r="H284"/>
  <c r="M384"/>
  <c r="X10" i="8"/>
  <c r="Y10" s="1"/>
  <c r="M802" i="11"/>
  <c r="M881" s="1"/>
  <c r="M887" s="1"/>
  <c r="AC118" i="3"/>
  <c r="AC117"/>
  <c r="AC87"/>
  <c r="AC78"/>
  <c r="AC68"/>
  <c r="AC64"/>
  <c r="AC47"/>
  <c r="AC38"/>
  <c r="AC34"/>
  <c r="AC27"/>
  <c r="AC9" i="8"/>
  <c r="G340" i="11"/>
  <c r="Z29" i="3" l="1"/>
  <c r="O1341" i="11"/>
  <c r="O1343" s="1"/>
  <c r="O1375"/>
  <c r="O1299"/>
  <c r="M903"/>
  <c r="M908" s="1"/>
  <c r="M913" s="1"/>
  <c r="O1258"/>
  <c r="P1252" s="1"/>
  <c r="O1138"/>
  <c r="P1136" s="1"/>
  <c r="O1159"/>
  <c r="O1169"/>
  <c r="M357"/>
  <c r="Z30" i="3"/>
  <c r="AC32" i="4"/>
  <c r="AC31"/>
  <c r="AC30"/>
  <c r="AC29"/>
  <c r="P1335" i="11" l="1"/>
  <c r="O1342"/>
  <c r="O1377"/>
  <c r="O1376"/>
  <c r="P1369"/>
  <c r="O1300"/>
  <c r="O1301"/>
  <c r="P1293"/>
  <c r="O1260"/>
  <c r="O1259"/>
  <c r="O1161"/>
  <c r="O1160"/>
  <c r="P1151"/>
  <c r="N357"/>
  <c r="M372"/>
  <c r="M387" s="1"/>
  <c r="M395" s="1"/>
  <c r="M399" s="1"/>
  <c r="M407" s="1"/>
</calcChain>
</file>

<file path=xl/comments1.xml><?xml version="1.0" encoding="utf-8"?>
<comments xmlns="http://schemas.openxmlformats.org/spreadsheetml/2006/main">
  <authors>
    <author>CLAMC</author>
  </authors>
  <commentList>
    <comment ref="N11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incl. index, pr =116.68, index ratio=1.10893</t>
        </r>
      </text>
    </comment>
    <comment ref="N14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inc. index, pr = 116.013, index ratio = 1.08853</t>
        </r>
      </text>
    </comment>
    <comment ref="N15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incl. index, pr = 117.093, index ratio =1.07133</t>
        </r>
      </text>
    </comment>
  </commentList>
</comments>
</file>

<file path=xl/comments2.xml><?xml version="1.0" encoding="utf-8"?>
<comments xmlns="http://schemas.openxmlformats.org/spreadsheetml/2006/main">
  <authors>
    <author>CLAMC</author>
  </authors>
  <commentList>
    <comment ref="G58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issue size = US$ 2 mio only !</t>
        </r>
      </text>
    </comment>
    <comment ref="O137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T+270, T=3.21</t>
        </r>
      </text>
    </comment>
    <comment ref="W150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US$ payment amt</t>
        </r>
      </text>
    </comment>
    <comment ref="W151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US$ payment amt</t>
        </r>
      </text>
    </comment>
    <comment ref="E152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reallocated from 12548</t>
        </r>
      </text>
    </comment>
    <comment ref="L153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re-allocate fm Macau class G total 3 mio </t>
        </r>
      </text>
    </comment>
    <comment ref="W156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total incl subfund I and 12229</t>
        </r>
      </text>
    </comment>
    <comment ref="L157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50K as transferred into 1229 as "supervised" postion shown on CR</t>
        </r>
      </text>
    </comment>
    <comment ref="W165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US$ payment amt exch rate = 6.5886</t>
        </r>
      </text>
    </comment>
    <comment ref="W166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US$ payment amt</t>
        </r>
      </text>
    </comment>
    <comment ref="W220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USD/HKD = 7.7882 AT Sep01</t>
        </r>
      </text>
    </comment>
    <comment ref="W244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USD/HKD = 7.7882 AT Sep01</t>
        </r>
      </text>
    </comment>
    <comment ref="W246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USD/HKD = 7.7882 AT Sep01</t>
        </r>
      </text>
    </comment>
    <comment ref="W248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USD/HKD = 7.7882 AT Sep01</t>
        </r>
      </text>
    </comment>
    <comment ref="W250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USD/HKD = 7.7882 AT Sep01</t>
        </r>
      </text>
    </comment>
    <comment ref="W461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US$ payment amt exch rate = 6.5886</t>
        </r>
      </text>
    </comment>
    <comment ref="W462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US$ payment amt</t>
        </r>
      </text>
    </comment>
    <comment ref="W566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USD/HKD = 7.7882 AT Sep01</t>
        </r>
      </text>
    </comment>
    <comment ref="W567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USD/HKD = 7.7882 AT Sep01</t>
        </r>
      </text>
    </comment>
  </commentList>
</comments>
</file>

<file path=xl/comments3.xml><?xml version="1.0" encoding="utf-8"?>
<comments xmlns="http://schemas.openxmlformats.org/spreadsheetml/2006/main">
  <authors>
    <author>CLAMC</author>
  </authors>
  <commentList>
    <comment ref="G24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issue size = US$ 2 mio only !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issue size 300 mio only !</t>
        </r>
      </text>
    </comment>
    <comment ref="W53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USD/HKD = 7.7882 AT Sep01</t>
        </r>
      </text>
    </comment>
  </commentList>
</comments>
</file>

<file path=xl/comments4.xml><?xml version="1.0" encoding="utf-8"?>
<comments xmlns="http://schemas.openxmlformats.org/spreadsheetml/2006/main">
  <authors>
    <author>CLAMC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issue size = US$ 200 mio only !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issue size 300 mio only !</t>
        </r>
      </text>
    </comment>
    <comment ref="L26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transfer out to other Macau fund not managed by us as of Nov 2010</t>
        </r>
      </text>
    </comment>
    <comment ref="L28" authorId="0">
      <text>
        <r>
          <rPr>
            <b/>
            <sz val="8"/>
            <color indexed="81"/>
            <rFont val="Tahoma"/>
            <family val="2"/>
          </rPr>
          <t>CLAMC:</t>
        </r>
        <r>
          <rPr>
            <sz val="8"/>
            <color indexed="81"/>
            <rFont val="Tahoma"/>
            <family val="2"/>
          </rPr>
          <t xml:space="preserve">
3mio re-allocate to hk class A</t>
        </r>
      </text>
    </comment>
  </commentList>
</comments>
</file>

<file path=xl/sharedStrings.xml><?xml version="1.0" encoding="utf-8"?>
<sst xmlns="http://schemas.openxmlformats.org/spreadsheetml/2006/main" count="14661" uniqueCount="1557">
  <si>
    <r>
      <t>H</t>
    </r>
    <r>
      <rPr>
        <sz val="10"/>
        <rFont val="Arial"/>
        <family val="2"/>
      </rPr>
      <t>K0000096856</t>
    </r>
    <phoneticPr fontId="4" type="noConversion"/>
  </si>
  <si>
    <t>HK0000096856</t>
  </si>
  <si>
    <t>HK0000091832</t>
    <phoneticPr fontId="4" type="noConversion"/>
  </si>
  <si>
    <t>HK0000091832</t>
    <phoneticPr fontId="4" type="noConversion"/>
  </si>
  <si>
    <t>remark</t>
    <phoneticPr fontId="4" type="noConversion"/>
  </si>
  <si>
    <t>Transferred in securities</t>
    <phoneticPr fontId="4" type="noConversion"/>
  </si>
  <si>
    <t>China Power New Energy Dev 6.5% 09 Jan 2017 private placement</t>
    <phoneticPr fontId="4" type="noConversion"/>
  </si>
  <si>
    <t>Evelyn Wong</t>
  </si>
  <si>
    <t>3983 8095, evelyn.wong@sc.com</t>
  </si>
  <si>
    <t>Yue Xiu Enterprises 6.4% 30 Dec 2019 private placement</t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</si>
  <si>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12</t>
    </r>
    <r>
      <rPr>
        <sz val="10"/>
        <rFont val="細明體"/>
        <family val="3"/>
        <charset val="136"/>
      </rPr>
      <t>月</t>
    </r>
    <phoneticPr fontId="4" type="noConversion"/>
  </si>
  <si>
    <t>Far East Horizon 6.95% 21 Dec 2016 private placement</t>
  </si>
  <si>
    <t xml:space="preserve">Far East Horizon 3.9% 3 Jun 2014 </t>
  </si>
  <si>
    <t>澳分G</t>
    <phoneticPr fontId="4" type="noConversion"/>
  </si>
  <si>
    <t>澳分A</t>
    <phoneticPr fontId="4" type="noConversion"/>
  </si>
  <si>
    <t>CLT-CLI HK BR(CLS A-HK)TRUST FD(SUB-FD-TRADING BD)</t>
    <phoneticPr fontId="4" type="noConversion"/>
  </si>
  <si>
    <t>Benchmark T</t>
    <phoneticPr fontId="4" type="noConversion"/>
  </si>
  <si>
    <t>Bharti Airtel 5.125% Mar 2023</t>
    <phoneticPr fontId="4" type="noConversion"/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</si>
  <si>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5</t>
    </r>
    <r>
      <rPr>
        <sz val="10"/>
        <rFont val="細明體"/>
        <family val="3"/>
        <charset val="136"/>
      </rPr>
      <t>月</t>
    </r>
    <phoneticPr fontId="4" type="noConversion"/>
  </si>
  <si>
    <t>卖出</t>
  </si>
  <si>
    <t>Petrobras 4.375% 10yr USD Bond</t>
  </si>
  <si>
    <t>US71647NAF69</t>
  </si>
  <si>
    <t>Petrobras 4.375% May 2023</t>
    <phoneticPr fontId="4" type="noConversion"/>
  </si>
  <si>
    <r>
      <t>A</t>
    </r>
    <r>
      <rPr>
        <sz val="10"/>
        <rFont val="Arial"/>
        <family val="2"/>
      </rPr>
      <t>3</t>
    </r>
    <phoneticPr fontId="4" type="noConversion"/>
  </si>
  <si>
    <r>
      <t>B</t>
    </r>
    <r>
      <rPr>
        <sz val="10"/>
        <rFont val="Arial"/>
        <family val="2"/>
      </rPr>
      <t>BB</t>
    </r>
    <phoneticPr fontId="4" type="noConversion"/>
  </si>
  <si>
    <t>Kelvin Huang</t>
  </si>
  <si>
    <t xml:space="preserve">852 2848-5245 , Kelvin.Huang@morganstanley.com   </t>
  </si>
  <si>
    <t>T yld ref</t>
    <phoneticPr fontId="4" type="noConversion"/>
  </si>
  <si>
    <t>T curve</t>
    <phoneticPr fontId="4" type="noConversion"/>
  </si>
  <si>
    <t>sw curve</t>
    <phoneticPr fontId="4" type="noConversion"/>
  </si>
  <si>
    <t>Item No.</t>
    <phoneticPr fontId="4" type="noConversion"/>
  </si>
  <si>
    <t>Security Code</t>
    <phoneticPr fontId="4" type="noConversion"/>
  </si>
  <si>
    <t>Security Name</t>
    <phoneticPr fontId="4" type="noConversion"/>
  </si>
  <si>
    <t>Credit rating- Moody's</t>
    <phoneticPr fontId="4" type="noConversion"/>
  </si>
  <si>
    <t>Credit rating- S&amp;P's</t>
    <phoneticPr fontId="4" type="noConversion"/>
  </si>
  <si>
    <t>Bond Maturity (year)</t>
    <phoneticPr fontId="4" type="noConversion"/>
  </si>
  <si>
    <t>Buy/Sell</t>
    <phoneticPr fontId="4" type="noConversion"/>
  </si>
  <si>
    <t>Par Value</t>
    <phoneticPr fontId="4" type="noConversion"/>
  </si>
  <si>
    <t>Currency</t>
    <phoneticPr fontId="4" type="noConversion"/>
  </si>
  <si>
    <t>Price (%)</t>
    <phoneticPr fontId="4" type="noConversion"/>
  </si>
  <si>
    <t>Yield To Maturity (%)</t>
    <phoneticPr fontId="4" type="noConversion"/>
  </si>
  <si>
    <t>Broker</t>
    <phoneticPr fontId="4" type="noConversion"/>
  </si>
  <si>
    <t>CITIC Telecom 6.1% Mar 2025 USD Bond</t>
  </si>
  <si>
    <t>XS0893206747</t>
  </si>
  <si>
    <r>
      <t>N</t>
    </r>
    <r>
      <rPr>
        <sz val="10"/>
        <rFont val="Arial"/>
        <family val="2"/>
      </rPr>
      <t>R</t>
    </r>
    <phoneticPr fontId="4" type="noConversion"/>
  </si>
  <si>
    <t>XS0897923719</t>
  </si>
  <si>
    <t>Shun Tak 5.7% Mar 2020</t>
  </si>
  <si>
    <t>Shun Tak 5.7% Mar 2020</t>
    <phoneticPr fontId="4" type="noConversion"/>
  </si>
  <si>
    <t>Soon shean Ong</t>
  </si>
  <si>
    <t>港分G</t>
    <phoneticPr fontId="4" type="noConversion"/>
  </si>
  <si>
    <t>USN1384FAA32</t>
  </si>
  <si>
    <t>Bharti Airtel 5.125% Mar 2023</t>
    <phoneticPr fontId="4" type="noConversion"/>
  </si>
  <si>
    <t>BBB-(Fitch)</t>
  </si>
  <si>
    <t>BB+</t>
    <phoneticPr fontId="4" type="noConversion"/>
  </si>
  <si>
    <t>2822 3060, soon-shean@bloomberg.net</t>
    <phoneticPr fontId="4" type="noConversion"/>
  </si>
  <si>
    <t>Sell</t>
    <phoneticPr fontId="4" type="noConversion"/>
  </si>
  <si>
    <t>CREDIT AGRICOLE</t>
  </si>
  <si>
    <t xml:space="preserve">PEGGY YEUNG </t>
  </si>
  <si>
    <r>
      <t xml:space="preserve"> 2826 7854,</t>
    </r>
    <r>
      <rPr>
        <sz val="10"/>
        <rFont val="Arial"/>
        <family val="2"/>
      </rPr>
      <t xml:space="preserve"> pyeung@bloomberg.net </t>
    </r>
    <phoneticPr fontId="4" type="noConversion"/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</si>
  <si>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3</t>
    </r>
    <r>
      <rPr>
        <sz val="10"/>
        <rFont val="細明體"/>
        <family val="3"/>
        <charset val="136"/>
      </rPr>
      <t>月</t>
    </r>
    <phoneticPr fontId="4" type="noConversion"/>
  </si>
  <si>
    <t>Citi</t>
  </si>
  <si>
    <t>Ada Chiu/Edmund.Tsang</t>
  </si>
  <si>
    <t>2978 1432, Edmund.Tsang@citi.com/ ada.chiu@citi.com</t>
  </si>
  <si>
    <t>p&amp;l</t>
    <phoneticPr fontId="4" type="noConversion"/>
  </si>
  <si>
    <t>Broker Contact Person</t>
    <phoneticPr fontId="4" type="noConversion"/>
  </si>
  <si>
    <t>Broker Tel No. / emai address</t>
    <phoneticPr fontId="4" type="noConversion"/>
  </si>
  <si>
    <t>Trade Date</t>
    <phoneticPr fontId="4" type="noConversion"/>
  </si>
  <si>
    <t>Value Date</t>
    <phoneticPr fontId="4" type="noConversion"/>
  </si>
  <si>
    <t>Accounting</t>
    <phoneticPr fontId="4" type="noConversion"/>
  </si>
  <si>
    <t>Settlement Amt US$</t>
    <phoneticPr fontId="4" type="noConversion"/>
  </si>
  <si>
    <t>sub total in US$</t>
    <phoneticPr fontId="4" type="noConversion"/>
  </si>
  <si>
    <t>cum in HK$</t>
    <phoneticPr fontId="4" type="noConversion"/>
  </si>
  <si>
    <t>coupon</t>
    <phoneticPr fontId="4" type="noConversion"/>
  </si>
  <si>
    <t>Maturity Date</t>
    <phoneticPr fontId="4" type="noConversion"/>
  </si>
  <si>
    <t>maturity yr</t>
    <phoneticPr fontId="4" type="noConversion"/>
  </si>
  <si>
    <t>Zoomlion Heavy 6.125% 12/20/22</t>
    <phoneticPr fontId="4" type="noConversion"/>
  </si>
  <si>
    <t xml:space="preserve"> XS0920864708</t>
  </si>
  <si>
    <t>Parkon Retial 4.5% 05/03/18</t>
  </si>
  <si>
    <t>YueXiu Property 4.5%  01/24/23</t>
  </si>
  <si>
    <t>Baa3</t>
  </si>
  <si>
    <t>YAN LU</t>
  </si>
  <si>
    <t>YAN LU</t>
    <phoneticPr fontId="4" type="noConversion"/>
  </si>
  <si>
    <r>
      <t xml:space="preserve">3988 6927, </t>
    </r>
    <r>
      <rPr>
        <sz val="10"/>
        <rFont val="Arial"/>
        <family val="2"/>
      </rPr>
      <t xml:space="preserve">yan.lu@bocigroup.com </t>
    </r>
    <phoneticPr fontId="4" type="noConversion"/>
  </si>
  <si>
    <t xml:space="preserve">3988 6927, yan.lu@bocigroup.com </t>
  </si>
  <si>
    <t>Barclays</t>
    <phoneticPr fontId="4" type="noConversion"/>
  </si>
  <si>
    <t>KAREN YEUNG</t>
    <phoneticPr fontId="4" type="noConversion"/>
  </si>
  <si>
    <t>2903  2542, kyeung7@bloomberg.net</t>
    <phoneticPr fontId="4" type="noConversion"/>
  </si>
  <si>
    <t>2978-1690, Na.Li@gs.com</t>
    <phoneticPr fontId="4" type="noConversion"/>
  </si>
  <si>
    <t xml:space="preserve">3988 6933 , Brad.Chen@bocigroup.com  </t>
  </si>
  <si>
    <r>
      <t>X</t>
    </r>
    <r>
      <rPr>
        <sz val="10"/>
        <rFont val="Arial"/>
        <family val="2"/>
      </rPr>
      <t>S0356943828</t>
    </r>
    <phoneticPr fontId="4" type="noConversion"/>
  </si>
  <si>
    <r>
      <t>Gazprom 7.343%</t>
    </r>
    <r>
      <rPr>
        <sz val="10"/>
        <rFont val="Arial"/>
        <family val="2"/>
      </rPr>
      <t xml:space="preserve"> Apr 2013</t>
    </r>
    <phoneticPr fontId="4" type="noConversion"/>
  </si>
  <si>
    <t>Buy</t>
    <phoneticPr fontId="4" type="noConversion"/>
  </si>
  <si>
    <t>USD</t>
    <phoneticPr fontId="4" type="noConversion"/>
  </si>
  <si>
    <t>Morgan Stanley</t>
    <phoneticPr fontId="4" type="noConversion"/>
  </si>
  <si>
    <t xml:space="preserve">Grace Wong </t>
    <phoneticPr fontId="4" type="noConversion"/>
  </si>
  <si>
    <r>
      <t>28485084, G</t>
    </r>
    <r>
      <rPr>
        <sz val="10"/>
        <rFont val="Arial"/>
        <family val="2"/>
      </rPr>
      <t>ra</t>
    </r>
    <r>
      <rPr>
        <sz val="10"/>
        <rFont val="Arial"/>
        <family val="2"/>
      </rPr>
      <t>ce. Wong @morganstanley.com</t>
    </r>
    <phoneticPr fontId="4" type="noConversion"/>
  </si>
  <si>
    <r>
      <t>XS</t>
    </r>
    <r>
      <rPr>
        <sz val="10"/>
        <rFont val="Arial"/>
        <family val="2"/>
      </rPr>
      <t>0185827085</t>
    </r>
    <phoneticPr fontId="4" type="noConversion"/>
  </si>
  <si>
    <r>
      <t>E</t>
    </r>
    <r>
      <rPr>
        <sz val="10"/>
        <rFont val="Arial"/>
        <family val="2"/>
      </rPr>
      <t>xport-Import Bank of Korea 5.25% Feb 2014</t>
    </r>
    <phoneticPr fontId="4" type="noConversion"/>
  </si>
  <si>
    <r>
      <t>C</t>
    </r>
    <r>
      <rPr>
        <sz val="10"/>
        <rFont val="Arial"/>
        <family val="2"/>
      </rPr>
      <t>SFB</t>
    </r>
    <phoneticPr fontId="4" type="noConversion"/>
  </si>
  <si>
    <t>21617625, xin_fu@ml.com</t>
  </si>
  <si>
    <r>
      <t>T</t>
    </r>
    <r>
      <rPr>
        <sz val="10"/>
        <rFont val="Arial"/>
        <family val="2"/>
      </rPr>
      <t>om Carlone/ Ada Ho</t>
    </r>
    <phoneticPr fontId="4" type="noConversion"/>
  </si>
  <si>
    <r>
      <t>2</t>
    </r>
    <r>
      <rPr>
        <sz val="10"/>
        <rFont val="Arial"/>
        <family val="2"/>
      </rPr>
      <t>101 6875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tcarlone1</t>
    </r>
    <r>
      <rPr>
        <sz val="10"/>
        <rFont val="Arial"/>
        <family val="2"/>
      </rPr>
      <t>@</t>
    </r>
    <r>
      <rPr>
        <sz val="10"/>
        <rFont val="Arial"/>
        <family val="2"/>
      </rPr>
      <t>bloomberg.net,  ada.ho@credit-suisse.com</t>
    </r>
    <phoneticPr fontId="4" type="noConversion"/>
  </si>
  <si>
    <r>
      <t>U</t>
    </r>
    <r>
      <rPr>
        <sz val="10"/>
        <rFont val="Arial"/>
        <family val="2"/>
      </rPr>
      <t>S61747YCE32</t>
    </r>
    <phoneticPr fontId="4" type="noConversion"/>
  </si>
  <si>
    <r>
      <t>M</t>
    </r>
    <r>
      <rPr>
        <sz val="10"/>
        <rFont val="Arial"/>
        <family val="2"/>
      </rPr>
      <t>organ Stanley 6% Apr 2015</t>
    </r>
    <phoneticPr fontId="4" type="noConversion"/>
  </si>
  <si>
    <r>
      <t>B</t>
    </r>
    <r>
      <rPr>
        <sz val="10"/>
        <rFont val="Arial"/>
        <family val="2"/>
      </rPr>
      <t>uy</t>
    </r>
    <phoneticPr fontId="4" type="noConversion"/>
  </si>
  <si>
    <r>
      <t>X</t>
    </r>
    <r>
      <rPr>
        <sz val="10"/>
        <rFont val="Arial"/>
        <family val="2"/>
      </rPr>
      <t>S0366599800</t>
    </r>
    <phoneticPr fontId="4" type="noConversion"/>
  </si>
  <si>
    <r>
      <t>R</t>
    </r>
    <r>
      <rPr>
        <sz val="10"/>
        <rFont val="Arial"/>
        <family val="2"/>
      </rPr>
      <t xml:space="preserve">ussian Agricultural Bank 7.125% Jan 2014 </t>
    </r>
    <phoneticPr fontId="4" type="noConversion"/>
  </si>
  <si>
    <r>
      <t>C</t>
    </r>
    <r>
      <rPr>
        <sz val="10"/>
        <rFont val="Arial"/>
        <family val="2"/>
      </rPr>
      <t>itigroup</t>
    </r>
    <phoneticPr fontId="4" type="noConversion"/>
  </si>
  <si>
    <r>
      <t>K</t>
    </r>
    <r>
      <rPr>
        <sz val="10"/>
        <rFont val="Arial"/>
        <family val="2"/>
      </rPr>
      <t>aren So</t>
    </r>
    <phoneticPr fontId="4" type="noConversion"/>
  </si>
  <si>
    <r>
      <t>2</t>
    </r>
    <r>
      <rPr>
        <sz val="10"/>
        <rFont val="Arial"/>
        <family val="2"/>
      </rPr>
      <t>501 8336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karenso@bloomberg.net</t>
    </r>
    <phoneticPr fontId="4" type="noConversion"/>
  </si>
  <si>
    <r>
      <t>US91282</t>
    </r>
    <r>
      <rPr>
        <sz val="10"/>
        <rFont val="Arial"/>
        <family val="2"/>
      </rPr>
      <t>8</t>
    </r>
    <r>
      <rPr>
        <sz val="10"/>
        <rFont val="Arial"/>
        <family val="2"/>
      </rPr>
      <t>EA42</t>
    </r>
    <phoneticPr fontId="4" type="noConversion"/>
  </si>
  <si>
    <r>
      <t>T</t>
    </r>
    <r>
      <rPr>
        <sz val="10"/>
        <rFont val="Arial"/>
        <family val="2"/>
      </rPr>
      <t>II 1.875% July 2015</t>
    </r>
    <phoneticPr fontId="4" type="noConversion"/>
  </si>
  <si>
    <t>US61744YAD04</t>
    <phoneticPr fontId="4" type="noConversion"/>
  </si>
  <si>
    <r>
      <t>M</t>
    </r>
    <r>
      <rPr>
        <sz val="10"/>
        <rFont val="Arial"/>
        <family val="2"/>
      </rPr>
      <t>organ Stanley 5.95% Dec 2017</t>
    </r>
    <phoneticPr fontId="4" type="noConversion"/>
  </si>
  <si>
    <t>US38141GER11</t>
    <phoneticPr fontId="4" type="noConversion"/>
  </si>
  <si>
    <r>
      <t>G</t>
    </r>
    <r>
      <rPr>
        <sz val="10"/>
        <rFont val="Arial"/>
        <family val="2"/>
      </rPr>
      <t>oldman Sachs 5.75% Oct 2016</t>
    </r>
    <phoneticPr fontId="4" type="noConversion"/>
  </si>
  <si>
    <t xml:space="preserve">UST Inflation Linked I/L 2.00% 01/15/2016 </t>
    <phoneticPr fontId="4" type="noConversion"/>
  </si>
  <si>
    <t xml:space="preserve">UST Inflation Linked I/L 2.375% 01/15/2017 </t>
    <phoneticPr fontId="4" type="noConversion"/>
  </si>
  <si>
    <r>
      <t>B</t>
    </r>
    <r>
      <rPr>
        <sz val="10"/>
        <rFont val="Arial"/>
        <family val="2"/>
      </rPr>
      <t>ank of America</t>
    </r>
    <phoneticPr fontId="4" type="noConversion"/>
  </si>
  <si>
    <r>
      <t>T</t>
    </r>
    <r>
      <rPr>
        <sz val="10"/>
        <rFont val="Arial"/>
        <family val="2"/>
      </rPr>
      <t>imothy Fung</t>
    </r>
    <phoneticPr fontId="4" type="noConversion"/>
  </si>
  <si>
    <r>
      <t>2847 6866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tfung@bloomberg.net</t>
    </r>
    <phoneticPr fontId="4" type="noConversion"/>
  </si>
  <si>
    <r>
      <t>A</t>
    </r>
    <r>
      <rPr>
        <sz val="10"/>
        <rFont val="Arial"/>
        <family val="2"/>
      </rPr>
      <t>nita Kwo</t>
    </r>
    <phoneticPr fontId="4" type="noConversion"/>
  </si>
  <si>
    <r>
      <t>2</t>
    </r>
    <r>
      <rPr>
        <sz val="10"/>
        <rFont val="Arial"/>
        <family val="2"/>
      </rPr>
      <t>501 8336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akwo@bloomberg.net</t>
    </r>
    <phoneticPr fontId="4" type="noConversion"/>
  </si>
  <si>
    <r>
      <t>L</t>
    </r>
    <r>
      <rPr>
        <sz val="10"/>
        <rFont val="Arial"/>
        <family val="2"/>
      </rPr>
      <t>ehman Brothers</t>
    </r>
    <phoneticPr fontId="4" type="noConversion"/>
  </si>
  <si>
    <r>
      <t>D</t>
    </r>
    <r>
      <rPr>
        <sz val="10"/>
        <rFont val="Arial"/>
        <family val="2"/>
      </rPr>
      <t>anping Ge</t>
    </r>
    <phoneticPr fontId="4" type="noConversion"/>
  </si>
  <si>
    <r>
      <t>2</t>
    </r>
    <r>
      <rPr>
        <sz val="10"/>
        <rFont val="Arial"/>
        <family val="2"/>
      </rPr>
      <t>252 6823, dge2@bloomberg.net</t>
    </r>
    <phoneticPr fontId="4" type="noConversion"/>
  </si>
  <si>
    <t>XS0379583015</t>
    <phoneticPr fontId="4" type="noConversion"/>
  </si>
  <si>
    <r>
      <t>G</t>
    </r>
    <r>
      <rPr>
        <sz val="10"/>
        <rFont val="Arial"/>
        <family val="2"/>
      </rPr>
      <t>azprom 7.51% July 2013</t>
    </r>
    <phoneticPr fontId="4" type="noConversion"/>
  </si>
  <si>
    <t xml:space="preserve">Morgan Stanley </t>
    <phoneticPr fontId="4" type="noConversion"/>
  </si>
  <si>
    <r>
      <t>Eric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Ha</t>
    </r>
    <phoneticPr fontId="4" type="noConversion"/>
  </si>
  <si>
    <r>
      <t xml:space="preserve">28485084, </t>
    </r>
    <r>
      <rPr>
        <sz val="10"/>
        <rFont val="Arial"/>
        <family val="2"/>
      </rPr>
      <t>eha6@bloomberg.net</t>
    </r>
    <phoneticPr fontId="4" type="noConversion"/>
  </si>
  <si>
    <r>
      <t>U</t>
    </r>
    <r>
      <rPr>
        <sz val="10"/>
        <rFont val="Arial"/>
        <family val="2"/>
      </rPr>
      <t>S912828DC17</t>
    </r>
    <phoneticPr fontId="4" type="noConversion"/>
  </si>
  <si>
    <r>
      <t>U</t>
    </r>
    <r>
      <rPr>
        <sz val="10"/>
        <rFont val="Arial"/>
        <family val="2"/>
      </rPr>
      <t>S Treasury 4.25% 15 Nov 2014</t>
    </r>
    <phoneticPr fontId="4" type="noConversion"/>
  </si>
  <si>
    <r>
      <t>J</t>
    </r>
    <r>
      <rPr>
        <sz val="10"/>
        <rFont val="Arial"/>
        <family val="2"/>
      </rPr>
      <t>P Morgan</t>
    </r>
    <phoneticPr fontId="4" type="noConversion"/>
  </si>
  <si>
    <r>
      <t>C</t>
    </r>
    <r>
      <rPr>
        <sz val="10"/>
        <rFont val="Arial"/>
        <family val="2"/>
      </rPr>
      <t>herry Cheung</t>
    </r>
    <phoneticPr fontId="4" type="noConversion"/>
  </si>
  <si>
    <r>
      <t>2800 8255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cherry.cw.cheung@jpmorgan.com</t>
    </r>
    <phoneticPr fontId="4" type="noConversion"/>
  </si>
  <si>
    <r>
      <t>H</t>
    </r>
    <r>
      <rPr>
        <sz val="10"/>
        <rFont val="Arial"/>
        <family val="2"/>
      </rPr>
      <t>K &amp; China Gas 6.25% 7 Aug 2018</t>
    </r>
    <phoneticPr fontId="4" type="noConversion"/>
  </si>
  <si>
    <r>
      <t>H</t>
    </r>
    <r>
      <rPr>
        <sz val="10"/>
        <rFont val="Arial"/>
        <family val="2"/>
      </rPr>
      <t>SBC</t>
    </r>
    <phoneticPr fontId="4" type="noConversion"/>
  </si>
  <si>
    <r>
      <t>S</t>
    </r>
    <r>
      <rPr>
        <sz val="10"/>
        <rFont val="Arial"/>
        <family val="2"/>
      </rPr>
      <t>oon shean Ong</t>
    </r>
    <phoneticPr fontId="4" type="noConversion"/>
  </si>
  <si>
    <r>
      <t xml:space="preserve">2822 3060, </t>
    </r>
    <r>
      <rPr>
        <sz val="10"/>
        <rFont val="Arial"/>
        <family val="2"/>
      </rPr>
      <t>soon-shean@bloomberg.net</t>
    </r>
    <phoneticPr fontId="4" type="noConversion"/>
  </si>
  <si>
    <r>
      <t>U</t>
    </r>
    <r>
      <rPr>
        <sz val="10"/>
        <rFont val="Arial"/>
        <family val="2"/>
      </rPr>
      <t>S912828GS32</t>
    </r>
    <phoneticPr fontId="4" type="noConversion"/>
  </si>
  <si>
    <r>
      <t>U</t>
    </r>
    <r>
      <rPr>
        <sz val="10"/>
        <rFont val="Arial"/>
        <family val="2"/>
      </rPr>
      <t>S Treasury 4.5% 15 May 2017</t>
    </r>
    <phoneticPr fontId="4" type="noConversion"/>
  </si>
  <si>
    <r>
      <t>US912828</t>
    </r>
    <r>
      <rPr>
        <sz val="10"/>
        <rFont val="Arial"/>
        <family val="2"/>
      </rPr>
      <t>EE63</t>
    </r>
    <phoneticPr fontId="4" type="noConversion"/>
  </si>
  <si>
    <r>
      <t xml:space="preserve">U S TREASURY NOTE 4.25% </t>
    </r>
    <r>
      <rPr>
        <sz val="10"/>
        <rFont val="Arial"/>
        <family val="2"/>
      </rPr>
      <t>8</t>
    </r>
    <r>
      <rPr>
        <sz val="10"/>
        <rFont val="Arial"/>
        <family val="2"/>
      </rPr>
      <t>/15/201</t>
    </r>
    <r>
      <rPr>
        <sz val="10"/>
        <rFont val="Arial"/>
        <family val="2"/>
      </rPr>
      <t>5</t>
    </r>
    <phoneticPr fontId="4" type="noConversion"/>
  </si>
  <si>
    <t>US172967EU16</t>
    <phoneticPr fontId="4" type="noConversion"/>
  </si>
  <si>
    <r>
      <t>C</t>
    </r>
    <r>
      <rPr>
        <sz val="10"/>
        <rFont val="Arial"/>
        <family val="2"/>
      </rPr>
      <t>itigroup 6.5% Aug 2013</t>
    </r>
    <phoneticPr fontId="4" type="noConversion"/>
  </si>
  <si>
    <t>US91282828JG66</t>
    <phoneticPr fontId="4" type="noConversion"/>
  </si>
  <si>
    <r>
      <t>U</t>
    </r>
    <r>
      <rPr>
        <sz val="10"/>
        <rFont val="Arial"/>
        <family val="2"/>
      </rPr>
      <t>S Treasury 3.375% July 2013</t>
    </r>
    <phoneticPr fontId="4" type="noConversion"/>
  </si>
  <si>
    <r>
      <t>D</t>
    </r>
    <r>
      <rPr>
        <sz val="10"/>
        <rFont val="Arial"/>
        <family val="2"/>
      </rPr>
      <t>eutsche Bank</t>
    </r>
    <phoneticPr fontId="4" type="noConversion"/>
  </si>
  <si>
    <r>
      <t>D</t>
    </r>
    <r>
      <rPr>
        <sz val="10"/>
        <rFont val="Arial"/>
        <family val="2"/>
      </rPr>
      <t>ina Suen</t>
    </r>
    <phoneticPr fontId="4" type="noConversion"/>
  </si>
  <si>
    <t>2203 8392, suenber.hkdb@bloomberg.net</t>
    <phoneticPr fontId="4" type="noConversion"/>
  </si>
  <si>
    <t>XS0269720867</t>
    <phoneticPr fontId="4" type="noConversion"/>
  </si>
  <si>
    <r>
      <t xml:space="preserve">EIBKOR </t>
    </r>
    <r>
      <rPr>
        <sz val="10"/>
        <rFont val="Arial"/>
        <family val="2"/>
      </rPr>
      <t>5.375</t>
    </r>
    <r>
      <rPr>
        <sz val="10"/>
        <rFont val="Arial"/>
        <family val="2"/>
      </rPr>
      <t xml:space="preserve">% </t>
    </r>
    <r>
      <rPr>
        <sz val="10"/>
        <rFont val="Arial"/>
        <family val="2"/>
      </rPr>
      <t xml:space="preserve">Oct </t>
    </r>
    <r>
      <rPr>
        <sz val="10"/>
        <rFont val="Arial"/>
        <family val="2"/>
      </rPr>
      <t>201</t>
    </r>
    <r>
      <rPr>
        <sz val="10"/>
        <rFont val="Arial"/>
        <family val="2"/>
      </rPr>
      <t>6</t>
    </r>
    <phoneticPr fontId="4" type="noConversion"/>
  </si>
  <si>
    <r>
      <t>U</t>
    </r>
    <r>
      <rPr>
        <sz val="10"/>
        <rFont val="Arial"/>
        <family val="2"/>
      </rPr>
      <t>BS</t>
    </r>
    <phoneticPr fontId="4" type="noConversion"/>
  </si>
  <si>
    <r>
      <t>L</t>
    </r>
    <r>
      <rPr>
        <sz val="10"/>
        <rFont val="Arial"/>
        <family val="2"/>
      </rPr>
      <t>ingZhu Yu Steiner/ Daisy Wang</t>
    </r>
    <phoneticPr fontId="4" type="noConversion"/>
  </si>
  <si>
    <r>
      <t>2</t>
    </r>
    <r>
      <rPr>
        <sz val="10"/>
        <rFont val="Arial"/>
        <family val="2"/>
      </rPr>
      <t>971 6246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lingzhuyu@bloomberg.net</t>
    </r>
    <phoneticPr fontId="4" type="noConversion"/>
  </si>
  <si>
    <r>
      <t>U</t>
    </r>
    <r>
      <rPr>
        <sz val="10"/>
        <rFont val="Arial"/>
        <family val="2"/>
      </rPr>
      <t>S686330AE19</t>
    </r>
    <phoneticPr fontId="4" type="noConversion"/>
  </si>
  <si>
    <r>
      <t>O</t>
    </r>
    <r>
      <rPr>
        <sz val="10"/>
        <rFont val="Arial"/>
        <family val="2"/>
      </rPr>
      <t>RIX 4.71% 27 Apr 2015</t>
    </r>
    <phoneticPr fontId="4" type="noConversion"/>
  </si>
  <si>
    <r>
      <t>A</t>
    </r>
    <r>
      <rPr>
        <sz val="10"/>
        <rFont val="Arial"/>
        <family val="2"/>
      </rPr>
      <t>3</t>
    </r>
    <phoneticPr fontId="4" type="noConversion"/>
  </si>
  <si>
    <r>
      <t>A</t>
    </r>
    <r>
      <rPr>
        <sz val="10"/>
        <rFont val="Arial"/>
        <family val="2"/>
      </rPr>
      <t>-</t>
    </r>
    <phoneticPr fontId="4" type="noConversion"/>
  </si>
  <si>
    <r>
      <t>M</t>
    </r>
    <r>
      <rPr>
        <sz val="10"/>
        <rFont val="Arial"/>
        <family val="2"/>
      </rPr>
      <t>errill Lynch</t>
    </r>
    <phoneticPr fontId="4" type="noConversion"/>
  </si>
  <si>
    <r>
      <t>F</t>
    </r>
    <r>
      <rPr>
        <sz val="10"/>
        <rFont val="Arial"/>
        <family val="2"/>
      </rPr>
      <t>u Xin/ Karen Jin</t>
    </r>
    <phoneticPr fontId="4" type="noConversion"/>
  </si>
  <si>
    <r>
      <t>21617625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xin_fu@ml.com/ karen_jin@ml.com</t>
    </r>
    <phoneticPr fontId="4" type="noConversion"/>
  </si>
  <si>
    <r>
      <t>A</t>
    </r>
    <r>
      <rPr>
        <sz val="10"/>
        <rFont val="Arial"/>
        <family val="2"/>
      </rPr>
      <t>FS</t>
    </r>
    <phoneticPr fontId="4" type="noConversion"/>
  </si>
  <si>
    <r>
      <t>X</t>
    </r>
    <r>
      <rPr>
        <sz val="10"/>
        <rFont val="Arial"/>
        <family val="2"/>
      </rPr>
      <t>S0505252956</t>
    </r>
    <phoneticPr fontId="4" type="noConversion"/>
  </si>
  <si>
    <r>
      <t>S</t>
    </r>
    <r>
      <rPr>
        <sz val="10"/>
        <rFont val="Arial"/>
        <family val="2"/>
      </rPr>
      <t>tanln 3.85% 27 Apr 2015</t>
    </r>
    <phoneticPr fontId="4" type="noConversion"/>
  </si>
  <si>
    <t>A</t>
    <phoneticPr fontId="4" type="noConversion"/>
  </si>
  <si>
    <r>
      <t>A</t>
    </r>
    <r>
      <rPr>
        <sz val="10"/>
        <rFont val="Arial"/>
        <family val="2"/>
      </rPr>
      <t>rita Tong/ Amy Li</t>
    </r>
    <phoneticPr fontId="4" type="noConversion"/>
  </si>
  <si>
    <r>
      <t>2800 8233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atong23@bloomberg.net, amy.k.li@jpmorgan.com</t>
    </r>
    <phoneticPr fontId="4" type="noConversion"/>
  </si>
  <si>
    <r>
      <t>U</t>
    </r>
    <r>
      <rPr>
        <sz val="10"/>
        <rFont val="Arial"/>
        <family val="2"/>
      </rPr>
      <t>S40963MAB81</t>
    </r>
    <phoneticPr fontId="4" type="noConversion"/>
  </si>
  <si>
    <r>
      <t>H</t>
    </r>
    <r>
      <rPr>
        <sz val="10"/>
        <rFont val="Arial"/>
        <family val="2"/>
      </rPr>
      <t>ana Bank 4.5% 30 Oct 2015</t>
    </r>
    <phoneticPr fontId="4" type="noConversion"/>
  </si>
  <si>
    <r>
      <t>A</t>
    </r>
    <r>
      <rPr>
        <sz val="10"/>
        <rFont val="Arial"/>
        <family val="2"/>
      </rPr>
      <t>1</t>
    </r>
    <phoneticPr fontId="4" type="noConversion"/>
  </si>
  <si>
    <r>
      <t>2</t>
    </r>
    <r>
      <rPr>
        <sz val="10"/>
        <rFont val="Arial"/>
        <family val="2"/>
      </rPr>
      <t>501 2529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anita.kwo@citi.com</t>
    </r>
    <phoneticPr fontId="4" type="noConversion"/>
  </si>
  <si>
    <r>
      <t>B</t>
    </r>
    <r>
      <rPr>
        <sz val="10"/>
        <rFont val="Arial"/>
        <family val="2"/>
      </rPr>
      <t>arclays</t>
    </r>
    <phoneticPr fontId="4" type="noConversion"/>
  </si>
  <si>
    <r>
      <t>S</t>
    </r>
    <r>
      <rPr>
        <sz val="10"/>
        <rFont val="Arial"/>
        <family val="2"/>
      </rPr>
      <t>tephen Mak</t>
    </r>
    <phoneticPr fontId="4" type="noConversion"/>
  </si>
  <si>
    <r>
      <t>2</t>
    </r>
    <r>
      <rPr>
        <sz val="10"/>
        <rFont val="Arial"/>
        <family val="2"/>
      </rPr>
      <t>903 2549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smak1</t>
    </r>
    <r>
      <rPr>
        <sz val="10"/>
        <rFont val="Arial"/>
        <family val="2"/>
      </rPr>
      <t>@</t>
    </r>
    <r>
      <rPr>
        <sz val="10"/>
        <rFont val="Arial"/>
        <family val="2"/>
      </rPr>
      <t>bloomberg.net</t>
    </r>
    <phoneticPr fontId="4" type="noConversion"/>
  </si>
  <si>
    <r>
      <t>F</t>
    </r>
    <r>
      <rPr>
        <sz val="10"/>
        <rFont val="Arial"/>
        <family val="2"/>
      </rPr>
      <t>ranshion 6.8% perpetual convertible note 2015 call</t>
    </r>
    <phoneticPr fontId="4" type="noConversion"/>
  </si>
  <si>
    <r>
      <t>N</t>
    </r>
    <r>
      <rPr>
        <sz val="10"/>
        <rFont val="Arial"/>
        <family val="2"/>
      </rPr>
      <t>A</t>
    </r>
    <phoneticPr fontId="4" type="noConversion"/>
  </si>
  <si>
    <t>perpetual</t>
    <phoneticPr fontId="4" type="noConversion"/>
  </si>
  <si>
    <r>
      <t>Deutsche</t>
    </r>
    <r>
      <rPr>
        <sz val="10"/>
        <rFont val="Arial"/>
        <family val="2"/>
      </rPr>
      <t xml:space="preserve"> Bank</t>
    </r>
    <phoneticPr fontId="4" type="noConversion"/>
  </si>
  <si>
    <r>
      <t>2203 8283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grace.wong@db.com</t>
    </r>
    <phoneticPr fontId="4" type="noConversion"/>
  </si>
  <si>
    <r>
      <t>Eliza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Lin</t>
    </r>
    <phoneticPr fontId="4" type="noConversion"/>
  </si>
  <si>
    <r>
      <t>2203 8283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eliza.lin@db.com</t>
    </r>
    <phoneticPr fontId="4" type="noConversion"/>
  </si>
  <si>
    <r>
      <t>XS054511035</t>
    </r>
    <r>
      <rPr>
        <sz val="10"/>
        <rFont val="Arial"/>
        <family val="2"/>
      </rPr>
      <t>4</t>
    </r>
    <phoneticPr fontId="4" type="noConversion"/>
  </si>
  <si>
    <t>rwang90@bloomberg.net</t>
  </si>
  <si>
    <r>
      <t>S</t>
    </r>
    <r>
      <rPr>
        <sz val="10"/>
        <rFont val="Arial"/>
        <family val="2"/>
      </rPr>
      <t>ell</t>
    </r>
    <phoneticPr fontId="4" type="noConversion"/>
  </si>
  <si>
    <t>Bharti Airtel 5.125% Mar 2023</t>
    <phoneticPr fontId="4" type="noConversion"/>
  </si>
  <si>
    <r>
      <t>2501 2528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Edmund.Tsang@citi.com/ ada.chiu@citi.com</t>
    </r>
    <phoneticPr fontId="4" type="noConversion"/>
  </si>
  <si>
    <r>
      <t>K</t>
    </r>
    <r>
      <rPr>
        <sz val="10"/>
        <rFont val="Arial"/>
        <family val="2"/>
      </rPr>
      <t>aren Yeung</t>
    </r>
    <phoneticPr fontId="4" type="noConversion"/>
  </si>
  <si>
    <r>
      <t>B</t>
    </r>
    <r>
      <rPr>
        <sz val="10"/>
        <rFont val="Arial"/>
        <family val="2"/>
      </rPr>
      <t>arclays</t>
    </r>
    <phoneticPr fontId="4" type="noConversion"/>
  </si>
  <si>
    <r>
      <t>2903 2542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karen.yeung@barclays.com</t>
    </r>
    <phoneticPr fontId="4" type="noConversion"/>
  </si>
  <si>
    <t>Morgan Stanley 5.95% Dec 2017</t>
  </si>
  <si>
    <t>Baa1</t>
  </si>
  <si>
    <t>A-</t>
  </si>
  <si>
    <r>
      <t>K</t>
    </r>
    <r>
      <rPr>
        <sz val="10"/>
        <rFont val="Arial"/>
        <family val="2"/>
      </rPr>
      <t>elvin Huang</t>
    </r>
    <phoneticPr fontId="4" type="noConversion"/>
  </si>
  <si>
    <r>
      <t xml:space="preserve">852 2848-5245 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 xml:space="preserve">Kelvin.Huang@morganstanley.com   </t>
    </r>
    <phoneticPr fontId="4" type="noConversion"/>
  </si>
  <si>
    <t>P&amp;L</t>
    <phoneticPr fontId="4" type="noConversion"/>
  </si>
  <si>
    <t>Jan to Mar, 2013</t>
    <phoneticPr fontId="4" type="noConversion"/>
  </si>
  <si>
    <t>exclude mar 19 trade</t>
    <phoneticPr fontId="4" type="noConversion"/>
  </si>
  <si>
    <t>capital P&amp;L total</t>
    <phoneticPr fontId="4" type="noConversion"/>
  </si>
  <si>
    <t>currency p&amp;l due mar 18</t>
    <phoneticPr fontId="4" type="noConversion"/>
  </si>
  <si>
    <t>Yanzhou Coal 5.73% 2022 USD Bond</t>
    <phoneticPr fontId="4" type="noConversion"/>
  </si>
  <si>
    <t>USY97279AB28</t>
  </si>
  <si>
    <t>港分A</t>
    <phoneticPr fontId="4" type="noConversion"/>
  </si>
  <si>
    <t>FT Report</t>
    <phoneticPr fontId="4" type="noConversion"/>
  </si>
  <si>
    <r>
      <t>S</t>
    </r>
    <r>
      <rPr>
        <sz val="10"/>
        <rFont val="Arial"/>
        <family val="2"/>
      </rPr>
      <t>ell</t>
    </r>
    <phoneticPr fontId="4" type="noConversion"/>
  </si>
  <si>
    <r>
      <t>H</t>
    </r>
    <r>
      <rPr>
        <sz val="10"/>
        <rFont val="Arial"/>
        <family val="2"/>
      </rPr>
      <t>erman Lam</t>
    </r>
    <phoneticPr fontId="4" type="noConversion"/>
  </si>
  <si>
    <r>
      <t>2237-9477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sharonchang@citics.com.hk</t>
    </r>
    <phoneticPr fontId="4" type="noConversion"/>
  </si>
  <si>
    <t>AFS</t>
    <phoneticPr fontId="4" type="noConversion"/>
  </si>
  <si>
    <r>
      <t>L</t>
    </r>
    <r>
      <rPr>
        <sz val="10"/>
        <rFont val="Arial"/>
        <family val="2"/>
      </rPr>
      <t>i Na</t>
    </r>
    <phoneticPr fontId="4" type="noConversion"/>
  </si>
  <si>
    <r>
      <t xml:space="preserve">2978 1432, </t>
    </r>
    <r>
      <rPr>
        <sz val="10"/>
        <rFont val="Arial"/>
        <family val="2"/>
      </rPr>
      <t>Na.Li</t>
    </r>
    <r>
      <rPr>
        <sz val="10"/>
        <rFont val="Arial"/>
        <family val="2"/>
      </rPr>
      <t>@gs.com</t>
    </r>
    <phoneticPr fontId="4" type="noConversion"/>
  </si>
  <si>
    <t>Zoomlion Heavy 6.125% 12/20/22</t>
  </si>
  <si>
    <t>美元</t>
  </si>
  <si>
    <t>China Power New Energy Dev 6.5% 09 Jan 2017 private placement</t>
    <phoneticPr fontId="4" type="noConversion"/>
  </si>
  <si>
    <t>China Power New Energy Dev 6.5% 09 Jan 2017 private placement</t>
    <phoneticPr fontId="4" type="noConversion"/>
  </si>
  <si>
    <r>
      <t>ElizaYH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Lin</t>
    </r>
    <phoneticPr fontId="4" type="noConversion"/>
  </si>
  <si>
    <t>China Merchants Holdings HK 6% 21 Mar 2022 private placement</t>
  </si>
  <si>
    <t>China Merchants Holdings HK 6% 21 Mar 2022 private placement</t>
    <phoneticPr fontId="4" type="noConversion"/>
  </si>
  <si>
    <t>10 yr Hong Kong govt bond + 468bp, HK swap rate + 400bp.</t>
    <phoneticPr fontId="4" type="noConversion"/>
  </si>
  <si>
    <r>
      <t>2012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3</t>
    </r>
    <r>
      <rPr>
        <sz val="10"/>
        <rFont val="細明體"/>
        <family val="3"/>
        <charset val="136"/>
      </rPr>
      <t>月</t>
    </r>
    <phoneticPr fontId="4" type="noConversion"/>
  </si>
  <si>
    <r>
      <t>5 yr Chinese onshore govt bond + 4</t>
    </r>
    <r>
      <rPr>
        <sz val="10"/>
        <rFont val="Arial"/>
        <family val="2"/>
      </rPr>
      <t>28</t>
    </r>
    <r>
      <rPr>
        <sz val="10"/>
        <rFont val="Arial"/>
        <family val="2"/>
      </rPr>
      <t>bp, swap + 3</t>
    </r>
    <r>
      <rPr>
        <sz val="10"/>
        <rFont val="Arial"/>
        <family val="2"/>
      </rPr>
      <t>69</t>
    </r>
    <r>
      <rPr>
        <sz val="10"/>
        <rFont val="Arial"/>
        <family val="2"/>
      </rPr>
      <t>bp</t>
    </r>
    <phoneticPr fontId="4" type="noConversion"/>
  </si>
  <si>
    <t>10 yr Hong Kong govt bond + 468bp, HK swap rate + 400bp.</t>
    <phoneticPr fontId="4" type="noConversion"/>
  </si>
  <si>
    <r>
      <t>U</t>
    </r>
    <r>
      <rPr>
        <sz val="10"/>
        <rFont val="Arial"/>
        <family val="2"/>
      </rPr>
      <t>SY9896RAA96</t>
    </r>
    <phoneticPr fontId="4" type="noConversion"/>
  </si>
  <si>
    <r>
      <t>7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 xml:space="preserve">yr Hong Kong govt bond + </t>
    </r>
    <r>
      <rPr>
        <sz val="10"/>
        <rFont val="Arial"/>
        <family val="2"/>
      </rPr>
      <t>560</t>
    </r>
    <r>
      <rPr>
        <sz val="10"/>
        <rFont val="Arial"/>
        <family val="2"/>
      </rPr>
      <t>bp, HK swap rate + 4</t>
    </r>
    <r>
      <rPr>
        <sz val="10"/>
        <rFont val="Arial"/>
        <family val="2"/>
      </rPr>
      <t>82</t>
    </r>
    <r>
      <rPr>
        <sz val="10"/>
        <rFont val="Arial"/>
        <family val="2"/>
      </rPr>
      <t>bp</t>
    </r>
    <phoneticPr fontId="4" type="noConversion"/>
  </si>
  <si>
    <r>
      <t>2012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11</t>
    </r>
    <r>
      <rPr>
        <sz val="10"/>
        <rFont val="細明體"/>
        <family val="3"/>
        <charset val="136"/>
      </rPr>
      <t>月</t>
    </r>
    <phoneticPr fontId="4" type="noConversion"/>
  </si>
  <si>
    <t>Shandong Intl HK 5.8% due 2015 CNH</t>
  </si>
  <si>
    <r>
      <t>2012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12</t>
    </r>
    <r>
      <rPr>
        <sz val="10"/>
        <rFont val="細明體"/>
        <family val="3"/>
        <charset val="136"/>
      </rPr>
      <t>月</t>
    </r>
    <phoneticPr fontId="4" type="noConversion"/>
  </si>
  <si>
    <t>CLT-CLI OVERSEAS TRUST FD (CAPITAL) (SUB-FD-BOND)</t>
  </si>
  <si>
    <t>CLT-CLI HK BR TRUST FUND (CAPITAL) (SUB-FUND-BOND)</t>
    <phoneticPr fontId="4" type="noConversion"/>
  </si>
  <si>
    <t>Zoomlion Heavy 6.125% 12/20/22</t>
    <phoneticPr fontId="4" type="noConversion"/>
  </si>
  <si>
    <t>Goldman Sachs</t>
    <phoneticPr fontId="4" type="noConversion"/>
  </si>
  <si>
    <r>
      <t xml:space="preserve">2978 1432, </t>
    </r>
    <r>
      <rPr>
        <sz val="10"/>
        <rFont val="Arial"/>
        <family val="2"/>
      </rPr>
      <t>Na.Li</t>
    </r>
    <r>
      <rPr>
        <sz val="10"/>
        <rFont val="Arial"/>
        <family val="2"/>
      </rPr>
      <t>@gs.com</t>
    </r>
    <phoneticPr fontId="4" type="noConversion"/>
  </si>
  <si>
    <t>USY9896RAB79</t>
  </si>
  <si>
    <t>Yue Xiu Enterprises 6.4% 16 Apr 2020 private placement</t>
    <phoneticPr fontId="4" type="noConversion"/>
  </si>
  <si>
    <t>Ian Ngai</t>
    <phoneticPr fontId="4" type="noConversion"/>
  </si>
  <si>
    <r>
      <t>2252 2016,</t>
    </r>
    <r>
      <rPr>
        <sz val="10"/>
        <rFont val="Arial"/>
        <family val="2"/>
      </rPr>
      <t xml:space="preserve"> ian.ngai@nomura.com</t>
    </r>
    <r>
      <rPr>
        <sz val="10"/>
        <rFont val="Arial"/>
        <family val="2"/>
      </rPr>
      <t xml:space="preserve">  </t>
    </r>
    <phoneticPr fontId="4" type="noConversion"/>
  </si>
  <si>
    <t>Yue Xiu Enterprises 6.4% 16 Apr 2020 private placement</t>
  </si>
  <si>
    <r>
      <t>2012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4</t>
    </r>
    <r>
      <rPr>
        <sz val="10"/>
        <rFont val="細明體"/>
        <family val="3"/>
        <charset val="136"/>
      </rPr>
      <t>月</t>
    </r>
    <phoneticPr fontId="4" type="noConversion"/>
  </si>
  <si>
    <t>XS0784926270</t>
    <phoneticPr fontId="4" type="noConversion"/>
  </si>
  <si>
    <t xml:space="preserve">1MDB Energy 5.99% May-2022 PP </t>
  </si>
  <si>
    <t xml:space="preserve">1MDB Energy 5.99% May-2022 PP </t>
    <phoneticPr fontId="4" type="noConversion"/>
  </si>
  <si>
    <t>Aa3</t>
    <phoneticPr fontId="4" type="noConversion"/>
  </si>
  <si>
    <t xml:space="preserve">&lt;herman.lam@nomura.com&gt; </t>
  </si>
  <si>
    <t>Deutche Bank</t>
  </si>
  <si>
    <t>Jeremy Lau</t>
  </si>
  <si>
    <t>laujere.hkdb@bloomberg.net</t>
  </si>
  <si>
    <t>AFS</t>
  </si>
  <si>
    <r>
      <t>H</t>
    </r>
    <r>
      <rPr>
        <sz val="10"/>
        <rFont val="Arial"/>
        <family val="2"/>
      </rPr>
      <t>K0000131752</t>
    </r>
    <phoneticPr fontId="4" type="noConversion"/>
  </si>
  <si>
    <t>Shandong Intl HK 5.8% due 2015 CNH</t>
    <phoneticPr fontId="4" type="noConversion"/>
  </si>
  <si>
    <t>Citic Sec</t>
    <phoneticPr fontId="4" type="noConversion"/>
  </si>
  <si>
    <r>
      <t>S</t>
    </r>
    <r>
      <rPr>
        <sz val="10"/>
        <rFont val="Arial"/>
        <family val="2"/>
      </rPr>
      <t>haron Chang</t>
    </r>
    <phoneticPr fontId="4" type="noConversion"/>
  </si>
  <si>
    <t xml:space="preserve">Beijing Enterprise Water 4.625 05/06/18 </t>
  </si>
  <si>
    <t xml:space="preserve">Beijing Enterprise Water 4.625 05/06/18 </t>
    <phoneticPr fontId="4" type="noConversion"/>
  </si>
  <si>
    <t>XS0919055581</t>
  </si>
  <si>
    <t>2822 3060, soon-shean@bloomberg.net</t>
  </si>
  <si>
    <r>
      <t>2237-9477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sharonchang@citics.com.hk</t>
    </r>
    <r>
      <rPr>
        <sz val="10"/>
        <rFont val="Arial"/>
        <family val="2"/>
      </rPr>
      <t xml:space="preserve"> </t>
    </r>
    <phoneticPr fontId="4" type="noConversion"/>
  </si>
  <si>
    <r>
      <t>2237-9477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sharonchang@citics.com.hk</t>
    </r>
    <phoneticPr fontId="4" type="noConversion"/>
  </si>
  <si>
    <r>
      <t>A</t>
    </r>
    <r>
      <rPr>
        <sz val="10"/>
        <rFont val="Arial"/>
        <family val="2"/>
      </rPr>
      <t>A</t>
    </r>
    <phoneticPr fontId="4" type="noConversion"/>
  </si>
  <si>
    <t>Wai Yip</t>
    <phoneticPr fontId="4" type="noConversion"/>
  </si>
  <si>
    <t xml:space="preserve">Wai Yip </t>
    <phoneticPr fontId="4" type="noConversion"/>
  </si>
  <si>
    <t xml:space="preserve">China Overseas Hld 6% June-2022 PP </t>
    <phoneticPr fontId="4" type="noConversion"/>
  </si>
  <si>
    <r>
      <t>N</t>
    </r>
    <r>
      <rPr>
        <sz val="10"/>
        <rFont val="Arial"/>
        <family val="2"/>
      </rPr>
      <t>R</t>
    </r>
    <phoneticPr fontId="4" type="noConversion"/>
  </si>
  <si>
    <t xml:space="preserve">XS0798322276 </t>
    <phoneticPr fontId="4" type="noConversion"/>
  </si>
  <si>
    <t>10 yr Hong Kong Govt bond + 497bp, HK 10 year swap rate + 442bp</t>
    <phoneticPr fontId="4" type="noConversion"/>
  </si>
  <si>
    <t>HKD</t>
    <phoneticPr fontId="4" type="noConversion"/>
  </si>
  <si>
    <r>
      <t>2012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8</t>
    </r>
    <r>
      <rPr>
        <sz val="10"/>
        <rFont val="細明體"/>
        <family val="3"/>
        <charset val="136"/>
      </rPr>
      <t>月</t>
    </r>
    <phoneticPr fontId="4" type="noConversion"/>
  </si>
  <si>
    <t xml:space="preserve">BJ Enterprise Water 6.15% due 2021 CNH PP </t>
    <phoneticPr fontId="4" type="noConversion"/>
  </si>
  <si>
    <t>人民币</t>
  </si>
  <si>
    <t>港分G</t>
    <phoneticPr fontId="4" type="noConversion"/>
  </si>
  <si>
    <t>美元</t>
    <phoneticPr fontId="4" type="noConversion"/>
  </si>
  <si>
    <r>
      <t>2012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6</t>
    </r>
    <r>
      <rPr>
        <sz val="10"/>
        <rFont val="細明體"/>
        <family val="3"/>
        <charset val="136"/>
      </rPr>
      <t>月</t>
    </r>
    <phoneticPr fontId="4" type="noConversion"/>
  </si>
  <si>
    <t xml:space="preserve">China Overseas Hld 6% June-2022 PP </t>
  </si>
  <si>
    <t>BJ Enterprise Water 6.15% due 2021 CNH PP</t>
    <phoneticPr fontId="4" type="noConversion"/>
  </si>
  <si>
    <r>
      <t>C</t>
    </r>
    <r>
      <rPr>
        <sz val="10"/>
        <rFont val="Arial"/>
        <family val="2"/>
      </rPr>
      <t>NY</t>
    </r>
    <phoneticPr fontId="4" type="noConversion"/>
  </si>
  <si>
    <t xml:space="preserve">BNYHFN12017 </t>
    <phoneticPr fontId="4" type="noConversion"/>
  </si>
  <si>
    <t>US61747WAL37</t>
    <phoneticPr fontId="4" type="noConversion"/>
  </si>
  <si>
    <t>BJ Enterprise Water 6.15% due 2021 CNH PP</t>
    <phoneticPr fontId="4" type="noConversion"/>
  </si>
  <si>
    <t>Morgan Stanley 5.5% 07/28/2021 Senior Bond</t>
    <phoneticPr fontId="4" type="noConversion"/>
  </si>
  <si>
    <r>
      <t>B</t>
    </r>
    <r>
      <rPr>
        <sz val="10"/>
        <rFont val="Arial"/>
        <family val="2"/>
      </rPr>
      <t>aa1</t>
    </r>
    <phoneticPr fontId="4" type="noConversion"/>
  </si>
  <si>
    <r>
      <t>A</t>
    </r>
    <r>
      <rPr>
        <sz val="10"/>
        <rFont val="Arial"/>
        <family val="2"/>
      </rPr>
      <t>-</t>
    </r>
    <phoneticPr fontId="4" type="noConversion"/>
  </si>
  <si>
    <r>
      <t>M</t>
    </r>
    <r>
      <rPr>
        <sz val="10"/>
        <rFont val="Arial"/>
        <family val="2"/>
      </rPr>
      <t>S</t>
    </r>
    <phoneticPr fontId="4" type="noConversion"/>
  </si>
  <si>
    <r>
      <t>A</t>
    </r>
    <r>
      <rPr>
        <sz val="10"/>
        <rFont val="Arial"/>
        <family val="2"/>
      </rPr>
      <t>lbert You</t>
    </r>
    <phoneticPr fontId="4" type="noConversion"/>
  </si>
  <si>
    <r>
      <t xml:space="preserve">2239-7613 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 xml:space="preserve">Albert.You@morganstanley.com   </t>
    </r>
    <phoneticPr fontId="4" type="noConversion"/>
  </si>
  <si>
    <r>
      <t xml:space="preserve">2978 2241, </t>
    </r>
    <r>
      <rPr>
        <sz val="10"/>
        <rFont val="Arial"/>
        <family val="2"/>
      </rPr>
      <t xml:space="preserve">wai.yip@gs.com </t>
    </r>
    <phoneticPr fontId="4" type="noConversion"/>
  </si>
  <si>
    <r>
      <t>G</t>
    </r>
    <r>
      <rPr>
        <sz val="10"/>
        <rFont val="Arial"/>
        <family val="2"/>
      </rPr>
      <t>S</t>
    </r>
    <phoneticPr fontId="4" type="noConversion"/>
  </si>
  <si>
    <r>
      <t>2012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5</t>
    </r>
    <r>
      <rPr>
        <sz val="10"/>
        <rFont val="細明體"/>
        <family val="3"/>
        <charset val="136"/>
      </rPr>
      <t>月</t>
    </r>
    <phoneticPr fontId="4" type="noConversion"/>
  </si>
  <si>
    <t>澳分G</t>
    <phoneticPr fontId="4" type="noConversion"/>
  </si>
  <si>
    <t>港分G</t>
    <phoneticPr fontId="4" type="noConversion"/>
  </si>
  <si>
    <t xml:space="preserve">Zoomlion Heavy 6.875% 05 April 2017 </t>
    <phoneticPr fontId="4" type="noConversion"/>
  </si>
  <si>
    <r>
      <t>B</t>
    </r>
    <r>
      <rPr>
        <sz val="10"/>
        <rFont val="Arial"/>
        <family val="2"/>
      </rPr>
      <t>BB-(Fitch)</t>
    </r>
    <phoneticPr fontId="4" type="noConversion"/>
  </si>
  <si>
    <r>
      <t>B</t>
    </r>
    <r>
      <rPr>
        <sz val="10"/>
        <rFont val="Arial"/>
        <family val="2"/>
      </rPr>
      <t>B+</t>
    </r>
    <phoneticPr fontId="4" type="noConversion"/>
  </si>
  <si>
    <t xml:space="preserve">Zoomlion Heavy 6.875% 05 April 2017 * </t>
    <phoneticPr fontId="4" type="noConversion"/>
  </si>
  <si>
    <t>*注：中联重科交易日为3月28日，交收日为4月5日，因此不会包含于3月份持仓报告</t>
    <phoneticPr fontId="4" type="noConversion"/>
  </si>
  <si>
    <t>Security Code</t>
    <phoneticPr fontId="4" type="noConversion"/>
  </si>
  <si>
    <t>Buy/Sell</t>
    <phoneticPr fontId="4" type="noConversion"/>
  </si>
  <si>
    <t>Date:</t>
    <phoneticPr fontId="4" type="noConversion"/>
  </si>
  <si>
    <t>Item No.</t>
    <phoneticPr fontId="4" type="noConversion"/>
  </si>
  <si>
    <t>Broker</t>
    <phoneticPr fontId="4" type="noConversion"/>
  </si>
  <si>
    <t>Trade Date</t>
    <phoneticPr fontId="4" type="noConversion"/>
  </si>
  <si>
    <t>Value Date</t>
    <phoneticPr fontId="4" type="noConversion"/>
  </si>
  <si>
    <t>Security Name</t>
    <phoneticPr fontId="4" type="noConversion"/>
  </si>
  <si>
    <t>Currency</t>
    <phoneticPr fontId="4" type="noConversion"/>
  </si>
  <si>
    <t>Par Value</t>
    <phoneticPr fontId="4" type="noConversion"/>
  </si>
  <si>
    <t>Broker Contact Person</t>
    <phoneticPr fontId="4" type="noConversion"/>
  </si>
  <si>
    <t>Price (%)</t>
    <phoneticPr fontId="4" type="noConversion"/>
  </si>
  <si>
    <t>Yield To Maturity (%)</t>
    <phoneticPr fontId="4" type="noConversion"/>
  </si>
  <si>
    <t>Account Name</t>
    <phoneticPr fontId="4" type="noConversion"/>
  </si>
  <si>
    <r>
      <t>X</t>
    </r>
    <r>
      <rPr>
        <sz val="10"/>
        <rFont val="Arial"/>
        <family val="2"/>
      </rPr>
      <t>S0359089512</t>
    </r>
    <phoneticPr fontId="4" type="noConversion"/>
  </si>
  <si>
    <r>
      <t>S</t>
    </r>
    <r>
      <rPr>
        <sz val="10"/>
        <rFont val="Arial"/>
        <family val="2"/>
      </rPr>
      <t>wire 6.25% 18 Apr 2018</t>
    </r>
    <phoneticPr fontId="4" type="noConversion"/>
  </si>
  <si>
    <r>
      <t>B</t>
    </r>
    <r>
      <rPr>
        <sz val="10"/>
        <rFont val="Arial"/>
        <family val="2"/>
      </rPr>
      <t>uy</t>
    </r>
    <phoneticPr fontId="4" type="noConversion"/>
  </si>
  <si>
    <r>
      <t>H</t>
    </r>
    <r>
      <rPr>
        <sz val="10"/>
        <rFont val="Arial"/>
        <family val="2"/>
      </rPr>
      <t>SBC</t>
    </r>
    <phoneticPr fontId="4" type="noConversion"/>
  </si>
  <si>
    <r>
      <t>C</t>
    </r>
    <r>
      <rPr>
        <sz val="10"/>
        <rFont val="Arial"/>
        <family val="2"/>
      </rPr>
      <t>andy Ho</t>
    </r>
    <phoneticPr fontId="4" type="noConversion"/>
  </si>
  <si>
    <t>Broker Tel No. / emai address</t>
    <phoneticPr fontId="4" type="noConversion"/>
  </si>
  <si>
    <r>
      <t xml:space="preserve">2822 3060, </t>
    </r>
    <r>
      <rPr>
        <sz val="10"/>
        <rFont val="Arial"/>
        <family val="2"/>
      </rPr>
      <t>candyho@bloomberg.net</t>
    </r>
    <phoneticPr fontId="4" type="noConversion"/>
  </si>
  <si>
    <r>
      <t>U</t>
    </r>
    <r>
      <rPr>
        <sz val="10"/>
        <rFont val="Arial"/>
        <family val="2"/>
      </rPr>
      <t>SY4949FAJ40</t>
    </r>
    <phoneticPr fontId="4" type="noConversion"/>
  </si>
  <si>
    <r>
      <t>K</t>
    </r>
    <r>
      <rPr>
        <sz val="10"/>
        <rFont val="Arial"/>
        <family val="2"/>
      </rPr>
      <t>orea Southern Power 5.375% 18 Apr 2013</t>
    </r>
    <phoneticPr fontId="4" type="noConversion"/>
  </si>
  <si>
    <r>
      <t>C</t>
    </r>
    <r>
      <rPr>
        <sz val="10"/>
        <rFont val="Arial"/>
        <family val="2"/>
      </rPr>
      <t>itigroup</t>
    </r>
    <phoneticPr fontId="4" type="noConversion"/>
  </si>
  <si>
    <r>
      <t>K</t>
    </r>
    <r>
      <rPr>
        <sz val="10"/>
        <rFont val="Arial"/>
        <family val="2"/>
      </rPr>
      <t>aren So</t>
    </r>
    <phoneticPr fontId="4" type="noConversion"/>
  </si>
  <si>
    <r>
      <t>2</t>
    </r>
    <r>
      <rPr>
        <sz val="10"/>
        <rFont val="Arial"/>
        <family val="2"/>
      </rPr>
      <t>501 8336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karenso@bloomberg.net</t>
    </r>
    <phoneticPr fontId="4" type="noConversion"/>
  </si>
  <si>
    <r>
      <t>J</t>
    </r>
    <r>
      <rPr>
        <sz val="10"/>
        <rFont val="Arial"/>
        <family val="2"/>
      </rPr>
      <t>P Morgan</t>
    </r>
    <phoneticPr fontId="4" type="noConversion"/>
  </si>
  <si>
    <r>
      <t>C</t>
    </r>
    <r>
      <rPr>
        <sz val="10"/>
        <rFont val="Arial"/>
        <family val="2"/>
      </rPr>
      <t>herry Cheung</t>
    </r>
    <phoneticPr fontId="4" type="noConversion"/>
  </si>
  <si>
    <r>
      <t>28</t>
    </r>
    <r>
      <rPr>
        <sz val="10"/>
        <rFont val="Arial"/>
        <family val="2"/>
      </rPr>
      <t>00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8255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cherry1214@bloomberg.net</t>
    </r>
    <phoneticPr fontId="4" type="noConversion"/>
  </si>
  <si>
    <r>
      <t>G</t>
    </r>
    <r>
      <rPr>
        <sz val="10"/>
        <rFont val="Arial"/>
        <family val="2"/>
      </rPr>
      <t>lodman Sachs</t>
    </r>
    <phoneticPr fontId="4" type="noConversion"/>
  </si>
  <si>
    <r>
      <t>C</t>
    </r>
    <r>
      <rPr>
        <sz val="10"/>
        <rFont val="Arial"/>
        <family val="2"/>
      </rPr>
      <t>laire Liu</t>
    </r>
    <phoneticPr fontId="4" type="noConversion"/>
  </si>
  <si>
    <r>
      <t>2</t>
    </r>
    <r>
      <rPr>
        <sz val="10"/>
        <rFont val="Arial"/>
        <family val="2"/>
      </rPr>
      <t>868 2600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claireliu@bloomberg.net</t>
    </r>
    <phoneticPr fontId="4" type="noConversion"/>
  </si>
  <si>
    <r>
      <t>U</t>
    </r>
    <r>
      <rPr>
        <sz val="10"/>
        <rFont val="Arial"/>
        <family val="2"/>
      </rPr>
      <t>BS</t>
    </r>
    <phoneticPr fontId="4" type="noConversion"/>
  </si>
  <si>
    <r>
      <t>L</t>
    </r>
    <r>
      <rPr>
        <sz val="10"/>
        <rFont val="Arial"/>
        <family val="2"/>
      </rPr>
      <t>ingZhu Yu Steiner</t>
    </r>
    <phoneticPr fontId="4" type="noConversion"/>
  </si>
  <si>
    <r>
      <t>2</t>
    </r>
    <r>
      <rPr>
        <sz val="10"/>
        <rFont val="Arial"/>
        <family val="2"/>
      </rPr>
      <t>971 6246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lingzhuyu@bloomberg.net</t>
    </r>
    <phoneticPr fontId="4" type="noConversion"/>
  </si>
  <si>
    <t>US61746SBR94</t>
    <phoneticPr fontId="4" type="noConversion"/>
  </si>
  <si>
    <t>Buy</t>
    <phoneticPr fontId="4" type="noConversion"/>
  </si>
  <si>
    <t>USD</t>
    <phoneticPr fontId="4" type="noConversion"/>
  </si>
  <si>
    <t>Morgan Stanley</t>
  </si>
  <si>
    <t>3983 8095,Evelyn.Wong@sc.com</t>
    <phoneticPr fontId="4" type="noConversion"/>
  </si>
  <si>
    <t xml:space="preserve">Evelyn Wong  </t>
    <phoneticPr fontId="4" type="noConversion"/>
  </si>
  <si>
    <t>XS0878083517</t>
    <phoneticPr fontId="4" type="noConversion"/>
  </si>
  <si>
    <t>SCB</t>
    <phoneticPr fontId="4" type="noConversion"/>
  </si>
  <si>
    <t>3983 8095, hewong@bloomberg.net</t>
    <phoneticPr fontId="4" type="noConversion"/>
  </si>
  <si>
    <t>Buy</t>
    <phoneticPr fontId="4" type="noConversion"/>
  </si>
  <si>
    <t>美金</t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</si>
  <si>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6</t>
    </r>
    <r>
      <rPr>
        <sz val="10"/>
        <rFont val="細明體"/>
        <family val="3"/>
        <charset val="136"/>
      </rPr>
      <t>月</t>
    </r>
    <r>
      <rPr>
        <sz val="10"/>
        <rFont val="Arial"/>
        <family val="2"/>
      </rPr>
      <t/>
    </r>
    <phoneticPr fontId="4" type="noConversion"/>
  </si>
  <si>
    <t>BBB-</t>
  </si>
  <si>
    <t>sell</t>
  </si>
  <si>
    <t xml:space="preserve">Evelyn Wong  </t>
  </si>
  <si>
    <t>3983 8095,Evelyn.Wong@sc.com</t>
  </si>
  <si>
    <t xml:space="preserve">Grace Wong </t>
    <phoneticPr fontId="4" type="noConversion"/>
  </si>
  <si>
    <t>US61746SBR94</t>
    <phoneticPr fontId="4" type="noConversion"/>
  </si>
  <si>
    <t>Buy</t>
    <phoneticPr fontId="4" type="noConversion"/>
  </si>
  <si>
    <t>USD</t>
    <phoneticPr fontId="4" type="noConversion"/>
  </si>
  <si>
    <t xml:space="preserve">Grace Wong </t>
    <phoneticPr fontId="4" type="noConversion"/>
  </si>
  <si>
    <t>XS0345639008</t>
    <phoneticPr fontId="4" type="noConversion"/>
  </si>
  <si>
    <t xml:space="preserve">Goldman Sachs International </t>
    <phoneticPr fontId="4" type="noConversion"/>
  </si>
  <si>
    <t xml:space="preserve">Claire Liu </t>
    <phoneticPr fontId="4" type="noConversion"/>
  </si>
  <si>
    <r>
      <t>2</t>
    </r>
    <r>
      <rPr>
        <sz val="10"/>
        <rFont val="Arial"/>
        <family val="2"/>
      </rPr>
      <t>8682600, claireliu@gs.com</t>
    </r>
    <phoneticPr fontId="4" type="noConversion"/>
  </si>
  <si>
    <t xml:space="preserve">Morgan Stanley </t>
    <phoneticPr fontId="4" type="noConversion"/>
  </si>
  <si>
    <t>XS0191426807</t>
    <phoneticPr fontId="4" type="noConversion"/>
  </si>
  <si>
    <t>HSBC</t>
    <phoneticPr fontId="4" type="noConversion"/>
  </si>
  <si>
    <t>Candy Ho</t>
    <phoneticPr fontId="4" type="noConversion"/>
  </si>
  <si>
    <r>
      <t xml:space="preserve">2822 3060, </t>
    </r>
    <r>
      <rPr>
        <sz val="10"/>
        <rFont val="Arial"/>
        <family val="2"/>
      </rPr>
      <t>candyho@bloomberg.net</t>
    </r>
    <phoneticPr fontId="4" type="noConversion"/>
  </si>
  <si>
    <t>BNP PARIBAS</t>
    <phoneticPr fontId="4" type="noConversion"/>
  </si>
  <si>
    <t>Kenneth Choy</t>
    <phoneticPr fontId="4" type="noConversion"/>
  </si>
  <si>
    <t>XS0920864708</t>
  </si>
  <si>
    <t>Parkon Retial 4.5% 05/03/18</t>
    <phoneticPr fontId="4" type="noConversion"/>
  </si>
  <si>
    <t>Ba1</t>
    <phoneticPr fontId="4" type="noConversion"/>
  </si>
  <si>
    <t>BBB-(Fitch)</t>
    <phoneticPr fontId="4" type="noConversion"/>
  </si>
  <si>
    <t>21617625, xfu2@bloomberg.net</t>
  </si>
  <si>
    <t>XS0878083517</t>
  </si>
  <si>
    <t>Baa3</t>
    <phoneticPr fontId="4" type="noConversion"/>
  </si>
  <si>
    <t>YueXiu Property 4.5%  01/24/23</t>
    <phoneticPr fontId="4" type="noConversion"/>
  </si>
  <si>
    <t>BBB-</t>
    <phoneticPr fontId="4" type="noConversion"/>
  </si>
  <si>
    <t>Li Na</t>
    <phoneticPr fontId="4" type="noConversion"/>
  </si>
  <si>
    <r>
      <t>2</t>
    </r>
    <r>
      <rPr>
        <sz val="10"/>
        <rFont val="Arial"/>
        <family val="2"/>
      </rPr>
      <t>1085058, kenneth.choy@asia.bnpparibas.com</t>
    </r>
    <phoneticPr fontId="4" type="noConversion"/>
  </si>
  <si>
    <r>
      <t>X</t>
    </r>
    <r>
      <rPr>
        <sz val="10"/>
        <rFont val="Arial"/>
        <family val="2"/>
      </rPr>
      <t>S0164067836</t>
    </r>
    <phoneticPr fontId="4" type="noConversion"/>
  </si>
  <si>
    <r>
      <t>B</t>
    </r>
    <r>
      <rPr>
        <sz val="10"/>
        <rFont val="Arial"/>
        <family val="2"/>
      </rPr>
      <t>OCI</t>
    </r>
    <phoneticPr fontId="4" type="noConversion"/>
  </si>
  <si>
    <r>
      <t>L</t>
    </r>
    <r>
      <rPr>
        <sz val="10"/>
        <rFont val="Arial"/>
        <family val="2"/>
      </rPr>
      <t xml:space="preserve">andy Liu </t>
    </r>
    <phoneticPr fontId="4" type="noConversion"/>
  </si>
  <si>
    <r>
      <t>28676321</t>
    </r>
    <r>
      <rPr>
        <sz val="10"/>
        <rFont val="Arial"/>
        <family val="2"/>
      </rPr>
      <t xml:space="preserve"> landy.liu@bocigroup.com</t>
    </r>
    <phoneticPr fontId="4" type="noConversion"/>
  </si>
  <si>
    <t>Morgan Stanley</t>
    <phoneticPr fontId="4" type="noConversion"/>
  </si>
  <si>
    <r>
      <t>28485084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234075934,Garce. Wong @morganstanley.com</t>
    </r>
    <phoneticPr fontId="4" type="noConversion"/>
  </si>
  <si>
    <r>
      <t>X</t>
    </r>
    <r>
      <rPr>
        <sz val="10"/>
        <rFont val="Arial"/>
        <family val="2"/>
      </rPr>
      <t>S0356943828</t>
    </r>
    <phoneticPr fontId="4" type="noConversion"/>
  </si>
  <si>
    <r>
      <t>B</t>
    </r>
    <r>
      <rPr>
        <sz val="10"/>
        <rFont val="Arial"/>
        <family val="2"/>
      </rPr>
      <t>arclays</t>
    </r>
    <phoneticPr fontId="4" type="noConversion"/>
  </si>
  <si>
    <r>
      <t>S</t>
    </r>
    <r>
      <rPr>
        <sz val="10"/>
        <rFont val="Arial"/>
        <family val="2"/>
      </rPr>
      <t>tephen Mak</t>
    </r>
    <phoneticPr fontId="4" type="noConversion"/>
  </si>
  <si>
    <r>
      <t>2</t>
    </r>
    <r>
      <rPr>
        <sz val="10"/>
        <rFont val="Arial"/>
        <family val="2"/>
      </rPr>
      <t>903 2549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smak1</t>
    </r>
    <r>
      <rPr>
        <sz val="10"/>
        <rFont val="Arial"/>
        <family val="2"/>
      </rPr>
      <t>@</t>
    </r>
    <r>
      <rPr>
        <sz val="10"/>
        <rFont val="Arial"/>
        <family val="2"/>
      </rPr>
      <t>bloomberg.net</t>
    </r>
    <phoneticPr fontId="4" type="noConversion"/>
  </si>
  <si>
    <r>
      <t>U</t>
    </r>
    <r>
      <rPr>
        <sz val="10"/>
        <rFont val="Arial"/>
        <family val="2"/>
      </rPr>
      <t>S441812JY13</t>
    </r>
    <phoneticPr fontId="4" type="noConversion"/>
  </si>
  <si>
    <r>
      <t>H</t>
    </r>
    <r>
      <rPr>
        <sz val="10"/>
        <rFont val="Arial"/>
        <family val="2"/>
      </rPr>
      <t>SBC Finance 7% May 2012</t>
    </r>
    <phoneticPr fontId="4" type="noConversion"/>
  </si>
  <si>
    <r>
      <t>Gazprom 9.625%</t>
    </r>
    <r>
      <rPr>
        <sz val="10"/>
        <rFont val="Arial"/>
        <family val="2"/>
      </rPr>
      <t xml:space="preserve"> Mar 2013</t>
    </r>
    <phoneticPr fontId="4" type="noConversion"/>
  </si>
  <si>
    <r>
      <t>Gazprom 7.343%</t>
    </r>
    <r>
      <rPr>
        <sz val="10"/>
        <rFont val="Arial"/>
        <family val="2"/>
      </rPr>
      <t xml:space="preserve"> Apr 2013</t>
    </r>
    <phoneticPr fontId="4" type="noConversion"/>
  </si>
  <si>
    <r>
      <t>Morgan Stanley 5.375</t>
    </r>
    <r>
      <rPr>
        <sz val="10"/>
        <rFont val="Arial"/>
        <family val="2"/>
      </rPr>
      <t xml:space="preserve"> Oct 2015</t>
    </r>
    <phoneticPr fontId="4" type="noConversion"/>
  </si>
  <si>
    <r>
      <t>Korea Midland Power 5.375%</t>
    </r>
    <r>
      <rPr>
        <sz val="10"/>
        <rFont val="Arial"/>
        <family val="2"/>
      </rPr>
      <t xml:space="preserve"> Feb 2013</t>
    </r>
    <phoneticPr fontId="4" type="noConversion"/>
  </si>
  <si>
    <r>
      <t xml:space="preserve">Hong Kong Land </t>
    </r>
    <r>
      <rPr>
        <sz val="10"/>
        <rFont val="Arial"/>
        <family val="2"/>
      </rPr>
      <t>Apr 2014</t>
    </r>
    <phoneticPr fontId="4" type="noConversion"/>
  </si>
  <si>
    <r>
      <t>U</t>
    </r>
    <r>
      <rPr>
        <sz val="10"/>
        <rFont val="Arial"/>
        <family val="2"/>
      </rPr>
      <t>SQ97012AB67</t>
    </r>
    <phoneticPr fontId="4" type="noConversion"/>
  </si>
  <si>
    <r>
      <t>W</t>
    </r>
    <r>
      <rPr>
        <sz val="10"/>
        <rFont val="Arial"/>
        <family val="2"/>
      </rPr>
      <t>estfield 5.125% Nov 2014</t>
    </r>
    <phoneticPr fontId="4" type="noConversion"/>
  </si>
  <si>
    <r>
      <t>C</t>
    </r>
    <r>
      <rPr>
        <sz val="10"/>
        <rFont val="Arial"/>
        <family val="2"/>
      </rPr>
      <t>itigroup 5.5% 11 Apr 2013</t>
    </r>
    <phoneticPr fontId="4" type="noConversion"/>
  </si>
  <si>
    <r>
      <t>U</t>
    </r>
    <r>
      <rPr>
        <sz val="10"/>
        <rFont val="Arial"/>
        <family val="2"/>
      </rPr>
      <t>S172967EQ04</t>
    </r>
    <phoneticPr fontId="4" type="noConversion"/>
  </si>
  <si>
    <t>Benchmark T</t>
    <phoneticPr fontId="4" type="noConversion"/>
  </si>
  <si>
    <t>T curve</t>
    <phoneticPr fontId="4" type="noConversion"/>
  </si>
  <si>
    <t>sw curve</t>
    <phoneticPr fontId="4" type="noConversion"/>
  </si>
  <si>
    <r>
      <t>XS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0185827085</t>
    </r>
    <phoneticPr fontId="4" type="noConversion"/>
  </si>
  <si>
    <r>
      <t>E</t>
    </r>
    <r>
      <rPr>
        <sz val="10"/>
        <rFont val="Arial"/>
        <family val="2"/>
      </rPr>
      <t>xport-Import Bank of Korea 5.25% Feb 2014</t>
    </r>
    <phoneticPr fontId="4" type="noConversion"/>
  </si>
  <si>
    <r>
      <t>U</t>
    </r>
    <r>
      <rPr>
        <sz val="10"/>
        <rFont val="Arial"/>
        <family val="2"/>
      </rPr>
      <t>S 302154AM16</t>
    </r>
    <phoneticPr fontId="4" type="noConversion"/>
  </si>
  <si>
    <r>
      <t>T</t>
    </r>
    <r>
      <rPr>
        <sz val="10"/>
        <rFont val="Arial"/>
        <family val="2"/>
      </rPr>
      <t>10+185</t>
    </r>
    <phoneticPr fontId="4" type="noConversion"/>
  </si>
  <si>
    <r>
      <t>E</t>
    </r>
    <r>
      <rPr>
        <sz val="10"/>
        <rFont val="Arial"/>
        <family val="2"/>
      </rPr>
      <t>xport-Import Bank of Korea 5.125% Mar 2015</t>
    </r>
    <phoneticPr fontId="4" type="noConversion"/>
  </si>
  <si>
    <r>
      <t>U</t>
    </r>
    <r>
      <rPr>
        <sz val="10"/>
        <rFont val="Arial"/>
        <family val="2"/>
      </rPr>
      <t>S 48268FAA03</t>
    </r>
    <phoneticPr fontId="4" type="noConversion"/>
  </si>
  <si>
    <t>KT Corp (KOREAT) 5.875% Jun 2014</t>
    <phoneticPr fontId="4" type="noConversion"/>
  </si>
  <si>
    <r>
      <t xml:space="preserve">21085058, </t>
    </r>
    <r>
      <rPr>
        <sz val="10"/>
        <rFont val="Arial"/>
        <family val="2"/>
      </rPr>
      <t>edmund.tsang</t>
    </r>
    <r>
      <rPr>
        <sz val="10"/>
        <rFont val="Arial"/>
        <family val="2"/>
      </rPr>
      <t>@asia.bnpparibas.com</t>
    </r>
    <phoneticPr fontId="4" type="noConversion"/>
  </si>
  <si>
    <r>
      <t>E</t>
    </r>
    <r>
      <rPr>
        <sz val="10"/>
        <rFont val="Arial"/>
        <family val="2"/>
      </rPr>
      <t>dmund Tsang</t>
    </r>
    <phoneticPr fontId="4" type="noConversion"/>
  </si>
  <si>
    <r>
      <t>J</t>
    </r>
    <r>
      <rPr>
        <sz val="10"/>
        <rFont val="Arial"/>
        <family val="2"/>
      </rPr>
      <t>P Morgan</t>
    </r>
    <phoneticPr fontId="4" type="noConversion"/>
  </si>
  <si>
    <r>
      <t>2800 8255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cherry.cw.cheung@jpmorgan.com</t>
    </r>
    <phoneticPr fontId="4" type="noConversion"/>
  </si>
  <si>
    <r>
      <t>U</t>
    </r>
    <r>
      <rPr>
        <sz val="10"/>
        <rFont val="Arial"/>
        <family val="2"/>
      </rPr>
      <t>SU94303AA99</t>
    </r>
    <phoneticPr fontId="4" type="noConversion"/>
  </si>
  <si>
    <r>
      <t>A</t>
    </r>
    <r>
      <rPr>
        <sz val="10"/>
        <rFont val="Arial"/>
        <family val="2"/>
      </rPr>
      <t>rthur Lai</t>
    </r>
    <phoneticPr fontId="4" type="noConversion"/>
  </si>
  <si>
    <r>
      <t>28485084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Arthur.Lai @morganstanley.com</t>
    </r>
    <phoneticPr fontId="4" type="noConversion"/>
  </si>
  <si>
    <r>
      <t>T</t>
    </r>
    <r>
      <rPr>
        <sz val="10"/>
        <rFont val="Arial"/>
        <family val="2"/>
      </rPr>
      <t>10+264</t>
    </r>
    <phoneticPr fontId="4" type="noConversion"/>
  </si>
  <si>
    <r>
      <t>U</t>
    </r>
    <r>
      <rPr>
        <sz val="10"/>
        <rFont val="Arial"/>
        <family val="2"/>
      </rPr>
      <t>S02580ECN13</t>
    </r>
    <phoneticPr fontId="4" type="noConversion"/>
  </si>
  <si>
    <r>
      <t>T</t>
    </r>
    <r>
      <rPr>
        <sz val="10"/>
        <rFont val="Arial"/>
        <family val="2"/>
      </rPr>
      <t>5+230</t>
    </r>
    <phoneticPr fontId="4" type="noConversion"/>
  </si>
  <si>
    <r>
      <t>T</t>
    </r>
    <r>
      <rPr>
        <sz val="10"/>
        <rFont val="Arial"/>
        <family val="2"/>
      </rPr>
      <t>5+240</t>
    </r>
    <phoneticPr fontId="4" type="noConversion"/>
  </si>
  <si>
    <r>
      <t>T</t>
    </r>
    <r>
      <rPr>
        <sz val="10"/>
        <rFont val="Arial"/>
        <family val="2"/>
      </rPr>
      <t>10+185</t>
    </r>
    <r>
      <rPr>
        <sz val="10"/>
        <rFont val="Arial"/>
        <family val="2"/>
      </rPr>
      <t/>
    </r>
    <phoneticPr fontId="4" type="noConversion"/>
  </si>
  <si>
    <r>
      <t>T</t>
    </r>
    <r>
      <rPr>
        <sz val="10"/>
        <rFont val="Arial"/>
        <family val="2"/>
      </rPr>
      <t>5+217</t>
    </r>
    <phoneticPr fontId="4" type="noConversion"/>
  </si>
  <si>
    <t>Westfield 7.125% Apr 2018</t>
    <phoneticPr fontId="4" type="noConversion"/>
  </si>
  <si>
    <r>
      <t>A</t>
    </r>
    <r>
      <rPr>
        <sz val="10"/>
        <rFont val="Arial"/>
        <family val="2"/>
      </rPr>
      <t>merican Express Bank FSB 5.5% Apr 2013</t>
    </r>
    <phoneticPr fontId="4" type="noConversion"/>
  </si>
  <si>
    <r>
      <t>5</t>
    </r>
    <r>
      <rPr>
        <sz val="10"/>
        <rFont val="Arial"/>
        <family val="2"/>
      </rPr>
      <t>Y + 360</t>
    </r>
    <phoneticPr fontId="4" type="noConversion"/>
  </si>
  <si>
    <t>XS0928955219</t>
    <phoneticPr fontId="4" type="noConversion"/>
  </si>
  <si>
    <t>Poly Property 4.75%  05/16/18</t>
    <phoneticPr fontId="4" type="noConversion"/>
  </si>
  <si>
    <t>CHINA OVERSEAS 5.35% 11/15/42</t>
  </si>
  <si>
    <t>BBB+</t>
  </si>
  <si>
    <t>BOC Aviation 4.375 2023</t>
  </si>
  <si>
    <t>港分A</t>
  </si>
  <si>
    <t>澳分A</t>
  </si>
  <si>
    <t>澳分G</t>
  </si>
  <si>
    <t>Cosco 4 %12/03/22</t>
  </si>
  <si>
    <t>DNA Alpha 2003 -1 Class B (Doric) 6.125% 2021 note</t>
  </si>
  <si>
    <t>Poly Property 4.75%  05/16/18</t>
  </si>
  <si>
    <t>港分A</t>
    <phoneticPr fontId="4" type="noConversion"/>
  </si>
  <si>
    <r>
      <t>n</t>
    </r>
    <r>
      <rPr>
        <sz val="10"/>
        <rFont val="Arial"/>
        <family val="2"/>
      </rPr>
      <t>a</t>
    </r>
    <phoneticPr fontId="4" type="noConversion"/>
  </si>
  <si>
    <r>
      <t>5</t>
    </r>
    <r>
      <rPr>
        <sz val="10"/>
        <rFont val="Arial"/>
        <family val="2"/>
      </rPr>
      <t>Y+250</t>
    </r>
    <phoneticPr fontId="4" type="noConversion"/>
  </si>
  <si>
    <t>na</t>
    <phoneticPr fontId="4" type="noConversion"/>
  </si>
  <si>
    <r>
      <t>T</t>
    </r>
    <r>
      <rPr>
        <sz val="10"/>
        <rFont val="Arial"/>
        <family val="2"/>
      </rPr>
      <t>5+403</t>
    </r>
    <phoneticPr fontId="4" type="noConversion"/>
  </si>
  <si>
    <r>
      <t>R</t>
    </r>
    <r>
      <rPr>
        <sz val="10"/>
        <rFont val="Arial"/>
        <family val="2"/>
      </rPr>
      <t>ussian Agricultural Bank 7.125% Jan 2014 (new issue)</t>
    </r>
    <phoneticPr fontId="4" type="noConversion"/>
  </si>
  <si>
    <r>
      <t>X</t>
    </r>
    <r>
      <rPr>
        <sz val="10"/>
        <rFont val="Arial"/>
        <family val="2"/>
      </rPr>
      <t>S0366599800</t>
    </r>
    <phoneticPr fontId="4" type="noConversion"/>
  </si>
  <si>
    <t>Settlement Amt US$</t>
    <phoneticPr fontId="4" type="noConversion"/>
  </si>
  <si>
    <r>
      <t>T</t>
    </r>
    <r>
      <rPr>
        <sz val="10"/>
        <rFont val="Arial"/>
        <family val="2"/>
      </rPr>
      <t>5+210</t>
    </r>
    <phoneticPr fontId="4" type="noConversion"/>
  </si>
  <si>
    <r>
      <t>U</t>
    </r>
    <r>
      <rPr>
        <sz val="10"/>
        <rFont val="Arial"/>
        <family val="2"/>
      </rPr>
      <t>S302154AS85</t>
    </r>
    <phoneticPr fontId="4" type="noConversion"/>
  </si>
  <si>
    <r>
      <t>E</t>
    </r>
    <r>
      <rPr>
        <sz val="10"/>
        <rFont val="Arial"/>
        <family val="2"/>
      </rPr>
      <t>IBKOR 5.5% Oct 2012</t>
    </r>
    <phoneticPr fontId="4" type="noConversion"/>
  </si>
  <si>
    <t>HK$</t>
    <phoneticPr fontId="4" type="noConversion"/>
  </si>
  <si>
    <t>coupon</t>
    <phoneticPr fontId="4" type="noConversion"/>
  </si>
  <si>
    <t>Maturity Date</t>
    <phoneticPr fontId="4" type="noConversion"/>
  </si>
  <si>
    <t>maturity yr</t>
    <phoneticPr fontId="4" type="noConversion"/>
  </si>
  <si>
    <r>
      <t>T</t>
    </r>
    <r>
      <rPr>
        <sz val="10"/>
        <rFont val="Arial"/>
        <family val="2"/>
      </rPr>
      <t>5+220</t>
    </r>
    <phoneticPr fontId="4" type="noConversion"/>
  </si>
  <si>
    <r>
      <t>28485084, G</t>
    </r>
    <r>
      <rPr>
        <sz val="10"/>
        <rFont val="Arial"/>
        <family val="2"/>
      </rPr>
      <t>ra</t>
    </r>
    <r>
      <rPr>
        <sz val="10"/>
        <rFont val="Arial"/>
        <family val="2"/>
      </rPr>
      <t>ce. Wong @morganstanley.com</t>
    </r>
    <phoneticPr fontId="4" type="noConversion"/>
  </si>
  <si>
    <r>
      <t>T</t>
    </r>
    <r>
      <rPr>
        <sz val="10"/>
        <rFont val="Arial"/>
        <family val="2"/>
      </rPr>
      <t>5+215</t>
    </r>
    <phoneticPr fontId="4" type="noConversion"/>
  </si>
  <si>
    <t>US172967EL17</t>
    <phoneticPr fontId="4" type="noConversion"/>
  </si>
  <si>
    <r>
      <t>T</t>
    </r>
    <r>
      <rPr>
        <sz val="10"/>
        <rFont val="Arial"/>
        <family val="2"/>
      </rPr>
      <t>10+190</t>
    </r>
    <phoneticPr fontId="4" type="noConversion"/>
  </si>
  <si>
    <r>
      <t>X</t>
    </r>
    <r>
      <rPr>
        <sz val="10"/>
        <rFont val="Arial"/>
        <family val="2"/>
      </rPr>
      <t>S0247747081</t>
    </r>
    <phoneticPr fontId="4" type="noConversion"/>
  </si>
  <si>
    <r>
      <t>S</t>
    </r>
    <r>
      <rPr>
        <sz val="10"/>
        <rFont val="Arial"/>
        <family val="2"/>
      </rPr>
      <t>wire 5.625% Mar 2016</t>
    </r>
    <phoneticPr fontId="4" type="noConversion"/>
  </si>
  <si>
    <r>
      <t>U</t>
    </r>
    <r>
      <rPr>
        <sz val="10"/>
        <rFont val="Arial"/>
        <family val="2"/>
      </rPr>
      <t>S61747YCE32</t>
    </r>
    <phoneticPr fontId="4" type="noConversion"/>
  </si>
  <si>
    <r>
      <t>M</t>
    </r>
    <r>
      <rPr>
        <sz val="10"/>
        <rFont val="Arial"/>
        <family val="2"/>
      </rPr>
      <t>organ Stanley 6% Apr 2015</t>
    </r>
    <phoneticPr fontId="4" type="noConversion"/>
  </si>
  <si>
    <r>
      <t>B</t>
    </r>
    <r>
      <rPr>
        <sz val="10"/>
        <rFont val="Arial"/>
        <family val="2"/>
      </rPr>
      <t>ank of America</t>
    </r>
    <phoneticPr fontId="4" type="noConversion"/>
  </si>
  <si>
    <r>
      <t>T</t>
    </r>
    <r>
      <rPr>
        <sz val="10"/>
        <rFont val="Arial"/>
        <family val="2"/>
      </rPr>
      <t>imothy Fung</t>
    </r>
    <phoneticPr fontId="4" type="noConversion"/>
  </si>
  <si>
    <r>
      <t>2847 6866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tfung@bloomberg.net</t>
    </r>
    <phoneticPr fontId="4" type="noConversion"/>
  </si>
  <si>
    <r>
      <t>T</t>
    </r>
    <r>
      <rPr>
        <sz val="10"/>
        <rFont val="Arial"/>
        <family val="2"/>
      </rPr>
      <t>+255</t>
    </r>
    <phoneticPr fontId="4" type="noConversion"/>
  </si>
  <si>
    <r>
      <t>T</t>
    </r>
    <r>
      <rPr>
        <sz val="10"/>
        <rFont val="Arial"/>
        <family val="2"/>
      </rPr>
      <t>5+235</t>
    </r>
    <phoneticPr fontId="4" type="noConversion"/>
  </si>
  <si>
    <t>C+ 255</t>
    <phoneticPr fontId="4" type="noConversion"/>
  </si>
  <si>
    <t>T5+ 245</t>
    <phoneticPr fontId="4" type="noConversion"/>
  </si>
  <si>
    <r>
      <t>T</t>
    </r>
    <r>
      <rPr>
        <sz val="10"/>
        <rFont val="Arial"/>
        <family val="2"/>
      </rPr>
      <t>5+376</t>
    </r>
    <phoneticPr fontId="4" type="noConversion"/>
  </si>
  <si>
    <r>
      <t>U</t>
    </r>
    <r>
      <rPr>
        <sz val="10"/>
        <rFont val="Arial"/>
        <family val="2"/>
      </rPr>
      <t>SQ9570LAB29</t>
    </r>
    <phoneticPr fontId="4" type="noConversion"/>
  </si>
  <si>
    <r>
      <t>W</t>
    </r>
    <r>
      <rPr>
        <sz val="10"/>
        <rFont val="Arial"/>
        <family val="2"/>
      </rPr>
      <t>estfield 5.7% Oct 2016</t>
    </r>
    <phoneticPr fontId="4" type="noConversion"/>
  </si>
  <si>
    <r>
      <t>T</t>
    </r>
    <r>
      <rPr>
        <sz val="10"/>
        <rFont val="Arial"/>
        <family val="2"/>
      </rPr>
      <t>10+245</t>
    </r>
    <phoneticPr fontId="4" type="noConversion"/>
  </si>
  <si>
    <t>T5+ 238</t>
    <phoneticPr fontId="4" type="noConversion"/>
  </si>
  <si>
    <t>Buy</t>
  </si>
  <si>
    <t>USD</t>
  </si>
  <si>
    <t xml:space="preserve">Goldman Sachs International </t>
  </si>
  <si>
    <t>Life</t>
    <phoneticPr fontId="4" type="noConversion"/>
  </si>
  <si>
    <t>T5 +243</t>
    <phoneticPr fontId="4" type="noConversion"/>
  </si>
  <si>
    <r>
      <t>C</t>
    </r>
    <r>
      <rPr>
        <sz val="10"/>
        <rFont val="Arial"/>
        <family val="2"/>
      </rPr>
      <t>SFB</t>
    </r>
    <phoneticPr fontId="4" type="noConversion"/>
  </si>
  <si>
    <r>
      <t>T</t>
    </r>
    <r>
      <rPr>
        <sz val="10"/>
        <rFont val="Arial"/>
        <family val="2"/>
      </rPr>
      <t>om Carlone</t>
    </r>
    <phoneticPr fontId="4" type="noConversion"/>
  </si>
  <si>
    <r>
      <t>2</t>
    </r>
    <r>
      <rPr>
        <sz val="10"/>
        <rFont val="Arial"/>
        <family val="2"/>
      </rPr>
      <t>101 6875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tcarlone1</t>
    </r>
    <r>
      <rPr>
        <sz val="10"/>
        <rFont val="Arial"/>
        <family val="2"/>
      </rPr>
      <t>@</t>
    </r>
    <r>
      <rPr>
        <sz val="10"/>
        <rFont val="Arial"/>
        <family val="2"/>
      </rPr>
      <t>bloomberg.net</t>
    </r>
    <phoneticPr fontId="4" type="noConversion"/>
  </si>
  <si>
    <t>T5 +366</t>
    <phoneticPr fontId="4" type="noConversion"/>
  </si>
  <si>
    <t>sub total in US$</t>
    <phoneticPr fontId="4" type="noConversion"/>
  </si>
  <si>
    <t>sub totalUS$</t>
    <phoneticPr fontId="4" type="noConversion"/>
  </si>
  <si>
    <r>
      <t>C</t>
    </r>
    <r>
      <rPr>
        <sz val="10"/>
        <rFont val="Arial"/>
        <family val="2"/>
      </rPr>
      <t>itigroup 5.3% Oct 2012</t>
    </r>
    <phoneticPr fontId="4" type="noConversion"/>
  </si>
  <si>
    <r>
      <t>S</t>
    </r>
    <r>
      <rPr>
        <sz val="10"/>
        <rFont val="Arial"/>
        <family val="2"/>
      </rPr>
      <t>tephenni Xie</t>
    </r>
    <phoneticPr fontId="4" type="noConversion"/>
  </si>
  <si>
    <r>
      <t>L</t>
    </r>
    <r>
      <rPr>
        <sz val="10"/>
        <rFont val="Arial"/>
        <family val="2"/>
      </rPr>
      <t>ehman Brothers</t>
    </r>
    <phoneticPr fontId="4" type="noConversion"/>
  </si>
  <si>
    <r>
      <t>2</t>
    </r>
    <r>
      <rPr>
        <sz val="10"/>
        <rFont val="Arial"/>
        <family val="2"/>
      </rPr>
      <t>252 6823, xie.yi@bloomberg.net</t>
    </r>
    <phoneticPr fontId="4" type="noConversion"/>
  </si>
  <si>
    <r>
      <t>T</t>
    </r>
    <r>
      <rPr>
        <sz val="10"/>
        <rFont val="Arial"/>
        <family val="2"/>
      </rPr>
      <t>5+223</t>
    </r>
    <phoneticPr fontId="4" type="noConversion"/>
  </si>
  <si>
    <r>
      <t>T</t>
    </r>
    <r>
      <rPr>
        <sz val="10"/>
        <rFont val="Arial"/>
        <family val="2"/>
      </rPr>
      <t>5+228</t>
    </r>
    <phoneticPr fontId="4" type="noConversion"/>
  </si>
  <si>
    <t>JPM a/c : 48192</t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</si>
  <si>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2</t>
    </r>
    <r>
      <rPr>
        <sz val="10"/>
        <rFont val="細明體"/>
        <family val="3"/>
        <charset val="136"/>
      </rPr>
      <t>月</t>
    </r>
    <phoneticPr fontId="4" type="noConversion"/>
  </si>
  <si>
    <t>a/c 12548</t>
    <phoneticPr fontId="4" type="noConversion"/>
  </si>
  <si>
    <t>US46625HGY09</t>
    <phoneticPr fontId="4" type="noConversion"/>
  </si>
  <si>
    <r>
      <t>J</t>
    </r>
    <r>
      <rPr>
        <sz val="10"/>
        <rFont val="Arial"/>
        <family val="2"/>
      </rPr>
      <t>PM 6% 15 Jan 2018</t>
    </r>
    <phoneticPr fontId="4" type="noConversion"/>
  </si>
  <si>
    <r>
      <t>T</t>
    </r>
    <r>
      <rPr>
        <sz val="10"/>
        <rFont val="Arial"/>
        <family val="2"/>
      </rPr>
      <t>10+200</t>
    </r>
    <phoneticPr fontId="4" type="noConversion"/>
  </si>
  <si>
    <r>
      <t>US02580E</t>
    </r>
    <r>
      <rPr>
        <sz val="10"/>
        <rFont val="Arial"/>
        <family val="2"/>
      </rPr>
      <t>CC</t>
    </r>
    <r>
      <rPr>
        <sz val="10"/>
        <rFont val="Arial"/>
        <family val="2"/>
      </rPr>
      <t>57</t>
    </r>
    <phoneticPr fontId="4" type="noConversion"/>
  </si>
  <si>
    <r>
      <t>A</t>
    </r>
    <r>
      <rPr>
        <sz val="10"/>
        <rFont val="Arial"/>
        <family val="2"/>
      </rPr>
      <t>XP 6% 13 Sep 2017</t>
    </r>
    <phoneticPr fontId="4" type="noConversion"/>
  </si>
  <si>
    <t>USQ9570LAA46</t>
    <phoneticPr fontId="4" type="noConversion"/>
  </si>
  <si>
    <r>
      <t>W</t>
    </r>
    <r>
      <rPr>
        <sz val="10"/>
        <rFont val="Arial"/>
        <family val="2"/>
      </rPr>
      <t>estfield 5.4% 1 Oct 2012</t>
    </r>
    <phoneticPr fontId="4" type="noConversion"/>
  </si>
  <si>
    <r>
      <t xml:space="preserve">21085058, </t>
    </r>
    <r>
      <rPr>
        <sz val="10"/>
        <rFont val="Arial"/>
        <family val="2"/>
      </rPr>
      <t>edmund.tsang</t>
    </r>
    <r>
      <rPr>
        <sz val="10"/>
        <rFont val="Arial"/>
        <family val="2"/>
      </rPr>
      <t>@</t>
    </r>
    <r>
      <rPr>
        <sz val="10"/>
        <rFont val="Arial"/>
        <family val="2"/>
      </rPr>
      <t>bloomberg.com</t>
    </r>
    <phoneticPr fontId="4" type="noConversion"/>
  </si>
  <si>
    <t>US38141GFM15</t>
    <phoneticPr fontId="4" type="noConversion"/>
  </si>
  <si>
    <r>
      <t>G</t>
    </r>
    <r>
      <rPr>
        <sz val="10"/>
        <rFont val="Arial"/>
        <family val="2"/>
      </rPr>
      <t>S 6.15% apr 2018</t>
    </r>
    <phoneticPr fontId="4" type="noConversion"/>
  </si>
  <si>
    <t>T5+344</t>
    <phoneticPr fontId="4" type="noConversion"/>
  </si>
  <si>
    <r>
      <t>T</t>
    </r>
    <r>
      <rPr>
        <sz val="10"/>
        <rFont val="Arial"/>
        <family val="2"/>
      </rPr>
      <t>10+180</t>
    </r>
    <phoneticPr fontId="4" type="noConversion"/>
  </si>
  <si>
    <r>
      <t>T</t>
    </r>
    <r>
      <rPr>
        <sz val="10"/>
        <rFont val="Arial"/>
        <family val="2"/>
      </rPr>
      <t>10+228</t>
    </r>
    <phoneticPr fontId="4" type="noConversion"/>
  </si>
  <si>
    <r>
      <t>T</t>
    </r>
    <r>
      <rPr>
        <sz val="10"/>
        <rFont val="Arial"/>
        <family val="2"/>
      </rPr>
      <t>10+238</t>
    </r>
    <phoneticPr fontId="4" type="noConversion"/>
  </si>
  <si>
    <r>
      <t>A</t>
    </r>
    <r>
      <rPr>
        <sz val="10"/>
        <rFont val="Arial"/>
        <family val="2"/>
      </rPr>
      <t>XP 6% Sep 2017</t>
    </r>
    <phoneticPr fontId="4" type="noConversion"/>
  </si>
  <si>
    <t>US441812JW56</t>
    <phoneticPr fontId="4" type="noConversion"/>
  </si>
  <si>
    <r>
      <t>H</t>
    </r>
    <r>
      <rPr>
        <sz val="10"/>
        <rFont val="Arial"/>
        <family val="2"/>
      </rPr>
      <t>SBC Fin 6.375% Oct 2011</t>
    </r>
    <phoneticPr fontId="4" type="noConversion"/>
  </si>
  <si>
    <r>
      <t>T</t>
    </r>
    <r>
      <rPr>
        <sz val="10"/>
        <rFont val="Arial"/>
        <family val="2"/>
      </rPr>
      <t>5+354</t>
    </r>
    <phoneticPr fontId="4" type="noConversion"/>
  </si>
  <si>
    <r>
      <t>T</t>
    </r>
    <r>
      <rPr>
        <sz val="10"/>
        <rFont val="Arial"/>
        <family val="2"/>
      </rPr>
      <t>5+392</t>
    </r>
    <phoneticPr fontId="4" type="noConversion"/>
  </si>
  <si>
    <t xml:space="preserve"> a/c 12229</t>
  </si>
  <si>
    <r>
      <t>R</t>
    </r>
    <r>
      <rPr>
        <sz val="10"/>
        <rFont val="Arial"/>
        <family val="2"/>
      </rPr>
      <t xml:space="preserve">ussian Agricultural Bank 7.125% Jan 2014 </t>
    </r>
    <phoneticPr fontId="4" type="noConversion"/>
  </si>
  <si>
    <r>
      <t>T</t>
    </r>
    <r>
      <rPr>
        <sz val="10"/>
        <rFont val="Arial"/>
        <family val="2"/>
      </rPr>
      <t>om Carlone/ Ada Ho</t>
    </r>
    <phoneticPr fontId="4" type="noConversion"/>
  </si>
  <si>
    <r>
      <t>2</t>
    </r>
    <r>
      <rPr>
        <sz val="10"/>
        <rFont val="Arial"/>
        <family val="2"/>
      </rPr>
      <t>101 6875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tcarlone1</t>
    </r>
    <r>
      <rPr>
        <sz val="10"/>
        <rFont val="Arial"/>
        <family val="2"/>
      </rPr>
      <t>@</t>
    </r>
    <r>
      <rPr>
        <sz val="10"/>
        <rFont val="Arial"/>
        <family val="2"/>
      </rPr>
      <t>bloomberg.net,  ada.ho@credit-suisse.com</t>
    </r>
    <phoneticPr fontId="4" type="noConversion"/>
  </si>
  <si>
    <t>a/c 12528</t>
  </si>
  <si>
    <r>
      <t>T</t>
    </r>
    <r>
      <rPr>
        <sz val="10"/>
        <rFont val="Arial"/>
        <family val="2"/>
      </rPr>
      <t>+277</t>
    </r>
    <phoneticPr fontId="4" type="noConversion"/>
  </si>
  <si>
    <t>US61744YAD04</t>
    <phoneticPr fontId="4" type="noConversion"/>
  </si>
  <si>
    <r>
      <t>M</t>
    </r>
    <r>
      <rPr>
        <sz val="10"/>
        <rFont val="Arial"/>
        <family val="2"/>
      </rPr>
      <t>organ Stanley 5.95% Dec 2017</t>
    </r>
    <phoneticPr fontId="4" type="noConversion"/>
  </si>
  <si>
    <t>U S TREASURY NOTE 2.875% 01/31/2013</t>
  </si>
  <si>
    <t>港分可出售类</t>
  </si>
  <si>
    <t>XS0922813703</t>
  </si>
  <si>
    <t>MINMETALS Land 6.5 04/26/23</t>
    <phoneticPr fontId="4" type="noConversion"/>
  </si>
  <si>
    <t>NR</t>
  </si>
  <si>
    <r>
      <t>B</t>
    </r>
    <r>
      <rPr>
        <sz val="10"/>
        <rFont val="Arial"/>
        <family val="2"/>
      </rPr>
      <t>NP</t>
    </r>
    <phoneticPr fontId="4" type="noConversion"/>
  </si>
  <si>
    <r>
      <t>A</t>
    </r>
    <r>
      <rPr>
        <sz val="10"/>
        <rFont val="Arial"/>
        <family val="2"/>
      </rPr>
      <t>my Li</t>
    </r>
    <phoneticPr fontId="4" type="noConversion"/>
  </si>
  <si>
    <r>
      <t>2108 5064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 xml:space="preserve">Amy LI &lt;amy.li@asia.bnpparibas.com&gt; </t>
    </r>
    <phoneticPr fontId="4" type="noConversion"/>
  </si>
  <si>
    <t>U S TREASURY BOND 4.50% 02/15/2016</t>
  </si>
  <si>
    <t>U S TREASURY NOTE 4.25% 11/15/2017</t>
  </si>
  <si>
    <t>US912828ET33</t>
  </si>
  <si>
    <t>US912828GD62</t>
  </si>
  <si>
    <t>US912828HQ66</t>
  </si>
  <si>
    <t>US912828EW61</t>
  </si>
  <si>
    <t>US912828HH67</t>
  </si>
  <si>
    <r>
      <t>21085059, edmund.tsang@bloomberg.com</t>
    </r>
    <r>
      <rPr>
        <sz val="10"/>
        <rFont val="Arial"/>
        <family val="2"/>
      </rPr>
      <t/>
    </r>
  </si>
  <si>
    <r>
      <t>T</t>
    </r>
    <r>
      <rPr>
        <sz val="10"/>
        <rFont val="Arial"/>
        <family val="2"/>
      </rPr>
      <t>5+275</t>
    </r>
    <phoneticPr fontId="4" type="noConversion"/>
  </si>
  <si>
    <t>XS0379583015</t>
    <phoneticPr fontId="4" type="noConversion"/>
  </si>
  <si>
    <r>
      <t>G</t>
    </r>
    <r>
      <rPr>
        <sz val="10"/>
        <rFont val="Arial"/>
        <family val="2"/>
      </rPr>
      <t>azprom 7.51% July 2013</t>
    </r>
    <phoneticPr fontId="4" type="noConversion"/>
  </si>
  <si>
    <r>
      <t>2</t>
    </r>
    <r>
      <rPr>
        <sz val="10"/>
        <rFont val="Arial"/>
        <family val="2"/>
      </rPr>
      <t>501 8336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akwo@bloomberg.net</t>
    </r>
    <phoneticPr fontId="4" type="noConversion"/>
  </si>
  <si>
    <r>
      <t>A</t>
    </r>
    <r>
      <rPr>
        <sz val="10"/>
        <rFont val="Arial"/>
        <family val="2"/>
      </rPr>
      <t>nita Kwo</t>
    </r>
    <phoneticPr fontId="4" type="noConversion"/>
  </si>
  <si>
    <t xml:space="preserve">USY49352AE00 </t>
  </si>
  <si>
    <r>
      <t>K</t>
    </r>
    <r>
      <rPr>
        <sz val="10"/>
        <rFont val="Arial"/>
        <family val="2"/>
      </rPr>
      <t>omipo 5.5% 14 Mar 2016</t>
    </r>
    <phoneticPr fontId="4" type="noConversion"/>
  </si>
  <si>
    <r>
      <t>T</t>
    </r>
    <r>
      <rPr>
        <sz val="10"/>
        <rFont val="Arial"/>
        <family val="2"/>
      </rPr>
      <t>10+210</t>
    </r>
    <phoneticPr fontId="4" type="noConversion"/>
  </si>
  <si>
    <t>USY32358AA46</t>
  </si>
  <si>
    <t>T10+237</t>
    <phoneticPr fontId="4" type="noConversion"/>
  </si>
  <si>
    <r>
      <t>S</t>
    </r>
    <r>
      <rPr>
        <sz val="10"/>
        <rFont val="Arial"/>
        <family val="2"/>
      </rPr>
      <t>oon shean Ong</t>
    </r>
    <phoneticPr fontId="4" type="noConversion"/>
  </si>
  <si>
    <r>
      <t xml:space="preserve">2822 3060, </t>
    </r>
    <r>
      <rPr>
        <sz val="10"/>
        <rFont val="Arial"/>
        <family val="2"/>
      </rPr>
      <t>soon-shean@bloomberg.net</t>
    </r>
    <phoneticPr fontId="4" type="noConversion"/>
  </si>
  <si>
    <r>
      <t>H</t>
    </r>
    <r>
      <rPr>
        <sz val="10"/>
        <rFont val="Arial"/>
        <family val="2"/>
      </rPr>
      <t>K &amp; China Gas 6.25% 7 Aug 2018</t>
    </r>
    <phoneticPr fontId="4" type="noConversion"/>
  </si>
  <si>
    <t>XS0269720867</t>
    <phoneticPr fontId="4" type="noConversion"/>
  </si>
  <si>
    <r>
      <t xml:space="preserve">EIBKOR </t>
    </r>
    <r>
      <rPr>
        <sz val="10"/>
        <rFont val="Arial"/>
        <family val="2"/>
      </rPr>
      <t>5.375</t>
    </r>
    <r>
      <rPr>
        <sz val="10"/>
        <rFont val="Arial"/>
        <family val="2"/>
      </rPr>
      <t xml:space="preserve">% </t>
    </r>
    <r>
      <rPr>
        <sz val="10"/>
        <rFont val="Arial"/>
        <family val="2"/>
      </rPr>
      <t xml:space="preserve">Oct </t>
    </r>
    <r>
      <rPr>
        <sz val="10"/>
        <rFont val="Arial"/>
        <family val="2"/>
      </rPr>
      <t>201</t>
    </r>
    <r>
      <rPr>
        <sz val="10"/>
        <rFont val="Arial"/>
        <family val="2"/>
      </rPr>
      <t>6</t>
    </r>
    <phoneticPr fontId="4" type="noConversion"/>
  </si>
  <si>
    <r>
      <t>T</t>
    </r>
    <r>
      <rPr>
        <sz val="10"/>
        <rFont val="Arial"/>
        <family val="2"/>
      </rPr>
      <t>10 +207</t>
    </r>
    <phoneticPr fontId="4" type="noConversion"/>
  </si>
  <si>
    <r>
      <t>T</t>
    </r>
    <r>
      <rPr>
        <sz val="10"/>
        <rFont val="Arial"/>
        <family val="2"/>
      </rPr>
      <t>10+209</t>
    </r>
    <phoneticPr fontId="4" type="noConversion"/>
  </si>
  <si>
    <r>
      <t>T10</t>
    </r>
    <r>
      <rPr>
        <sz val="10"/>
        <rFont val="Arial"/>
        <family val="2"/>
      </rPr>
      <t>+238</t>
    </r>
    <phoneticPr fontId="4" type="noConversion"/>
  </si>
  <si>
    <r>
      <t>W</t>
    </r>
    <r>
      <rPr>
        <sz val="10"/>
        <rFont val="Arial"/>
        <family val="2"/>
      </rPr>
      <t>ang, Shibin</t>
    </r>
    <phoneticPr fontId="4" type="noConversion"/>
  </si>
  <si>
    <r>
      <t xml:space="preserve">28682600, </t>
    </r>
    <r>
      <rPr>
        <sz val="10"/>
        <rFont val="Arial"/>
        <family val="2"/>
      </rPr>
      <t>Shibin.Wang</t>
    </r>
    <r>
      <rPr>
        <sz val="10"/>
        <rFont val="Arial"/>
        <family val="2"/>
      </rPr>
      <t>@gs.com</t>
    </r>
    <phoneticPr fontId="4" type="noConversion"/>
  </si>
  <si>
    <t>Interest days</t>
    <phoneticPr fontId="4" type="noConversion"/>
  </si>
  <si>
    <t>Interest Income - US$</t>
    <phoneticPr fontId="4" type="noConversion"/>
  </si>
  <si>
    <t>Interest Income - HK$</t>
    <phoneticPr fontId="4" type="noConversion"/>
  </si>
  <si>
    <t>HK &amp; China Gas 6.25% 7 Aug 2018</t>
  </si>
  <si>
    <t>a/c 12366</t>
    <phoneticPr fontId="4" type="noConversion"/>
  </si>
  <si>
    <r>
      <t>L</t>
    </r>
    <r>
      <rPr>
        <sz val="10"/>
        <rFont val="Arial"/>
        <family val="2"/>
      </rPr>
      <t>ingZhu Yu Steiner/ Daisy Wang</t>
    </r>
    <phoneticPr fontId="4" type="noConversion"/>
  </si>
  <si>
    <t>T10+240</t>
    <phoneticPr fontId="4" type="noConversion"/>
  </si>
  <si>
    <r>
      <t>T</t>
    </r>
    <r>
      <rPr>
        <sz val="10"/>
        <rFont val="Arial"/>
        <family val="2"/>
      </rPr>
      <t>10+239</t>
    </r>
    <phoneticPr fontId="4" type="noConversion"/>
  </si>
  <si>
    <r>
      <t>T</t>
    </r>
    <r>
      <rPr>
        <sz val="10"/>
        <rFont val="Arial"/>
        <family val="2"/>
      </rPr>
      <t>10+295</t>
    </r>
    <phoneticPr fontId="4" type="noConversion"/>
  </si>
  <si>
    <t>US16937MAB19</t>
    <phoneticPr fontId="4" type="noConversion"/>
  </si>
  <si>
    <r>
      <t>T</t>
    </r>
    <r>
      <rPr>
        <sz val="10"/>
        <rFont val="Arial"/>
        <family val="2"/>
      </rPr>
      <t>5+205</t>
    </r>
    <phoneticPr fontId="4" type="noConversion"/>
  </si>
  <si>
    <t>XS0290534212</t>
    <phoneticPr fontId="4" type="noConversion"/>
  </si>
  <si>
    <t>T10+272</t>
    <phoneticPr fontId="4" type="noConversion"/>
  </si>
  <si>
    <t>Sun Hung Kai Properties 5.375% Aug 2017</t>
    <phoneticPr fontId="4" type="noConversion"/>
  </si>
  <si>
    <t>港分A</t>
    <phoneticPr fontId="4" type="noConversion"/>
  </si>
  <si>
    <t>美元</t>
    <phoneticPr fontId="4" type="noConversion"/>
  </si>
  <si>
    <t>Development Bank of China 4.75 Oct 2014</t>
    <phoneticPr fontId="4" type="noConversion"/>
  </si>
  <si>
    <t>买入</t>
  </si>
  <si>
    <t>债券名称</t>
  </si>
  <si>
    <t>货币</t>
  </si>
  <si>
    <t>金额 (面值）</t>
  </si>
  <si>
    <t>到期收益率</t>
  </si>
  <si>
    <t>Komipo 5.5% 14 Mar 2016</t>
  </si>
  <si>
    <r>
      <t>A</t>
    </r>
    <r>
      <rPr>
        <sz val="10"/>
        <rFont val="Arial"/>
        <family val="2"/>
      </rPr>
      <t>my Li</t>
    </r>
    <phoneticPr fontId="4" type="noConversion"/>
  </si>
  <si>
    <r>
      <t>2102</t>
    </r>
    <r>
      <rPr>
        <sz val="10"/>
        <rFont val="Arial"/>
        <family val="2"/>
      </rPr>
      <t xml:space="preserve"> 6875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tcarlone1</t>
    </r>
    <r>
      <rPr>
        <sz val="10"/>
        <rFont val="Arial"/>
        <family val="2"/>
      </rPr>
      <t>@</t>
    </r>
    <r>
      <rPr>
        <sz val="10"/>
        <rFont val="Arial"/>
        <family val="2"/>
      </rPr>
      <t>bloomberg.net</t>
    </r>
  </si>
  <si>
    <t>Credit rating- Moody's</t>
    <phoneticPr fontId="4" type="noConversion"/>
  </si>
  <si>
    <t>Credit rating- S&amp;P's</t>
    <phoneticPr fontId="4" type="noConversion"/>
  </si>
  <si>
    <r>
      <t>A</t>
    </r>
    <r>
      <rPr>
        <sz val="10"/>
        <rFont val="Arial"/>
        <family val="2"/>
      </rPr>
      <t>3</t>
    </r>
    <phoneticPr fontId="4" type="noConversion"/>
  </si>
  <si>
    <r>
      <t>A</t>
    </r>
    <r>
      <rPr>
        <sz val="10"/>
        <rFont val="Arial"/>
        <family val="2"/>
      </rPr>
      <t>-</t>
    </r>
    <phoneticPr fontId="4" type="noConversion"/>
  </si>
  <si>
    <r>
      <t>H</t>
    </r>
    <r>
      <rPr>
        <sz val="10"/>
        <rFont val="Arial"/>
        <family val="2"/>
      </rPr>
      <t>utchison 7.45% 7 Aug 2017</t>
    </r>
    <phoneticPr fontId="4" type="noConversion"/>
  </si>
  <si>
    <t>Elaine He</t>
    <phoneticPr fontId="4" type="noConversion"/>
  </si>
  <si>
    <r>
      <t xml:space="preserve">28485084, </t>
    </r>
    <r>
      <rPr>
        <sz val="10"/>
        <rFont val="Arial"/>
        <family val="2"/>
      </rPr>
      <t>Elaine.He</t>
    </r>
    <r>
      <rPr>
        <sz val="10"/>
        <rFont val="Arial"/>
        <family val="2"/>
      </rPr>
      <t>@morganstanley.com</t>
    </r>
    <phoneticPr fontId="4" type="noConversion"/>
  </si>
  <si>
    <r>
      <t>T</t>
    </r>
    <r>
      <rPr>
        <sz val="10"/>
        <rFont val="Arial"/>
        <family val="2"/>
      </rPr>
      <t>10+450</t>
    </r>
    <phoneticPr fontId="4" type="noConversion"/>
  </si>
  <si>
    <r>
      <t>c</t>
    </r>
    <r>
      <rPr>
        <sz val="10"/>
        <rFont val="Arial"/>
        <family val="2"/>
      </rPr>
      <t>ur + 472</t>
    </r>
    <phoneticPr fontId="4" type="noConversion"/>
  </si>
  <si>
    <r>
      <t>U</t>
    </r>
    <r>
      <rPr>
        <sz val="10"/>
        <rFont val="Arial"/>
        <family val="2"/>
      </rPr>
      <t>SG46715AB73</t>
    </r>
    <phoneticPr fontId="4" type="noConversion"/>
  </si>
  <si>
    <t>BNP</t>
  </si>
  <si>
    <t>BNP</t>
    <phoneticPr fontId="4" type="noConversion"/>
  </si>
  <si>
    <t>AMY LI</t>
  </si>
  <si>
    <t>21085064  ali225@bloomberg.net</t>
  </si>
  <si>
    <t>21085064  ali225@bloomberg.net</t>
    <phoneticPr fontId="4" type="noConversion"/>
  </si>
  <si>
    <t>3983 8095, Evelyn.Wong@sc.com</t>
    <phoneticPr fontId="4" type="noConversion"/>
  </si>
  <si>
    <t>USY9896RAB79</t>
    <phoneticPr fontId="4" type="noConversion"/>
  </si>
  <si>
    <t>USG3709DAA03</t>
  </si>
  <si>
    <t>Ba1</t>
  </si>
  <si>
    <t>BB</t>
  </si>
  <si>
    <t>Nicole Shao</t>
    <phoneticPr fontId="4" type="noConversion"/>
  </si>
  <si>
    <t xml:space="preserve">2239-1824, Wenmian.Shao@morganstanley.com </t>
    <phoneticPr fontId="4" type="noConversion"/>
  </si>
  <si>
    <t>Nicole Shao</t>
  </si>
  <si>
    <t xml:space="preserve">2239-1824, Wenmian.Shao@morganstanley.com </t>
  </si>
  <si>
    <t>Fu Xin</t>
    <phoneticPr fontId="4" type="noConversion"/>
  </si>
  <si>
    <t>21617625, xin_fu@ml.com</t>
    <phoneticPr fontId="4" type="noConversion"/>
  </si>
  <si>
    <r>
      <t>H</t>
    </r>
    <r>
      <rPr>
        <sz val="10"/>
        <rFont val="Arial"/>
        <family val="2"/>
      </rPr>
      <t>TM</t>
    </r>
    <phoneticPr fontId="4" type="noConversion"/>
  </si>
  <si>
    <t>Brad Chen</t>
  </si>
  <si>
    <r>
      <t>B</t>
    </r>
    <r>
      <rPr>
        <sz val="10"/>
        <rFont val="Arial"/>
        <family val="2"/>
      </rPr>
      <t>OCI</t>
    </r>
    <phoneticPr fontId="4" type="noConversion"/>
  </si>
  <si>
    <t xml:space="preserve">3988 6933 , Brad.Chen@bocigroup.com  </t>
    <phoneticPr fontId="4" type="noConversion"/>
  </si>
  <si>
    <t>Bond Maturity (year)</t>
    <phoneticPr fontId="4" type="noConversion"/>
  </si>
  <si>
    <r>
      <t>L</t>
    </r>
    <r>
      <rPr>
        <sz val="10"/>
        <rFont val="Arial"/>
        <family val="2"/>
      </rPr>
      <t>ilian Yung</t>
    </r>
    <phoneticPr fontId="4" type="noConversion"/>
  </si>
  <si>
    <r>
      <t>R</t>
    </r>
    <r>
      <rPr>
        <sz val="10"/>
        <rFont val="Arial"/>
        <family val="2"/>
      </rPr>
      <t>oyal Bank of Scotland</t>
    </r>
    <phoneticPr fontId="4" type="noConversion"/>
  </si>
  <si>
    <r>
      <t>2</t>
    </r>
    <r>
      <rPr>
        <sz val="10"/>
        <rFont val="Arial"/>
        <family val="2"/>
      </rPr>
      <t>966 2797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lilian.yung@rbs</t>
    </r>
    <r>
      <rPr>
        <sz val="10"/>
        <rFont val="Arial"/>
        <family val="2"/>
      </rPr>
      <t>.com</t>
    </r>
    <phoneticPr fontId="4" type="noConversion"/>
  </si>
  <si>
    <r>
      <t>2800 8233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amy.k.li@jpmorgan.com</t>
    </r>
    <phoneticPr fontId="4" type="noConversion"/>
  </si>
  <si>
    <r>
      <t>T</t>
    </r>
    <r>
      <rPr>
        <sz val="10"/>
        <rFont val="Arial"/>
        <family val="2"/>
      </rPr>
      <t>10+450</t>
    </r>
    <phoneticPr fontId="4" type="noConversion"/>
  </si>
  <si>
    <r>
      <t>c</t>
    </r>
    <r>
      <rPr>
        <sz val="10"/>
        <rFont val="Arial"/>
        <family val="2"/>
      </rPr>
      <t>ur + 475</t>
    </r>
    <phoneticPr fontId="4" type="noConversion"/>
  </si>
  <si>
    <t>UBS</t>
  </si>
  <si>
    <t>LingZhu Yu Steiner</t>
  </si>
  <si>
    <t>2971 6246, lingzhuyu@bloomberg.net</t>
  </si>
  <si>
    <r>
      <t>T</t>
    </r>
    <r>
      <rPr>
        <sz val="10"/>
        <rFont val="Arial"/>
        <family val="2"/>
      </rPr>
      <t>10+335</t>
    </r>
    <phoneticPr fontId="4" type="noConversion"/>
  </si>
  <si>
    <r>
      <t>c</t>
    </r>
    <r>
      <rPr>
        <sz val="10"/>
        <rFont val="Arial"/>
        <family val="2"/>
      </rPr>
      <t>ur + 389</t>
    </r>
    <phoneticPr fontId="4" type="noConversion"/>
  </si>
  <si>
    <r>
      <t>T</t>
    </r>
    <r>
      <rPr>
        <sz val="10"/>
        <rFont val="Arial"/>
        <family val="2"/>
      </rPr>
      <t>10+340</t>
    </r>
    <phoneticPr fontId="4" type="noConversion"/>
  </si>
  <si>
    <r>
      <t>T</t>
    </r>
    <r>
      <rPr>
        <sz val="10"/>
        <rFont val="Arial"/>
        <family val="2"/>
      </rPr>
      <t>10+341</t>
    </r>
    <r>
      <rPr>
        <sz val="10"/>
        <rFont val="Arial"/>
        <family val="2"/>
      </rPr>
      <t/>
    </r>
  </si>
  <si>
    <t>T yld ref</t>
    <phoneticPr fontId="4" type="noConversion"/>
  </si>
  <si>
    <r>
      <t>T10</t>
    </r>
    <r>
      <rPr>
        <sz val="10"/>
        <rFont val="Arial"/>
        <family val="2"/>
      </rPr>
      <t>+450</t>
    </r>
    <phoneticPr fontId="4" type="noConversion"/>
  </si>
  <si>
    <r>
      <t>T</t>
    </r>
    <r>
      <rPr>
        <sz val="10"/>
        <rFont val="Arial"/>
        <family val="2"/>
      </rPr>
      <t>10+320</t>
    </r>
    <phoneticPr fontId="4" type="noConversion"/>
  </si>
  <si>
    <r>
      <t>2</t>
    </r>
    <r>
      <rPr>
        <sz val="10"/>
        <rFont val="Arial"/>
        <family val="2"/>
      </rPr>
      <t>9786191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valerie.p.lau</t>
    </r>
    <r>
      <rPr>
        <sz val="10"/>
        <rFont val="Arial"/>
        <family val="2"/>
      </rPr>
      <t>@gs.com</t>
    </r>
    <phoneticPr fontId="4" type="noConversion"/>
  </si>
  <si>
    <t>Sell</t>
    <phoneticPr fontId="4" type="noConversion"/>
  </si>
  <si>
    <t>21617625, xin_fu@ml.com/ karen_jin@ml.com</t>
    <phoneticPr fontId="4" type="noConversion"/>
  </si>
  <si>
    <t>Merrill Lynch</t>
    <phoneticPr fontId="4" type="noConversion"/>
  </si>
  <si>
    <r>
      <t xml:space="preserve">21617625, </t>
    </r>
    <r>
      <rPr>
        <sz val="10"/>
        <rFont val="Arial"/>
        <family val="2"/>
      </rPr>
      <t>xfu2@bloomberg.net</t>
    </r>
    <phoneticPr fontId="4" type="noConversion"/>
  </si>
  <si>
    <r>
      <t>A</t>
    </r>
    <r>
      <rPr>
        <sz val="10"/>
        <rFont val="Arial"/>
        <family val="2"/>
      </rPr>
      <t>da Chiu/Edmund.Tsang</t>
    </r>
    <phoneticPr fontId="4" type="noConversion"/>
  </si>
  <si>
    <r>
      <t>C</t>
    </r>
    <r>
      <rPr>
        <sz val="10"/>
        <rFont val="Arial"/>
        <family val="2"/>
      </rPr>
      <t>iti</t>
    </r>
    <phoneticPr fontId="4" type="noConversion"/>
  </si>
  <si>
    <r>
      <t>V</t>
    </r>
    <r>
      <rPr>
        <sz val="10"/>
        <rFont val="Arial"/>
        <family val="2"/>
      </rPr>
      <t>alerie Lau</t>
    </r>
    <phoneticPr fontId="4" type="noConversion"/>
  </si>
  <si>
    <r>
      <t>T</t>
    </r>
    <r>
      <rPr>
        <sz val="10"/>
        <rFont val="Arial"/>
        <family val="2"/>
      </rPr>
      <t>10+423</t>
    </r>
    <phoneticPr fontId="4" type="noConversion"/>
  </si>
  <si>
    <r>
      <t>X</t>
    </r>
    <r>
      <rPr>
        <sz val="10"/>
        <rFont val="Arial"/>
        <family val="2"/>
      </rPr>
      <t>S0368899695</t>
    </r>
    <phoneticPr fontId="4" type="noConversion"/>
  </si>
  <si>
    <r>
      <t>C</t>
    </r>
    <r>
      <rPr>
        <sz val="10"/>
        <rFont val="Arial"/>
        <family val="2"/>
      </rPr>
      <t>hina Merchant 7.125% 18 Jun 2018</t>
    </r>
    <phoneticPr fontId="4" type="noConversion"/>
  </si>
  <si>
    <r>
      <t>B</t>
    </r>
    <r>
      <rPr>
        <sz val="10"/>
        <rFont val="Arial"/>
        <family val="2"/>
      </rPr>
      <t>aa2</t>
    </r>
    <phoneticPr fontId="4" type="noConversion"/>
  </si>
  <si>
    <r>
      <t>B</t>
    </r>
    <r>
      <rPr>
        <sz val="10"/>
        <rFont val="Arial"/>
        <family val="2"/>
      </rPr>
      <t>BB</t>
    </r>
    <phoneticPr fontId="4" type="noConversion"/>
  </si>
  <si>
    <r>
      <t>M</t>
    </r>
    <r>
      <rPr>
        <sz val="10"/>
        <rFont val="Arial"/>
        <family val="2"/>
      </rPr>
      <t>errill Lynch</t>
    </r>
    <phoneticPr fontId="4" type="noConversion"/>
  </si>
  <si>
    <r>
      <t>F</t>
    </r>
    <r>
      <rPr>
        <sz val="10"/>
        <rFont val="Arial"/>
        <family val="2"/>
      </rPr>
      <t>u Xin</t>
    </r>
    <phoneticPr fontId="4" type="noConversion"/>
  </si>
  <si>
    <r>
      <t>21617625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xin_fu@ml.com</t>
    </r>
    <phoneticPr fontId="4" type="noConversion"/>
  </si>
  <si>
    <t>Royal Bank of Scotland</t>
  </si>
  <si>
    <t>2966 2609, arthur.lai@rbs.com</t>
    <phoneticPr fontId="4" type="noConversion"/>
  </si>
  <si>
    <r>
      <t>T</t>
    </r>
    <r>
      <rPr>
        <sz val="10"/>
        <rFont val="Arial"/>
        <family val="2"/>
      </rPr>
      <t>10+428</t>
    </r>
    <phoneticPr fontId="4" type="noConversion"/>
  </si>
  <si>
    <r>
      <t>T</t>
    </r>
    <r>
      <rPr>
        <sz val="10"/>
        <rFont val="Arial"/>
        <family val="2"/>
      </rPr>
      <t>10+410</t>
    </r>
    <phoneticPr fontId="4" type="noConversion"/>
  </si>
  <si>
    <t>2966 2797, lilian.yung@rbs.com</t>
  </si>
  <si>
    <t>Lilian Yung</t>
  </si>
  <si>
    <r>
      <t>T</t>
    </r>
    <r>
      <rPr>
        <sz val="10"/>
        <rFont val="Arial"/>
        <family val="2"/>
      </rPr>
      <t>10+417</t>
    </r>
    <phoneticPr fontId="4" type="noConversion"/>
  </si>
  <si>
    <r>
      <t>T</t>
    </r>
    <r>
      <rPr>
        <sz val="10"/>
        <rFont val="Arial"/>
        <family val="2"/>
      </rPr>
      <t>10+301</t>
    </r>
    <phoneticPr fontId="4" type="noConversion"/>
  </si>
  <si>
    <r>
      <t>T</t>
    </r>
    <r>
      <rPr>
        <sz val="10"/>
        <rFont val="Arial"/>
        <family val="2"/>
      </rPr>
      <t>10+296</t>
    </r>
    <phoneticPr fontId="4" type="noConversion"/>
  </si>
  <si>
    <r>
      <t>T</t>
    </r>
    <r>
      <rPr>
        <sz val="10"/>
        <rFont val="Arial"/>
        <family val="2"/>
      </rPr>
      <t>10+475</t>
    </r>
    <phoneticPr fontId="4" type="noConversion"/>
  </si>
  <si>
    <t>USG4672UAA37</t>
    <phoneticPr fontId="4" type="noConversion"/>
  </si>
  <si>
    <r>
      <t>H</t>
    </r>
    <r>
      <rPr>
        <sz val="10"/>
        <rFont val="Arial"/>
        <family val="2"/>
      </rPr>
      <t>utchison 7.625% 9 Apr 2019</t>
    </r>
    <phoneticPr fontId="4" type="noConversion"/>
  </si>
  <si>
    <r>
      <t>Soon</t>
    </r>
    <r>
      <rPr>
        <sz val="10"/>
        <rFont val="Arial"/>
        <family val="2"/>
      </rPr>
      <t xml:space="preserve"> Shean Ong</t>
    </r>
    <phoneticPr fontId="4" type="noConversion"/>
  </si>
  <si>
    <r>
      <t xml:space="preserve">2822 3060, </t>
    </r>
    <r>
      <rPr>
        <sz val="10"/>
        <rFont val="Arial"/>
        <family val="2"/>
      </rPr>
      <t>soonsheanong@hsbc.com.hk</t>
    </r>
    <phoneticPr fontId="4" type="noConversion"/>
  </si>
  <si>
    <r>
      <t>T</t>
    </r>
    <r>
      <rPr>
        <sz val="10"/>
        <rFont val="Arial"/>
        <family val="2"/>
      </rPr>
      <t>10+400</t>
    </r>
    <phoneticPr fontId="4" type="noConversion"/>
  </si>
  <si>
    <r>
      <t>T</t>
    </r>
    <r>
      <rPr>
        <sz val="10"/>
        <rFont val="Arial"/>
        <family val="2"/>
      </rPr>
      <t>10+293</t>
    </r>
    <phoneticPr fontId="4" type="noConversion"/>
  </si>
  <si>
    <r>
      <t>Y</t>
    </r>
    <r>
      <rPr>
        <sz val="10"/>
        <rFont val="Arial"/>
        <family val="2"/>
      </rPr>
      <t>ing Li</t>
    </r>
    <phoneticPr fontId="4" type="noConversion"/>
  </si>
  <si>
    <t>2971 6246, lingzhuyu@bloomberg.net</t>
    <phoneticPr fontId="4" type="noConversion"/>
  </si>
  <si>
    <r>
      <t xml:space="preserve">2971 6246, </t>
    </r>
    <r>
      <rPr>
        <sz val="10"/>
        <rFont val="Arial"/>
        <family val="2"/>
      </rPr>
      <t>ying.li</t>
    </r>
    <r>
      <rPr>
        <sz val="10"/>
        <rFont val="Arial"/>
        <family val="2"/>
      </rPr>
      <t>@bloomberg.net</t>
    </r>
    <phoneticPr fontId="4" type="noConversion"/>
  </si>
  <si>
    <r>
      <t>T</t>
    </r>
    <r>
      <rPr>
        <sz val="10"/>
        <rFont val="Arial"/>
        <family val="2"/>
      </rPr>
      <t>10+394</t>
    </r>
    <phoneticPr fontId="4" type="noConversion"/>
  </si>
  <si>
    <r>
      <t>A</t>
    </r>
    <r>
      <rPr>
        <sz val="10"/>
        <rFont val="Arial"/>
        <family val="2"/>
      </rPr>
      <t>1</t>
    </r>
    <phoneticPr fontId="4" type="noConversion"/>
  </si>
  <si>
    <r>
      <t>A</t>
    </r>
    <r>
      <rPr>
        <sz val="10"/>
        <rFont val="Arial"/>
        <family val="2"/>
      </rPr>
      <t>+</t>
    </r>
    <phoneticPr fontId="4" type="noConversion"/>
  </si>
  <si>
    <t>28485085, Grace. Wong @morganstanley.com</t>
  </si>
  <si>
    <r>
      <t>T</t>
    </r>
    <r>
      <rPr>
        <sz val="10"/>
        <rFont val="Arial"/>
        <family val="2"/>
      </rPr>
      <t>10+277</t>
    </r>
    <phoneticPr fontId="4" type="noConversion"/>
  </si>
  <si>
    <r>
      <t>T</t>
    </r>
    <r>
      <rPr>
        <sz val="10"/>
        <rFont val="Arial"/>
        <family val="2"/>
      </rPr>
      <t>10+375</t>
    </r>
    <phoneticPr fontId="4" type="noConversion"/>
  </si>
  <si>
    <r>
      <t>T</t>
    </r>
    <r>
      <rPr>
        <sz val="10"/>
        <rFont val="Arial"/>
        <family val="2"/>
      </rPr>
      <t>10+377</t>
    </r>
    <phoneticPr fontId="4" type="noConversion"/>
  </si>
  <si>
    <r>
      <t>T</t>
    </r>
    <r>
      <rPr>
        <sz val="10"/>
        <rFont val="Arial"/>
        <family val="2"/>
      </rPr>
      <t>10+375</t>
    </r>
    <phoneticPr fontId="4" type="noConversion"/>
  </si>
  <si>
    <r>
      <t>T</t>
    </r>
    <r>
      <rPr>
        <sz val="10"/>
        <rFont val="Arial"/>
        <family val="2"/>
      </rPr>
      <t>10+372</t>
    </r>
    <phoneticPr fontId="4" type="noConversion"/>
  </si>
  <si>
    <t xml:space="preserve"> </t>
    <phoneticPr fontId="4" type="noConversion"/>
  </si>
  <si>
    <t>Soon Shean Ong</t>
    <phoneticPr fontId="4" type="noConversion"/>
  </si>
  <si>
    <t>Beijing Enterprise Water 4.625 05/06/19</t>
  </si>
  <si>
    <t>Petrobras 4.375% May 2023</t>
  </si>
  <si>
    <t>XS0852986313</t>
  </si>
  <si>
    <t>CHINA OVERSEAS 5.35% 11/15/42</t>
    <phoneticPr fontId="4" type="noConversion"/>
  </si>
  <si>
    <t>Wendy Zhou</t>
    <phoneticPr fontId="4" type="noConversion"/>
  </si>
  <si>
    <r>
      <t>B</t>
    </r>
    <r>
      <rPr>
        <sz val="10"/>
        <rFont val="Arial"/>
        <family val="2"/>
      </rPr>
      <t>aa1</t>
    </r>
    <phoneticPr fontId="4" type="noConversion"/>
  </si>
  <si>
    <t>3983 8090,Wendy Zhou,zwendy@bloomberg.net</t>
    <phoneticPr fontId="4" type="noConversion"/>
  </si>
  <si>
    <t>2978-1690, Na.Li@gs.com</t>
  </si>
  <si>
    <t xml:space="preserve">KAREN YEUNG </t>
    <phoneticPr fontId="4" type="noConversion"/>
  </si>
  <si>
    <t>XS0925008533</t>
  </si>
  <si>
    <t>BOC Aviation 4.375 2023</t>
    <phoneticPr fontId="4" type="noConversion"/>
  </si>
  <si>
    <t>Barclays</t>
  </si>
  <si>
    <t>KAREN YEUNG</t>
  </si>
  <si>
    <t>2903  2542, kyeung7@bloomberg.net</t>
  </si>
  <si>
    <t>CA-CIB</t>
    <phoneticPr fontId="4" type="noConversion"/>
  </si>
  <si>
    <t>PEGGY YEUNG</t>
  </si>
  <si>
    <t>2826 7854, peggy.yeung@ca-cib.com</t>
    <phoneticPr fontId="4" type="noConversion"/>
  </si>
  <si>
    <t>HTM</t>
  </si>
  <si>
    <t>MANDY LEUNG</t>
  </si>
  <si>
    <r>
      <t>C</t>
    </r>
    <r>
      <rPr>
        <sz val="10"/>
        <rFont val="Arial"/>
        <family val="2"/>
      </rPr>
      <t>ITI</t>
    </r>
    <phoneticPr fontId="4" type="noConversion"/>
  </si>
  <si>
    <t>2501 2566, mleung83@bloomberg.net</t>
    <phoneticPr fontId="4" type="noConversion"/>
  </si>
  <si>
    <t xml:space="preserve">KAREN YEUNG </t>
  </si>
  <si>
    <t>MS</t>
    <phoneticPr fontId="4" type="noConversion"/>
  </si>
  <si>
    <t>KELVIN HUANG</t>
    <phoneticPr fontId="4" type="noConversion"/>
  </si>
  <si>
    <t xml:space="preserve"> 2848-5245, Kelvin.Huang@morganstanley.com   </t>
    <phoneticPr fontId="4" type="noConversion"/>
  </si>
  <si>
    <t>MS</t>
  </si>
  <si>
    <t>KELVIN HUANG</t>
  </si>
  <si>
    <t xml:space="preserve"> 2848-5245, Kelvin.Huang@morganstanley.com   </t>
  </si>
  <si>
    <t>XS0858461758</t>
  </si>
  <si>
    <t>Cosco 4 %12/03/22</t>
    <phoneticPr fontId="4" type="noConversion"/>
  </si>
  <si>
    <t>USG27836AB44</t>
  </si>
  <si>
    <t>DNA Alpha 2003 -1 Class B (Doric) 6.125% 2021 note</t>
    <phoneticPr fontId="4" type="noConversion"/>
  </si>
  <si>
    <r>
      <t>A</t>
    </r>
    <r>
      <rPr>
        <sz val="10"/>
        <rFont val="Arial"/>
        <family val="2"/>
      </rPr>
      <t>2</t>
    </r>
    <phoneticPr fontId="4" type="noConversion"/>
  </si>
  <si>
    <t>A</t>
    <phoneticPr fontId="4" type="noConversion"/>
  </si>
  <si>
    <t>BBB+</t>
    <phoneticPr fontId="4" type="noConversion"/>
  </si>
  <si>
    <t>价格</t>
  </si>
  <si>
    <t>合计/ 平均值</t>
  </si>
  <si>
    <r>
      <t>T</t>
    </r>
    <r>
      <rPr>
        <sz val="10"/>
        <rFont val="Arial"/>
        <family val="2"/>
      </rPr>
      <t>10+316</t>
    </r>
    <phoneticPr fontId="4" type="noConversion"/>
  </si>
  <si>
    <t>525ESCAJ8</t>
  </si>
  <si>
    <t>LEHMAN BROTHERS HOLDINGS INC 4.25% 01/27/2010</t>
    <phoneticPr fontId="4" type="noConversion"/>
  </si>
  <si>
    <t>SELL</t>
    <phoneticPr fontId="4" type="noConversion"/>
  </si>
  <si>
    <r>
      <t>S</t>
    </r>
    <r>
      <rPr>
        <sz val="10"/>
        <rFont val="Arial"/>
        <family val="2"/>
      </rPr>
      <t>CB</t>
    </r>
    <phoneticPr fontId="4" type="noConversion"/>
  </si>
  <si>
    <t>EVELYN WONG</t>
    <phoneticPr fontId="4" type="noConversion"/>
  </si>
  <si>
    <t>Franshion 6.75% 2021</t>
    <phoneticPr fontId="4" type="noConversion"/>
  </si>
  <si>
    <r>
      <t>B</t>
    </r>
    <r>
      <rPr>
        <sz val="10"/>
        <rFont val="Arial"/>
        <family val="2"/>
      </rPr>
      <t>B</t>
    </r>
    <phoneticPr fontId="4" type="noConversion"/>
  </si>
  <si>
    <t>Franshion 6.75% 2021</t>
  </si>
  <si>
    <t>Goldman Sachs</t>
  </si>
  <si>
    <t>Li Na</t>
  </si>
  <si>
    <t>2978 1432, Na.Li@gs.com</t>
  </si>
  <si>
    <r>
      <t>H</t>
    </r>
    <r>
      <rPr>
        <sz val="10"/>
        <rFont val="Arial"/>
        <family val="2"/>
      </rPr>
      <t>TM</t>
    </r>
    <phoneticPr fontId="4" type="noConversion"/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</si>
  <si>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4</t>
    </r>
    <r>
      <rPr>
        <sz val="10"/>
        <rFont val="細明體"/>
        <family val="3"/>
        <charset val="136"/>
      </rPr>
      <t>月</t>
    </r>
    <phoneticPr fontId="4" type="noConversion"/>
  </si>
  <si>
    <t>LEHMAN BROTHERS HOLDINGS INC 4.25% 01/27/2010</t>
    <phoneticPr fontId="4" type="noConversion"/>
  </si>
  <si>
    <t>XS0906085179</t>
  </si>
  <si>
    <t>1MDB 4.4 03/09/23</t>
  </si>
  <si>
    <t>1MDB 4.4 03/09/23</t>
    <phoneticPr fontId="4" type="noConversion"/>
  </si>
  <si>
    <r>
      <t>A</t>
    </r>
    <r>
      <rPr>
        <sz val="10"/>
        <rFont val="Arial"/>
        <family val="2"/>
      </rPr>
      <t>-</t>
    </r>
    <phoneticPr fontId="4" type="noConversion"/>
  </si>
  <si>
    <t>OLD LEHMAN BOND IN JPM A A/C</t>
    <phoneticPr fontId="4" type="noConversion"/>
  </si>
  <si>
    <t>HKD</t>
    <phoneticPr fontId="4" type="noConversion"/>
  </si>
  <si>
    <r>
      <t>T10+</t>
    </r>
    <r>
      <rPr>
        <sz val="10"/>
        <rFont val="Arial"/>
        <family val="2"/>
      </rPr>
      <t>320</t>
    </r>
    <phoneticPr fontId="4" type="noConversion"/>
  </si>
  <si>
    <r>
      <t>A</t>
    </r>
    <r>
      <rPr>
        <sz val="10"/>
        <rFont val="Arial"/>
        <family val="2"/>
      </rPr>
      <t>2</t>
    </r>
    <phoneticPr fontId="4" type="noConversion"/>
  </si>
  <si>
    <t>A</t>
    <phoneticPr fontId="4" type="noConversion"/>
  </si>
  <si>
    <r>
      <t>N</t>
    </r>
    <r>
      <rPr>
        <sz val="10"/>
        <rFont val="Arial"/>
        <family val="2"/>
      </rPr>
      <t>A</t>
    </r>
    <phoneticPr fontId="4" type="noConversion"/>
  </si>
  <si>
    <r>
      <t>T</t>
    </r>
    <r>
      <rPr>
        <sz val="10"/>
        <rFont val="Arial"/>
        <family val="2"/>
      </rPr>
      <t>5+475</t>
    </r>
    <phoneticPr fontId="4" type="noConversion"/>
  </si>
  <si>
    <r>
      <t>US</t>
    </r>
    <r>
      <rPr>
        <sz val="10"/>
        <rFont val="Arial"/>
        <family val="2"/>
      </rPr>
      <t>55608KNN18</t>
    </r>
    <phoneticPr fontId="4" type="noConversion"/>
  </si>
  <si>
    <r>
      <t>M</t>
    </r>
    <r>
      <rPr>
        <sz val="10"/>
        <rFont val="Arial"/>
        <family val="2"/>
      </rPr>
      <t>QGAU 7.3% 1 Aug 2014</t>
    </r>
    <phoneticPr fontId="4" type="noConversion"/>
  </si>
  <si>
    <r>
      <t>F</t>
    </r>
    <r>
      <rPr>
        <sz val="10"/>
        <rFont val="Arial"/>
        <family val="2"/>
      </rPr>
      <t>u Xin/ Karen Jin</t>
    </r>
    <phoneticPr fontId="4" type="noConversion"/>
  </si>
  <si>
    <r>
      <t>21617625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xin_fu@ml.com/ karen_jin@ml.com</t>
    </r>
    <phoneticPr fontId="4" type="noConversion"/>
  </si>
  <si>
    <r>
      <t>U</t>
    </r>
    <r>
      <rPr>
        <sz val="10"/>
        <rFont val="Arial"/>
        <family val="2"/>
      </rPr>
      <t>S55608KAA34</t>
    </r>
    <phoneticPr fontId="4" type="noConversion"/>
  </si>
  <si>
    <r>
      <t>U</t>
    </r>
    <r>
      <rPr>
        <sz val="10"/>
        <rFont val="Arial"/>
        <family val="2"/>
      </rPr>
      <t>S55608JAB44</t>
    </r>
    <phoneticPr fontId="4" type="noConversion"/>
  </si>
  <si>
    <r>
      <t>M</t>
    </r>
    <r>
      <rPr>
        <sz val="10"/>
        <rFont val="Arial"/>
        <family val="2"/>
      </rPr>
      <t>aquarie 7.625% 13 Aug 2019- 144A</t>
    </r>
    <phoneticPr fontId="4" type="noConversion"/>
  </si>
  <si>
    <r>
      <t>T</t>
    </r>
    <r>
      <rPr>
        <sz val="10"/>
        <rFont val="Arial"/>
        <family val="2"/>
      </rPr>
      <t>10+380</t>
    </r>
    <phoneticPr fontId="4" type="noConversion"/>
  </si>
  <si>
    <r>
      <t>T</t>
    </r>
    <r>
      <rPr>
        <sz val="10"/>
        <rFont val="Arial"/>
        <family val="2"/>
      </rPr>
      <t>10+388</t>
    </r>
    <phoneticPr fontId="4" type="noConversion"/>
  </si>
  <si>
    <r>
      <t>R</t>
    </r>
    <r>
      <rPr>
        <sz val="10"/>
        <rFont val="Arial"/>
        <family val="2"/>
      </rPr>
      <t>ainna Yeo/ Arthur Lai</t>
    </r>
    <phoneticPr fontId="4" type="noConversion"/>
  </si>
  <si>
    <t>2966 2797, ryeo8@bloomberg.net/ 2966 2609, arthur.lai@rbs.com</t>
    <phoneticPr fontId="4" type="noConversion"/>
  </si>
  <si>
    <r>
      <t>M</t>
    </r>
    <r>
      <rPr>
        <sz val="10"/>
        <rFont val="Arial"/>
        <family val="2"/>
      </rPr>
      <t>aquarie 7.625% 13 Aug 2019- Reg S</t>
    </r>
    <phoneticPr fontId="4" type="noConversion"/>
  </si>
  <si>
    <t>Maquarie 7.625% 13 Aug 2019- Reg S</t>
  </si>
  <si>
    <t>A1</t>
    <phoneticPr fontId="4" type="noConversion"/>
  </si>
  <si>
    <t>A2</t>
  </si>
  <si>
    <t>A3</t>
  </si>
  <si>
    <t>Baa1</t>
    <phoneticPr fontId="4" type="noConversion"/>
  </si>
  <si>
    <t>USY1391CAJ00</t>
    <phoneticPr fontId="4" type="noConversion"/>
  </si>
  <si>
    <t>A1</t>
    <phoneticPr fontId="4" type="noConversion"/>
  </si>
  <si>
    <r>
      <t>ElizaYH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Lin</t>
    </r>
    <phoneticPr fontId="4" type="noConversion"/>
  </si>
  <si>
    <r>
      <t>Deutsche</t>
    </r>
    <r>
      <rPr>
        <sz val="10"/>
        <rFont val="Arial"/>
        <family val="2"/>
      </rPr>
      <t xml:space="preserve"> Bank</t>
    </r>
    <phoneticPr fontId="4" type="noConversion"/>
  </si>
  <si>
    <r>
      <t>22038391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eliza-yh.lin@db.com</t>
    </r>
    <phoneticPr fontId="4" type="noConversion"/>
  </si>
  <si>
    <r>
      <t>B</t>
    </r>
    <r>
      <rPr>
        <sz val="10"/>
        <rFont val="Arial"/>
        <family val="2"/>
      </rPr>
      <t>ank of China 5.55% 11 Feb 2020</t>
    </r>
    <phoneticPr fontId="4" type="noConversion"/>
  </si>
  <si>
    <t>Accounting</t>
    <phoneticPr fontId="4" type="noConversion"/>
  </si>
  <si>
    <r>
      <t>A</t>
    </r>
    <r>
      <rPr>
        <sz val="10"/>
        <rFont val="Arial"/>
        <family val="2"/>
      </rPr>
      <t>FS</t>
    </r>
    <phoneticPr fontId="4" type="noConversion"/>
  </si>
  <si>
    <r>
      <t>T</t>
    </r>
    <r>
      <rPr>
        <sz val="10"/>
        <rFont val="Arial"/>
        <family val="2"/>
      </rPr>
      <t>10+276</t>
    </r>
    <phoneticPr fontId="4" type="noConversion"/>
  </si>
  <si>
    <r>
      <t>USY1391CA</t>
    </r>
    <r>
      <rPr>
        <sz val="10"/>
        <rFont val="Arial"/>
        <family val="2"/>
      </rPr>
      <t>K72</t>
    </r>
    <phoneticPr fontId="4" type="noConversion"/>
  </si>
  <si>
    <r>
      <t>B</t>
    </r>
    <r>
      <rPr>
        <sz val="10"/>
        <rFont val="Arial"/>
        <family val="2"/>
      </rPr>
      <t>OC International</t>
    </r>
    <phoneticPr fontId="4" type="noConversion"/>
  </si>
  <si>
    <r>
      <t>R</t>
    </r>
    <r>
      <rPr>
        <sz val="10"/>
        <rFont val="Arial"/>
        <family val="2"/>
      </rPr>
      <t>oger Wong</t>
    </r>
    <phoneticPr fontId="4" type="noConversion"/>
  </si>
  <si>
    <t xml:space="preserve">2867 6380, Roger.Wong@bocigroup.com </t>
    <phoneticPr fontId="4" type="noConversion"/>
  </si>
  <si>
    <r>
      <t>H</t>
    </r>
    <r>
      <rPr>
        <sz val="10"/>
        <rFont val="Arial"/>
        <family val="2"/>
      </rPr>
      <t>TM</t>
    </r>
    <phoneticPr fontId="4" type="noConversion"/>
  </si>
  <si>
    <r>
      <t>H</t>
    </r>
    <r>
      <rPr>
        <sz val="10"/>
        <rFont val="Arial"/>
        <family val="2"/>
      </rPr>
      <t>TM</t>
    </r>
    <phoneticPr fontId="4" type="noConversion"/>
  </si>
  <si>
    <r>
      <t>T</t>
    </r>
    <r>
      <rPr>
        <sz val="10"/>
        <rFont val="Arial"/>
        <family val="2"/>
      </rPr>
      <t>10+280</t>
    </r>
    <phoneticPr fontId="4" type="noConversion"/>
  </si>
  <si>
    <r>
      <t>X</t>
    </r>
    <r>
      <rPr>
        <sz val="10"/>
        <rFont val="Arial"/>
        <family val="2"/>
      </rPr>
      <t>S0452319337</t>
    </r>
    <phoneticPr fontId="4" type="noConversion"/>
  </si>
  <si>
    <r>
      <t>H</t>
    </r>
    <r>
      <rPr>
        <sz val="10"/>
        <rFont val="Arial"/>
        <family val="2"/>
      </rPr>
      <t>enson Fin (Henderson Land Dev) 5.5% 17 Sep 2019</t>
    </r>
    <phoneticPr fontId="4" type="noConversion"/>
  </si>
  <si>
    <r>
      <t>N</t>
    </r>
    <r>
      <rPr>
        <sz val="10"/>
        <rFont val="Arial"/>
        <family val="2"/>
      </rPr>
      <t>R</t>
    </r>
    <phoneticPr fontId="4" type="noConversion"/>
  </si>
  <si>
    <r>
      <t>T</t>
    </r>
    <r>
      <rPr>
        <sz val="10"/>
        <rFont val="Arial"/>
        <family val="2"/>
      </rPr>
      <t>10+284</t>
    </r>
    <phoneticPr fontId="4" type="noConversion"/>
  </si>
  <si>
    <r>
      <t>M</t>
    </r>
    <r>
      <rPr>
        <sz val="10"/>
        <rFont val="Arial"/>
        <family val="2"/>
      </rPr>
      <t>acquarie 6% 14 Jan 2020</t>
    </r>
    <phoneticPr fontId="4" type="noConversion"/>
  </si>
  <si>
    <r>
      <t>U</t>
    </r>
    <r>
      <rPr>
        <sz val="10"/>
        <rFont val="Arial"/>
        <family val="2"/>
      </rPr>
      <t>S55608KAB17</t>
    </r>
    <phoneticPr fontId="4" type="noConversion"/>
  </si>
  <si>
    <r>
      <t>2203 8283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grace.wong@db.com</t>
    </r>
    <phoneticPr fontId="4" type="noConversion"/>
  </si>
  <si>
    <r>
      <t>T</t>
    </r>
    <r>
      <rPr>
        <sz val="10"/>
        <rFont val="Arial"/>
        <family val="2"/>
      </rPr>
      <t>10+300</t>
    </r>
    <phoneticPr fontId="4" type="noConversion"/>
  </si>
  <si>
    <t xml:space="preserve">帐户 </t>
    <phoneticPr fontId="4" type="noConversion"/>
  </si>
  <si>
    <t>港分A</t>
    <phoneticPr fontId="4" type="noConversion"/>
  </si>
  <si>
    <t>港分G</t>
    <phoneticPr fontId="4" type="noConversion"/>
  </si>
  <si>
    <r>
      <t>T</t>
    </r>
    <r>
      <rPr>
        <sz val="10"/>
        <rFont val="Arial"/>
        <family val="2"/>
      </rPr>
      <t>10+289</t>
    </r>
    <phoneticPr fontId="4" type="noConversion"/>
  </si>
  <si>
    <r>
      <t>T</t>
    </r>
    <r>
      <rPr>
        <sz val="10"/>
        <rFont val="Arial"/>
        <family val="2"/>
      </rPr>
      <t>10+283</t>
    </r>
    <phoneticPr fontId="4" type="noConversion"/>
  </si>
  <si>
    <t>Merrill Lynch</t>
  </si>
  <si>
    <t>Fu Xin</t>
  </si>
  <si>
    <t>21617625, xin.fu@baml.com</t>
    <phoneticPr fontId="4" type="noConversion"/>
  </si>
  <si>
    <r>
      <t>X</t>
    </r>
    <r>
      <rPr>
        <sz val="10"/>
        <rFont val="Arial"/>
        <family val="2"/>
      </rPr>
      <t>S0520042416</t>
    </r>
    <phoneticPr fontId="4" type="noConversion"/>
  </si>
  <si>
    <t xml:space="preserve">Goldman Sachs </t>
    <phoneticPr fontId="4" type="noConversion"/>
  </si>
  <si>
    <r>
      <t>G</t>
    </r>
    <r>
      <rPr>
        <sz val="10"/>
        <rFont val="Arial"/>
        <family val="2"/>
      </rPr>
      <t>uido Rosas</t>
    </r>
    <phoneticPr fontId="4" type="noConversion"/>
  </si>
  <si>
    <t>29786184, guido.rosas@gs.com</t>
    <phoneticPr fontId="4" type="noConversion"/>
  </si>
  <si>
    <r>
      <t>T</t>
    </r>
    <r>
      <rPr>
        <sz val="10"/>
        <rFont val="Arial"/>
        <family val="2"/>
      </rPr>
      <t>10+275</t>
    </r>
    <phoneticPr fontId="4" type="noConversion"/>
  </si>
  <si>
    <r>
      <t>S</t>
    </r>
    <r>
      <rPr>
        <sz val="10"/>
        <rFont val="Arial"/>
        <family val="2"/>
      </rPr>
      <t>tandard Chartered sub-debt 5.875% 24 Jun 2020</t>
    </r>
    <phoneticPr fontId="4" type="noConversion"/>
  </si>
  <si>
    <r>
      <t>T</t>
    </r>
    <r>
      <rPr>
        <sz val="10"/>
        <rFont val="Arial"/>
        <family val="2"/>
      </rPr>
      <t>10+362.5</t>
    </r>
    <phoneticPr fontId="4" type="noConversion"/>
  </si>
  <si>
    <r>
      <t>X</t>
    </r>
    <r>
      <rPr>
        <sz val="10"/>
        <rFont val="Arial"/>
        <family val="2"/>
      </rPr>
      <t>S0520490672</t>
    </r>
    <phoneticPr fontId="4" type="noConversion"/>
  </si>
  <si>
    <t>Kawah 6.875% subdebt 24 Jun 2020</t>
    <phoneticPr fontId="4" type="noConversion"/>
  </si>
  <si>
    <r>
      <t>B</t>
    </r>
    <r>
      <rPr>
        <sz val="10"/>
        <rFont val="Arial"/>
        <family val="2"/>
      </rPr>
      <t>aa3</t>
    </r>
    <phoneticPr fontId="4" type="noConversion"/>
  </si>
  <si>
    <r>
      <t>2</t>
    </r>
    <r>
      <rPr>
        <sz val="10"/>
        <rFont val="Arial"/>
        <family val="2"/>
      </rPr>
      <t>903 2549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stephen.mak@barclayscapital.com</t>
    </r>
    <phoneticPr fontId="4" type="noConversion"/>
  </si>
  <si>
    <r>
      <t>B</t>
    </r>
    <r>
      <rPr>
        <sz val="10"/>
        <rFont val="Arial"/>
        <family val="2"/>
      </rPr>
      <t>BB (Fitch)</t>
    </r>
    <phoneticPr fontId="4" type="noConversion"/>
  </si>
  <si>
    <r>
      <t>T</t>
    </r>
    <r>
      <rPr>
        <sz val="10"/>
        <rFont val="Arial"/>
        <family val="2"/>
      </rPr>
      <t>10+358</t>
    </r>
    <phoneticPr fontId="4" type="noConversion"/>
  </si>
  <si>
    <t>Fu Xin</t>
    <phoneticPr fontId="4" type="noConversion"/>
  </si>
  <si>
    <t>XS0523250131</t>
  </si>
  <si>
    <r>
      <t>Y</t>
    </r>
    <r>
      <rPr>
        <sz val="10"/>
        <rFont val="Arial"/>
        <family val="2"/>
      </rPr>
      <t>uzhou 10% 8 July 2013</t>
    </r>
    <phoneticPr fontId="4" type="noConversion"/>
  </si>
  <si>
    <r>
      <t>H</t>
    </r>
    <r>
      <rPr>
        <sz val="10"/>
        <rFont val="Arial"/>
        <family val="2"/>
      </rPr>
      <t>K$</t>
    </r>
    <phoneticPr fontId="4" type="noConversion"/>
  </si>
  <si>
    <r>
      <t>G</t>
    </r>
    <r>
      <rPr>
        <sz val="10"/>
        <rFont val="Arial"/>
        <family val="2"/>
      </rPr>
      <t>TJA</t>
    </r>
    <phoneticPr fontId="4" type="noConversion"/>
  </si>
  <si>
    <r>
      <t>A</t>
    </r>
    <r>
      <rPr>
        <sz val="10"/>
        <rFont val="Arial"/>
        <family val="2"/>
      </rPr>
      <t>nnie Shui</t>
    </r>
    <phoneticPr fontId="4" type="noConversion"/>
  </si>
  <si>
    <t>2509 7577</t>
    <phoneticPr fontId="4" type="noConversion"/>
  </si>
  <si>
    <r>
      <t>T</t>
    </r>
    <r>
      <rPr>
        <sz val="10"/>
        <rFont val="Arial"/>
        <family val="2"/>
      </rPr>
      <t>10 = 2.9%</t>
    </r>
    <phoneticPr fontId="4" type="noConversion"/>
  </si>
  <si>
    <r>
      <t>T</t>
    </r>
    <r>
      <rPr>
        <sz val="10"/>
        <rFont val="Arial"/>
        <family val="2"/>
      </rPr>
      <t xml:space="preserve">2 = 0.6% </t>
    </r>
    <phoneticPr fontId="4" type="noConversion"/>
  </si>
  <si>
    <t>XS0533038039</t>
  </si>
  <si>
    <r>
      <t>U</t>
    </r>
    <r>
      <rPr>
        <sz val="10"/>
        <rFont val="Arial"/>
        <family val="2"/>
      </rPr>
      <t>BS</t>
    </r>
    <phoneticPr fontId="4" type="noConversion"/>
  </si>
  <si>
    <t>perp</t>
    <phoneticPr fontId="4" type="noConversion"/>
  </si>
  <si>
    <t>Fu Xin/ Karen Jin</t>
    <phoneticPr fontId="4" type="noConversion"/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</si>
  <si>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</t>
    </r>
    <r>
      <rPr>
        <sz val="10"/>
        <rFont val="細明體"/>
        <family val="3"/>
        <charset val="136"/>
      </rPr>
      <t>月</t>
    </r>
    <phoneticPr fontId="4" type="noConversion"/>
  </si>
  <si>
    <r>
      <t>W</t>
    </r>
    <r>
      <rPr>
        <sz val="10"/>
        <rFont val="Arial"/>
        <family val="2"/>
      </rPr>
      <t>illiam Fung</t>
    </r>
    <phoneticPr fontId="4" type="noConversion"/>
  </si>
  <si>
    <r>
      <t xml:space="preserve"> 2971 7916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William-C.Fung@ubs.com</t>
    </r>
    <phoneticPr fontId="4" type="noConversion"/>
  </si>
  <si>
    <r>
      <t>T</t>
    </r>
    <r>
      <rPr>
        <sz val="10"/>
        <rFont val="Arial"/>
        <family val="2"/>
      </rPr>
      <t>10 = 2.76</t>
    </r>
    <phoneticPr fontId="4" type="noConversion"/>
  </si>
  <si>
    <r>
      <t>T</t>
    </r>
    <r>
      <rPr>
        <sz val="10"/>
        <rFont val="Arial"/>
        <family val="2"/>
      </rPr>
      <t>30 = 4.0</t>
    </r>
    <phoneticPr fontId="4" type="noConversion"/>
  </si>
  <si>
    <r>
      <t>C</t>
    </r>
    <r>
      <rPr>
        <sz val="10"/>
        <rFont val="Arial"/>
        <family val="2"/>
      </rPr>
      <t>itic Pacific 6.9% 16 Aug 2022</t>
    </r>
    <phoneticPr fontId="4" type="noConversion"/>
  </si>
  <si>
    <r>
      <t>W</t>
    </r>
    <r>
      <rPr>
        <sz val="10"/>
        <rFont val="Arial"/>
        <family val="2"/>
      </rPr>
      <t>ei Li</t>
    </r>
    <r>
      <rPr>
        <sz val="10"/>
        <rFont val="Arial"/>
        <family val="2"/>
      </rPr>
      <t xml:space="preserve"> </t>
    </r>
    <phoneticPr fontId="4" type="noConversion"/>
  </si>
  <si>
    <r>
      <t>2203 8387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li.wei@db.com</t>
    </r>
    <phoneticPr fontId="4" type="noConversion"/>
  </si>
  <si>
    <t>perpetual</t>
    <phoneticPr fontId="4" type="noConversion"/>
  </si>
  <si>
    <r>
      <t>F</t>
    </r>
    <r>
      <rPr>
        <sz val="10"/>
        <rFont val="Arial"/>
        <family val="2"/>
      </rPr>
      <t>ranshion 6.8% perpetual convertible note 2015 call</t>
    </r>
    <phoneticPr fontId="4" type="noConversion"/>
  </si>
  <si>
    <t>XS0545110354</t>
  </si>
  <si>
    <t>USG6419EAB05</t>
    <phoneticPr fontId="4" type="noConversion"/>
  </si>
  <si>
    <r>
      <t>N</t>
    </r>
    <r>
      <rPr>
        <sz val="10"/>
        <rFont val="Arial"/>
        <family val="2"/>
      </rPr>
      <t>eo China 9.75% 23 Jul 2014</t>
    </r>
    <phoneticPr fontId="4" type="noConversion"/>
  </si>
  <si>
    <r>
      <t>B</t>
    </r>
    <r>
      <rPr>
        <sz val="10"/>
        <rFont val="Arial"/>
        <family val="2"/>
      </rPr>
      <t>2</t>
    </r>
    <phoneticPr fontId="4" type="noConversion"/>
  </si>
  <si>
    <r>
      <t>B</t>
    </r>
    <r>
      <rPr>
        <sz val="10"/>
        <rFont val="Arial"/>
        <family val="2"/>
      </rPr>
      <t>-</t>
    </r>
    <phoneticPr fontId="4" type="noConversion"/>
  </si>
  <si>
    <t xml:space="preserve">Bessie Wang </t>
  </si>
  <si>
    <r>
      <t>B</t>
    </r>
    <r>
      <rPr>
        <sz val="10"/>
        <rFont val="Arial"/>
        <family val="2"/>
      </rPr>
      <t>OCI</t>
    </r>
    <phoneticPr fontId="4" type="noConversion"/>
  </si>
  <si>
    <t>2867 6371, Bessie.Wang@bocigroup.com</t>
    <phoneticPr fontId="4" type="noConversion"/>
  </si>
  <si>
    <r>
      <t>T</t>
    </r>
    <r>
      <rPr>
        <sz val="10"/>
        <rFont val="Arial"/>
        <family val="2"/>
      </rPr>
      <t>3+700</t>
    </r>
    <phoneticPr fontId="4" type="noConversion"/>
  </si>
  <si>
    <r>
      <t>T</t>
    </r>
    <r>
      <rPr>
        <sz val="10"/>
        <rFont val="Arial"/>
        <family val="2"/>
      </rPr>
      <t>10 = 2.62%</t>
    </r>
    <phoneticPr fontId="4" type="noConversion"/>
  </si>
  <si>
    <r>
      <t>T</t>
    </r>
    <r>
      <rPr>
        <sz val="10"/>
        <rFont val="Arial"/>
        <family val="2"/>
      </rPr>
      <t xml:space="preserve">2 = 0.34% </t>
    </r>
    <phoneticPr fontId="4" type="noConversion"/>
  </si>
  <si>
    <r>
      <t>F</t>
    </r>
    <r>
      <rPr>
        <sz val="10"/>
        <rFont val="Arial"/>
        <family val="2"/>
      </rPr>
      <t>ranshion 6.8% perpetual convertible note 2015 call</t>
    </r>
    <phoneticPr fontId="4" type="noConversion"/>
  </si>
  <si>
    <t>XS0523250131</t>
    <phoneticPr fontId="4" type="noConversion"/>
  </si>
  <si>
    <t>2978 0577, Melissa.Au@gs.com</t>
    <phoneticPr fontId="4" type="noConversion"/>
  </si>
  <si>
    <r>
      <t>Melissa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Au</t>
    </r>
    <phoneticPr fontId="4" type="noConversion"/>
  </si>
  <si>
    <r>
      <t>G</t>
    </r>
    <r>
      <rPr>
        <sz val="10"/>
        <rFont val="Arial"/>
        <family val="2"/>
      </rPr>
      <t>S PWM</t>
    </r>
    <phoneticPr fontId="4" type="noConversion"/>
  </si>
  <si>
    <r>
      <t>Wendy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Cheung</t>
    </r>
    <phoneticPr fontId="4" type="noConversion"/>
  </si>
  <si>
    <r>
      <t>C</t>
    </r>
    <r>
      <rPr>
        <sz val="10"/>
        <rFont val="Arial"/>
        <family val="2"/>
      </rPr>
      <t>itigroup</t>
    </r>
    <phoneticPr fontId="4" type="noConversion"/>
  </si>
  <si>
    <t>2509 7577, annie.shiu@gtjas.com.hk</t>
    <phoneticPr fontId="4" type="noConversion"/>
  </si>
  <si>
    <t>2501 2528, wendy.ht.cheung@citi.com</t>
    <phoneticPr fontId="4" type="noConversion"/>
  </si>
  <si>
    <t>美元</t>
    <phoneticPr fontId="4" type="noConversion"/>
  </si>
  <si>
    <t xml:space="preserve">帐户 </t>
    <phoneticPr fontId="4" type="noConversion"/>
  </si>
  <si>
    <r>
      <t>T</t>
    </r>
    <r>
      <rPr>
        <sz val="10"/>
        <rFont val="Arial"/>
        <family val="2"/>
      </rPr>
      <t>3 = 3.63%</t>
    </r>
    <phoneticPr fontId="4" type="noConversion"/>
  </si>
  <si>
    <r>
      <t>T</t>
    </r>
    <r>
      <rPr>
        <sz val="10"/>
        <rFont val="Arial"/>
        <family val="2"/>
      </rPr>
      <t>3 = 0.81</t>
    </r>
    <phoneticPr fontId="4" type="noConversion"/>
  </si>
  <si>
    <r>
      <t>T</t>
    </r>
    <r>
      <rPr>
        <sz val="10"/>
        <rFont val="Arial"/>
        <family val="2"/>
      </rPr>
      <t>3 = 0.85</t>
    </r>
    <phoneticPr fontId="4" type="noConversion"/>
  </si>
  <si>
    <r>
      <t>T</t>
    </r>
    <r>
      <rPr>
        <sz val="10"/>
        <rFont val="Arial"/>
        <family val="2"/>
      </rPr>
      <t>3+640</t>
    </r>
    <phoneticPr fontId="4" type="noConversion"/>
  </si>
  <si>
    <r>
      <t>T</t>
    </r>
    <r>
      <rPr>
        <sz val="10"/>
        <rFont val="Arial"/>
        <family val="2"/>
      </rPr>
      <t>3+651</t>
    </r>
    <phoneticPr fontId="4" type="noConversion"/>
  </si>
  <si>
    <r>
      <t>K</t>
    </r>
    <r>
      <rPr>
        <sz val="10"/>
        <rFont val="Arial"/>
        <family val="2"/>
      </rPr>
      <t>aren Jin</t>
    </r>
    <phoneticPr fontId="4" type="noConversion"/>
  </si>
  <si>
    <t>2536 3378, karen.jin@baml.com</t>
    <phoneticPr fontId="4" type="noConversion"/>
  </si>
  <si>
    <r>
      <t>B</t>
    </r>
    <r>
      <rPr>
        <sz val="10"/>
        <rFont val="Arial"/>
        <family val="2"/>
      </rPr>
      <t>OA/</t>
    </r>
    <r>
      <rPr>
        <sz val="10"/>
        <rFont val="Arial"/>
        <family val="2"/>
      </rPr>
      <t>Merrill Lynch</t>
    </r>
    <phoneticPr fontId="4" type="noConversion"/>
  </si>
  <si>
    <t>in HK$</t>
    <phoneticPr fontId="4" type="noConversion"/>
  </si>
  <si>
    <t>XS0556302163</t>
  </si>
  <si>
    <r>
      <t>XS055630216</t>
    </r>
    <r>
      <rPr>
        <sz val="10"/>
        <rFont val="Arial"/>
        <family val="2"/>
      </rPr>
      <t>3</t>
    </r>
    <phoneticPr fontId="4" type="noConversion"/>
  </si>
  <si>
    <r>
      <t>C</t>
    </r>
    <r>
      <rPr>
        <sz val="10"/>
        <rFont val="Arial"/>
        <family val="2"/>
      </rPr>
      <t>hong Hing 6% 4 Nov 2020</t>
    </r>
    <phoneticPr fontId="4" type="noConversion"/>
  </si>
  <si>
    <t>BBB (Fitch)</t>
    <phoneticPr fontId="4" type="noConversion"/>
  </si>
  <si>
    <t>2502 2528, wendy.ht.cheung@citi.com</t>
  </si>
  <si>
    <r>
      <t>U</t>
    </r>
    <r>
      <rPr>
        <sz val="10"/>
        <rFont val="Arial"/>
        <family val="2"/>
      </rPr>
      <t>S55608KAB17</t>
    </r>
    <phoneticPr fontId="4" type="noConversion"/>
  </si>
  <si>
    <r>
      <t>M</t>
    </r>
    <r>
      <rPr>
        <sz val="10"/>
        <rFont val="Arial"/>
        <family val="2"/>
      </rPr>
      <t>acquarie 6% 14 Jan 2020</t>
    </r>
    <phoneticPr fontId="4" type="noConversion"/>
  </si>
  <si>
    <r>
      <t>A</t>
    </r>
    <r>
      <rPr>
        <sz val="10"/>
        <rFont val="Arial"/>
        <family val="2"/>
      </rPr>
      <t>2</t>
    </r>
    <phoneticPr fontId="4" type="noConversion"/>
  </si>
  <si>
    <t>2978 1432, Na.Li@gs.com</t>
    <phoneticPr fontId="4" type="noConversion"/>
  </si>
  <si>
    <r>
      <t>A</t>
    </r>
    <r>
      <rPr>
        <sz val="10"/>
        <rFont val="Arial"/>
        <family val="2"/>
      </rPr>
      <t>-</t>
    </r>
    <phoneticPr fontId="4" type="noConversion"/>
  </si>
  <si>
    <r>
      <t>M</t>
    </r>
    <r>
      <rPr>
        <sz val="10"/>
        <rFont val="Arial"/>
        <family val="2"/>
      </rPr>
      <t>aquarie 7.625% 13 Aug 2020- Reg S</t>
    </r>
    <r>
      <rPr>
        <sz val="10"/>
        <rFont val="Arial"/>
        <family val="2"/>
      </rPr>
      <t/>
    </r>
  </si>
  <si>
    <r>
      <t>U</t>
    </r>
    <r>
      <rPr>
        <sz val="10"/>
        <rFont val="Arial"/>
        <family val="2"/>
      </rPr>
      <t>S55608KAA34</t>
    </r>
    <phoneticPr fontId="4" type="noConversion"/>
  </si>
  <si>
    <r>
      <t xml:space="preserve">2823 3060, </t>
    </r>
    <r>
      <rPr>
        <sz val="10"/>
        <rFont val="Arial"/>
        <family val="2"/>
      </rPr>
      <t>soonsheanong@hsbc.com.hk</t>
    </r>
  </si>
  <si>
    <r>
      <t>R</t>
    </r>
    <r>
      <rPr>
        <sz val="10"/>
        <rFont val="Arial"/>
        <family val="2"/>
      </rPr>
      <t>ebecca Lau</t>
    </r>
    <phoneticPr fontId="4" type="noConversion"/>
  </si>
  <si>
    <t>rlaubnp@bloomberg.net</t>
  </si>
  <si>
    <t>XS0571508588</t>
  </si>
  <si>
    <r>
      <t>S</t>
    </r>
    <r>
      <rPr>
        <sz val="10"/>
        <rFont val="Arial"/>
        <family val="2"/>
      </rPr>
      <t xml:space="preserve">hui </t>
    </r>
    <r>
      <rPr>
        <sz val="10"/>
        <rFont val="Arial"/>
        <family val="2"/>
      </rPr>
      <t>O</t>
    </r>
    <r>
      <rPr>
        <sz val="10"/>
        <rFont val="Arial"/>
        <family val="2"/>
      </rPr>
      <t>n</t>
    </r>
    <r>
      <rPr>
        <sz val="10"/>
        <rFont val="Arial"/>
        <family val="2"/>
      </rPr>
      <t xml:space="preserve"> 6</t>
    </r>
    <r>
      <rPr>
        <sz val="10"/>
        <rFont val="Arial"/>
        <family val="2"/>
      </rPr>
      <t xml:space="preserve">.875% </t>
    </r>
    <r>
      <rPr>
        <sz val="10"/>
        <rFont val="Arial"/>
        <family val="2"/>
      </rPr>
      <t>23</t>
    </r>
    <r>
      <rPr>
        <sz val="10"/>
        <rFont val="Arial"/>
        <family val="2"/>
      </rPr>
      <t xml:space="preserve"> Feb 20</t>
    </r>
    <r>
      <rPr>
        <sz val="10"/>
        <rFont val="Arial"/>
        <family val="2"/>
      </rPr>
      <t>13</t>
    </r>
    <phoneticPr fontId="4" type="noConversion"/>
  </si>
  <si>
    <t>XS0571508589</t>
  </si>
  <si>
    <r>
      <t>S</t>
    </r>
    <r>
      <rPr>
        <sz val="10"/>
        <rFont val="Arial"/>
        <family val="2"/>
      </rPr>
      <t xml:space="preserve">hui </t>
    </r>
    <r>
      <rPr>
        <sz val="10"/>
        <rFont val="Arial"/>
        <family val="2"/>
      </rPr>
      <t>O</t>
    </r>
    <r>
      <rPr>
        <sz val="10"/>
        <rFont val="Arial"/>
        <family val="2"/>
      </rPr>
      <t>n</t>
    </r>
    <r>
      <rPr>
        <sz val="10"/>
        <rFont val="Arial"/>
        <family val="2"/>
      </rPr>
      <t xml:space="preserve"> 6</t>
    </r>
    <r>
      <rPr>
        <sz val="10"/>
        <rFont val="Arial"/>
        <family val="2"/>
      </rPr>
      <t xml:space="preserve">.875% </t>
    </r>
    <r>
      <rPr>
        <sz val="10"/>
        <rFont val="Arial"/>
        <family val="2"/>
      </rPr>
      <t>23</t>
    </r>
    <r>
      <rPr>
        <sz val="10"/>
        <rFont val="Arial"/>
        <family val="2"/>
      </rPr>
      <t xml:space="preserve"> Feb 2013</t>
    </r>
    <phoneticPr fontId="4" type="noConversion"/>
  </si>
  <si>
    <r>
      <t>N</t>
    </r>
    <r>
      <rPr>
        <sz val="10"/>
        <rFont val="Arial"/>
        <family val="2"/>
      </rPr>
      <t>/A</t>
    </r>
    <phoneticPr fontId="4" type="noConversion"/>
  </si>
  <si>
    <r>
      <t>C</t>
    </r>
    <r>
      <rPr>
        <sz val="10"/>
        <rFont val="Arial"/>
        <family val="2"/>
      </rPr>
      <t>NY</t>
    </r>
    <phoneticPr fontId="4" type="noConversion"/>
  </si>
  <si>
    <t>22038391, eliza-yh.lin@db.com</t>
    <phoneticPr fontId="4" type="noConversion"/>
  </si>
  <si>
    <r>
      <t>R</t>
    </r>
    <r>
      <rPr>
        <sz val="10"/>
        <rFont val="Arial"/>
        <family val="2"/>
      </rPr>
      <t>ico Ma</t>
    </r>
    <phoneticPr fontId="4" type="noConversion"/>
  </si>
  <si>
    <t>ricoma.bnp@bloomberg.net</t>
  </si>
  <si>
    <r>
      <t>10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</t>
    </r>
    <r>
      <rPr>
        <sz val="10"/>
        <rFont val="Arial"/>
        <family val="2"/>
      </rPr>
      <t>2</t>
    </r>
    <r>
      <rPr>
        <sz val="10"/>
        <rFont val="細明體"/>
        <family val="3"/>
        <charset val="136"/>
      </rPr>
      <t>月</t>
    </r>
    <phoneticPr fontId="4" type="noConversion"/>
  </si>
  <si>
    <t>Chong Hing 6% 4 Nov 2020</t>
  </si>
  <si>
    <r>
      <t>Chong Hing 6% 4 Nov 202</t>
    </r>
    <r>
      <rPr>
        <sz val="10"/>
        <rFont val="Arial"/>
        <family val="2"/>
      </rPr>
      <t>0</t>
    </r>
    <phoneticPr fontId="4" type="noConversion"/>
  </si>
  <si>
    <t>Macquarie 6% 14 Jan 2020</t>
  </si>
  <si>
    <t>Shui On 6.875% 23 Feb 2013</t>
  </si>
  <si>
    <t>人民币</t>
    <phoneticPr fontId="4" type="noConversion"/>
  </si>
  <si>
    <t>澳分G</t>
    <phoneticPr fontId="4" type="noConversion"/>
  </si>
  <si>
    <r>
      <t>T</t>
    </r>
    <r>
      <rPr>
        <sz val="10"/>
        <rFont val="Arial"/>
        <family val="2"/>
      </rPr>
      <t>3 = 1.03</t>
    </r>
    <phoneticPr fontId="4" type="noConversion"/>
  </si>
  <si>
    <t>XS0556302163</t>
    <phoneticPr fontId="4" type="noConversion"/>
  </si>
  <si>
    <t>Chong Hing 6% 4 Nov 2020</t>
    <phoneticPr fontId="4" type="noConversion"/>
  </si>
  <si>
    <t>Baa3</t>
    <phoneticPr fontId="4" type="noConversion"/>
  </si>
  <si>
    <t>BBB (Fitch)</t>
    <phoneticPr fontId="4" type="noConversion"/>
  </si>
  <si>
    <t>cacnelled</t>
    <phoneticPr fontId="4" type="noConversion"/>
  </si>
  <si>
    <t>Citigroup</t>
    <phoneticPr fontId="4" type="noConversion"/>
  </si>
  <si>
    <t>Wendy Cheung</t>
    <phoneticPr fontId="4" type="noConversion"/>
  </si>
  <si>
    <t>HTM</t>
    <phoneticPr fontId="4" type="noConversion"/>
  </si>
  <si>
    <r>
      <t>T</t>
    </r>
    <r>
      <rPr>
        <sz val="10"/>
        <rFont val="Arial"/>
        <family val="2"/>
      </rPr>
      <t>30 = 4.41%</t>
    </r>
    <phoneticPr fontId="4" type="noConversion"/>
  </si>
  <si>
    <r>
      <t>T</t>
    </r>
    <r>
      <rPr>
        <sz val="10"/>
        <rFont val="Arial"/>
        <family val="2"/>
      </rPr>
      <t>10 = 3.32%</t>
    </r>
    <r>
      <rPr>
        <sz val="10"/>
        <rFont val="Arial"/>
        <family val="2"/>
      </rPr>
      <t/>
    </r>
    <phoneticPr fontId="4" type="noConversion"/>
  </si>
  <si>
    <t xml:space="preserve">Bessie Wang </t>
    <phoneticPr fontId="4" type="noConversion"/>
  </si>
  <si>
    <r>
      <t>2867 6371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bessie.wang@bocigroup.com</t>
    </r>
    <phoneticPr fontId="4" type="noConversion"/>
  </si>
  <si>
    <r>
      <t>c</t>
    </r>
    <r>
      <rPr>
        <sz val="10"/>
        <rFont val="Arial"/>
        <family val="2"/>
      </rPr>
      <t>r sp = 825bp, stk pr = $2.3, premium 243%. Vol 27%.</t>
    </r>
    <phoneticPr fontId="4" type="noConversion"/>
  </si>
  <si>
    <r>
      <t>J</t>
    </r>
    <r>
      <rPr>
        <sz val="10"/>
        <rFont val="Arial"/>
        <family val="2"/>
      </rPr>
      <t>anet Lau</t>
    </r>
    <phoneticPr fontId="4" type="noConversion"/>
  </si>
  <si>
    <r>
      <t>2237 6560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janetlau@citics.com.hk</t>
    </r>
    <phoneticPr fontId="4" type="noConversion"/>
  </si>
  <si>
    <r>
      <t>C</t>
    </r>
    <r>
      <rPr>
        <sz val="10"/>
        <rFont val="Arial"/>
        <family val="2"/>
      </rPr>
      <t>itic Sec</t>
    </r>
    <phoneticPr fontId="4" type="noConversion"/>
  </si>
  <si>
    <t>Macq</t>
    <phoneticPr fontId="4" type="noConversion"/>
  </si>
  <si>
    <r>
      <t>M</t>
    </r>
    <r>
      <rPr>
        <sz val="10"/>
        <rFont val="Arial"/>
        <family val="2"/>
      </rPr>
      <t>acquarie 6.25% 14 Jan 2021</t>
    </r>
    <phoneticPr fontId="4" type="noConversion"/>
  </si>
  <si>
    <r>
      <t>U</t>
    </r>
    <r>
      <rPr>
        <sz val="10"/>
        <rFont val="Arial"/>
        <family val="2"/>
      </rPr>
      <t>S55608KAD72</t>
    </r>
    <phoneticPr fontId="4" type="noConversion"/>
  </si>
  <si>
    <r>
      <t>S</t>
    </r>
    <r>
      <rPr>
        <sz val="10"/>
        <rFont val="Arial"/>
        <family val="2"/>
      </rPr>
      <t xml:space="preserve">hui </t>
    </r>
    <r>
      <rPr>
        <sz val="10"/>
        <rFont val="Arial"/>
        <family val="2"/>
      </rPr>
      <t>O</t>
    </r>
    <r>
      <rPr>
        <sz val="10"/>
        <rFont val="Arial"/>
        <family val="2"/>
      </rPr>
      <t>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 xml:space="preserve">7.625% </t>
    </r>
    <r>
      <rPr>
        <sz val="10"/>
        <rFont val="Arial"/>
        <family val="2"/>
      </rPr>
      <t>2</t>
    </r>
    <r>
      <rPr>
        <sz val="10"/>
        <rFont val="Arial"/>
        <family val="2"/>
      </rPr>
      <t>6 Jan 20</t>
    </r>
    <r>
      <rPr>
        <sz val="10"/>
        <rFont val="Arial"/>
        <family val="2"/>
      </rPr>
      <t>1</t>
    </r>
    <r>
      <rPr>
        <sz val="10"/>
        <rFont val="Arial"/>
        <family val="2"/>
      </rPr>
      <t>5</t>
    </r>
    <phoneticPr fontId="4" type="noConversion"/>
  </si>
  <si>
    <t>XS0584176290</t>
    <phoneticPr fontId="4" type="noConversion"/>
  </si>
  <si>
    <r>
      <t>U</t>
    </r>
    <r>
      <rPr>
        <sz val="10"/>
        <rFont val="Arial"/>
        <family val="2"/>
      </rPr>
      <t>ST 3 yr =1.06, 5yr = 1.93, 10 yr= 3.45</t>
    </r>
    <phoneticPr fontId="4" type="noConversion"/>
  </si>
  <si>
    <r>
      <t>N</t>
    </r>
    <r>
      <rPr>
        <sz val="10"/>
        <rFont val="Arial"/>
        <family val="2"/>
      </rPr>
      <t>omura</t>
    </r>
    <phoneticPr fontId="4" type="noConversion"/>
  </si>
  <si>
    <r>
      <t>J</t>
    </r>
    <r>
      <rPr>
        <sz val="10"/>
        <rFont val="Arial"/>
        <family val="2"/>
      </rPr>
      <t>immy Ye</t>
    </r>
    <phoneticPr fontId="4" type="noConversion"/>
  </si>
  <si>
    <t xml:space="preserve">2536 7452, jimmy.ye@nomura.com   </t>
    <phoneticPr fontId="4" type="noConversion"/>
  </si>
  <si>
    <t>CLT-CLI HK BR (Class A-HK) Trust Fund - Sub Fund I</t>
  </si>
  <si>
    <t>CLT-CLI HK BR (Class A-HK) Trust Fund - Sub Fund I</t>
    <phoneticPr fontId="4" type="noConversion"/>
  </si>
  <si>
    <r>
      <t>T</t>
    </r>
    <r>
      <rPr>
        <sz val="10"/>
        <rFont val="Arial"/>
        <family val="2"/>
      </rPr>
      <t>3 = 1.02</t>
    </r>
    <phoneticPr fontId="4" type="noConversion"/>
  </si>
  <si>
    <r>
      <t>S</t>
    </r>
    <r>
      <rPr>
        <sz val="10"/>
        <rFont val="Arial"/>
        <family val="2"/>
      </rPr>
      <t>tandchartered Bank</t>
    </r>
    <phoneticPr fontId="4" type="noConversion"/>
  </si>
  <si>
    <r>
      <t>E</t>
    </r>
    <r>
      <rPr>
        <sz val="10"/>
        <rFont val="Arial"/>
        <family val="2"/>
      </rPr>
      <t>velyn Wong</t>
    </r>
    <phoneticPr fontId="4" type="noConversion"/>
  </si>
  <si>
    <t>3983 8095, evelyn.wong@sc.com</t>
    <phoneticPr fontId="4" type="noConversion"/>
  </si>
  <si>
    <r>
      <t>R</t>
    </r>
    <r>
      <rPr>
        <sz val="10"/>
        <rFont val="Arial"/>
        <family val="2"/>
      </rPr>
      <t>uiqi Wang</t>
    </r>
    <phoneticPr fontId="4" type="noConversion"/>
  </si>
  <si>
    <t xml:space="preserve">2536 7452,   ruiqi.wang@nomura.com </t>
    <phoneticPr fontId="4" type="noConversion"/>
  </si>
  <si>
    <t>a/c 12733</t>
    <phoneticPr fontId="4" type="noConversion"/>
  </si>
  <si>
    <r>
      <t>20</t>
    </r>
    <r>
      <rPr>
        <sz val="10"/>
        <rFont val="Arial"/>
        <family val="2"/>
      </rPr>
      <t>1</t>
    </r>
    <r>
      <rPr>
        <sz val="10"/>
        <rFont val="Arial"/>
        <family val="2"/>
      </rPr>
      <t>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</t>
    </r>
    <r>
      <rPr>
        <sz val="10"/>
        <rFont val="細明體"/>
        <family val="3"/>
        <charset val="136"/>
      </rPr>
      <t>月</t>
    </r>
    <phoneticPr fontId="4" type="noConversion"/>
  </si>
  <si>
    <t>Shui On 7.625% 26 Jan 2015</t>
  </si>
  <si>
    <t>Macquarie 6.25% 14 Jan 2021</t>
  </si>
  <si>
    <r>
      <t>Chong Hing 6% 4 Nov 202</t>
    </r>
    <r>
      <rPr>
        <sz val="10"/>
        <rFont val="Arial"/>
        <family val="2"/>
      </rPr>
      <t>0</t>
    </r>
    <phoneticPr fontId="4" type="noConversion"/>
  </si>
  <si>
    <t>澳分A</t>
    <phoneticPr fontId="4" type="noConversion"/>
  </si>
  <si>
    <t>港分资本</t>
    <phoneticPr fontId="4" type="noConversion"/>
  </si>
  <si>
    <t>海外资本</t>
    <phoneticPr fontId="4" type="noConversion"/>
  </si>
  <si>
    <t>BBB</t>
    <phoneticPr fontId="4" type="noConversion"/>
  </si>
  <si>
    <t>XS0508012092</t>
    <phoneticPr fontId="4" type="noConversion"/>
  </si>
  <si>
    <r>
      <t>C</t>
    </r>
    <r>
      <rPr>
        <sz val="10"/>
        <rFont val="Arial"/>
        <family val="2"/>
      </rPr>
      <t>hina Overseas 5.5% Nov 2020</t>
    </r>
    <phoneticPr fontId="4" type="noConversion"/>
  </si>
  <si>
    <t>avg yld</t>
    <phoneticPr fontId="4" type="noConversion"/>
  </si>
  <si>
    <r>
      <t>o</t>
    </r>
    <r>
      <rPr>
        <sz val="10"/>
        <rFont val="Arial"/>
        <family val="2"/>
      </rPr>
      <t>nshore sw+53</t>
    </r>
    <phoneticPr fontId="4" type="noConversion"/>
  </si>
  <si>
    <r>
      <t>4</t>
    </r>
    <r>
      <rPr>
        <sz val="10"/>
        <rFont val="Arial"/>
        <family val="2"/>
      </rPr>
      <t>88+NDF</t>
    </r>
    <phoneticPr fontId="4" type="noConversion"/>
  </si>
  <si>
    <t>onshre gov+200</t>
    <phoneticPr fontId="4" type="noConversion"/>
  </si>
  <si>
    <r>
      <t>B</t>
    </r>
    <r>
      <rPr>
        <sz val="10"/>
        <rFont val="Arial"/>
        <family val="2"/>
      </rPr>
      <t>J Cap Land 4.75% Feb 2014</t>
    </r>
    <phoneticPr fontId="4" type="noConversion"/>
  </si>
  <si>
    <r>
      <t>T</t>
    </r>
    <r>
      <rPr>
        <sz val="10"/>
        <rFont val="Arial"/>
        <family val="2"/>
      </rPr>
      <t>3 = 1.37</t>
    </r>
    <phoneticPr fontId="4" type="noConversion"/>
  </si>
  <si>
    <t>EI5766551</t>
    <phoneticPr fontId="4" type="noConversion"/>
  </si>
  <si>
    <t>macq 2021</t>
    <phoneticPr fontId="4" type="noConversion"/>
  </si>
  <si>
    <t>Neo China</t>
    <phoneticPr fontId="4" type="noConversion"/>
  </si>
  <si>
    <t>COLI</t>
    <phoneticPr fontId="4" type="noConversion"/>
  </si>
  <si>
    <t>BJCL</t>
    <phoneticPr fontId="4" type="noConversion"/>
  </si>
  <si>
    <t>China Overseas 5.5% Nov 2020</t>
  </si>
  <si>
    <t>XS0858461758</t>
    <phoneticPr fontId="4" type="noConversion"/>
  </si>
  <si>
    <t xml:space="preserve">DongChen Wang </t>
    <phoneticPr fontId="4" type="noConversion"/>
  </si>
  <si>
    <t>2161 7027, dongchen.wang@baml.com</t>
    <phoneticPr fontId="4" type="noConversion"/>
  </si>
  <si>
    <t>Mandy Leung</t>
    <phoneticPr fontId="4" type="noConversion"/>
  </si>
  <si>
    <t>2501 2566, mleung83@bloomberg.ne</t>
    <phoneticPr fontId="4" type="noConversion"/>
  </si>
  <si>
    <t>SCB</t>
  </si>
  <si>
    <t>Wendy Zhou</t>
  </si>
  <si>
    <t>3983 8090,Wendy Zhou,zwendy@bloomberg.net</t>
  </si>
  <si>
    <t xml:space="preserve">DongChen Wang </t>
  </si>
  <si>
    <t>2161 7027, dongchen.wang@baml.com</t>
  </si>
  <si>
    <t>Sam Cheng</t>
    <phoneticPr fontId="4" type="noConversion"/>
  </si>
  <si>
    <t>28261558, sam.cheng@ca-cib.com</t>
    <phoneticPr fontId="4" type="noConversion"/>
  </si>
  <si>
    <r>
      <t>U</t>
    </r>
    <r>
      <rPr>
        <sz val="10"/>
        <rFont val="Arial"/>
        <family val="2"/>
      </rPr>
      <t>SD</t>
    </r>
    <phoneticPr fontId="4" type="noConversion"/>
  </si>
  <si>
    <t>Citigroup</t>
  </si>
  <si>
    <t>Mandy Leung</t>
  </si>
  <si>
    <t>2501 2566, mleung83@bloomberg.ne</t>
  </si>
  <si>
    <t>Sell</t>
    <phoneticPr fontId="4" type="noConversion"/>
  </si>
  <si>
    <t>BJ Cap Land 4.75% Feb 2014</t>
  </si>
  <si>
    <r>
      <t>China Overseas 5.5% Nov 202</t>
    </r>
    <r>
      <rPr>
        <sz val="10"/>
        <rFont val="Arial"/>
        <family val="2"/>
      </rPr>
      <t>0</t>
    </r>
    <phoneticPr fontId="4" type="noConversion"/>
  </si>
  <si>
    <t>澳分A</t>
    <phoneticPr fontId="4" type="noConversion"/>
  </si>
  <si>
    <t>港分可出售类</t>
    <phoneticPr fontId="4" type="noConversion"/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</si>
  <si>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2</t>
    </r>
    <r>
      <rPr>
        <sz val="10"/>
        <rFont val="細明體"/>
        <family val="3"/>
        <charset val="136"/>
      </rPr>
      <t>月</t>
    </r>
    <phoneticPr fontId="4" type="noConversion"/>
  </si>
  <si>
    <r>
      <t>T</t>
    </r>
    <r>
      <rPr>
        <sz val="10"/>
        <rFont val="Arial"/>
        <family val="2"/>
      </rPr>
      <t>3 = 1.05/0.93, 10 yr = 3.28/3.21</t>
    </r>
    <phoneticPr fontId="4" type="noConversion"/>
  </si>
  <si>
    <r>
      <t xml:space="preserve">T30 = 3.79%, </t>
    </r>
    <r>
      <rPr>
        <sz val="10"/>
        <rFont val="Arial"/>
        <family val="2"/>
      </rPr>
      <t>T</t>
    </r>
    <r>
      <rPr>
        <sz val="10"/>
        <rFont val="Arial"/>
        <family val="2"/>
      </rPr>
      <t>10 = 2.6%</t>
    </r>
    <r>
      <rPr>
        <sz val="10"/>
        <rFont val="Arial"/>
        <family val="2"/>
      </rPr>
      <t/>
    </r>
    <phoneticPr fontId="4" type="noConversion"/>
  </si>
  <si>
    <t xml:space="preserve"> 2826 7854, pyeung@bloomberg.net </t>
  </si>
  <si>
    <r>
      <t>XS054511035</t>
    </r>
    <r>
      <rPr>
        <sz val="10"/>
        <rFont val="Arial"/>
        <family val="2"/>
      </rPr>
      <t>4</t>
    </r>
    <phoneticPr fontId="4" type="noConversion"/>
  </si>
  <si>
    <t xml:space="preserve">Nicole Shao </t>
  </si>
  <si>
    <t>Petrobras 4.375% 10yr USD Bond</t>
    <phoneticPr fontId="4" type="noConversion"/>
  </si>
  <si>
    <t>XS0545110354</t>
    <phoneticPr fontId="4" type="noConversion"/>
  </si>
  <si>
    <t>Franshion 6.8% perpetual convertible note 2015 call</t>
    <phoneticPr fontId="4" type="noConversion"/>
  </si>
  <si>
    <t>NA</t>
    <phoneticPr fontId="4" type="noConversion"/>
  </si>
  <si>
    <t>perpetual</t>
    <phoneticPr fontId="4" type="noConversion"/>
  </si>
  <si>
    <t xml:space="preserve">852 2239-1824 , Wenmian.Shao@morganstanley.com </t>
    <phoneticPr fontId="4" type="noConversion"/>
  </si>
  <si>
    <t>sp 700bp,stk pr $2.28, conv pr $2.83, premium 24%, delta around 72%, bd fl 56.18, stk volatility 24%</t>
    <phoneticPr fontId="4" type="noConversion"/>
  </si>
  <si>
    <r>
      <t>XS054511035</t>
    </r>
    <r>
      <rPr>
        <sz val="10"/>
        <rFont val="Arial"/>
        <family val="2"/>
      </rPr>
      <t>4</t>
    </r>
    <phoneticPr fontId="4" type="noConversion"/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</si>
  <si>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3</t>
    </r>
    <r>
      <rPr>
        <sz val="10"/>
        <rFont val="細明體"/>
        <family val="3"/>
        <charset val="136"/>
      </rPr>
      <t>月</t>
    </r>
    <phoneticPr fontId="4" type="noConversion"/>
  </si>
  <si>
    <r>
      <t>F</t>
    </r>
    <r>
      <rPr>
        <sz val="10"/>
        <rFont val="Arial"/>
        <family val="2"/>
      </rPr>
      <t>ranshion 6.8% perpetual convertible note 2015 call</t>
    </r>
    <r>
      <rPr>
        <sz val="10"/>
        <rFont val="Arial"/>
        <family val="2"/>
      </rPr>
      <t/>
    </r>
    <phoneticPr fontId="4" type="noConversion"/>
  </si>
  <si>
    <t>chong hing</t>
    <phoneticPr fontId="4" type="noConversion"/>
  </si>
  <si>
    <t>USG3709DAA03</t>
    <phoneticPr fontId="4" type="noConversion"/>
  </si>
  <si>
    <r>
      <t>F</t>
    </r>
    <r>
      <rPr>
        <sz val="10"/>
        <rFont val="Arial"/>
        <family val="2"/>
      </rPr>
      <t>ranshion 6.75% 15 Apr 2021</t>
    </r>
    <phoneticPr fontId="4" type="noConversion"/>
  </si>
  <si>
    <r>
      <t>B</t>
    </r>
    <r>
      <rPr>
        <sz val="10"/>
        <rFont val="Arial"/>
        <family val="2"/>
      </rPr>
      <t>a1</t>
    </r>
    <phoneticPr fontId="4" type="noConversion"/>
  </si>
  <si>
    <r>
      <t xml:space="preserve">S&amp;Ps BB+/ Fitch </t>
    </r>
    <r>
      <rPr>
        <sz val="10"/>
        <rFont val="Arial"/>
        <family val="2"/>
      </rPr>
      <t>B</t>
    </r>
    <r>
      <rPr>
        <sz val="10"/>
        <rFont val="Arial"/>
        <family val="2"/>
      </rPr>
      <t xml:space="preserve">BB- </t>
    </r>
    <phoneticPr fontId="4" type="noConversion"/>
  </si>
  <si>
    <r>
      <t>T</t>
    </r>
    <r>
      <rPr>
        <sz val="10"/>
        <rFont val="Arial"/>
        <family val="2"/>
      </rPr>
      <t>10 = 3.59</t>
    </r>
    <phoneticPr fontId="4" type="noConversion"/>
  </si>
  <si>
    <t>FX rate</t>
    <phoneticPr fontId="4" type="noConversion"/>
  </si>
  <si>
    <t>2011 purchase summary</t>
    <phoneticPr fontId="4" type="noConversion"/>
  </si>
  <si>
    <t>Shuion</t>
    <phoneticPr fontId="4" type="noConversion"/>
  </si>
  <si>
    <t>Fransh senior</t>
    <phoneticPr fontId="4" type="noConversion"/>
  </si>
  <si>
    <t>Fransh perp</t>
    <phoneticPr fontId="4" type="noConversion"/>
  </si>
  <si>
    <t>Chong Hing</t>
    <phoneticPr fontId="4" type="noConversion"/>
  </si>
  <si>
    <t>USD equiv - nominal</t>
    <phoneticPr fontId="4" type="noConversion"/>
  </si>
  <si>
    <t>HK$ equiv- nominal</t>
    <phoneticPr fontId="4" type="noConversion"/>
  </si>
  <si>
    <r>
      <t>T</t>
    </r>
    <r>
      <rPr>
        <sz val="10"/>
        <rFont val="Arial"/>
        <family val="2"/>
      </rPr>
      <t>10 = 3.35</t>
    </r>
    <phoneticPr fontId="4" type="noConversion"/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</si>
  <si>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4</t>
    </r>
    <r>
      <rPr>
        <sz val="10"/>
        <rFont val="細明體"/>
        <family val="3"/>
        <charset val="136"/>
      </rPr>
      <t>月</t>
    </r>
    <phoneticPr fontId="4" type="noConversion"/>
  </si>
  <si>
    <t>Item No.</t>
    <phoneticPr fontId="4" type="noConversion"/>
  </si>
  <si>
    <t>Security Code</t>
    <phoneticPr fontId="4" type="noConversion"/>
  </si>
  <si>
    <t>Broker</t>
    <phoneticPr fontId="4" type="noConversion"/>
  </si>
  <si>
    <t>Trade Date</t>
    <phoneticPr fontId="4" type="noConversion"/>
  </si>
  <si>
    <t>CIT Group Inc</t>
    <phoneticPr fontId="12" type="noConversion"/>
  </si>
  <si>
    <t>SELL</t>
    <phoneticPr fontId="4" type="noConversion"/>
  </si>
  <si>
    <r>
      <t>T</t>
    </r>
    <r>
      <rPr>
        <sz val="10"/>
        <rFont val="Arial"/>
        <family val="2"/>
      </rPr>
      <t>10 = 3.16</t>
    </r>
    <phoneticPr fontId="4" type="noConversion"/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</si>
  <si>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5</t>
    </r>
    <r>
      <rPr>
        <sz val="10"/>
        <rFont val="細明體"/>
        <family val="3"/>
        <charset val="136"/>
      </rPr>
      <t>月</t>
    </r>
    <phoneticPr fontId="4" type="noConversion"/>
  </si>
  <si>
    <t>卖出</t>
    <phoneticPr fontId="4" type="noConversion"/>
  </si>
  <si>
    <t>股票名称</t>
    <phoneticPr fontId="4" type="noConversion"/>
  </si>
  <si>
    <t>股数</t>
    <phoneticPr fontId="4" type="noConversion"/>
  </si>
  <si>
    <t xml:space="preserve"> </t>
    <phoneticPr fontId="4" type="noConversion"/>
  </si>
  <si>
    <t>港分资本</t>
    <phoneticPr fontId="4" type="noConversion"/>
  </si>
  <si>
    <t>CLT-CLI  MACAU  BR (CLASS G - MC) TRUST FUND (SUB-FUND - BOND)</t>
    <phoneticPr fontId="12" type="noConversion"/>
  </si>
  <si>
    <r>
      <t>XS050801209</t>
    </r>
    <r>
      <rPr>
        <sz val="10"/>
        <rFont val="Arial"/>
        <family val="2"/>
      </rPr>
      <t>2</t>
    </r>
    <phoneticPr fontId="4" type="noConversion"/>
  </si>
  <si>
    <t>BOC International</t>
  </si>
  <si>
    <r>
      <t>B</t>
    </r>
    <r>
      <rPr>
        <sz val="10"/>
        <rFont val="Arial"/>
        <family val="2"/>
      </rPr>
      <t>essie Wang</t>
    </r>
    <phoneticPr fontId="4" type="noConversion"/>
  </si>
  <si>
    <t>28676371, bessie.wang@bocigroup.com</t>
    <phoneticPr fontId="4" type="noConversion"/>
  </si>
  <si>
    <r>
      <t>T</t>
    </r>
    <r>
      <rPr>
        <sz val="10"/>
        <rFont val="Arial"/>
        <family val="2"/>
      </rPr>
      <t>10 = 2.95</t>
    </r>
    <phoneticPr fontId="4" type="noConversion"/>
  </si>
  <si>
    <r>
      <t>T</t>
    </r>
    <r>
      <rPr>
        <sz val="10"/>
        <rFont val="Arial"/>
        <family val="2"/>
      </rPr>
      <t>10=2.95</t>
    </r>
    <phoneticPr fontId="4" type="noConversion"/>
  </si>
  <si>
    <r>
      <t>C</t>
    </r>
    <r>
      <rPr>
        <sz val="10"/>
        <rFont val="Arial"/>
        <family val="2"/>
      </rPr>
      <t>ACIB</t>
    </r>
    <phoneticPr fontId="4" type="noConversion"/>
  </si>
  <si>
    <r>
      <t>J</t>
    </r>
    <r>
      <rPr>
        <sz val="10"/>
        <rFont val="Arial"/>
        <family val="2"/>
      </rPr>
      <t>iyoung Kim</t>
    </r>
    <phoneticPr fontId="4" type="noConversion"/>
  </si>
  <si>
    <t>28261527, jkim487@bloomberg.net</t>
    <phoneticPr fontId="4" type="noConversion"/>
  </si>
  <si>
    <r>
      <t>T</t>
    </r>
    <r>
      <rPr>
        <sz val="10"/>
        <rFont val="Arial"/>
        <family val="2"/>
      </rPr>
      <t>10 = 2.98</t>
    </r>
    <phoneticPr fontId="4" type="noConversion"/>
  </si>
  <si>
    <r>
      <t>T</t>
    </r>
    <r>
      <rPr>
        <sz val="10"/>
        <rFont val="Arial"/>
        <family val="2"/>
      </rPr>
      <t>10 = 2.96</t>
    </r>
    <phoneticPr fontId="4" type="noConversion"/>
  </si>
  <si>
    <r>
      <t>K</t>
    </r>
    <r>
      <rPr>
        <sz val="10"/>
        <rFont val="Arial"/>
        <family val="2"/>
      </rPr>
      <t>evin Lei</t>
    </r>
    <phoneticPr fontId="4" type="noConversion"/>
  </si>
  <si>
    <t>Kevin Lei</t>
    <phoneticPr fontId="4" type="noConversion"/>
  </si>
  <si>
    <t>klei9@bloomberg.net</t>
  </si>
  <si>
    <r>
      <t>M</t>
    </r>
    <r>
      <rPr>
        <sz val="10"/>
        <rFont val="Arial"/>
        <family val="2"/>
      </rPr>
      <t>organ Stanley</t>
    </r>
    <phoneticPr fontId="4" type="noConversion"/>
  </si>
  <si>
    <r>
      <t>K</t>
    </r>
    <r>
      <rPr>
        <sz val="10"/>
        <rFont val="Arial"/>
        <family val="2"/>
      </rPr>
      <t>evin Huang</t>
    </r>
    <phoneticPr fontId="4" type="noConversion"/>
  </si>
  <si>
    <r>
      <t>2</t>
    </r>
    <r>
      <rPr>
        <sz val="10"/>
        <rFont val="Arial"/>
        <family val="2"/>
      </rPr>
      <t xml:space="preserve">8485245, </t>
    </r>
    <r>
      <rPr>
        <sz val="10"/>
        <rFont val="Arial"/>
        <family val="2"/>
      </rPr>
      <t>Kelvin.Huang@morganstanley.com</t>
    </r>
    <phoneticPr fontId="4" type="noConversion"/>
  </si>
  <si>
    <r>
      <t>B</t>
    </r>
    <r>
      <rPr>
        <sz val="10"/>
        <rFont val="Arial"/>
        <family val="2"/>
      </rPr>
      <t>J Enterprises Water 5% Jun 2016</t>
    </r>
    <phoneticPr fontId="4" type="noConversion"/>
  </si>
  <si>
    <t>NA</t>
    <phoneticPr fontId="4" type="noConversion"/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</si>
  <si>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6</t>
    </r>
    <r>
      <rPr>
        <sz val="10"/>
        <rFont val="細明體"/>
        <family val="3"/>
        <charset val="136"/>
      </rPr>
      <t>月</t>
    </r>
    <phoneticPr fontId="4" type="noConversion"/>
  </si>
  <si>
    <r>
      <t>B</t>
    </r>
    <r>
      <rPr>
        <sz val="10"/>
        <rFont val="Arial"/>
        <family val="2"/>
      </rPr>
      <t>EIENT 5% 30 Jun 2016</t>
    </r>
    <phoneticPr fontId="12" type="noConversion"/>
  </si>
  <si>
    <t>澳分G</t>
    <phoneticPr fontId="4" type="noConversion"/>
  </si>
  <si>
    <t>港分资本</t>
    <phoneticPr fontId="4" type="noConversion"/>
  </si>
  <si>
    <t>BEIENT</t>
    <phoneticPr fontId="4" type="noConversion"/>
  </si>
  <si>
    <r>
      <t>5</t>
    </r>
    <r>
      <rPr>
        <sz val="10"/>
        <rFont val="Arial"/>
        <family val="2"/>
      </rPr>
      <t xml:space="preserve"> yr onshore gov = 3.5%, +149bp, Z 109bp, </t>
    </r>
    <phoneticPr fontId="4" type="noConversion"/>
  </si>
  <si>
    <t>Jimmy Ye</t>
    <phoneticPr fontId="4" type="noConversion"/>
  </si>
  <si>
    <r>
      <t>2101 6009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kelvin.lei@credit-suisse.com</t>
    </r>
    <phoneticPr fontId="4" type="noConversion"/>
  </si>
  <si>
    <r>
      <t>2101 6009</t>
    </r>
    <r>
      <rPr>
        <sz val="10"/>
        <rFont val="Arial"/>
        <family val="2"/>
      </rPr>
      <t xml:space="preserve">,   </t>
    </r>
    <r>
      <rPr>
        <sz val="10"/>
        <rFont val="Arial"/>
        <family val="2"/>
      </rPr>
      <t>kelvin.lei@credit-suisse.com</t>
    </r>
    <phoneticPr fontId="4" type="noConversion"/>
  </si>
  <si>
    <t>Goldman Sachs PWM</t>
    <phoneticPr fontId="4" type="noConversion"/>
  </si>
  <si>
    <t>2978 1432, Rita.W.Chan@gs.com</t>
    <phoneticPr fontId="4" type="noConversion"/>
  </si>
  <si>
    <t>Rita Chan</t>
    <phoneticPr fontId="4" type="noConversion"/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</si>
  <si>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7</t>
    </r>
    <r>
      <rPr>
        <sz val="10"/>
        <rFont val="細明體"/>
        <family val="3"/>
        <charset val="136"/>
      </rPr>
      <t>月</t>
    </r>
    <phoneticPr fontId="4" type="noConversion"/>
  </si>
  <si>
    <t>Neo China 9.75% 23 Jul 2014</t>
  </si>
  <si>
    <t xml:space="preserve">帐户 </t>
    <phoneticPr fontId="4" type="noConversion"/>
  </si>
  <si>
    <t>港分A</t>
    <phoneticPr fontId="4" type="noConversion"/>
  </si>
  <si>
    <t>美元</t>
    <phoneticPr fontId="4" type="noConversion"/>
  </si>
  <si>
    <t>Neo China 9.75% 23 Jul 2014</t>
    <phoneticPr fontId="4" type="noConversion"/>
  </si>
  <si>
    <t>澳分A</t>
    <phoneticPr fontId="4" type="noConversion"/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</si>
  <si>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8</t>
    </r>
    <r>
      <rPr>
        <sz val="10"/>
        <rFont val="細明體"/>
        <family val="3"/>
        <charset val="136"/>
      </rPr>
      <t>月</t>
    </r>
    <phoneticPr fontId="4" type="noConversion"/>
  </si>
  <si>
    <t>XS0674607824</t>
    <phoneticPr fontId="4" type="noConversion"/>
  </si>
  <si>
    <r>
      <t>H</t>
    </r>
    <r>
      <rPr>
        <sz val="10"/>
        <rFont val="Arial"/>
        <family val="2"/>
      </rPr>
      <t>SBC</t>
    </r>
    <phoneticPr fontId="4" type="noConversion"/>
  </si>
  <si>
    <r>
      <t>H</t>
    </r>
    <r>
      <rPr>
        <sz val="10"/>
        <rFont val="Arial"/>
        <family val="2"/>
      </rPr>
      <t>KD</t>
    </r>
    <phoneticPr fontId="4" type="noConversion"/>
  </si>
  <si>
    <r>
      <t>N</t>
    </r>
    <r>
      <rPr>
        <sz val="10"/>
        <rFont val="Arial"/>
        <family val="2"/>
      </rPr>
      <t>A</t>
    </r>
    <phoneticPr fontId="4" type="noConversion"/>
  </si>
  <si>
    <r>
      <t>Powerlong Real Estate</t>
    </r>
    <r>
      <rPr>
        <sz val="10"/>
        <rFont val="Arial"/>
        <family val="2"/>
      </rPr>
      <t xml:space="preserve"> 13.8</t>
    </r>
    <r>
      <rPr>
        <sz val="10"/>
        <rFont val="Arial"/>
        <family val="2"/>
      </rPr>
      <t>%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8 Sep 2014</t>
    </r>
    <phoneticPr fontId="4" type="noConversion"/>
  </si>
  <si>
    <r>
      <t>U</t>
    </r>
    <r>
      <rPr>
        <sz val="10"/>
        <rFont val="Arial"/>
        <family val="2"/>
      </rPr>
      <t xml:space="preserve">ST 3 yr =, HK govt 3 yr = </t>
    </r>
    <phoneticPr fontId="4" type="noConversion"/>
  </si>
  <si>
    <t>XS0508012092</t>
    <phoneticPr fontId="4" type="noConversion"/>
  </si>
  <si>
    <t>Nomura</t>
  </si>
  <si>
    <t>Jimmy Ye</t>
  </si>
  <si>
    <t xml:space="preserve">2536 7452, jimmy.ye@nomura.com   </t>
  </si>
  <si>
    <r>
      <t>C</t>
    </r>
    <r>
      <rPr>
        <sz val="10"/>
        <rFont val="Arial"/>
        <family val="2"/>
      </rPr>
      <t>hina Overseas 5.5% Nov 2020</t>
    </r>
    <phoneticPr fontId="4" type="noConversion"/>
  </si>
  <si>
    <t>Standchartered Bank</t>
  </si>
  <si>
    <t>3983 8095, zwendy@bloomberg.net</t>
    <phoneticPr fontId="4" type="noConversion"/>
  </si>
  <si>
    <r>
      <t>W</t>
    </r>
    <r>
      <rPr>
        <sz val="10"/>
        <rFont val="Arial"/>
        <family val="2"/>
      </rPr>
      <t>endy Zhou</t>
    </r>
    <phoneticPr fontId="4" type="noConversion"/>
  </si>
  <si>
    <r>
      <t>X</t>
    </r>
    <r>
      <rPr>
        <sz val="10"/>
        <rFont val="Arial"/>
        <family val="2"/>
      </rPr>
      <t>S0508012092</t>
    </r>
    <phoneticPr fontId="4" type="noConversion"/>
  </si>
  <si>
    <t>澳分G</t>
    <phoneticPr fontId="4" type="noConversion"/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</si>
  <si>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9</t>
    </r>
    <r>
      <rPr>
        <sz val="10"/>
        <rFont val="細明體"/>
        <family val="3"/>
        <charset val="136"/>
      </rPr>
      <t>月</t>
    </r>
    <phoneticPr fontId="4" type="noConversion"/>
  </si>
  <si>
    <t>Powerlong Real Estate 13.8% 8 Sep 2014</t>
    <phoneticPr fontId="4" type="noConversion"/>
  </si>
  <si>
    <t>港币</t>
    <phoneticPr fontId="4" type="noConversion"/>
  </si>
  <si>
    <t>港分G</t>
  </si>
  <si>
    <t>港分G</t>
    <phoneticPr fontId="4" type="noConversion"/>
  </si>
  <si>
    <r>
      <t>XS050801209</t>
    </r>
    <r>
      <rPr>
        <sz val="10"/>
        <rFont val="Arial"/>
        <family val="2"/>
      </rPr>
      <t>2</t>
    </r>
    <phoneticPr fontId="4" type="noConversion"/>
  </si>
  <si>
    <t>USG2108YAA31</t>
    <phoneticPr fontId="4" type="noConversion"/>
  </si>
  <si>
    <r>
      <t>C</t>
    </r>
    <r>
      <rPr>
        <sz val="10"/>
        <rFont val="Arial"/>
        <family val="2"/>
      </rPr>
      <t>hina Resources</t>
    </r>
    <r>
      <rPr>
        <sz val="10"/>
        <rFont val="Arial"/>
        <family val="2"/>
      </rPr>
      <t xml:space="preserve"> Land 4.625% 2016</t>
    </r>
    <phoneticPr fontId="4" type="noConversion"/>
  </si>
  <si>
    <t>BOCI</t>
  </si>
  <si>
    <t>2867 6371, bessie.wang@bocigroup.com</t>
  </si>
  <si>
    <t>Powerlong</t>
    <phoneticPr fontId="4" type="noConversion"/>
  </si>
  <si>
    <t>Ruiqi Wang</t>
  </si>
  <si>
    <t xml:space="preserve">2536 7452,   ruiqi.wang@nomura.com </t>
  </si>
  <si>
    <r>
      <t>2011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10</t>
    </r>
    <r>
      <rPr>
        <sz val="10"/>
        <rFont val="細明體"/>
        <family val="3"/>
        <charset val="136"/>
      </rPr>
      <t>月</t>
    </r>
    <phoneticPr fontId="4" type="noConversion"/>
  </si>
  <si>
    <t>China Resources Land 4.625% 2016</t>
  </si>
  <si>
    <t>Arthur Lai</t>
  </si>
  <si>
    <t>2966 2609, arthur.lai@rbs.com</t>
  </si>
  <si>
    <r>
      <t>21617625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xin_fu@ml.com/ karen_jin@ml.com</t>
    </r>
    <phoneticPr fontId="4" type="noConversion"/>
  </si>
  <si>
    <t>HSBC</t>
  </si>
  <si>
    <t>Soon Shean Ong</t>
  </si>
  <si>
    <t>2822 3060, soonsheanong@hsbc.com.hk</t>
  </si>
  <si>
    <r>
      <t>U</t>
    </r>
    <r>
      <rPr>
        <sz val="10"/>
        <rFont val="Arial"/>
        <family val="2"/>
      </rPr>
      <t>ST10 + +480bp</t>
    </r>
    <phoneticPr fontId="4" type="noConversion"/>
  </si>
  <si>
    <r>
      <t>B</t>
    </r>
    <r>
      <rPr>
        <sz val="10"/>
        <rFont val="Arial"/>
        <family val="2"/>
      </rPr>
      <t>BB-</t>
    </r>
    <phoneticPr fontId="4" type="noConversion"/>
  </si>
  <si>
    <t>Yanzhou Coal 5.73% 2022 USD Bond</t>
  </si>
  <si>
    <t>2822 3060, soonsheanong@hsbc.com.hk</t>
    <phoneticPr fontId="4" type="noConversion"/>
  </si>
  <si>
    <t>ICBC Asia 6% 4 Nov 2021</t>
    <phoneticPr fontId="4" type="noConversion"/>
  </si>
  <si>
    <r>
      <t>A</t>
    </r>
    <r>
      <rPr>
        <sz val="10"/>
        <rFont val="Arial"/>
        <family val="2"/>
      </rPr>
      <t>- (Fitch)</t>
    </r>
    <phoneticPr fontId="4" type="noConversion"/>
  </si>
  <si>
    <t>A- (Fitch)</t>
    <phoneticPr fontId="4" type="noConversion"/>
  </si>
  <si>
    <r>
      <t>C</t>
    </r>
    <r>
      <rPr>
        <sz val="10"/>
        <rFont val="Arial"/>
        <family val="2"/>
      </rPr>
      <t>NY</t>
    </r>
    <phoneticPr fontId="4" type="noConversion"/>
  </si>
  <si>
    <r>
      <t>M</t>
    </r>
    <r>
      <rPr>
        <sz val="10"/>
        <rFont val="Arial"/>
        <family val="2"/>
      </rPr>
      <t>acquarie 6.25% 14 Jan 2021</t>
    </r>
    <phoneticPr fontId="4" type="noConversion"/>
  </si>
  <si>
    <t>Macquarie 6.25% 14 Jan 2021</t>
    <phoneticPr fontId="4" type="noConversion"/>
  </si>
  <si>
    <r>
      <t>T</t>
    </r>
    <r>
      <rPr>
        <sz val="10"/>
        <rFont val="Arial"/>
        <family val="2"/>
      </rPr>
      <t>10+400bp</t>
    </r>
    <phoneticPr fontId="4" type="noConversion"/>
  </si>
  <si>
    <t>XS0700181521</t>
    <phoneticPr fontId="4" type="noConversion"/>
  </si>
  <si>
    <t>Bank of East Asia 6.375% 04 May 2022</t>
    <phoneticPr fontId="4" type="noConversion"/>
  </si>
  <si>
    <r>
      <t>A</t>
    </r>
    <r>
      <rPr>
        <sz val="10"/>
        <rFont val="Arial"/>
        <family val="2"/>
      </rPr>
      <t>3</t>
    </r>
    <phoneticPr fontId="4" type="noConversion"/>
  </si>
  <si>
    <r>
      <t>B</t>
    </r>
    <r>
      <rPr>
        <sz val="10"/>
        <rFont val="Arial"/>
        <family val="2"/>
      </rPr>
      <t>BB+</t>
    </r>
    <phoneticPr fontId="4" type="noConversion"/>
  </si>
  <si>
    <t>Ying Li</t>
  </si>
  <si>
    <t>2971 6246, ying.li@bloomberg.net</t>
  </si>
  <si>
    <r>
      <t>U</t>
    </r>
    <r>
      <rPr>
        <sz val="10"/>
        <rFont val="Arial"/>
        <family val="2"/>
      </rPr>
      <t>BS</t>
    </r>
    <phoneticPr fontId="4" type="noConversion"/>
  </si>
  <si>
    <t>CR Land</t>
    <phoneticPr fontId="4" type="noConversion"/>
  </si>
  <si>
    <t>Bank of East Asia 6.375% 04 May 2022</t>
  </si>
  <si>
    <t>ICBC Asia 6% 4 Nov 2021</t>
  </si>
  <si>
    <t>5mio in house a/c</t>
    <phoneticPr fontId="4" type="noConversion"/>
  </si>
  <si>
    <t>BEA</t>
    <phoneticPr fontId="4" type="noConversion"/>
  </si>
  <si>
    <t>ICBCASIA</t>
    <phoneticPr fontId="4" type="noConversion"/>
  </si>
  <si>
    <t>Bank of East Asia 6.375% 04 May 2022</t>
    <phoneticPr fontId="4" type="noConversion"/>
  </si>
  <si>
    <t>Far East Horizon 5.75% 7 Oct 2017</t>
    <phoneticPr fontId="4" type="noConversion"/>
  </si>
  <si>
    <r>
      <t>H</t>
    </r>
    <r>
      <rPr>
        <sz val="10"/>
        <rFont val="Arial"/>
        <family val="2"/>
      </rPr>
      <t>TM</t>
    </r>
    <phoneticPr fontId="4" type="noConversion"/>
  </si>
  <si>
    <r>
      <t>N</t>
    </r>
    <r>
      <rPr>
        <sz val="10"/>
        <rFont val="Arial"/>
        <family val="2"/>
      </rPr>
      <t>R</t>
    </r>
    <phoneticPr fontId="4" type="noConversion"/>
  </si>
  <si>
    <t xml:space="preserve">Margaret Yim </t>
    <phoneticPr fontId="4" type="noConversion"/>
  </si>
  <si>
    <r>
      <t xml:space="preserve">2971 </t>
    </r>
    <r>
      <rPr>
        <sz val="10"/>
        <rFont val="Arial"/>
        <family val="2"/>
      </rPr>
      <t>8240</t>
    </r>
    <r>
      <rPr>
        <sz val="10"/>
        <rFont val="Arial"/>
        <family val="2"/>
      </rPr>
      <t>, Margaret.Yim@ubs.com</t>
    </r>
    <phoneticPr fontId="4" type="noConversion"/>
  </si>
  <si>
    <t>CNY</t>
  </si>
  <si>
    <t>Transferred in securities</t>
  </si>
  <si>
    <t>Far East Horizon 5.75% 7 Oct 2017</t>
  </si>
  <si>
    <t>人民币</t>
    <phoneticPr fontId="4" type="noConversion"/>
  </si>
  <si>
    <t>HK0000096856</t>
    <phoneticPr fontId="4" type="noConversion"/>
  </si>
  <si>
    <t>new</t>
    <phoneticPr fontId="4" type="noConversion"/>
  </si>
  <si>
    <t>Far East Horizon 6.95% 21 Dec 2016 private placement</t>
    <phoneticPr fontId="4" type="noConversion"/>
  </si>
  <si>
    <t>NR</t>
    <phoneticPr fontId="4" type="noConversion"/>
  </si>
  <si>
    <t>CNY</t>
    <phoneticPr fontId="4" type="noConversion"/>
  </si>
  <si>
    <t>HTM</t>
    <phoneticPr fontId="4" type="noConversion"/>
  </si>
  <si>
    <t>HK0000096856</t>
    <phoneticPr fontId="4" type="noConversion"/>
  </si>
  <si>
    <t>NR</t>
    <phoneticPr fontId="4" type="noConversion"/>
  </si>
  <si>
    <t>CNY</t>
    <phoneticPr fontId="4" type="noConversion"/>
  </si>
  <si>
    <t>Transferred by trustee to 12630 on Jan 2012</t>
    <phoneticPr fontId="4" type="noConversion"/>
  </si>
  <si>
    <t>transferred by trustee on Jan 2012</t>
    <phoneticPr fontId="4" type="noConversion"/>
  </si>
  <si>
    <t>transferred by trustee on Jan 2012 (sub fund I)</t>
    <phoneticPr fontId="4" type="noConversion"/>
  </si>
  <si>
    <t>SELL*</t>
    <phoneticPr fontId="4" type="noConversion"/>
  </si>
  <si>
    <t>5 yr Chinese onshore govt bond + 403bp, swap + 415bp</t>
    <phoneticPr fontId="4" type="noConversion"/>
  </si>
  <si>
    <t>Far East Horizon 6.95% 21 Dec 2016 private placement</t>
    <phoneticPr fontId="4" type="noConversion"/>
  </si>
  <si>
    <r>
      <t>N</t>
    </r>
    <r>
      <rPr>
        <sz val="10"/>
        <rFont val="Arial"/>
        <family val="2"/>
      </rPr>
      <t>R</t>
    </r>
    <phoneticPr fontId="4" type="noConversion"/>
  </si>
  <si>
    <t xml:space="preserve">Far East Horizon 3.9% 3 Jun 2014 </t>
    <phoneticPr fontId="4" type="noConversion"/>
  </si>
  <si>
    <t>HK0000081338</t>
    <phoneticPr fontId="4" type="noConversion"/>
  </si>
  <si>
    <r>
      <t>A</t>
    </r>
    <r>
      <rPr>
        <sz val="10"/>
        <rFont val="Arial"/>
        <family val="2"/>
      </rPr>
      <t>da Chui</t>
    </r>
    <phoneticPr fontId="4" type="noConversion"/>
  </si>
  <si>
    <t>2501 2528, ada.chui@citi.com</t>
    <phoneticPr fontId="4" type="noConversion"/>
  </si>
  <si>
    <r>
      <t xml:space="preserve">y yr Chinese onshore govt bond + </t>
    </r>
    <r>
      <rPr>
        <sz val="10"/>
        <rFont val="Arial"/>
        <family val="2"/>
      </rPr>
      <t>…b</t>
    </r>
    <r>
      <rPr>
        <sz val="10"/>
        <rFont val="Arial"/>
        <family val="2"/>
      </rPr>
      <t xml:space="preserve">p, swap + 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bp</t>
    </r>
    <phoneticPr fontId="4" type="noConversion"/>
  </si>
  <si>
    <t>CLT-CLI HK BR (Class A-HK) Trust Fund - Sub Fund I</t>
    <phoneticPr fontId="4" type="noConversion"/>
  </si>
  <si>
    <t>Nomura</t>
    <phoneticPr fontId="4" type="noConversion"/>
  </si>
  <si>
    <t>Citic Sec</t>
  </si>
  <si>
    <t>Sharon Chang</t>
  </si>
  <si>
    <t xml:space="preserve">2237-9477, sharonchang@citics.com.hk </t>
  </si>
  <si>
    <t>2237-9477, sharonchang@citics.com.hk</t>
  </si>
  <si>
    <t>Ruwais Power 6%  08/31/36</t>
    <phoneticPr fontId="4" type="noConversion"/>
  </si>
  <si>
    <t>Amy Li</t>
  </si>
  <si>
    <t>2108  5064 , amy.li@asia.bnpparibas.com</t>
    <phoneticPr fontId="4" type="noConversion"/>
  </si>
  <si>
    <t>XS0954948971</t>
    <phoneticPr fontId="4" type="noConversion"/>
  </si>
  <si>
    <t>Yuzhou 10% 2019 HKD Bond</t>
    <phoneticPr fontId="4" type="noConversion"/>
  </si>
  <si>
    <t xml:space="preserve">Kevin Hui/Jamie Kwok </t>
    <phoneticPr fontId="4" type="noConversion"/>
  </si>
  <si>
    <t xml:space="preserve">22521386,Kevin.hui@nomura.com/  2252 1216 , jamie.kwok.1@nomura.com </t>
    <phoneticPr fontId="4" type="noConversion"/>
  </si>
  <si>
    <t>USM8220VAA28</t>
    <phoneticPr fontId="4" type="noConversion"/>
  </si>
  <si>
    <t>Nicholas Lee</t>
    <phoneticPr fontId="4" type="noConversion"/>
  </si>
  <si>
    <t>2501 2529, nicholas.kt.lee@citi.com</t>
    <phoneticPr fontId="4" type="noConversion"/>
  </si>
  <si>
    <t>NICHOLAS LEE</t>
    <phoneticPr fontId="4" type="noConversion"/>
  </si>
  <si>
    <t>2501 2566, n_lee@bloomberg.net</t>
    <phoneticPr fontId="4" type="noConversion"/>
  </si>
  <si>
    <t>BESSIE WANG</t>
    <phoneticPr fontId="4" type="noConversion"/>
  </si>
  <si>
    <t>53031755  , Bessie.Wang@bocigroup.com</t>
    <phoneticPr fontId="4" type="noConversion"/>
  </si>
  <si>
    <t>LISA LI</t>
    <phoneticPr fontId="4" type="noConversion"/>
  </si>
  <si>
    <t>22379474  , lli301@bloomberg.net</t>
    <phoneticPr fontId="4" type="noConversion"/>
  </si>
  <si>
    <t>53031755, bwang63@bloomberg.net</t>
    <phoneticPr fontId="4" type="noConversion"/>
  </si>
  <si>
    <t>Nicholas Lee</t>
  </si>
  <si>
    <t>2501 2529, nicholas.kt.lee@citi.com</t>
  </si>
  <si>
    <t>LISA LI</t>
  </si>
  <si>
    <t>22379474  , lli301@bloomberg.net</t>
  </si>
  <si>
    <t>Ageas Ins Asia 4.125% 2023</t>
    <phoneticPr fontId="4" type="noConversion"/>
  </si>
  <si>
    <t>XS0913601950</t>
    <phoneticPr fontId="4" type="noConversion"/>
  </si>
  <si>
    <t>BB+</t>
  </si>
  <si>
    <r>
      <t>D</t>
    </r>
    <r>
      <rPr>
        <sz val="10"/>
        <rFont val="Arial"/>
        <family val="2"/>
      </rPr>
      <t>BS</t>
    </r>
    <phoneticPr fontId="4" type="noConversion"/>
  </si>
  <si>
    <t>JOSEPHINE TOM</t>
    <phoneticPr fontId="4" type="noConversion"/>
  </si>
  <si>
    <t>3668 5775, jotom@bloomberg.net</t>
    <phoneticPr fontId="4" type="noConversion"/>
  </si>
  <si>
    <t>Ruwais Power 6%  08/31/36</t>
  </si>
  <si>
    <t>Yuzhou 10% 2019 HKD Bond</t>
  </si>
  <si>
    <t>港币</t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</si>
  <si>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7</t>
    </r>
    <r>
      <rPr>
        <sz val="10"/>
        <rFont val="細明體"/>
        <family val="3"/>
        <charset val="136"/>
      </rPr>
      <t>月</t>
    </r>
    <r>
      <rPr>
        <sz val="10"/>
        <rFont val="Arial"/>
        <family val="2"/>
      </rPr>
      <t/>
    </r>
    <phoneticPr fontId="4" type="noConversion"/>
  </si>
  <si>
    <t>Ageas Ins Asia 4.125% 2023</t>
  </si>
  <si>
    <t>Onetis a/c 12630</t>
    <phoneticPr fontId="4" type="noConversion"/>
  </si>
  <si>
    <t>CLT-CLI HK BR (Class A-HK) Trust Fund - Sub Fund I</t>
    <phoneticPr fontId="4" type="noConversion"/>
  </si>
  <si>
    <t>US71647NAF69</t>
    <phoneticPr fontId="4" type="noConversion"/>
  </si>
  <si>
    <t>XS0964837248</t>
    <phoneticPr fontId="4" type="noConversion"/>
  </si>
  <si>
    <t>Franshion 6.4% Apr 2022</t>
    <phoneticPr fontId="4" type="noConversion"/>
  </si>
  <si>
    <t>NR</t>
    <phoneticPr fontId="12" type="noConversion"/>
  </si>
  <si>
    <t>DBS</t>
  </si>
  <si>
    <t>JOSEPHINE TOM</t>
  </si>
  <si>
    <t>3668 5775, jotom@bloomberg.net</t>
  </si>
  <si>
    <t>2108  5064 , amy.li@asia.bnpparibas.com</t>
  </si>
  <si>
    <t>XS0852986313</t>
    <phoneticPr fontId="4" type="noConversion"/>
  </si>
  <si>
    <t>CLT-CLI HK BR (CLS A-HK)TRUST FUND (SUB-FUND-BOND)</t>
    <phoneticPr fontId="4" type="noConversion"/>
  </si>
  <si>
    <t>SUB FUND I</t>
    <phoneticPr fontId="4" type="noConversion"/>
  </si>
  <si>
    <t>NICHOLAS LEE</t>
  </si>
  <si>
    <t>2501 2566, n_lee@bloomberg.net</t>
  </si>
  <si>
    <t>USM8220VAA28</t>
  </si>
  <si>
    <t>Citi</t>
    <phoneticPr fontId="4" type="noConversion"/>
  </si>
  <si>
    <t xml:space="preserve">Karen So </t>
    <phoneticPr fontId="4" type="noConversion"/>
  </si>
  <si>
    <t>2501 2547 , kso12@bloomberg.net</t>
    <phoneticPr fontId="4" type="noConversion"/>
  </si>
  <si>
    <t>XS0970892724</t>
    <phoneticPr fontId="4" type="noConversion"/>
  </si>
  <si>
    <t>Avic International 6% 2023</t>
    <phoneticPr fontId="4" type="noConversion"/>
  </si>
  <si>
    <t>BBB(Fitch)</t>
    <phoneticPr fontId="4" type="noConversion"/>
  </si>
  <si>
    <t>RBS</t>
    <phoneticPr fontId="4" type="noConversion"/>
  </si>
  <si>
    <t>KENNETH KAN</t>
    <phoneticPr fontId="4" type="noConversion"/>
  </si>
  <si>
    <t>2966 2793,kkan25@bloomberg.net</t>
    <phoneticPr fontId="4" type="noConversion"/>
  </si>
  <si>
    <t>BOA</t>
    <phoneticPr fontId="4" type="noConversion"/>
  </si>
  <si>
    <t xml:space="preserve">Karen Jin </t>
    <phoneticPr fontId="4" type="noConversion"/>
  </si>
  <si>
    <t>2161 7027, karen.jin@baml.com</t>
    <phoneticPr fontId="4" type="noConversion"/>
  </si>
  <si>
    <t>New World Development 6% Sept 2023</t>
    <phoneticPr fontId="4" type="noConversion"/>
  </si>
  <si>
    <t>Franshion 6.4% Apr 2022</t>
  </si>
  <si>
    <t>2013年8月</t>
    <phoneticPr fontId="4" type="noConversion"/>
  </si>
  <si>
    <r>
      <t>H</t>
    </r>
    <r>
      <rPr>
        <sz val="10"/>
        <rFont val="Arial"/>
        <family val="2"/>
      </rPr>
      <t>KD</t>
    </r>
    <phoneticPr fontId="4" type="noConversion"/>
  </si>
  <si>
    <t>XS0974312562</t>
    <phoneticPr fontId="4" type="noConversion"/>
  </si>
  <si>
    <t>CCBI</t>
    <phoneticPr fontId="4" type="noConversion"/>
  </si>
  <si>
    <t xml:space="preserve"> KRISTY SUN  </t>
    <phoneticPr fontId="4" type="noConversion"/>
  </si>
  <si>
    <t>2532 2559, kristys@ccbintl.com</t>
    <phoneticPr fontId="4" type="noConversion"/>
  </si>
  <si>
    <t>Avic International 6% 2023</t>
  </si>
  <si>
    <t>New World Development 6% Sept 2023</t>
  </si>
  <si>
    <t>港分可出售类</t>
    <phoneticPr fontId="4" type="noConversion"/>
  </si>
  <si>
    <t>CLT-CLI HK BR(CLASS A-HK) TRUST FUND - SUB FUND I</t>
    <phoneticPr fontId="4" type="noConversion"/>
  </si>
  <si>
    <t>a/c 12548</t>
    <phoneticPr fontId="4" type="noConversion"/>
  </si>
  <si>
    <t>XS0974316712</t>
  </si>
  <si>
    <t>XS0974316712</t>
    <phoneticPr fontId="4" type="noConversion"/>
  </si>
  <si>
    <t>NR</t>
    <phoneticPr fontId="4" type="noConversion"/>
  </si>
  <si>
    <t>CCBI</t>
  </si>
  <si>
    <t xml:space="preserve"> KRISTY SUN  </t>
  </si>
  <si>
    <t>2532 2559, kristys@ccbintl.com</t>
  </si>
  <si>
    <t>China Taiping HK - TP Wealth  6% 4th Oct 2028</t>
  </si>
  <si>
    <t>China Taiping Insur Hld - Fortunes 6% Oct 2028</t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</si>
  <si>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9</t>
    </r>
    <r>
      <rPr>
        <sz val="10"/>
        <rFont val="細明體"/>
        <family val="3"/>
        <charset val="136"/>
      </rPr>
      <t>月</t>
    </r>
    <r>
      <rPr>
        <sz val="10"/>
        <rFont val="Arial"/>
        <family val="2"/>
      </rPr>
      <t/>
    </r>
    <phoneticPr fontId="4" type="noConversion"/>
  </si>
  <si>
    <t>Karen Yeung</t>
  </si>
  <si>
    <t>2903 2542, karen.yeung@barclays.com</t>
  </si>
  <si>
    <t>BBB</t>
  </si>
  <si>
    <t xml:space="preserve">852 2239-1824 , Wenmian.Shao@morganstanley.com </t>
  </si>
  <si>
    <t xml:space="preserve">XS0985263150 </t>
    <phoneticPr fontId="4" type="noConversion"/>
  </si>
  <si>
    <t>RBS</t>
  </si>
  <si>
    <t>KENNETH KAN</t>
  </si>
  <si>
    <t>2966 2793,kkan25@bloomberg.net</t>
  </si>
  <si>
    <t>BBB-(fitch)</t>
    <phoneticPr fontId="4" type="noConversion"/>
  </si>
  <si>
    <t>China Citic Bank International 6% May 2024</t>
    <phoneticPr fontId="4" type="noConversion"/>
  </si>
  <si>
    <t xml:space="preserve">6.147946
</t>
    <phoneticPr fontId="4" type="noConversion"/>
  </si>
  <si>
    <t>Issuer buyback/clients transfer out</t>
    <phoneticPr fontId="4" type="noConversion"/>
  </si>
  <si>
    <t>Buy/Client transfer in</t>
    <phoneticPr fontId="4" type="noConversion"/>
  </si>
  <si>
    <t>Issuer buy back 21s bonds  and issue new 22s bonds// net settlement amt is 779,983,013.70</t>
    <phoneticPr fontId="4" type="noConversion"/>
  </si>
  <si>
    <t>Issuer buy back 21s bonds  and issue new 22s bonds// net settlement amt is 779,983,013.70</t>
    <phoneticPr fontId="4" type="noConversion"/>
  </si>
  <si>
    <t>China Citic Bank International 6% May 2024</t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</si>
  <si>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10</t>
    </r>
    <r>
      <rPr>
        <sz val="10"/>
        <rFont val="細明體"/>
        <family val="3"/>
        <charset val="136"/>
      </rPr>
      <t>月</t>
    </r>
    <r>
      <rPr>
        <sz val="10"/>
        <rFont val="Arial"/>
        <family val="2"/>
      </rPr>
      <t/>
    </r>
    <phoneticPr fontId="4" type="noConversion"/>
  </si>
  <si>
    <t>KEEN BOND INVESTMENT LTD 6.15% 11/14/2022 (BJ Water)</t>
    <phoneticPr fontId="4" type="noConversion"/>
  </si>
  <si>
    <t>HK0000131752</t>
  </si>
  <si>
    <t>Sell</t>
  </si>
  <si>
    <t>Kelvin Y. Huang</t>
    <phoneticPr fontId="4" type="noConversion"/>
  </si>
  <si>
    <r>
      <t xml:space="preserve">852 2239-1824 , </t>
    </r>
    <r>
      <rPr>
        <sz val="10"/>
        <rFont val="Arial"/>
        <family val="2"/>
      </rPr>
      <t xml:space="preserve">Kelvin.Huang@morganstanley.com   </t>
    </r>
    <phoneticPr fontId="4" type="noConversion"/>
  </si>
  <si>
    <t>A1</t>
  </si>
  <si>
    <t>sell</t>
    <phoneticPr fontId="4" type="noConversion"/>
  </si>
  <si>
    <t>发行商赎回/客户转出</t>
  </si>
  <si>
    <t>BJ Enterprise Water 6.15% due 2021 CNH PP</t>
  </si>
  <si>
    <t>客户转入</t>
  </si>
  <si>
    <t>KEEN BOND INVESTMENT LTD 6.15% 11/14/2022 (BJ Water)</t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</si>
  <si>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11</t>
    </r>
    <r>
      <rPr>
        <sz val="10"/>
        <rFont val="細明體"/>
        <family val="3"/>
        <charset val="136"/>
      </rPr>
      <t>月</t>
    </r>
    <r>
      <rPr>
        <sz val="10"/>
        <rFont val="Arial"/>
        <family val="2"/>
      </rPr>
      <t/>
    </r>
    <phoneticPr fontId="4" type="noConversion"/>
  </si>
  <si>
    <t>HK0000131752</t>
    <phoneticPr fontId="4" type="noConversion"/>
  </si>
  <si>
    <r>
      <t>2013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12</t>
    </r>
    <r>
      <rPr>
        <sz val="10"/>
        <rFont val="細明體"/>
        <family val="3"/>
        <charset val="136"/>
      </rPr>
      <t>月</t>
    </r>
    <r>
      <rPr>
        <sz val="10"/>
        <rFont val="Arial"/>
        <family val="2"/>
      </rPr>
      <t/>
    </r>
  </si>
  <si>
    <t>XS0972980097</t>
  </si>
  <si>
    <t>CHINA OVERSEAS 5.375% 10/29/23</t>
  </si>
  <si>
    <t xml:space="preserve">MINMETALS Land 6.5 04/26/23 </t>
  </si>
  <si>
    <t>CHINA OVERSEAS 3.95% 11/15/2022</t>
  </si>
  <si>
    <t>XS0852986156</t>
  </si>
  <si>
    <t>Dongchen WANG</t>
    <phoneticPr fontId="4" type="noConversion"/>
  </si>
  <si>
    <t>2161-7027,
dongchen.wang@baml.com</t>
    <phoneticPr fontId="4" type="noConversion"/>
  </si>
  <si>
    <t xml:space="preserve">Karen So </t>
  </si>
  <si>
    <t>2501 2547 , kso12@bloomberg.net</t>
  </si>
  <si>
    <t>Dongchen WANG</t>
  </si>
  <si>
    <t>CLT-CLI MACAU BR(CLS A-MC)TRUST FD (SUB-FUND-BOND)</t>
  </si>
  <si>
    <t>2161-7027,
dongchen.wang@baml.com</t>
  </si>
  <si>
    <r>
      <t>2014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</t>
    </r>
    <r>
      <rPr>
        <sz val="10"/>
        <rFont val="細明體"/>
        <family val="3"/>
        <charset val="136"/>
      </rPr>
      <t>月</t>
    </r>
  </si>
  <si>
    <t>XS1039273666</t>
    <phoneticPr fontId="4" type="noConversion"/>
  </si>
  <si>
    <t>China Resources Land 6.00% 2024</t>
    <phoneticPr fontId="4" type="noConversion"/>
  </si>
  <si>
    <t>BBB+ (fitch)</t>
  </si>
  <si>
    <r>
      <t>2014</t>
    </r>
    <r>
      <rPr>
        <sz val="10"/>
        <rFont val="細明體"/>
        <family val="3"/>
        <charset val="136"/>
      </rPr>
      <t>年2月</t>
    </r>
  </si>
  <si>
    <t>China Resources Land 6.00% 2024</t>
  </si>
  <si>
    <t>Morgan Stanley 6% Apr 2015</t>
  </si>
  <si>
    <t>Baa2</t>
  </si>
  <si>
    <t>XS1036272570</t>
  </si>
  <si>
    <t>HKD</t>
  </si>
  <si>
    <t>Gluon Xima International 6% Mar 2020 (Greenland)</t>
    <phoneticPr fontId="4" type="noConversion"/>
  </si>
  <si>
    <r>
      <t>2014</t>
    </r>
    <r>
      <rPr>
        <sz val="10"/>
        <rFont val="細明體"/>
        <family val="3"/>
        <charset val="136"/>
      </rPr>
      <t>年3月</t>
    </r>
  </si>
  <si>
    <t>Gluon Xima International 6% Mar 2020 (Greenland)</t>
  </si>
  <si>
    <t>Internal transfer to 12366</t>
  </si>
  <si>
    <t>interal transfer from 12229 &amp; Subfund1</t>
  </si>
  <si>
    <t>CLO requests to transfer 30 mil from 12229 and Sub fund 1 to 12366</t>
  </si>
  <si>
    <t>DB</t>
  </si>
  <si>
    <t>ERIC HA</t>
  </si>
  <si>
    <t>22038381 , eric.ha@db.com</t>
  </si>
  <si>
    <t>XS1055321993</t>
  </si>
  <si>
    <t>Ba3(exp)</t>
  </si>
  <si>
    <t>Captial Gain in USD</t>
  </si>
  <si>
    <t>China Citic Bank International 7 ¼ 12/29/49</t>
  </si>
  <si>
    <t>China Citic Bank International 7.25%  2019-2049 (non cum, Subordinated AT1 Perp)</t>
  </si>
  <si>
    <t>CLO requests to transfer 42 mil from 12229 and Sub fund 1 to 12366</t>
  </si>
  <si>
    <t>CLT-CLI HK BR(CLS G-HK) TRUST FD (SUB-FUND-BOND)</t>
  </si>
  <si>
    <t>XS1063561499</t>
  </si>
  <si>
    <t>CHINA OVERSEAS 5.95% 05/08/2024</t>
  </si>
  <si>
    <t>JP Morgan</t>
  </si>
  <si>
    <t xml:space="preserve">EDWARD WONG </t>
  </si>
  <si>
    <t>2800 8269 , edward.mw.wong@jpmchase.com</t>
  </si>
  <si>
    <t>CLO requests to transfer 23 mil from 12229 and Sub fund 1 to 12366</t>
  </si>
  <si>
    <r>
      <t>截止2014</t>
    </r>
    <r>
      <rPr>
        <sz val="10"/>
        <rFont val="細明體"/>
        <family val="3"/>
        <charset val="136"/>
      </rPr>
      <t>年4月底</t>
    </r>
  </si>
  <si>
    <t>Tender offer</t>
  </si>
  <si>
    <t>CLO requests to transfer 21 mil from 12229 and Sub fund 1 to 12366</t>
  </si>
  <si>
    <t>CLO requests to transfer 24 mil from 12229 and Sub fund 1 to 12366</t>
  </si>
  <si>
    <t>Issuer 's tender offer to buy back the bond at 102.5 and USD settled with forex rate of 6.1495</t>
  </si>
  <si>
    <t>截止2014年5月</t>
  </si>
  <si>
    <t>US78387GAL77</t>
  </si>
  <si>
    <t>AT AND T INC 5.625 15Jun2016</t>
  </si>
  <si>
    <t>Issurer early redeems under "Make Whole Call"</t>
  </si>
  <si>
    <t>CLO requests to transfer 15 mil from 12229 and Sub fund 1 to 12366</t>
  </si>
  <si>
    <t>CLO requests to transfer 5 mil from 12229 and Sub fund 1 to 12366</t>
  </si>
  <si>
    <t>CLO requests to transfer 18 mil from 12229 and Sub fund 1 to 12366</t>
  </si>
  <si>
    <t>CLO requests to transfer 13 mil from 12229 and Sub fund 1 to 12366</t>
  </si>
  <si>
    <t>Poly holding  4.75% 2018</t>
  </si>
  <si>
    <t>Yuexiu 4.5% 2023</t>
  </si>
  <si>
    <t>XS1075180379</t>
  </si>
  <si>
    <t>CHINA OVERSEAS 6.45% 06/11/2034</t>
  </si>
  <si>
    <t>ANZ</t>
  </si>
  <si>
    <t>Judy Yung</t>
  </si>
  <si>
    <t>3918 7623 // Judy.Yung@anz.com</t>
  </si>
  <si>
    <t>截止2014年6月</t>
  </si>
  <si>
    <t>EVELYN WONG</t>
  </si>
  <si>
    <t>3983 8095, Evelyn.Wong@sc.com</t>
  </si>
  <si>
    <t>CLO requests to transfer 14 mil from 12229 and Sub fund 1 to 12366</t>
  </si>
  <si>
    <t>Westfield 5.7% Oct 2016</t>
  </si>
  <si>
    <t>Westfield 7.125% Apr 2018</t>
  </si>
  <si>
    <r>
      <t>U</t>
    </r>
    <r>
      <rPr>
        <sz val="10"/>
        <rFont val="Arial"/>
        <family val="2"/>
      </rPr>
      <t>SU94303AA99</t>
    </r>
  </si>
  <si>
    <t xml:space="preserve">AFS profit </t>
  </si>
  <si>
    <t>截止2014年7月</t>
  </si>
  <si>
    <t>BB+(Fitch)</t>
  </si>
  <si>
    <t>2013 AFS cap G</t>
  </si>
  <si>
    <t>2014 7M AFS cap G</t>
  </si>
  <si>
    <t>XS1090864528</t>
  </si>
  <si>
    <t>Sino Ocean Land 6%  30 Jul 2024</t>
  </si>
  <si>
    <t xml:space="preserve">JENNY ZHANG    </t>
  </si>
  <si>
    <t>jenny.zhang@nomura.com // 2536 7084</t>
  </si>
  <si>
    <t>2014 8M AFS cap G</t>
  </si>
  <si>
    <t>CLO requests to transfer 33 mil from 12229 and Sub fund 1 to 12366</t>
  </si>
  <si>
    <t xml:space="preserve"> JENNY ZHANG</t>
  </si>
  <si>
    <t>2536-7057, jenny.zhang@nomura.com</t>
  </si>
  <si>
    <t>XS1100009874</t>
  </si>
  <si>
    <t>CCB 4 ¼ 08/20/24 Tier 2 Subordinate Note</t>
  </si>
  <si>
    <t>A-(Fitch)</t>
  </si>
  <si>
    <t>perpetual</t>
  </si>
  <si>
    <t>Ba3</t>
  </si>
  <si>
    <t>35087027, dongchen.wang@baml.com;</t>
  </si>
  <si>
    <t xml:space="preserve">China Citic Bank International 7.25% </t>
  </si>
  <si>
    <t>Transfer but assume sold at the price below</t>
  </si>
  <si>
    <t>2013 all cp gain afs</t>
  </si>
  <si>
    <t xml:space="preserve">all MTD capital gain </t>
  </si>
  <si>
    <t>Exclude 1MDB Zoomlion Citic CCB</t>
  </si>
  <si>
    <t>Exclude only Citic perp and CCB</t>
  </si>
  <si>
    <t xml:space="preserve">All inculded </t>
  </si>
  <si>
    <t xml:space="preserve">All included </t>
  </si>
  <si>
    <t>2013-14 AFS Cap gain</t>
  </si>
  <si>
    <t>internal transfer to 12229</t>
  </si>
  <si>
    <t>BB(Fitch)</t>
  </si>
  <si>
    <t>2237-9477, mleung99@bloomberg.net</t>
  </si>
  <si>
    <t>2014 9M AFS cap G</t>
  </si>
  <si>
    <t>CLO requests to transfer 20 mil from 12229 and Sub fund 1 to 12366</t>
  </si>
  <si>
    <t>截止2014年8月</t>
  </si>
  <si>
    <t>Daisy Kwok</t>
  </si>
  <si>
    <t>39187631, daisy.kwok@anz.com</t>
  </si>
  <si>
    <t>XS1113240268</t>
  </si>
  <si>
    <t>BOCOM 4.5 10/03/24</t>
  </si>
  <si>
    <t>EDWARD WONG</t>
  </si>
  <si>
    <t>28008269, edward.mw.wong@jpmchase.com</t>
  </si>
  <si>
    <t>BBB+(Fitch)</t>
  </si>
  <si>
    <t>CLO requests to transfer 32 mil from 12229 and Sub fund 1 to 12366</t>
  </si>
  <si>
    <t>截止2014年9月</t>
  </si>
  <si>
    <t>Ziay Zhou</t>
  </si>
  <si>
    <t>852-2848-8281 //ziya.zhou@morganstanley.com</t>
  </si>
  <si>
    <t>2014 10M AFS cap G</t>
  </si>
  <si>
    <t>Exclude 1MDB Zoomlion Citic CCB Bocom</t>
  </si>
  <si>
    <t>Exclude only Citic perp and CCB Bocom</t>
  </si>
  <si>
    <r>
      <t>U</t>
    </r>
    <r>
      <rPr>
        <sz val="10"/>
        <rFont val="Arial"/>
        <family val="2"/>
      </rPr>
      <t>SD</t>
    </r>
  </si>
  <si>
    <t>XS1127304514</t>
  </si>
  <si>
    <t>China Resources Land 6.10% 2029</t>
  </si>
  <si>
    <t>Ziya Zhou</t>
  </si>
  <si>
    <t xml:space="preserve"> +852-2848-8281// ziya.zhou@morganstanley.com
</t>
  </si>
  <si>
    <r>
      <t>M</t>
    </r>
    <r>
      <rPr>
        <sz val="10"/>
        <rFont val="Arial"/>
        <family val="2"/>
      </rPr>
      <t>organ Stanley 6% Apr 2015</t>
    </r>
  </si>
  <si>
    <t>澳分-G</t>
  </si>
  <si>
    <t>2014 11M AFS cap G</t>
  </si>
  <si>
    <t>截止2014年11月</t>
  </si>
  <si>
    <t>截止2014年10 月 31日</t>
  </si>
  <si>
    <r>
      <t>F</t>
    </r>
    <r>
      <rPr>
        <sz val="10"/>
        <rFont val="Arial"/>
        <family val="2"/>
      </rPr>
      <t>ranshion 6.8% perpetual convertible note 2015 call</t>
    </r>
  </si>
  <si>
    <t xml:space="preserve">YUEXIU 6.1 11/28/29 </t>
  </si>
  <si>
    <t>HK0000226404</t>
  </si>
  <si>
    <t>截止2014年12月</t>
  </si>
  <si>
    <t>Bohai Steel 6.15 01/16/20</t>
  </si>
  <si>
    <t>HK0000233186</t>
  </si>
  <si>
    <t>XS1163722587</t>
  </si>
  <si>
    <t>SINOCE 5.95 02/04/27</t>
  </si>
  <si>
    <t>XS1189103382</t>
  </si>
  <si>
    <t>Qingdao City Construction  5.95 02/12/2025</t>
  </si>
  <si>
    <t>截止2015年1月</t>
  </si>
  <si>
    <t>截止2015年2月</t>
  </si>
  <si>
    <t>交易金额</t>
  </si>
  <si>
    <t xml:space="preserve">Qatar National Bank  5%  04/02/18 </t>
  </si>
  <si>
    <t>截止2015年3月</t>
  </si>
  <si>
    <t>Franshion 6.8% perpetual convertible note 2015 call</t>
  </si>
  <si>
    <t>NA</t>
  </si>
  <si>
    <t>Deutsche Bank</t>
  </si>
  <si>
    <t>JEREMY LAU</t>
  </si>
  <si>
    <t xml:space="preserve">Ziya zhou </t>
  </si>
  <si>
    <t>"JEREMY.LAU@DB.COM // +852-2203-6151</t>
  </si>
  <si>
    <t>"ziya.zhou@morganstanley.com // +852-2848-8281</t>
  </si>
  <si>
    <t>Perp</t>
  </si>
  <si>
    <t>截止2015年4月</t>
  </si>
  <si>
    <t>HK0000241288</t>
  </si>
  <si>
    <t>China Energy Reserve and Chemicals Group 6.3 04/27/22</t>
  </si>
  <si>
    <t>交易日期</t>
  </si>
  <si>
    <t>24/7/015</t>
  </si>
  <si>
    <t>截止2015年7月</t>
  </si>
  <si>
    <t>XS1268469670</t>
  </si>
  <si>
    <t>TEWOO GROUP 6 08/05/2027</t>
  </si>
  <si>
    <t>USG8116KAB82</t>
  </si>
  <si>
    <t>BOC Aviation ABS class - B   5.75 10/15/2042  SHNTN 2015-1X B</t>
  </si>
  <si>
    <t>CITI</t>
  </si>
  <si>
    <t>USQ12441AA19</t>
  </si>
  <si>
    <t>BHP 6 ¼ 10/19/75 REGS   NC5</t>
  </si>
  <si>
    <t>BHP 6 ¾ 10/19/75 REGS  NC10</t>
  </si>
  <si>
    <t xml:space="preserve">USQ12441AB91  </t>
  </si>
  <si>
    <t>截止2015年10月</t>
  </si>
  <si>
    <t>XS1311098815</t>
  </si>
  <si>
    <t>QBEAU 6.1 11/12/45</t>
  </si>
  <si>
    <t>BBBe (Fitch)</t>
  </si>
  <si>
    <t>XS1125272143</t>
  </si>
  <si>
    <t>CHITRA 5 ⅝ 11/03/24</t>
  </si>
  <si>
    <t>2867 6371, Bessie.Wang@bocigroup.com</t>
  </si>
  <si>
    <t>inhouse</t>
  </si>
  <si>
    <t>XS1323076015</t>
  </si>
  <si>
    <t xml:space="preserve">Intesa Sanpaolo </t>
  </si>
  <si>
    <t xml:space="preserve">PAUL AU
</t>
  </si>
  <si>
    <t>+852 2532 2401, paul.au@intesasanpaolo.com</t>
  </si>
  <si>
    <t>XS1323076957</t>
  </si>
  <si>
    <t xml:space="preserve">NORDDEUTSCHE LANDESBANKT2 6.25 11/18/2025 </t>
  </si>
  <si>
    <t xml:space="preserve">NORDDEUTSCHE LANDESBANK T2 6.25 11/18/2025 </t>
  </si>
  <si>
    <t xml:space="preserve">NORDDEUTSCHE LANDESBANK T2 6.25 11/19/2025 </t>
  </si>
  <si>
    <t>帐户</t>
  </si>
  <si>
    <t>成立日期</t>
  </si>
  <si>
    <t>2014年12月31日</t>
  </si>
  <si>
    <t>2013年12月31日</t>
  </si>
  <si>
    <t>整体债券组合</t>
  </si>
  <si>
    <t>市值（港元）</t>
  </si>
  <si>
    <t>平均注资成本余额</t>
  </si>
  <si>
    <t>07年12月6日</t>
  </si>
  <si>
    <t>应收利息</t>
  </si>
  <si>
    <t>08年5月28日</t>
  </si>
  <si>
    <t xml:space="preserve">资本利得 </t>
  </si>
  <si>
    <t>08年3月13日</t>
  </si>
  <si>
    <t>收益率</t>
  </si>
  <si>
    <t>08年5月14日</t>
  </si>
  <si>
    <t>应收利息（年化）</t>
  </si>
  <si>
    <t>08年7月8日</t>
  </si>
  <si>
    <t>年化收益率</t>
  </si>
  <si>
    <t>港分资本</t>
  </si>
  <si>
    <t>08年9月11日</t>
  </si>
  <si>
    <t>海外资本</t>
  </si>
  <si>
    <t>10年12月16日</t>
  </si>
  <si>
    <t>总计</t>
  </si>
  <si>
    <t>2012年12月31日</t>
  </si>
  <si>
    <t>2011年12月31日</t>
  </si>
  <si>
    <t>2010年12月31日</t>
  </si>
  <si>
    <t>2009年12月31日</t>
  </si>
  <si>
    <r>
      <t>Deutsche</t>
    </r>
    <r>
      <rPr>
        <sz val="10"/>
        <rFont val="Arial"/>
        <family val="2"/>
      </rPr>
      <t xml:space="preserve"> Bank</t>
    </r>
  </si>
  <si>
    <t>Vattenfall 63NC8 6.1% Hybrid 11/19/78</t>
  </si>
  <si>
    <t xml:space="preserve">Eric Ha </t>
  </si>
  <si>
    <t>"eric.ha@db.com // +852-2203-8381</t>
  </si>
  <si>
    <t>XS1322373017</t>
  </si>
  <si>
    <t>截止2015年11月</t>
  </si>
  <si>
    <t>XS1328130197</t>
  </si>
  <si>
    <t>CCB 4.65 12/29/49</t>
  </si>
  <si>
    <t>China Merchant AM</t>
  </si>
  <si>
    <t>GTJA(HK)</t>
  </si>
  <si>
    <t>宝达投资</t>
  </si>
  <si>
    <t>Jin Yuan Intl Ho</t>
  </si>
  <si>
    <t>client ac</t>
  </si>
  <si>
    <t>SG</t>
  </si>
  <si>
    <t>Bernardina Suen</t>
  </si>
  <si>
    <t>+852 2166 4304 // bernardina.suen@sgcib.com;</t>
  </si>
  <si>
    <t>HK0000171949</t>
  </si>
  <si>
    <t>HK0000097490</t>
  </si>
  <si>
    <t>HK0000134780</t>
  </si>
  <si>
    <t>HK0000083706</t>
  </si>
  <si>
    <t>HK0000175916</t>
  </si>
  <si>
    <t>HK0000109337</t>
  </si>
  <si>
    <t>XS1213794578</t>
  </si>
  <si>
    <t>XS1314969400</t>
  </si>
  <si>
    <t>SHDOIS 5 3/4 01/06/21 (Shandong Iron &amp; Steel)</t>
  </si>
  <si>
    <t>CLT - CLI HK BR (CLASS A-HK) TRUST FUND</t>
  </si>
  <si>
    <t>XS1122780106</t>
  </si>
  <si>
    <t>BCHINA 6 3/4 10/31/49</t>
  </si>
  <si>
    <t>Ba2</t>
  </si>
  <si>
    <t>BB-</t>
  </si>
  <si>
    <t>CNH</t>
  </si>
  <si>
    <t>Ning Jiang</t>
  </si>
  <si>
    <t xml:space="preserve"> ' +852-29718240, ning.jiang@ubs.com;</t>
  </si>
  <si>
    <t xml:space="preserve">CLT - CLI MACAU BR (CLASS A-MC) TRU ST FUND           </t>
  </si>
  <si>
    <t>Karen So</t>
  </si>
  <si>
    <t>2501 8336, karenso@bloomberg.net</t>
  </si>
  <si>
    <t xml:space="preserve"> CLT - CLI HK BR (CLASS A-HK) TRUST FUND          </t>
  </si>
  <si>
    <t xml:space="preserve">CLT - CLI MACAU BR (CLASS G-MC) TRUST FUND           </t>
  </si>
  <si>
    <t>截止2015年12月</t>
  </si>
  <si>
    <t xml:space="preserve">帐户 </t>
    <phoneticPr fontId="4" type="noConversion"/>
  </si>
  <si>
    <t>XS1342647564</t>
  </si>
  <si>
    <t/>
  </si>
  <si>
    <t>CMZB 6 01/12/28 ( COMMERZBANK AG Tier-2)</t>
  </si>
  <si>
    <t>FR0013101599</t>
  </si>
  <si>
    <t>CNPFP 6 01/22/49  (CNP Assurances)</t>
  </si>
  <si>
    <t>截止2016年1月</t>
  </si>
  <si>
    <t>2015年12月31日</t>
  </si>
  <si>
    <t>CLT-CLI HK BR Trust Fund (Capital) (Sub-Fund-Bond)</t>
  </si>
  <si>
    <t>XS1389124774</t>
  </si>
  <si>
    <t>SRENVX 6.05 02/15/56 (SWISS RE- Subordinated)</t>
  </si>
  <si>
    <t>截止2016年3月</t>
  </si>
  <si>
    <t>XS1376566714</t>
  </si>
  <si>
    <t>CERCG 5.55 04/14/21</t>
  </si>
  <si>
    <t>2016年3月31日</t>
  </si>
  <si>
    <t>##2016年1-3月份应计利息及净注资金额为预测数据</t>
  </si>
  <si>
    <t>Unrealized G/L</t>
  </si>
  <si>
    <t xml:space="preserve">Injection: </t>
  </si>
  <si>
    <t xml:space="preserve">Interest income </t>
  </si>
  <si>
    <t>Other Adjustment:</t>
  </si>
  <si>
    <t>Realized G/L</t>
  </si>
  <si>
    <t>Beg AUM:</t>
  </si>
  <si>
    <t>End AUM:</t>
  </si>
  <si>
    <r>
      <t> </t>
    </r>
    <r>
      <rPr>
        <sz val="9"/>
        <color rgb="FF638C0B"/>
        <rFont val="Tahoma"/>
        <family val="2"/>
      </rPr>
      <t>miscellaneous</t>
    </r>
  </si>
  <si>
    <t>Shandong Steel, not yet settled at Dec 2015</t>
  </si>
  <si>
    <t>XS1400307838</t>
  </si>
  <si>
    <t>Baa3e</t>
  </si>
  <si>
    <t>BYLAN 6.1 04/28/31  (BAYERISCHE LANDESBANK - subordinated)</t>
  </si>
  <si>
    <t>FR0013162591</t>
  </si>
  <si>
    <t>Natixis Asia Ltd</t>
  </si>
  <si>
    <t>Edmund Tsang</t>
  </si>
  <si>
    <t xml:space="preserve"> '+852-3900-8470 //  edmund.tsang@ap.natixis.com</t>
  </si>
  <si>
    <t>BPCEGP 5 7/8 05/03/46 (BPCE SA -  Subordinated)</t>
  </si>
  <si>
    <t>XS1165659514</t>
  </si>
  <si>
    <t>HRAM 5 1/2 01/16/25</t>
  </si>
  <si>
    <t>截止2016年4月</t>
  </si>
  <si>
    <t>XS0954948971</t>
  </si>
  <si>
    <t>HK0000097359</t>
  </si>
  <si>
    <t>Called</t>
  </si>
  <si>
    <t>roughly</t>
  </si>
  <si>
    <t>USG7150PAA87</t>
  </si>
  <si>
    <t>POINSE 6 5/8 06/17/31 ( Pemex–KKR Sale and Leaseback Deal)</t>
  </si>
  <si>
    <t>B2</t>
  </si>
  <si>
    <t>截止2016年6月</t>
  </si>
  <si>
    <t>US715638BM30</t>
  </si>
  <si>
    <t>PERU 5 5/8 11/18/50</t>
  </si>
  <si>
    <t>CINDBK 4 1/4 12/29/49 EMTN</t>
  </si>
  <si>
    <t>Ba2e</t>
  </si>
  <si>
    <r>
      <rPr>
        <sz val="10"/>
        <rFont val="細明體"/>
        <family val="3"/>
        <charset val="136"/>
      </rPr>
      <t>截止</t>
    </r>
    <r>
      <rPr>
        <sz val="10"/>
        <rFont val="Arial"/>
        <family val="2"/>
      </rPr>
      <t>2016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9</t>
    </r>
    <r>
      <rPr>
        <sz val="10"/>
        <rFont val="細明體"/>
        <family val="3"/>
        <charset val="136"/>
      </rPr>
      <t>月</t>
    </r>
    <phoneticPr fontId="4" type="noConversion"/>
  </si>
  <si>
    <r>
      <rPr>
        <sz val="10"/>
        <rFont val="細明體"/>
        <family val="3"/>
        <charset val="136"/>
      </rPr>
      <t>截止</t>
    </r>
    <r>
      <rPr>
        <sz val="10"/>
        <rFont val="Arial"/>
        <family val="2"/>
      </rPr>
      <t>2016</t>
    </r>
    <r>
      <rPr>
        <sz val="10"/>
        <rFont val="細明體"/>
        <family val="3"/>
        <charset val="136"/>
      </rPr>
      <t>年</t>
    </r>
    <r>
      <rPr>
        <sz val="10"/>
        <rFont val="Arial"/>
        <family val="2"/>
      </rPr>
      <t>10</t>
    </r>
    <r>
      <rPr>
        <sz val="10"/>
        <rFont val="細明體"/>
        <family val="3"/>
        <charset val="136"/>
      </rPr>
      <t>月</t>
    </r>
    <phoneticPr fontId="4" type="noConversion"/>
  </si>
  <si>
    <t>XS1499209861</t>
    <phoneticPr fontId="4" type="noConversion"/>
  </si>
  <si>
    <t>CINDBK 4 1/4 12/29/49 EMTN</t>
    <phoneticPr fontId="4" type="noConversion"/>
  </si>
  <si>
    <t>XS1502528570</t>
  </si>
  <si>
    <t>SANTAN 4 3/4 10/19/26 EMTN</t>
  </si>
  <si>
    <t>Baa2e</t>
  </si>
  <si>
    <t>XS1502535351</t>
  </si>
  <si>
    <t>BANQUE 5.01 10/18/28 EMTN</t>
  </si>
  <si>
    <t>XS1505143393</t>
  </si>
  <si>
    <t>CFELEC 5 09/29/36 (COMISION FEDERAL DE ELEC)</t>
  </si>
</sst>
</file>

<file path=xl/styles.xml><?xml version="1.0" encoding="utf-8"?>
<styleSheet xmlns="http://schemas.openxmlformats.org/spreadsheetml/2006/main">
  <numFmts count="28">
    <numFmt numFmtId="43" formatCode="_(* #,##0.00_);_(* \(#,##0.00\);_(* &quot;-&quot;??_);_(@_)"/>
    <numFmt numFmtId="176" formatCode="_-* #,##0.00_-;\-* #,##0.00_-;_-* &quot;-&quot;??_-;_-@_-"/>
    <numFmt numFmtId="177" formatCode="#,##0_ "/>
    <numFmt numFmtId="178" formatCode="_(* #,##0_);_(* \(#,##0\);_(* &quot;-&quot;??_);_(@_)"/>
    <numFmt numFmtId="179" formatCode="_(* #,##0.0000_);_(* \(#,##0.0000\);_(* &quot;-&quot;??_);_(@_)"/>
    <numFmt numFmtId="180" formatCode="0.0000_ "/>
    <numFmt numFmtId="181" formatCode="0.00000_ "/>
    <numFmt numFmtId="182" formatCode="0_);[Red]\(0\)"/>
    <numFmt numFmtId="183" formatCode="#,##0.0000_ "/>
    <numFmt numFmtId="184" formatCode="#,##0.0000_);[Red]\(#,##0.0000\)"/>
    <numFmt numFmtId="185" formatCode="0.000000000_);[Red]\(0.000000000\)"/>
    <numFmt numFmtId="186" formatCode="0.000000_);[Red]\(0.000000\)"/>
    <numFmt numFmtId="187" formatCode="0.00000_);[Red]\(0.00000\)"/>
    <numFmt numFmtId="188" formatCode="0.00_ "/>
    <numFmt numFmtId="189" formatCode="#,##0.00_ "/>
    <numFmt numFmtId="190" formatCode="0.000_);[Red]\(0.000\)"/>
    <numFmt numFmtId="191" formatCode="0.000_ "/>
    <numFmt numFmtId="192" formatCode="d\-mmm\-yyyy"/>
    <numFmt numFmtId="193" formatCode="#,##0.000"/>
    <numFmt numFmtId="194" formatCode="[$-C09]dd\-mmm\-yy;@"/>
    <numFmt numFmtId="195" formatCode="[$-409]d\-mmm\-yy;@"/>
    <numFmt numFmtId="196" formatCode="dd/mm/yyyy;@"/>
    <numFmt numFmtId="197" formatCode="0.00000"/>
    <numFmt numFmtId="198" formatCode="_(* #,##0.000_);_(* \(#,##0.000\);_(* &quot;-&quot;??_);_(@_)"/>
    <numFmt numFmtId="199" formatCode="0.000"/>
    <numFmt numFmtId="200" formatCode="0.000000"/>
    <numFmt numFmtId="201" formatCode="#,##0.0_ "/>
    <numFmt numFmtId="202" formatCode="yyyy&quot;年&quot;m&quot;月&quot;d&quot;日&quot;;@"/>
  </numFmts>
  <fonts count="48">
    <font>
      <sz val="10"/>
      <name val="Arial"/>
      <family val="2"/>
    </font>
    <font>
      <sz val="11"/>
      <color theme="1"/>
      <name val="新細明體"/>
      <family val="2"/>
      <charset val="136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sz val="10"/>
      <name val="細明體"/>
      <family val="3"/>
      <charset val="136"/>
    </font>
    <font>
      <sz val="10"/>
      <color indexed="12"/>
      <name val="Arial"/>
      <family val="2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name val="細明體"/>
      <family val="3"/>
      <charset val="136"/>
    </font>
    <font>
      <sz val="12"/>
      <color indexed="12"/>
      <name val="新細明體"/>
      <family val="1"/>
      <charset val="136"/>
    </font>
    <font>
      <strike/>
      <sz val="10"/>
      <name val="Arial"/>
      <family val="2"/>
    </font>
    <font>
      <sz val="10"/>
      <color indexed="9"/>
      <name val="Arial"/>
      <family val="2"/>
    </font>
    <font>
      <b/>
      <sz val="10"/>
      <name val="Arial "/>
      <family val="1"/>
      <charset val="136"/>
    </font>
    <font>
      <sz val="10"/>
      <color indexed="48"/>
      <name val="Arial"/>
      <family val="2"/>
    </font>
    <font>
      <strike/>
      <sz val="10"/>
      <color indexed="12"/>
      <name val="Arial"/>
      <family val="2"/>
    </font>
    <font>
      <sz val="10"/>
      <name val="Arial"/>
      <family val="2"/>
    </font>
    <font>
      <b/>
      <sz val="10"/>
      <name val="MingLiU"/>
      <family val="3"/>
      <charset val="136"/>
    </font>
    <font>
      <b/>
      <sz val="10"/>
      <name val="Arial Unicode MS"/>
      <family val="2"/>
      <charset val="136"/>
    </font>
    <font>
      <sz val="10"/>
      <name val="Arial Unicode MS"/>
      <family val="2"/>
      <charset val="136"/>
    </font>
    <font>
      <b/>
      <sz val="10"/>
      <color indexed="48"/>
      <name val="Arial"/>
      <family val="2"/>
    </font>
    <font>
      <b/>
      <sz val="12"/>
      <color indexed="12"/>
      <name val="新細明體"/>
      <family val="1"/>
      <charset val="136"/>
    </font>
    <font>
      <b/>
      <u/>
      <sz val="10"/>
      <name val="Arial"/>
      <family val="2"/>
    </font>
    <font>
      <sz val="12"/>
      <name val="新細明體"/>
      <family val="1"/>
      <charset val="136"/>
    </font>
    <font>
      <sz val="10"/>
      <name val="Arial"/>
      <family val="2"/>
    </font>
    <font>
      <sz val="10"/>
      <color indexed="12"/>
      <name val="Arial"/>
      <family val="2"/>
    </font>
    <font>
      <strike/>
      <sz val="10"/>
      <name val="Cambria"/>
      <family val="1"/>
    </font>
    <font>
      <sz val="10"/>
      <color theme="5" tint="-0.249977111117893"/>
      <name val="Arial"/>
      <family val="2"/>
    </font>
    <font>
      <sz val="11"/>
      <name val="Calibri"/>
      <family val="2"/>
    </font>
    <font>
      <b/>
      <sz val="12"/>
      <name val="Arial"/>
      <family val="2"/>
    </font>
    <font>
      <sz val="9"/>
      <name val="MingLiU"/>
      <family val="3"/>
      <charset val="136"/>
    </font>
    <font>
      <sz val="11"/>
      <color theme="1"/>
      <name val="新細明體"/>
      <family val="2"/>
      <scheme val="minor"/>
    </font>
    <font>
      <b/>
      <sz val="12"/>
      <name val="宋体"/>
      <family val="3"/>
      <charset val="136"/>
    </font>
    <font>
      <b/>
      <sz val="12"/>
      <name val="Times New Roman"/>
      <family val="1"/>
    </font>
    <font>
      <sz val="12"/>
      <name val="宋体"/>
    </font>
    <font>
      <sz val="12"/>
      <name val="Times New Roman"/>
      <family val="1"/>
    </font>
    <font>
      <sz val="9"/>
      <color rgb="FF638C0B"/>
      <name val="Tahoma"/>
      <family val="2"/>
    </font>
    <font>
      <b/>
      <sz val="10"/>
      <color rgb="FFFF0000"/>
      <name val="Arial "/>
      <family val="1"/>
      <charset val="136"/>
    </font>
    <font>
      <sz val="10"/>
      <color rgb="FFFF0000"/>
      <name val="Arial"/>
      <family val="2"/>
    </font>
    <font>
      <sz val="12"/>
      <color rgb="FFFF0000"/>
      <name val="新細明體"/>
      <family val="1"/>
      <charset val="136"/>
    </font>
  </fonts>
  <fills count="4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10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66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top"/>
    </xf>
    <xf numFmtId="43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1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9" fillId="0" borderId="0"/>
    <xf numFmtId="0" fontId="20" fillId="0" borderId="0">
      <alignment vertical="top"/>
    </xf>
  </cellStyleXfs>
  <cellXfs count="1819"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185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2" fillId="0" borderId="0" xfId="0" applyNumberFormat="1" applyFont="1" applyBorder="1" applyAlignment="1">
      <alignment vertical="center"/>
    </xf>
    <xf numFmtId="186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83" fontId="2" fillId="0" borderId="0" xfId="0" applyNumberFormat="1" applyFont="1" applyBorder="1" applyAlignment="1">
      <alignment vertical="center"/>
    </xf>
    <xf numFmtId="184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187" fontId="2" fillId="0" borderId="0" xfId="0" applyNumberFormat="1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186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15" fontId="2" fillId="0" borderId="0" xfId="0" applyNumberFormat="1" applyFont="1" applyBorder="1" applyAlignment="1">
      <alignment vertical="center"/>
    </xf>
    <xf numFmtId="15" fontId="2" fillId="2" borderId="0" xfId="0" applyNumberFormat="1" applyFont="1" applyFill="1" applyBorder="1" applyAlignment="1">
      <alignment vertical="center"/>
    </xf>
    <xf numFmtId="183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right" vertical="center"/>
    </xf>
    <xf numFmtId="177" fontId="2" fillId="2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77" fontId="2" fillId="0" borderId="0" xfId="0" applyNumberFormat="1" applyFont="1" applyFill="1" applyBorder="1" applyAlignment="1">
      <alignment horizontal="right" vertical="center"/>
    </xf>
    <xf numFmtId="183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15" fontId="2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83" fontId="2" fillId="2" borderId="0" xfId="0" applyNumberFormat="1" applyFont="1" applyFill="1" applyBorder="1" applyAlignment="1">
      <alignment vertical="center"/>
    </xf>
    <xf numFmtId="185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83" fontId="2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3" fontId="7" fillId="0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4" fontId="2" fillId="0" borderId="0" xfId="0" applyNumberFormat="1" applyFont="1" applyAlignment="1">
      <alignment vertical="center"/>
    </xf>
    <xf numFmtId="4" fontId="11" fillId="0" borderId="0" xfId="0" applyNumberFormat="1" applyFont="1" applyAlignment="1">
      <alignment vertical="center"/>
    </xf>
    <xf numFmtId="4" fontId="11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4" fontId="7" fillId="3" borderId="0" xfId="0" applyNumberFormat="1" applyFont="1" applyFill="1" applyAlignment="1">
      <alignment vertical="center"/>
    </xf>
    <xf numFmtId="4" fontId="11" fillId="3" borderId="0" xfId="0" applyNumberFormat="1" applyFont="1" applyFill="1" applyAlignment="1">
      <alignment vertical="center"/>
    </xf>
    <xf numFmtId="3" fontId="11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5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5" fontId="0" fillId="3" borderId="0" xfId="0" applyNumberFormat="1" applyFill="1" applyAlignment="1">
      <alignment vertical="center"/>
    </xf>
    <xf numFmtId="15" fontId="0" fillId="0" borderId="0" xfId="0" applyNumberForma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86" fontId="2" fillId="0" borderId="0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180" fontId="2" fillId="2" borderId="0" xfId="0" applyNumberFormat="1" applyFont="1" applyFill="1" applyAlignment="1">
      <alignment horizontal="center" vertical="center"/>
    </xf>
    <xf numFmtId="4" fontId="7" fillId="2" borderId="0" xfId="0" applyNumberFormat="1" applyFont="1" applyFill="1" applyAlignment="1">
      <alignment vertical="center"/>
    </xf>
    <xf numFmtId="4" fontId="2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15" fontId="0" fillId="2" borderId="0" xfId="0" applyNumberForma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4" fontId="0" fillId="0" borderId="0" xfId="0" applyNumberFormat="1" applyAlignment="1">
      <alignment vertical="center"/>
    </xf>
    <xf numFmtId="184" fontId="2" fillId="0" borderId="0" xfId="0" applyNumberFormat="1" applyFont="1" applyFill="1" applyBorder="1" applyAlignment="1">
      <alignment vertical="center"/>
    </xf>
    <xf numFmtId="187" fontId="2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4" fontId="2" fillId="0" borderId="0" xfId="0" applyNumberFormat="1" applyFont="1" applyFill="1" applyAlignment="1">
      <alignment vertical="center"/>
    </xf>
    <xf numFmtId="185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7" fontId="2" fillId="0" borderId="0" xfId="0" applyNumberFormat="1" applyFon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4" fontId="11" fillId="0" borderId="0" xfId="0" applyNumberFormat="1" applyFont="1" applyFill="1" applyAlignment="1">
      <alignment vertical="center"/>
    </xf>
    <xf numFmtId="177" fontId="11" fillId="0" borderId="0" xfId="0" applyNumberFormat="1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80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15" fontId="2" fillId="4" borderId="0" xfId="0" applyNumberFormat="1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vertical="center"/>
    </xf>
    <xf numFmtId="4" fontId="2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horizontal="center" vertical="center"/>
    </xf>
    <xf numFmtId="15" fontId="0" fillId="4" borderId="0" xfId="0" applyNumberForma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 applyFill="1" applyAlignment="1">
      <alignment vertical="center"/>
    </xf>
    <xf numFmtId="15" fontId="6" fillId="0" borderId="0" xfId="0" applyNumberFormat="1" applyFont="1" applyAlignment="1">
      <alignment horizontal="right" vertical="center"/>
    </xf>
    <xf numFmtId="15" fontId="7" fillId="0" borderId="0" xfId="0" applyNumberFormat="1" applyFont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7" fontId="0" fillId="0" borderId="0" xfId="0" applyNumberFormat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2" fillId="2" borderId="0" xfId="3" applyFill="1" applyAlignment="1">
      <alignment horizontal="left" vertical="center"/>
    </xf>
    <xf numFmtId="4" fontId="7" fillId="0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right" vertical="center"/>
    </xf>
    <xf numFmtId="185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81" fontId="2" fillId="0" borderId="0" xfId="0" applyNumberFormat="1" applyFont="1" applyFill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2" fillId="0" borderId="0" xfId="0" applyFont="1" applyAlignment="1"/>
    <xf numFmtId="0" fontId="2" fillId="0" borderId="0" xfId="3" applyAlignment="1"/>
    <xf numFmtId="0" fontId="2" fillId="0" borderId="0" xfId="3" applyFont="1" applyFill="1" applyAlignment="1"/>
    <xf numFmtId="0" fontId="2" fillId="2" borderId="0" xfId="3" applyFill="1" applyAlignment="1">
      <alignment horizontal="left"/>
    </xf>
    <xf numFmtId="0" fontId="2" fillId="0" borderId="0" xfId="3" applyFont="1" applyAlignment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Border="1" applyAlignment="1">
      <alignment wrapText="1"/>
    </xf>
    <xf numFmtId="182" fontId="11" fillId="0" borderId="0" xfId="0" applyNumberFormat="1" applyFont="1" applyAlignment="1">
      <alignment horizontal="center" vertical="center"/>
    </xf>
    <xf numFmtId="182" fontId="11" fillId="2" borderId="0" xfId="0" applyNumberFormat="1" applyFont="1" applyFill="1" applyAlignment="1">
      <alignment horizontal="center" vertical="center"/>
    </xf>
    <xf numFmtId="0" fontId="2" fillId="0" borderId="0" xfId="3" applyFill="1" applyAlignment="1">
      <alignment horizontal="left" vertical="center"/>
    </xf>
    <xf numFmtId="0" fontId="2" fillId="2" borderId="0" xfId="3" applyFont="1" applyFill="1" applyAlignment="1"/>
    <xf numFmtId="0" fontId="5" fillId="2" borderId="0" xfId="2" applyFont="1" applyFill="1" applyAlignment="1" applyProtection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3" applyFont="1" applyFill="1" applyAlignment="1"/>
    <xf numFmtId="0" fontId="2" fillId="5" borderId="0" xfId="0" applyFont="1" applyFill="1" applyAlignment="1">
      <alignment wrapText="1"/>
    </xf>
    <xf numFmtId="3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180" fontId="2" fillId="5" borderId="0" xfId="0" applyNumberFormat="1" applyFont="1" applyFill="1" applyAlignment="1">
      <alignment horizontal="center" vertical="center"/>
    </xf>
    <xf numFmtId="185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15" fontId="2" fillId="5" borderId="0" xfId="0" applyNumberFormat="1" applyFont="1" applyFill="1" applyBorder="1" applyAlignment="1">
      <alignment vertical="center"/>
    </xf>
    <xf numFmtId="0" fontId="2" fillId="5" borderId="0" xfId="3" applyFill="1" applyAlignment="1"/>
    <xf numFmtId="177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 wrapText="1"/>
    </xf>
    <xf numFmtId="4" fontId="2" fillId="5" borderId="0" xfId="0" applyNumberFormat="1" applyFont="1" applyFill="1" applyAlignment="1">
      <alignment vertical="center"/>
    </xf>
    <xf numFmtId="3" fontId="11" fillId="5" borderId="0" xfId="0" applyNumberFormat="1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181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vertical="center" wrapText="1"/>
    </xf>
    <xf numFmtId="3" fontId="18" fillId="0" borderId="0" xfId="0" applyNumberFormat="1" applyFont="1" applyAlignment="1">
      <alignment vertical="center"/>
    </xf>
    <xf numFmtId="15" fontId="0" fillId="0" borderId="0" xfId="0" applyNumberFormat="1" applyAlignment="1">
      <alignment vertical="center"/>
    </xf>
    <xf numFmtId="188" fontId="2" fillId="0" borderId="0" xfId="0" applyNumberFormat="1" applyFont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 wrapText="1"/>
    </xf>
    <xf numFmtId="15" fontId="7" fillId="4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177" fontId="2" fillId="4" borderId="0" xfId="0" applyNumberFormat="1" applyFont="1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4" fontId="11" fillId="4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185" fontId="2" fillId="0" borderId="0" xfId="0" applyNumberFormat="1" applyFont="1" applyBorder="1" applyAlignment="1">
      <alignment horizontal="center" vertical="center" wrapText="1"/>
    </xf>
    <xf numFmtId="188" fontId="11" fillId="0" borderId="0" xfId="0" applyNumberFormat="1" applyFont="1" applyAlignment="1">
      <alignment horizontal="center" vertical="center" wrapText="1"/>
    </xf>
    <xf numFmtId="188" fontId="11" fillId="2" borderId="0" xfId="0" applyNumberFormat="1" applyFont="1" applyFill="1" applyAlignment="1">
      <alignment horizontal="center" vertical="center" wrapText="1"/>
    </xf>
    <xf numFmtId="3" fontId="18" fillId="2" borderId="0" xfId="0" applyNumberFormat="1" applyFont="1" applyFill="1" applyAlignment="1">
      <alignment vertical="center"/>
    </xf>
    <xf numFmtId="0" fontId="2" fillId="4" borderId="0" xfId="3" applyFill="1" applyAlignment="1">
      <alignment horizontal="left" vertical="center"/>
    </xf>
    <xf numFmtId="177" fontId="2" fillId="4" borderId="0" xfId="0" applyNumberFormat="1" applyFont="1" applyFill="1" applyBorder="1" applyAlignment="1">
      <alignment horizontal="right" vertical="center"/>
    </xf>
    <xf numFmtId="185" fontId="2" fillId="2" borderId="0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188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4" fontId="2" fillId="2" borderId="0" xfId="0" applyNumberFormat="1" applyFont="1" applyFill="1" applyBorder="1" applyAlignment="1">
      <alignment vertical="center"/>
    </xf>
    <xf numFmtId="182" fontId="11" fillId="0" borderId="0" xfId="0" applyNumberFormat="1" applyFont="1" applyFill="1" applyAlignment="1">
      <alignment horizontal="center" vertical="center"/>
    </xf>
    <xf numFmtId="3" fontId="18" fillId="0" borderId="0" xfId="0" applyNumberFormat="1" applyFont="1" applyFill="1" applyAlignment="1">
      <alignment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17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17" fillId="6" borderId="4" xfId="0" applyFont="1" applyFill="1" applyBorder="1" applyAlignment="1">
      <alignment vertical="center"/>
    </xf>
    <xf numFmtId="188" fontId="6" fillId="6" borderId="4" xfId="0" applyNumberFormat="1" applyFont="1" applyFill="1" applyBorder="1" applyAlignment="1">
      <alignment horizontal="center" vertical="center"/>
    </xf>
    <xf numFmtId="188" fontId="6" fillId="6" borderId="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85" fontId="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5" fontId="2" fillId="0" borderId="0" xfId="0" applyNumberFormat="1" applyFont="1" applyFill="1" applyBorder="1" applyAlignment="1">
      <alignment horizontal="center" vertical="center"/>
    </xf>
    <xf numFmtId="188" fontId="2" fillId="4" borderId="0" xfId="0" applyNumberFormat="1" applyFont="1" applyFill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182" fontId="11" fillId="4" borderId="0" xfId="0" applyNumberFormat="1" applyFont="1" applyFill="1" applyAlignment="1">
      <alignment horizontal="center" vertical="center"/>
    </xf>
    <xf numFmtId="188" fontId="2" fillId="0" borderId="0" xfId="0" applyNumberFormat="1" applyFont="1" applyFill="1" applyAlignment="1">
      <alignment horizontal="center" vertical="center" wrapText="1"/>
    </xf>
    <xf numFmtId="15" fontId="7" fillId="0" borderId="0" xfId="0" applyNumberFormat="1" applyFont="1" applyFill="1" applyAlignment="1">
      <alignment vertical="center"/>
    </xf>
    <xf numFmtId="0" fontId="20" fillId="0" borderId="0" xfId="0" applyFont="1">
      <alignment vertical="top"/>
    </xf>
    <xf numFmtId="0" fontId="2" fillId="0" borderId="0" xfId="0" applyFont="1">
      <alignment vertical="top"/>
    </xf>
    <xf numFmtId="0" fontId="17" fillId="6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188" fontId="11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vertical="center"/>
    </xf>
    <xf numFmtId="180" fontId="2" fillId="3" borderId="0" xfId="0" applyNumberFormat="1" applyFont="1" applyFill="1" applyAlignment="1">
      <alignment horizontal="center" vertical="center"/>
    </xf>
    <xf numFmtId="185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15" fontId="2" fillId="3" borderId="0" xfId="0" applyNumberFormat="1" applyFont="1" applyFill="1" applyBorder="1" applyAlignment="1">
      <alignment vertical="center"/>
    </xf>
    <xf numFmtId="4" fontId="2" fillId="3" borderId="0" xfId="0" applyNumberFormat="1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182" fontId="11" fillId="3" borderId="0" xfId="0" applyNumberFormat="1" applyFont="1" applyFill="1" applyAlignment="1">
      <alignment horizontal="center" vertical="center"/>
    </xf>
    <xf numFmtId="3" fontId="18" fillId="3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2" fillId="3" borderId="0" xfId="0" applyFont="1" applyFill="1" applyBorder="1" applyAlignment="1"/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horizontal="left" vertical="center"/>
    </xf>
    <xf numFmtId="4" fontId="7" fillId="8" borderId="0" xfId="0" applyNumberFormat="1" applyFont="1" applyFill="1" applyAlignment="1">
      <alignment vertical="center"/>
    </xf>
    <xf numFmtId="177" fontId="2" fillId="8" borderId="0" xfId="0" applyNumberFormat="1" applyFont="1" applyFill="1" applyBorder="1" applyAlignment="1">
      <alignment vertical="center"/>
    </xf>
    <xf numFmtId="0" fontId="21" fillId="0" borderId="0" xfId="0" applyFont="1" applyFill="1" applyBorder="1">
      <alignment vertical="top"/>
    </xf>
    <xf numFmtId="188" fontId="11" fillId="4" borderId="0" xfId="0" applyNumberFormat="1" applyFont="1" applyFill="1" applyAlignment="1">
      <alignment horizontal="center" vertical="center" wrapText="1"/>
    </xf>
    <xf numFmtId="185" fontId="2" fillId="4" borderId="0" xfId="0" applyNumberFormat="1" applyFont="1" applyFill="1" applyBorder="1" applyAlignment="1">
      <alignment horizontal="center" vertical="center" wrapText="1"/>
    </xf>
    <xf numFmtId="3" fontId="18" fillId="4" borderId="0" xfId="0" applyNumberFormat="1" applyFont="1" applyFill="1" applyAlignment="1">
      <alignment vertical="center"/>
    </xf>
    <xf numFmtId="0" fontId="7" fillId="0" borderId="0" xfId="0" applyNumberFormat="1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4" fontId="11" fillId="8" borderId="0" xfId="0" applyNumberFormat="1" applyFont="1" applyFill="1" applyAlignment="1">
      <alignment vertical="center"/>
    </xf>
    <xf numFmtId="192" fontId="0" fillId="0" borderId="0" xfId="0" applyNumberFormat="1" applyFill="1" applyAlignment="1">
      <alignment horizontal="center" vertical="center"/>
    </xf>
    <xf numFmtId="3" fontId="6" fillId="6" borderId="4" xfId="0" applyNumberFormat="1" applyFont="1" applyFill="1" applyBorder="1" applyAlignment="1">
      <alignment horizontal="right" vertical="center"/>
    </xf>
    <xf numFmtId="0" fontId="22" fillId="0" borderId="0" xfId="0" applyFont="1" applyFill="1" applyAlignment="1">
      <alignment horizontal="center" vertical="center"/>
    </xf>
    <xf numFmtId="177" fontId="2" fillId="0" borderId="0" xfId="0" applyNumberFormat="1" applyFont="1" applyAlignment="1">
      <alignment horizontal="right" vertical="center"/>
    </xf>
    <xf numFmtId="0" fontId="2" fillId="6" borderId="0" xfId="0" applyFont="1" applyFill="1" applyAlignment="1">
      <alignment vertical="top" wrapText="1"/>
    </xf>
    <xf numFmtId="15" fontId="0" fillId="2" borderId="0" xfId="0" applyNumberForma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3" fontId="2" fillId="3" borderId="0" xfId="0" applyNumberFormat="1" applyFont="1" applyFill="1" applyAlignment="1">
      <alignment horizontal="right" vertical="center"/>
    </xf>
    <xf numFmtId="177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15" fontId="2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vertical="center" wrapText="1"/>
    </xf>
    <xf numFmtId="0" fontId="19" fillId="3" borderId="0" xfId="0" applyFont="1" applyFill="1" applyAlignment="1">
      <alignment horizontal="center" vertical="center" wrapText="1"/>
    </xf>
    <xf numFmtId="188" fontId="23" fillId="3" borderId="0" xfId="0" applyNumberFormat="1" applyFont="1" applyFill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/>
    </xf>
    <xf numFmtId="177" fontId="19" fillId="3" borderId="0" xfId="0" applyNumberFormat="1" applyFont="1" applyFill="1" applyBorder="1" applyAlignment="1">
      <alignment horizontal="right" vertical="center"/>
    </xf>
    <xf numFmtId="183" fontId="19" fillId="3" borderId="0" xfId="0" applyNumberFormat="1" applyFont="1" applyFill="1" applyBorder="1" applyAlignment="1">
      <alignment horizontal="center" vertical="center"/>
    </xf>
    <xf numFmtId="185" fontId="19" fillId="3" borderId="0" xfId="0" applyNumberFormat="1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vertical="center" wrapText="1"/>
    </xf>
    <xf numFmtId="15" fontId="19" fillId="3" borderId="0" xfId="0" applyNumberFormat="1" applyFont="1" applyFill="1" applyBorder="1" applyAlignment="1">
      <alignment horizontal="center" vertical="center"/>
    </xf>
    <xf numFmtId="4" fontId="19" fillId="3" borderId="0" xfId="0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83" fontId="2" fillId="3" borderId="0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0" fillId="0" borderId="0" xfId="0">
      <alignment vertical="top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" fontId="11" fillId="8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" fontId="2" fillId="0" borderId="0" xfId="0" applyNumberFormat="1" applyFont="1" applyFill="1" applyAlignment="1">
      <alignment horizontal="center" vertical="center"/>
    </xf>
    <xf numFmtId="177" fontId="16" fillId="0" borderId="0" xfId="0" applyNumberFormat="1" applyFont="1" applyAlignment="1">
      <alignment vertical="center"/>
    </xf>
    <xf numFmtId="0" fontId="2" fillId="0" borderId="0" xfId="0" applyFont="1" applyFill="1">
      <alignment vertical="top"/>
    </xf>
    <xf numFmtId="0" fontId="2" fillId="0" borderId="0" xfId="0" applyFont="1" applyAlignment="1">
      <alignment horizontal="right" vertical="center"/>
    </xf>
    <xf numFmtId="178" fontId="2" fillId="0" borderId="0" xfId="1" applyNumberFormat="1" applyFont="1">
      <alignment vertical="center"/>
    </xf>
    <xf numFmtId="0" fontId="25" fillId="2" borderId="4" xfId="0" applyFont="1" applyFill="1" applyBorder="1" applyAlignment="1">
      <alignment vertical="center" wrapText="1"/>
    </xf>
    <xf numFmtId="0" fontId="25" fillId="6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88" fontId="11" fillId="0" borderId="0" xfId="0" applyNumberFormat="1" applyFont="1" applyFill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vertical="center" wrapText="1"/>
    </xf>
    <xf numFmtId="0" fontId="26" fillId="2" borderId="4" xfId="0" applyFont="1" applyFill="1" applyBorder="1" applyAlignment="1">
      <alignment vertical="center" wrapText="1"/>
    </xf>
    <xf numFmtId="0" fontId="26" fillId="2" borderId="4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Font="1" applyBorder="1" applyAlignment="1">
      <alignment horizontal="center" vertical="center"/>
    </xf>
    <xf numFmtId="177" fontId="27" fillId="0" borderId="0" xfId="0" applyNumberFormat="1" applyFont="1" applyBorder="1" applyAlignment="1">
      <alignment vertical="center"/>
    </xf>
    <xf numFmtId="180" fontId="27" fillId="0" borderId="0" xfId="0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 wrapText="1"/>
    </xf>
    <xf numFmtId="0" fontId="26" fillId="6" borderId="1" xfId="0" applyFont="1" applyFill="1" applyBorder="1" applyAlignment="1">
      <alignment vertical="center"/>
    </xf>
    <xf numFmtId="0" fontId="26" fillId="6" borderId="4" xfId="0" applyFont="1" applyFill="1" applyBorder="1" applyAlignment="1">
      <alignment vertical="center"/>
    </xf>
    <xf numFmtId="0" fontId="26" fillId="6" borderId="4" xfId="0" applyFont="1" applyFill="1" applyBorder="1" applyAlignment="1">
      <alignment horizontal="center" vertical="center"/>
    </xf>
    <xf numFmtId="3" fontId="26" fillId="6" borderId="4" xfId="0" applyNumberFormat="1" applyFont="1" applyFill="1" applyBorder="1" applyAlignment="1">
      <alignment horizontal="right" vertical="center"/>
    </xf>
    <xf numFmtId="188" fontId="26" fillId="6" borderId="4" xfId="0" applyNumberFormat="1" applyFont="1" applyFill="1" applyBorder="1" applyAlignment="1">
      <alignment horizontal="center" vertical="center"/>
    </xf>
    <xf numFmtId="188" fontId="26" fillId="6" borderId="5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right" vertical="center"/>
    </xf>
    <xf numFmtId="187" fontId="7" fillId="0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40" fontId="7" fillId="0" borderId="0" xfId="0" applyNumberFormat="1" applyFont="1" applyAlignment="1">
      <alignment vertical="center"/>
    </xf>
    <xf numFmtId="4" fontId="11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Fill="1" applyBorder="1" applyAlignment="1">
      <alignment vertical="center" wrapText="1"/>
    </xf>
    <xf numFmtId="177" fontId="27" fillId="0" borderId="8" xfId="0" applyNumberFormat="1" applyFont="1" applyBorder="1" applyAlignment="1">
      <alignment vertical="center"/>
    </xf>
    <xf numFmtId="180" fontId="27" fillId="0" borderId="8" xfId="0" applyNumberFormat="1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6" xfId="0" applyFont="1" applyFill="1" applyBorder="1" applyAlignment="1"/>
    <xf numFmtId="177" fontId="2" fillId="3" borderId="0" xfId="0" applyNumberFormat="1" applyFont="1" applyFill="1" applyAlignment="1">
      <alignment horizontal="right" vertical="center"/>
    </xf>
    <xf numFmtId="189" fontId="0" fillId="0" borderId="0" xfId="0" applyNumberFormat="1" applyAlignment="1">
      <alignment vertical="center"/>
    </xf>
    <xf numFmtId="191" fontId="26" fillId="6" borderId="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center" vertical="center"/>
    </xf>
    <xf numFmtId="177" fontId="2" fillId="0" borderId="11" xfId="0" applyNumberFormat="1" applyFont="1" applyBorder="1" applyAlignment="1">
      <alignment vertical="center"/>
    </xf>
    <xf numFmtId="180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vertical="center"/>
    </xf>
    <xf numFmtId="180" fontId="2" fillId="0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3" fontId="2" fillId="3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188" fontId="16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177" fontId="6" fillId="8" borderId="0" xfId="0" applyNumberFormat="1" applyFont="1" applyFill="1" applyAlignment="1">
      <alignment horizontal="right" vertical="center"/>
    </xf>
    <xf numFmtId="180" fontId="6" fillId="8" borderId="0" xfId="0" applyNumberFormat="1" applyFont="1" applyFill="1" applyAlignment="1">
      <alignment horizontal="center" vertical="center"/>
    </xf>
    <xf numFmtId="0" fontId="6" fillId="8" borderId="0" xfId="0" applyFont="1" applyFill="1" applyBorder="1" applyAlignment="1">
      <alignment horizontal="center" vertical="center" wrapText="1"/>
    </xf>
    <xf numFmtId="15" fontId="6" fillId="8" borderId="0" xfId="0" applyNumberFormat="1" applyFont="1" applyFill="1" applyBorder="1" applyAlignment="1">
      <alignment horizontal="center" vertical="center"/>
    </xf>
    <xf numFmtId="4" fontId="6" fillId="8" borderId="0" xfId="0" applyNumberFormat="1" applyFont="1" applyFill="1" applyAlignment="1">
      <alignment vertical="center"/>
    </xf>
    <xf numFmtId="4" fontId="16" fillId="8" borderId="0" xfId="0" applyNumberFormat="1" applyFont="1" applyFill="1" applyAlignment="1">
      <alignment horizontal="center" vertical="center"/>
    </xf>
    <xf numFmtId="4" fontId="16" fillId="8" borderId="0" xfId="0" applyNumberFormat="1" applyFont="1" applyFill="1" applyAlignment="1">
      <alignment vertical="center"/>
    </xf>
    <xf numFmtId="0" fontId="16" fillId="8" borderId="0" xfId="0" applyFont="1" applyFill="1" applyAlignment="1">
      <alignment vertical="center"/>
    </xf>
    <xf numFmtId="182" fontId="16" fillId="8" borderId="0" xfId="0" applyNumberFormat="1" applyFont="1" applyFill="1" applyAlignment="1">
      <alignment horizontal="center" vertical="center"/>
    </xf>
    <xf numFmtId="3" fontId="29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28" fillId="8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85" fontId="0" fillId="0" borderId="0" xfId="0" applyNumberFormat="1" applyFill="1" applyBorder="1" applyAlignment="1">
      <alignment horizontal="center" vertical="center" wrapText="1"/>
    </xf>
    <xf numFmtId="15" fontId="0" fillId="0" borderId="0" xfId="0" applyNumberForma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 wrapText="1"/>
    </xf>
    <xf numFmtId="0" fontId="27" fillId="0" borderId="11" xfId="0" applyFont="1" applyBorder="1" applyAlignment="1">
      <alignment horizontal="center" vertical="center"/>
    </xf>
    <xf numFmtId="177" fontId="27" fillId="0" borderId="11" xfId="0" applyNumberFormat="1" applyFont="1" applyBorder="1" applyAlignment="1">
      <alignment vertical="center"/>
    </xf>
    <xf numFmtId="0" fontId="17" fillId="0" borderId="6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189" fontId="6" fillId="0" borderId="0" xfId="0" applyNumberFormat="1" applyFont="1" applyAlignment="1">
      <alignment vertical="center"/>
    </xf>
    <xf numFmtId="189" fontId="30" fillId="0" borderId="0" xfId="0" applyNumberFormat="1" applyFont="1" applyAlignment="1">
      <alignment vertical="center"/>
    </xf>
    <xf numFmtId="180" fontId="2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82" fontId="11" fillId="0" borderId="0" xfId="0" applyNumberFormat="1" applyFont="1" applyFill="1" applyAlignment="1">
      <alignment vertical="center"/>
    </xf>
    <xf numFmtId="0" fontId="26" fillId="0" borderId="6" xfId="0" applyFont="1" applyBorder="1" applyAlignment="1">
      <alignment horizontal="center" vertical="center" wrapText="1"/>
    </xf>
    <xf numFmtId="182" fontId="2" fillId="0" borderId="0" xfId="0" applyNumberFormat="1" applyFont="1" applyFill="1" applyAlignment="1">
      <alignment horizontal="center" vertical="center"/>
    </xf>
    <xf numFmtId="15" fontId="2" fillId="0" borderId="0" xfId="0" applyNumberFormat="1" applyFont="1" applyFill="1" applyAlignment="1">
      <alignment vertical="center"/>
    </xf>
    <xf numFmtId="3" fontId="31" fillId="0" borderId="0" xfId="0" applyNumberFormat="1" applyFont="1" applyFill="1" applyAlignment="1">
      <alignment vertical="center"/>
    </xf>
    <xf numFmtId="4" fontId="32" fillId="0" borderId="0" xfId="0" applyNumberFormat="1" applyFont="1" applyFill="1" applyAlignment="1">
      <alignment vertical="center"/>
    </xf>
    <xf numFmtId="0" fontId="32" fillId="0" borderId="0" xfId="0" applyFont="1" applyFill="1" applyAlignment="1">
      <alignment vertical="center"/>
    </xf>
    <xf numFmtId="3" fontId="32" fillId="0" borderId="0" xfId="0" applyNumberFormat="1" applyFont="1" applyFill="1" applyAlignment="1">
      <alignment vertical="center"/>
    </xf>
    <xf numFmtId="185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180" fontId="27" fillId="0" borderId="11" xfId="0" applyNumberFormat="1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193" fontId="11" fillId="0" borderId="0" xfId="0" applyNumberFormat="1" applyFont="1" applyFill="1" applyAlignment="1">
      <alignment horizontal="center" vertical="center"/>
    </xf>
    <xf numFmtId="0" fontId="0" fillId="9" borderId="0" xfId="0" applyFill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3" fontId="26" fillId="0" borderId="0" xfId="0" applyNumberFormat="1" applyFont="1" applyFill="1" applyBorder="1" applyAlignment="1">
      <alignment horizontal="right" vertical="center"/>
    </xf>
    <xf numFmtId="188" fontId="26" fillId="0" borderId="0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horizontal="center" vertical="center" wrapText="1"/>
    </xf>
    <xf numFmtId="188" fontId="11" fillId="10" borderId="0" xfId="0" applyNumberFormat="1" applyFont="1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/>
    </xf>
    <xf numFmtId="177" fontId="2" fillId="10" borderId="0" xfId="0" applyNumberFormat="1" applyFont="1" applyFill="1" applyAlignment="1">
      <alignment horizontal="right" vertical="center"/>
    </xf>
    <xf numFmtId="180" fontId="2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85" fontId="0" fillId="10" borderId="0" xfId="0" applyNumberFormat="1" applyFill="1" applyBorder="1" applyAlignment="1">
      <alignment horizontal="center" vertical="center" wrapText="1"/>
    </xf>
    <xf numFmtId="0" fontId="0" fillId="10" borderId="0" xfId="0" applyFill="1" applyBorder="1" applyAlignment="1">
      <alignment vertical="center" wrapText="1"/>
    </xf>
    <xf numFmtId="15" fontId="2" fillId="10" borderId="0" xfId="0" applyNumberFormat="1" applyFont="1" applyFill="1" applyBorder="1" applyAlignment="1">
      <alignment horizontal="center" vertical="center"/>
    </xf>
    <xf numFmtId="4" fontId="11" fillId="10" borderId="0" xfId="0" applyNumberFormat="1" applyFont="1" applyFill="1" applyAlignment="1">
      <alignment vertical="center"/>
    </xf>
    <xf numFmtId="193" fontId="11" fillId="10" borderId="0" xfId="0" applyNumberFormat="1" applyFont="1" applyFill="1" applyAlignment="1">
      <alignment horizontal="center" vertical="center"/>
    </xf>
    <xf numFmtId="0" fontId="11" fillId="10" borderId="0" xfId="0" applyFont="1" applyFill="1" applyAlignment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/>
    </xf>
    <xf numFmtId="182" fontId="11" fillId="10" borderId="0" xfId="0" applyNumberFormat="1" applyFont="1" applyFill="1" applyAlignment="1">
      <alignment horizontal="center" vertical="center"/>
    </xf>
    <xf numFmtId="3" fontId="18" fillId="10" borderId="0" xfId="0" applyNumberFormat="1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0" fillId="11" borderId="0" xfId="0" applyFill="1">
      <alignment vertical="top"/>
    </xf>
    <xf numFmtId="0" fontId="0" fillId="12" borderId="0" xfId="0" applyFill="1" applyAlignment="1">
      <alignment vertical="center"/>
    </xf>
    <xf numFmtId="0" fontId="21" fillId="13" borderId="0" xfId="0" applyFont="1" applyFill="1" applyBorder="1">
      <alignment vertical="top"/>
    </xf>
    <xf numFmtId="0" fontId="0" fillId="13" borderId="0" xfId="0" applyFill="1" applyAlignment="1">
      <alignment vertical="center" wrapText="1"/>
    </xf>
    <xf numFmtId="0" fontId="0" fillId="13" borderId="0" xfId="0" applyFill="1" applyAlignment="1">
      <alignment horizontal="center" vertical="center" wrapText="1"/>
    </xf>
    <xf numFmtId="188" fontId="11" fillId="13" borderId="0" xfId="0" applyNumberFormat="1" applyFont="1" applyFill="1" applyAlignment="1">
      <alignment horizontal="center" vertical="center" wrapText="1"/>
    </xf>
    <xf numFmtId="0" fontId="0" fillId="13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85" fontId="0" fillId="13" borderId="0" xfId="0" applyNumberFormat="1" applyFill="1" applyBorder="1" applyAlignment="1">
      <alignment horizontal="center" vertical="center" wrapText="1"/>
    </xf>
    <xf numFmtId="0" fontId="0" fillId="13" borderId="0" xfId="0" applyFill="1" applyBorder="1" applyAlignment="1">
      <alignment vertical="center" wrapText="1"/>
    </xf>
    <xf numFmtId="4" fontId="11" fillId="13" borderId="0" xfId="0" applyNumberFormat="1" applyFont="1" applyFill="1" applyAlignment="1">
      <alignment vertical="center"/>
    </xf>
    <xf numFmtId="193" fontId="11" fillId="13" borderId="0" xfId="0" applyNumberFormat="1" applyFont="1" applyFill="1" applyAlignment="1">
      <alignment horizontal="center" vertical="center"/>
    </xf>
    <xf numFmtId="0" fontId="11" fillId="13" borderId="0" xfId="0" applyFont="1" applyFill="1" applyAlignment="1">
      <alignment vertical="center"/>
    </xf>
    <xf numFmtId="182" fontId="11" fillId="13" borderId="0" xfId="0" applyNumberFormat="1" applyFont="1" applyFill="1" applyAlignment="1">
      <alignment horizontal="center" vertical="center"/>
    </xf>
    <xf numFmtId="3" fontId="18" fillId="13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14" borderId="0" xfId="0" applyFill="1" applyAlignment="1">
      <alignment vertical="center" wrapText="1"/>
    </xf>
    <xf numFmtId="0" fontId="0" fillId="14" borderId="0" xfId="0" applyFill="1" applyAlignment="1">
      <alignment horizontal="center" vertical="center" wrapText="1"/>
    </xf>
    <xf numFmtId="188" fontId="11" fillId="14" borderId="0" xfId="0" applyNumberFormat="1" applyFont="1" applyFill="1" applyAlignment="1">
      <alignment horizontal="center" vertical="center" wrapText="1"/>
    </xf>
    <xf numFmtId="0" fontId="0" fillId="14" borderId="0" xfId="0" applyFill="1" applyBorder="1" applyAlignment="1">
      <alignment horizontal="center" vertical="center"/>
    </xf>
    <xf numFmtId="177" fontId="2" fillId="14" borderId="0" xfId="0" applyNumberFormat="1" applyFont="1" applyFill="1" applyAlignment="1">
      <alignment horizontal="right" vertical="center"/>
    </xf>
    <xf numFmtId="180" fontId="2" fillId="14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85" fontId="0" fillId="14" borderId="0" xfId="0" applyNumberFormat="1" applyFill="1" applyBorder="1" applyAlignment="1">
      <alignment horizontal="center" vertical="center" wrapText="1"/>
    </xf>
    <xf numFmtId="0" fontId="0" fillId="14" borderId="0" xfId="0" applyFill="1" applyBorder="1" applyAlignment="1">
      <alignment vertical="center" wrapText="1"/>
    </xf>
    <xf numFmtId="15" fontId="2" fillId="14" borderId="0" xfId="0" applyNumberFormat="1" applyFont="1" applyFill="1" applyBorder="1" applyAlignment="1">
      <alignment horizontal="center" vertical="center"/>
    </xf>
    <xf numFmtId="4" fontId="11" fillId="14" borderId="0" xfId="0" applyNumberFormat="1" applyFont="1" applyFill="1" applyAlignment="1">
      <alignment vertical="center"/>
    </xf>
    <xf numFmtId="193" fontId="11" fillId="14" borderId="0" xfId="0" applyNumberFormat="1" applyFont="1" applyFill="1" applyAlignment="1">
      <alignment horizontal="center" vertical="center"/>
    </xf>
    <xf numFmtId="0" fontId="11" fillId="14" borderId="0" xfId="0" applyFont="1" applyFill="1" applyAlignment="1">
      <alignment vertical="center"/>
    </xf>
    <xf numFmtId="0" fontId="2" fillId="14" borderId="0" xfId="0" applyFont="1" applyFill="1" applyAlignment="1">
      <alignment vertical="center" wrapText="1"/>
    </xf>
    <xf numFmtId="0" fontId="2" fillId="14" borderId="0" xfId="0" applyFont="1" applyFill="1" applyAlignment="1">
      <alignment vertical="center"/>
    </xf>
    <xf numFmtId="182" fontId="11" fillId="14" borderId="0" xfId="0" applyNumberFormat="1" applyFont="1" applyFill="1" applyAlignment="1">
      <alignment horizontal="center" vertical="center"/>
    </xf>
    <xf numFmtId="3" fontId="18" fillId="14" borderId="0" xfId="0" applyNumberFormat="1" applyFont="1" applyFill="1" applyAlignment="1">
      <alignment vertical="center"/>
    </xf>
    <xf numFmtId="180" fontId="0" fillId="13" borderId="0" xfId="0" applyNumberFormat="1" applyFill="1" applyAlignment="1">
      <alignment horizontal="center" vertical="center" wrapText="1"/>
    </xf>
    <xf numFmtId="4" fontId="11" fillId="13" borderId="0" xfId="0" applyNumberFormat="1" applyFont="1" applyFill="1" applyAlignment="1">
      <alignment vertical="center" wrapText="1"/>
    </xf>
    <xf numFmtId="0" fontId="0" fillId="15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189" fontId="0" fillId="0" borderId="0" xfId="0" applyNumberFormat="1" applyFill="1" applyAlignment="1">
      <alignment vertical="center"/>
    </xf>
    <xf numFmtId="0" fontId="2" fillId="16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2" fillId="16" borderId="0" xfId="0" applyFont="1" applyFill="1" applyAlignment="1">
      <alignment horizontal="center" vertical="center"/>
    </xf>
    <xf numFmtId="0" fontId="2" fillId="16" borderId="0" xfId="0" applyFont="1" applyFill="1" applyAlignment="1">
      <alignment vertical="center"/>
    </xf>
    <xf numFmtId="0" fontId="0" fillId="16" borderId="0" xfId="0" applyFill="1" applyAlignment="1">
      <alignment vertical="center" wrapText="1"/>
    </xf>
    <xf numFmtId="0" fontId="2" fillId="16" borderId="0" xfId="0" applyFont="1" applyFill="1" applyAlignment="1">
      <alignment horizontal="center" vertical="center" wrapText="1"/>
    </xf>
    <xf numFmtId="188" fontId="11" fillId="16" borderId="0" xfId="0" applyNumberFormat="1" applyFont="1" applyFill="1" applyAlignment="1">
      <alignment horizontal="center" vertical="center" wrapText="1"/>
    </xf>
    <xf numFmtId="0" fontId="2" fillId="16" borderId="0" xfId="0" applyFont="1" applyFill="1" applyBorder="1" applyAlignment="1">
      <alignment horizontal="center" vertical="center"/>
    </xf>
    <xf numFmtId="177" fontId="2" fillId="16" borderId="0" xfId="0" applyNumberFormat="1" applyFont="1" applyFill="1" applyAlignment="1">
      <alignment horizontal="right" vertical="center"/>
    </xf>
    <xf numFmtId="180" fontId="2" fillId="16" borderId="0" xfId="0" applyNumberFormat="1" applyFont="1" applyFill="1" applyAlignment="1">
      <alignment horizontal="center" vertical="center"/>
    </xf>
    <xf numFmtId="185" fontId="2" fillId="16" borderId="0" xfId="0" applyNumberFormat="1" applyFont="1" applyFill="1" applyBorder="1" applyAlignment="1">
      <alignment horizontal="center" vertical="center" wrapText="1"/>
    </xf>
    <xf numFmtId="0" fontId="2" fillId="16" borderId="0" xfId="0" applyFont="1" applyFill="1" applyBorder="1" applyAlignment="1">
      <alignment vertical="center" wrapText="1"/>
    </xf>
    <xf numFmtId="0" fontId="2" fillId="16" borderId="0" xfId="0" applyFont="1" applyFill="1" applyAlignment="1">
      <alignment vertical="center" wrapText="1"/>
    </xf>
    <xf numFmtId="15" fontId="2" fillId="16" borderId="0" xfId="0" applyNumberFormat="1" applyFont="1" applyFill="1" applyBorder="1" applyAlignment="1">
      <alignment horizontal="center" vertical="center"/>
    </xf>
    <xf numFmtId="4" fontId="11" fillId="16" borderId="0" xfId="0" applyNumberFormat="1" applyFont="1" applyFill="1" applyAlignment="1">
      <alignment vertical="center"/>
    </xf>
    <xf numFmtId="4" fontId="2" fillId="16" borderId="0" xfId="0" applyNumberFormat="1" applyFont="1" applyFill="1" applyAlignment="1">
      <alignment vertical="center"/>
    </xf>
    <xf numFmtId="0" fontId="0" fillId="16" borderId="0" xfId="0" applyFill="1" applyAlignment="1">
      <alignment horizontal="center" vertical="center"/>
    </xf>
    <xf numFmtId="0" fontId="11" fillId="16" borderId="0" xfId="0" applyFont="1" applyFill="1" applyAlignment="1">
      <alignment vertical="center"/>
    </xf>
    <xf numFmtId="182" fontId="11" fillId="16" borderId="0" xfId="0" applyNumberFormat="1" applyFont="1" applyFill="1" applyAlignment="1">
      <alignment horizontal="center" vertical="center"/>
    </xf>
    <xf numFmtId="3" fontId="18" fillId="16" borderId="0" xfId="0" applyNumberFormat="1" applyFont="1" applyFill="1" applyAlignment="1">
      <alignment vertical="center"/>
    </xf>
    <xf numFmtId="14" fontId="6" fillId="17" borderId="0" xfId="0" applyNumberFormat="1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0" fontId="6" fillId="17" borderId="0" xfId="0" applyFont="1" applyFill="1" applyBorder="1" applyAlignment="1">
      <alignment vertical="center"/>
    </xf>
    <xf numFmtId="0" fontId="6" fillId="17" borderId="0" xfId="0" applyFont="1" applyFill="1" applyAlignment="1">
      <alignment vertical="center"/>
    </xf>
    <xf numFmtId="177" fontId="6" fillId="17" borderId="0" xfId="0" applyNumberFormat="1" applyFont="1" applyFill="1" applyAlignment="1">
      <alignment vertical="center"/>
    </xf>
    <xf numFmtId="0" fontId="7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0" fillId="18" borderId="0" xfId="0" applyFill="1" applyAlignment="1">
      <alignment vertical="center"/>
    </xf>
    <xf numFmtId="0" fontId="0" fillId="18" borderId="0" xfId="0" applyFill="1" applyAlignment="1">
      <alignment vertical="center" wrapText="1"/>
    </xf>
    <xf numFmtId="0" fontId="0" fillId="18" borderId="0" xfId="0" applyFill="1" applyAlignment="1">
      <alignment horizontal="center" vertical="center" wrapText="1"/>
    </xf>
    <xf numFmtId="188" fontId="11" fillId="18" borderId="0" xfId="0" applyNumberFormat="1" applyFont="1" applyFill="1" applyAlignment="1">
      <alignment horizontal="center" vertical="center" wrapText="1"/>
    </xf>
    <xf numFmtId="0" fontId="0" fillId="18" borderId="0" xfId="0" applyFill="1" applyBorder="1" applyAlignment="1">
      <alignment horizontal="center" vertical="center"/>
    </xf>
    <xf numFmtId="180" fontId="2" fillId="18" borderId="0" xfId="0" applyNumberFormat="1" applyFont="1" applyFill="1" applyAlignment="1">
      <alignment horizontal="center" vertical="center"/>
    </xf>
    <xf numFmtId="15" fontId="2" fillId="18" borderId="0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vertical="center"/>
    </xf>
    <xf numFmtId="4" fontId="7" fillId="18" borderId="0" xfId="0" applyNumberFormat="1" applyFont="1" applyFill="1" applyAlignment="1">
      <alignment vertical="center"/>
    </xf>
    <xf numFmtId="4" fontId="11" fillId="18" borderId="0" xfId="0" applyNumberFormat="1" applyFont="1" applyFill="1" applyAlignment="1">
      <alignment vertical="center"/>
    </xf>
    <xf numFmtId="4" fontId="2" fillId="18" borderId="0" xfId="0" applyNumberFormat="1" applyFont="1" applyFill="1" applyAlignment="1">
      <alignment vertical="center"/>
    </xf>
    <xf numFmtId="0" fontId="0" fillId="18" borderId="0" xfId="0" applyFill="1" applyAlignment="1">
      <alignment horizontal="center" vertical="center"/>
    </xf>
    <xf numFmtId="0" fontId="11" fillId="18" borderId="0" xfId="0" applyFont="1" applyFill="1" applyAlignment="1">
      <alignment vertical="center"/>
    </xf>
    <xf numFmtId="182" fontId="11" fillId="18" borderId="0" xfId="0" applyNumberFormat="1" applyFont="1" applyFill="1" applyAlignment="1">
      <alignment horizontal="center" vertical="center"/>
    </xf>
    <xf numFmtId="3" fontId="18" fillId="18" borderId="0" xfId="0" applyNumberFormat="1" applyFont="1" applyFill="1" applyAlignment="1">
      <alignment vertical="center"/>
    </xf>
    <xf numFmtId="0" fontId="21" fillId="19" borderId="0" xfId="0" applyFont="1" applyFill="1" applyBorder="1">
      <alignment vertical="top"/>
    </xf>
    <xf numFmtId="0" fontId="7" fillId="19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0" fillId="19" borderId="0" xfId="0" applyFill="1" applyAlignment="1">
      <alignment vertical="center"/>
    </xf>
    <xf numFmtId="0" fontId="0" fillId="19" borderId="0" xfId="0" applyFill="1" applyAlignment="1">
      <alignment vertical="center" wrapText="1"/>
    </xf>
    <xf numFmtId="0" fontId="0" fillId="19" borderId="0" xfId="0" applyFill="1" applyAlignment="1">
      <alignment horizontal="center" vertical="center" wrapText="1"/>
    </xf>
    <xf numFmtId="188" fontId="11" fillId="19" borderId="0" xfId="0" applyNumberFormat="1" applyFont="1" applyFill="1" applyAlignment="1">
      <alignment horizontal="center" vertical="center" wrapText="1"/>
    </xf>
    <xf numFmtId="0" fontId="0" fillId="19" borderId="0" xfId="0" applyFill="1" applyBorder="1" applyAlignment="1">
      <alignment horizontal="center" vertical="center"/>
    </xf>
    <xf numFmtId="177" fontId="2" fillId="19" borderId="0" xfId="0" applyNumberFormat="1" applyFont="1" applyFill="1" applyAlignment="1">
      <alignment horizontal="right" vertical="center"/>
    </xf>
    <xf numFmtId="0" fontId="2" fillId="19" borderId="0" xfId="0" applyFont="1" applyFill="1" applyBorder="1" applyAlignment="1">
      <alignment horizontal="center" vertical="center"/>
    </xf>
    <xf numFmtId="180" fontId="0" fillId="19" borderId="0" xfId="0" applyNumberFormat="1" applyFill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185" fontId="0" fillId="19" borderId="0" xfId="0" applyNumberFormat="1" applyFill="1" applyBorder="1" applyAlignment="1">
      <alignment horizontal="center" vertical="center" wrapText="1"/>
    </xf>
    <xf numFmtId="0" fontId="0" fillId="19" borderId="0" xfId="0" applyFill="1" applyBorder="1" applyAlignment="1">
      <alignment vertical="center" wrapText="1"/>
    </xf>
    <xf numFmtId="15" fontId="2" fillId="19" borderId="0" xfId="0" applyNumberFormat="1" applyFont="1" applyFill="1" applyBorder="1" applyAlignment="1">
      <alignment horizontal="center" vertical="center"/>
    </xf>
    <xf numFmtId="4" fontId="11" fillId="19" borderId="0" xfId="0" applyNumberFormat="1" applyFont="1" applyFill="1" applyAlignment="1">
      <alignment vertical="center" wrapText="1"/>
    </xf>
    <xf numFmtId="4" fontId="11" fillId="19" borderId="0" xfId="0" applyNumberFormat="1" applyFont="1" applyFill="1" applyAlignment="1">
      <alignment vertical="center"/>
    </xf>
    <xf numFmtId="193" fontId="11" fillId="19" borderId="0" xfId="0" applyNumberFormat="1" applyFont="1" applyFill="1" applyAlignment="1">
      <alignment horizontal="center" vertical="center"/>
    </xf>
    <xf numFmtId="0" fontId="11" fillId="19" borderId="0" xfId="0" applyFont="1" applyFill="1" applyAlignment="1">
      <alignment vertical="center"/>
    </xf>
    <xf numFmtId="0" fontId="7" fillId="19" borderId="0" xfId="0" applyFont="1" applyFill="1" applyAlignment="1">
      <alignment vertical="center"/>
    </xf>
    <xf numFmtId="182" fontId="11" fillId="19" borderId="0" xfId="0" applyNumberFormat="1" applyFont="1" applyFill="1" applyAlignment="1">
      <alignment horizontal="center" vertical="center"/>
    </xf>
    <xf numFmtId="3" fontId="18" fillId="19" borderId="0" xfId="0" applyNumberFormat="1" applyFont="1" applyFill="1" applyAlignment="1">
      <alignment vertical="center"/>
    </xf>
    <xf numFmtId="0" fontId="2" fillId="19" borderId="0" xfId="0" applyFont="1" applyFill="1" applyAlignment="1">
      <alignment horizontal="left" vertical="center"/>
    </xf>
    <xf numFmtId="0" fontId="22" fillId="19" borderId="0" xfId="0" applyFont="1" applyFill="1" applyAlignment="1">
      <alignment horizontal="center" vertical="center"/>
    </xf>
    <xf numFmtId="0" fontId="2" fillId="19" borderId="0" xfId="0" applyFont="1" applyFill="1" applyAlignment="1">
      <alignment vertical="center"/>
    </xf>
    <xf numFmtId="0" fontId="2" fillId="19" borderId="0" xfId="0" applyFont="1" applyFill="1" applyAlignment="1">
      <alignment horizontal="center" vertical="center" wrapText="1"/>
    </xf>
    <xf numFmtId="180" fontId="2" fillId="19" borderId="0" xfId="0" applyNumberFormat="1" applyFont="1" applyFill="1" applyAlignment="1">
      <alignment horizontal="center" vertical="center"/>
    </xf>
    <xf numFmtId="185" fontId="2" fillId="19" borderId="0" xfId="0" applyNumberFormat="1" applyFont="1" applyFill="1" applyBorder="1" applyAlignment="1">
      <alignment horizontal="center" vertical="center" wrapText="1"/>
    </xf>
    <xf numFmtId="0" fontId="2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vertical="center" wrapText="1"/>
    </xf>
    <xf numFmtId="4" fontId="2" fillId="19" borderId="0" xfId="0" applyNumberFormat="1" applyFont="1" applyFill="1" applyAlignment="1">
      <alignment vertical="center"/>
    </xf>
    <xf numFmtId="0" fontId="27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0" fillId="20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177" fontId="0" fillId="19" borderId="0" xfId="0" applyNumberForma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1" borderId="0" xfId="0" applyFill="1" applyAlignment="1">
      <alignment vertical="center"/>
    </xf>
    <xf numFmtId="189" fontId="6" fillId="15" borderId="0" xfId="0" applyNumberFormat="1" applyFont="1" applyFill="1" applyAlignment="1">
      <alignment vertical="center"/>
    </xf>
    <xf numFmtId="0" fontId="2" fillId="22" borderId="0" xfId="0" applyFont="1" applyFill="1" applyAlignment="1">
      <alignment horizontal="left" vertical="center"/>
    </xf>
    <xf numFmtId="0" fontId="2" fillId="22" borderId="0" xfId="0" applyFont="1" applyFill="1" applyAlignment="1">
      <alignment horizontal="center" vertical="center"/>
    </xf>
    <xf numFmtId="0" fontId="22" fillId="22" borderId="0" xfId="0" applyFont="1" applyFill="1" applyAlignment="1">
      <alignment horizontal="center" vertical="center"/>
    </xf>
    <xf numFmtId="0" fontId="2" fillId="22" borderId="0" xfId="0" applyFont="1" applyFill="1" applyAlignment="1">
      <alignment vertical="center"/>
    </xf>
    <xf numFmtId="0" fontId="0" fillId="22" borderId="0" xfId="0" applyFill="1" applyAlignment="1">
      <alignment vertical="center" wrapText="1"/>
    </xf>
    <xf numFmtId="0" fontId="2" fillId="22" borderId="0" xfId="0" applyFont="1" applyFill="1" applyAlignment="1">
      <alignment horizontal="center" vertical="center" wrapText="1"/>
    </xf>
    <xf numFmtId="188" fontId="11" fillId="22" borderId="0" xfId="0" applyNumberFormat="1" applyFont="1" applyFill="1" applyAlignment="1">
      <alignment horizontal="center" vertical="center" wrapText="1"/>
    </xf>
    <xf numFmtId="0" fontId="0" fillId="22" borderId="0" xfId="0" applyFill="1" applyBorder="1" applyAlignment="1">
      <alignment horizontal="center" vertical="center"/>
    </xf>
    <xf numFmtId="177" fontId="2" fillId="22" borderId="0" xfId="0" applyNumberFormat="1" applyFont="1" applyFill="1" applyAlignment="1">
      <alignment horizontal="right" vertical="center"/>
    </xf>
    <xf numFmtId="177" fontId="0" fillId="22" borderId="0" xfId="0" applyNumberFormat="1" applyFill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85" fontId="2" fillId="22" borderId="0" xfId="0" applyNumberFormat="1" applyFont="1" applyFill="1" applyBorder="1" applyAlignment="1">
      <alignment horizontal="center" vertical="center" wrapText="1"/>
    </xf>
    <xf numFmtId="0" fontId="2" fillId="22" borderId="0" xfId="0" applyFont="1" applyFill="1" applyBorder="1" applyAlignment="1">
      <alignment vertical="center" wrapText="1"/>
    </xf>
    <xf numFmtId="0" fontId="2" fillId="22" borderId="0" xfId="0" applyFont="1" applyFill="1" applyAlignment="1">
      <alignment vertical="center" wrapText="1"/>
    </xf>
    <xf numFmtId="15" fontId="2" fillId="22" borderId="0" xfId="0" applyNumberFormat="1" applyFont="1" applyFill="1" applyBorder="1" applyAlignment="1">
      <alignment horizontal="center" vertical="center"/>
    </xf>
    <xf numFmtId="4" fontId="11" fillId="22" borderId="0" xfId="0" applyNumberFormat="1" applyFont="1" applyFill="1" applyAlignment="1">
      <alignment vertical="center"/>
    </xf>
    <xf numFmtId="4" fontId="2" fillId="22" borderId="0" xfId="0" applyNumberFormat="1" applyFont="1" applyFill="1" applyAlignment="1">
      <alignment vertical="center"/>
    </xf>
    <xf numFmtId="0" fontId="0" fillId="22" borderId="0" xfId="0" applyFill="1" applyAlignment="1">
      <alignment horizontal="center" vertical="center"/>
    </xf>
    <xf numFmtId="0" fontId="11" fillId="22" borderId="0" xfId="0" applyFont="1" applyFill="1" applyAlignment="1">
      <alignment vertical="center"/>
    </xf>
    <xf numFmtId="182" fontId="11" fillId="22" borderId="0" xfId="0" applyNumberFormat="1" applyFont="1" applyFill="1" applyAlignment="1">
      <alignment horizontal="center" vertical="center"/>
    </xf>
    <xf numFmtId="3" fontId="18" fillId="22" borderId="0" xfId="0" applyNumberFormat="1" applyFont="1" applyFill="1" applyAlignment="1">
      <alignment vertical="center"/>
    </xf>
    <xf numFmtId="0" fontId="0" fillId="22" borderId="0" xfId="0" applyFill="1" applyBorder="1" applyAlignment="1">
      <alignment vertical="center" wrapText="1"/>
    </xf>
    <xf numFmtId="189" fontId="0" fillId="22" borderId="0" xfId="0" applyNumberFormat="1" applyFill="1" applyAlignment="1">
      <alignment horizontal="center" vertical="center"/>
    </xf>
    <xf numFmtId="188" fontId="0" fillId="0" borderId="0" xfId="0" applyNumberFormat="1" applyAlignment="1">
      <alignment vertical="center"/>
    </xf>
    <xf numFmtId="189" fontId="0" fillId="15" borderId="0" xfId="0" applyNumberFormat="1" applyFill="1" applyAlignment="1">
      <alignment vertical="center"/>
    </xf>
    <xf numFmtId="0" fontId="2" fillId="23" borderId="0" xfId="0" applyFont="1" applyFill="1" applyAlignment="1">
      <alignment horizontal="left" vertical="center"/>
    </xf>
    <xf numFmtId="0" fontId="2" fillId="23" borderId="0" xfId="0" applyFont="1" applyFill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0" fontId="2" fillId="23" borderId="0" xfId="0" applyFont="1" applyFill="1" applyAlignment="1">
      <alignment vertical="center"/>
    </xf>
    <xf numFmtId="0" fontId="0" fillId="23" borderId="0" xfId="0" applyFill="1" applyAlignment="1">
      <alignment vertical="center" wrapText="1"/>
    </xf>
    <xf numFmtId="0" fontId="2" fillId="23" borderId="0" xfId="0" applyFont="1" applyFill="1" applyAlignment="1">
      <alignment horizontal="center" vertical="center" wrapText="1"/>
    </xf>
    <xf numFmtId="188" fontId="11" fillId="23" borderId="0" xfId="0" applyNumberFormat="1" applyFont="1" applyFill="1" applyAlignment="1">
      <alignment horizontal="center" vertical="center" wrapText="1"/>
    </xf>
    <xf numFmtId="0" fontId="0" fillId="23" borderId="0" xfId="0" applyFill="1" applyBorder="1" applyAlignment="1">
      <alignment horizontal="center" vertical="center"/>
    </xf>
    <xf numFmtId="177" fontId="2" fillId="23" borderId="0" xfId="0" applyNumberFormat="1" applyFont="1" applyFill="1" applyAlignment="1">
      <alignment horizontal="right" vertical="center"/>
    </xf>
    <xf numFmtId="177" fontId="0" fillId="23" borderId="0" xfId="0" applyNumberFormat="1" applyFill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185" fontId="2" fillId="23" borderId="0" xfId="0" applyNumberFormat="1" applyFont="1" applyFill="1" applyBorder="1" applyAlignment="1">
      <alignment horizontal="center" vertical="center" wrapText="1"/>
    </xf>
    <xf numFmtId="0" fontId="2" fillId="23" borderId="0" xfId="0" applyFont="1" applyFill="1" applyBorder="1" applyAlignment="1">
      <alignment vertical="center" wrapText="1"/>
    </xf>
    <xf numFmtId="0" fontId="2" fillId="23" borderId="0" xfId="0" applyFont="1" applyFill="1" applyAlignment="1">
      <alignment vertical="center" wrapText="1"/>
    </xf>
    <xf numFmtId="15" fontId="2" fillId="23" borderId="0" xfId="0" applyNumberFormat="1" applyFont="1" applyFill="1" applyBorder="1" applyAlignment="1">
      <alignment horizontal="center" vertical="center"/>
    </xf>
    <xf numFmtId="4" fontId="11" fillId="23" borderId="0" xfId="0" applyNumberFormat="1" applyFont="1" applyFill="1" applyAlignment="1">
      <alignment vertical="center"/>
    </xf>
    <xf numFmtId="4" fontId="2" fillId="23" borderId="0" xfId="0" applyNumberFormat="1" applyFont="1" applyFill="1" applyAlignment="1">
      <alignment vertical="center"/>
    </xf>
    <xf numFmtId="0" fontId="0" fillId="23" borderId="0" xfId="0" applyFill="1" applyAlignment="1">
      <alignment horizontal="center" vertical="center"/>
    </xf>
    <xf numFmtId="0" fontId="11" fillId="23" borderId="0" xfId="0" applyFont="1" applyFill="1" applyAlignment="1">
      <alignment vertical="center"/>
    </xf>
    <xf numFmtId="182" fontId="11" fillId="23" borderId="0" xfId="0" applyNumberFormat="1" applyFont="1" applyFill="1" applyAlignment="1">
      <alignment horizontal="center" vertical="center"/>
    </xf>
    <xf numFmtId="3" fontId="18" fillId="23" borderId="0" xfId="0" applyNumberFormat="1" applyFont="1" applyFill="1" applyAlignment="1">
      <alignment vertical="center"/>
    </xf>
    <xf numFmtId="0" fontId="0" fillId="22" borderId="0" xfId="0" applyFill="1" applyAlignment="1">
      <alignment vertical="center"/>
    </xf>
    <xf numFmtId="194" fontId="6" fillId="0" borderId="0" xfId="0" applyNumberFormat="1" applyFont="1" applyAlignment="1">
      <alignment vertical="center"/>
    </xf>
    <xf numFmtId="194" fontId="9" fillId="0" borderId="0" xfId="0" applyNumberFormat="1" applyFont="1" applyAlignment="1">
      <alignment vertical="center"/>
    </xf>
    <xf numFmtId="194" fontId="6" fillId="0" borderId="2" xfId="0" applyNumberFormat="1" applyFont="1" applyBorder="1" applyAlignment="1">
      <alignment horizontal="center" vertical="center" wrapText="1"/>
    </xf>
    <xf numFmtId="194" fontId="2" fillId="0" borderId="0" xfId="0" applyNumberFormat="1" applyFont="1" applyFill="1" applyBorder="1" applyAlignment="1">
      <alignment vertical="center"/>
    </xf>
    <xf numFmtId="194" fontId="0" fillId="0" borderId="0" xfId="0" applyNumberFormat="1" applyFill="1" applyBorder="1" applyAlignment="1">
      <alignment vertical="center"/>
    </xf>
    <xf numFmtId="194" fontId="2" fillId="13" borderId="0" xfId="0" applyNumberFormat="1" applyFont="1" applyFill="1" applyBorder="1" applyAlignment="1">
      <alignment vertical="center"/>
    </xf>
    <xf numFmtId="194" fontId="7" fillId="0" borderId="0" xfId="0" applyNumberFormat="1" applyFont="1" applyAlignment="1">
      <alignment vertical="center"/>
    </xf>
    <xf numFmtId="195" fontId="0" fillId="0" borderId="0" xfId="0" applyNumberFormat="1" applyAlignment="1">
      <alignment vertical="center"/>
    </xf>
    <xf numFmtId="195" fontId="6" fillId="0" borderId="0" xfId="0" applyNumberFormat="1" applyFont="1" applyBorder="1" applyAlignment="1">
      <alignment horizontal="center" vertical="center"/>
    </xf>
    <xf numFmtId="195" fontId="6" fillId="0" borderId="2" xfId="0" applyNumberFormat="1" applyFont="1" applyBorder="1" applyAlignment="1">
      <alignment horizontal="center" vertical="center" wrapText="1"/>
    </xf>
    <xf numFmtId="195" fontId="2" fillId="0" borderId="0" xfId="0" applyNumberFormat="1" applyFont="1" applyBorder="1" applyAlignment="1">
      <alignment vertical="center"/>
    </xf>
    <xf numFmtId="195" fontId="2" fillId="5" borderId="0" xfId="0" applyNumberFormat="1" applyFont="1" applyFill="1" applyBorder="1" applyAlignment="1">
      <alignment vertical="center"/>
    </xf>
    <xf numFmtId="195" fontId="2" fillId="0" borderId="0" xfId="0" applyNumberFormat="1" applyFont="1" applyFill="1" applyBorder="1" applyAlignment="1">
      <alignment vertical="center"/>
    </xf>
    <xf numFmtId="195" fontId="2" fillId="2" borderId="0" xfId="0" applyNumberFormat="1" applyFont="1" applyFill="1" applyBorder="1" applyAlignment="1">
      <alignment vertical="center"/>
    </xf>
    <xf numFmtId="195" fontId="2" fillId="3" borderId="0" xfId="0" applyNumberFormat="1" applyFont="1" applyFill="1" applyBorder="1" applyAlignment="1">
      <alignment vertical="center"/>
    </xf>
    <xf numFmtId="195" fontId="2" fillId="10" borderId="0" xfId="0" applyNumberFormat="1" applyFont="1" applyFill="1" applyBorder="1" applyAlignment="1">
      <alignment vertical="center"/>
    </xf>
    <xf numFmtId="195" fontId="2" fillId="16" borderId="0" xfId="0" applyNumberFormat="1" applyFont="1" applyFill="1" applyBorder="1" applyAlignment="1">
      <alignment vertical="center"/>
    </xf>
    <xf numFmtId="195" fontId="2" fillId="19" borderId="0" xfId="0" applyNumberFormat="1" applyFont="1" applyFill="1" applyBorder="1" applyAlignment="1">
      <alignment vertical="center"/>
    </xf>
    <xf numFmtId="195" fontId="2" fillId="0" borderId="0" xfId="0" applyNumberFormat="1" applyFont="1" applyAlignment="1">
      <alignment vertical="center"/>
    </xf>
    <xf numFmtId="195" fontId="2" fillId="14" borderId="0" xfId="0" applyNumberFormat="1" applyFont="1" applyFill="1" applyBorder="1" applyAlignment="1">
      <alignment vertical="center"/>
    </xf>
    <xf numFmtId="195" fontId="2" fillId="22" borderId="0" xfId="0" applyNumberFormat="1" applyFont="1" applyFill="1" applyBorder="1" applyAlignment="1">
      <alignment vertical="center"/>
    </xf>
    <xf numFmtId="195" fontId="2" fillId="23" borderId="0" xfId="0" applyNumberFormat="1" applyFont="1" applyFill="1" applyBorder="1" applyAlignment="1">
      <alignment vertical="center"/>
    </xf>
    <xf numFmtId="195" fontId="2" fillId="4" borderId="0" xfId="0" applyNumberFormat="1" applyFont="1" applyFill="1" applyBorder="1" applyAlignment="1">
      <alignment vertical="center"/>
    </xf>
    <xf numFmtId="195" fontId="6" fillId="0" borderId="0" xfId="0" applyNumberFormat="1" applyFont="1" applyAlignment="1">
      <alignment vertical="center"/>
    </xf>
    <xf numFmtId="195" fontId="9" fillId="0" borderId="0" xfId="0" applyNumberFormat="1" applyFont="1" applyAlignment="1">
      <alignment vertical="center"/>
    </xf>
    <xf numFmtId="195" fontId="2" fillId="2" borderId="0" xfId="0" applyNumberFormat="1" applyFont="1" applyFill="1" applyAlignment="1">
      <alignment vertical="center"/>
    </xf>
    <xf numFmtId="195" fontId="6" fillId="8" borderId="0" xfId="0" applyNumberFormat="1" applyFont="1" applyFill="1" applyBorder="1" applyAlignment="1">
      <alignment vertical="center"/>
    </xf>
    <xf numFmtId="195" fontId="19" fillId="3" borderId="0" xfId="0" applyNumberFormat="1" applyFont="1" applyFill="1" applyBorder="1" applyAlignment="1">
      <alignment vertical="center"/>
    </xf>
    <xf numFmtId="195" fontId="3" fillId="0" borderId="0" xfId="0" applyNumberFormat="1" applyFont="1" applyFill="1" applyBorder="1" applyAlignment="1">
      <alignment vertical="center"/>
    </xf>
    <xf numFmtId="195" fontId="0" fillId="0" borderId="0" xfId="0" applyNumberFormat="1" applyAlignment="1">
      <alignment horizontal="center" vertical="center"/>
    </xf>
    <xf numFmtId="195" fontId="6" fillId="0" borderId="0" xfId="0" applyNumberFormat="1" applyFont="1" applyAlignment="1">
      <alignment horizontal="center" vertical="center" wrapText="1"/>
    </xf>
    <xf numFmtId="195" fontId="0" fillId="0" borderId="0" xfId="0" applyNumberFormat="1" applyFill="1" applyAlignment="1">
      <alignment horizontal="center" vertical="center"/>
    </xf>
    <xf numFmtId="195" fontId="0" fillId="2" borderId="0" xfId="0" applyNumberFormat="1" applyFill="1" applyAlignment="1">
      <alignment horizontal="center" vertical="center"/>
    </xf>
    <xf numFmtId="195" fontId="0" fillId="4" borderId="0" xfId="0" applyNumberFormat="1" applyFill="1" applyAlignment="1">
      <alignment horizontal="center" vertical="center"/>
    </xf>
    <xf numFmtId="195" fontId="19" fillId="3" borderId="0" xfId="0" applyNumberFormat="1" applyFont="1" applyFill="1" applyAlignment="1">
      <alignment horizontal="center" vertical="center"/>
    </xf>
    <xf numFmtId="195" fontId="0" fillId="3" borderId="0" xfId="0" applyNumberFormat="1" applyFill="1" applyAlignment="1">
      <alignment horizontal="center" vertical="center"/>
    </xf>
    <xf numFmtId="195" fontId="6" fillId="8" borderId="0" xfId="0" applyNumberFormat="1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 wrapText="1"/>
    </xf>
    <xf numFmtId="177" fontId="2" fillId="22" borderId="0" xfId="0" applyNumberFormat="1" applyFont="1" applyFill="1" applyBorder="1" applyAlignment="1">
      <alignment vertical="center"/>
    </xf>
    <xf numFmtId="180" fontId="2" fillId="22" borderId="0" xfId="0" applyNumberFormat="1" applyFont="1" applyFill="1" applyAlignment="1">
      <alignment horizontal="center" vertical="center"/>
    </xf>
    <xf numFmtId="0" fontId="7" fillId="22" borderId="0" xfId="0" applyFont="1" applyFill="1" applyAlignment="1">
      <alignment vertical="center"/>
    </xf>
    <xf numFmtId="4" fontId="7" fillId="22" borderId="0" xfId="0" applyNumberFormat="1" applyFont="1" applyFill="1" applyAlignment="1">
      <alignment vertical="center"/>
    </xf>
    <xf numFmtId="0" fontId="21" fillId="22" borderId="0" xfId="0" applyFont="1" applyFill="1" applyBorder="1">
      <alignment vertical="top"/>
    </xf>
    <xf numFmtId="185" fontId="0" fillId="22" borderId="0" xfId="0" applyNumberFormat="1" applyFill="1" applyBorder="1" applyAlignment="1">
      <alignment horizontal="center" vertical="center" wrapText="1"/>
    </xf>
    <xf numFmtId="194" fontId="2" fillId="22" borderId="0" xfId="0" applyNumberFormat="1" applyFont="1" applyFill="1" applyBorder="1" applyAlignment="1">
      <alignment vertical="center"/>
    </xf>
    <xf numFmtId="193" fontId="11" fillId="22" borderId="0" xfId="0" applyNumberFormat="1" applyFont="1" applyFill="1" applyAlignment="1">
      <alignment horizontal="center" vertical="center"/>
    </xf>
    <xf numFmtId="196" fontId="0" fillId="0" borderId="0" xfId="0" applyNumberFormat="1" applyAlignment="1">
      <alignment horizontal="center" vertical="center"/>
    </xf>
    <xf numFmtId="196" fontId="6" fillId="0" borderId="0" xfId="0" applyNumberFormat="1" applyFont="1" applyAlignment="1">
      <alignment horizontal="center" vertical="center" wrapText="1"/>
    </xf>
    <xf numFmtId="196" fontId="0" fillId="0" borderId="0" xfId="0" applyNumberFormat="1" applyFill="1" applyAlignment="1">
      <alignment horizontal="center" vertical="center"/>
    </xf>
    <xf numFmtId="196" fontId="2" fillId="0" borderId="0" xfId="0" applyNumberFormat="1" applyFont="1" applyFill="1" applyBorder="1" applyAlignment="1">
      <alignment vertical="center"/>
    </xf>
    <xf numFmtId="195" fontId="0" fillId="0" borderId="0" xfId="0" applyNumberFormat="1" applyFill="1" applyAlignment="1">
      <alignment vertical="center"/>
    </xf>
    <xf numFmtId="195" fontId="2" fillId="0" borderId="0" xfId="0" applyNumberFormat="1" applyFont="1" applyFill="1" applyAlignment="1">
      <alignment horizontal="center" vertical="center"/>
    </xf>
    <xf numFmtId="195" fontId="0" fillId="10" borderId="0" xfId="0" applyNumberFormat="1" applyFill="1" applyAlignment="1">
      <alignment horizontal="center" vertical="center"/>
    </xf>
    <xf numFmtId="195" fontId="0" fillId="14" borderId="0" xfId="0" applyNumberFormat="1" applyFill="1" applyAlignment="1">
      <alignment horizontal="center" vertical="center"/>
    </xf>
    <xf numFmtId="195" fontId="0" fillId="19" borderId="0" xfId="0" applyNumberFormat="1" applyFill="1" applyAlignment="1">
      <alignment horizontal="center" vertical="center"/>
    </xf>
    <xf numFmtId="195" fontId="0" fillId="16" borderId="0" xfId="0" applyNumberFormat="1" applyFill="1" applyAlignment="1">
      <alignment horizontal="center" vertical="center"/>
    </xf>
    <xf numFmtId="195" fontId="0" fillId="22" borderId="0" xfId="0" applyNumberFormat="1" applyFill="1" applyAlignment="1">
      <alignment horizontal="center" vertical="center"/>
    </xf>
    <xf numFmtId="195" fontId="0" fillId="23" borderId="0" xfId="0" applyNumberForma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left" vertical="center"/>
    </xf>
    <xf numFmtId="177" fontId="3" fillId="19" borderId="0" xfId="0" applyNumberFormat="1" applyFont="1" applyFill="1" applyAlignment="1">
      <alignment horizontal="right" vertical="center"/>
    </xf>
    <xf numFmtId="0" fontId="3" fillId="19" borderId="0" xfId="0" applyFont="1" applyFill="1" applyBorder="1" applyAlignment="1">
      <alignment horizontal="center" vertical="center"/>
    </xf>
    <xf numFmtId="195" fontId="3" fillId="19" borderId="0" xfId="0" applyNumberFormat="1" applyFont="1" applyFill="1" applyBorder="1" applyAlignment="1">
      <alignment vertical="center"/>
    </xf>
    <xf numFmtId="15" fontId="3" fillId="19" borderId="0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vertical="center"/>
    </xf>
    <xf numFmtId="195" fontId="2" fillId="4" borderId="0" xfId="0" applyNumberFormat="1" applyFon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 wrapText="1"/>
    </xf>
    <xf numFmtId="4" fontId="11" fillId="0" borderId="0" xfId="0" applyNumberFormat="1" applyFont="1" applyFill="1" applyAlignment="1">
      <alignment vertical="center" wrapText="1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177" fontId="3" fillId="13" borderId="0" xfId="0" applyNumberFormat="1" applyFont="1" applyFill="1" applyAlignment="1">
      <alignment horizontal="right" vertical="center"/>
    </xf>
    <xf numFmtId="0" fontId="3" fillId="13" borderId="0" xfId="0" applyFont="1" applyFill="1" applyBorder="1" applyAlignment="1">
      <alignment horizontal="center" vertical="center"/>
    </xf>
    <xf numFmtId="15" fontId="3" fillId="13" borderId="0" xfId="0" applyNumberFormat="1" applyFont="1" applyFill="1" applyBorder="1" applyAlignment="1">
      <alignment horizontal="center" vertical="center"/>
    </xf>
    <xf numFmtId="195" fontId="0" fillId="13" borderId="0" xfId="0" applyNumberFormat="1" applyFill="1" applyAlignment="1">
      <alignment horizontal="center" vertical="center"/>
    </xf>
    <xf numFmtId="0" fontId="3" fillId="13" borderId="0" xfId="0" applyFont="1" applyFill="1" applyAlignment="1">
      <alignment vertical="center"/>
    </xf>
    <xf numFmtId="0" fontId="21" fillId="24" borderId="0" xfId="0" applyFont="1" applyFill="1" applyBorder="1">
      <alignment vertical="top"/>
    </xf>
    <xf numFmtId="0" fontId="3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left" vertical="center"/>
    </xf>
    <xf numFmtId="0" fontId="0" fillId="24" borderId="0" xfId="0" applyFill="1" applyAlignment="1">
      <alignment vertical="center" wrapText="1"/>
    </xf>
    <xf numFmtId="0" fontId="0" fillId="24" borderId="0" xfId="0" applyFill="1" applyAlignment="1">
      <alignment horizontal="center" vertical="center" wrapText="1"/>
    </xf>
    <xf numFmtId="188" fontId="11" fillId="24" borderId="0" xfId="0" applyNumberFormat="1" applyFont="1" applyFill="1" applyAlignment="1">
      <alignment horizontal="center" vertical="center" wrapText="1"/>
    </xf>
    <xf numFmtId="0" fontId="0" fillId="24" borderId="0" xfId="0" applyFill="1" applyBorder="1" applyAlignment="1">
      <alignment horizontal="center" vertical="center"/>
    </xf>
    <xf numFmtId="177" fontId="3" fillId="24" borderId="0" xfId="0" applyNumberFormat="1" applyFont="1" applyFill="1" applyAlignment="1">
      <alignment horizontal="right" vertical="center"/>
    </xf>
    <xf numFmtId="0" fontId="3" fillId="24" borderId="0" xfId="0" applyFont="1" applyFill="1" applyBorder="1" applyAlignment="1">
      <alignment horizontal="center" vertical="center"/>
    </xf>
    <xf numFmtId="180" fontId="0" fillId="24" borderId="0" xfId="0" applyNumberFormat="1" applyFill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85" fontId="0" fillId="24" borderId="0" xfId="0" applyNumberFormat="1" applyFill="1" applyBorder="1" applyAlignment="1">
      <alignment horizontal="center" vertical="center" wrapText="1"/>
    </xf>
    <xf numFmtId="0" fontId="0" fillId="24" borderId="0" xfId="0" applyFill="1" applyBorder="1" applyAlignment="1">
      <alignment vertical="center" wrapText="1"/>
    </xf>
    <xf numFmtId="194" fontId="2" fillId="24" borderId="0" xfId="0" applyNumberFormat="1" applyFont="1" applyFill="1" applyBorder="1" applyAlignment="1">
      <alignment vertical="center"/>
    </xf>
    <xf numFmtId="15" fontId="3" fillId="24" borderId="0" xfId="0" applyNumberFormat="1" applyFont="1" applyFill="1" applyBorder="1" applyAlignment="1">
      <alignment horizontal="center" vertical="center"/>
    </xf>
    <xf numFmtId="4" fontId="11" fillId="24" borderId="0" xfId="0" applyNumberFormat="1" applyFont="1" applyFill="1" applyAlignment="1">
      <alignment vertical="center" wrapText="1"/>
    </xf>
    <xf numFmtId="4" fontId="11" fillId="24" borderId="0" xfId="0" applyNumberFormat="1" applyFont="1" applyFill="1" applyAlignment="1">
      <alignment vertical="center"/>
    </xf>
    <xf numFmtId="193" fontId="11" fillId="24" borderId="0" xfId="0" applyNumberFormat="1" applyFont="1" applyFill="1" applyAlignment="1">
      <alignment horizontal="center" vertical="center"/>
    </xf>
    <xf numFmtId="195" fontId="0" fillId="24" borderId="0" xfId="0" applyNumberFormat="1" applyFill="1" applyAlignment="1">
      <alignment horizontal="center" vertical="center"/>
    </xf>
    <xf numFmtId="0" fontId="11" fillId="24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182" fontId="11" fillId="24" borderId="0" xfId="0" applyNumberFormat="1" applyFont="1" applyFill="1" applyAlignment="1">
      <alignment horizontal="center" vertical="center"/>
    </xf>
    <xf numFmtId="3" fontId="18" fillId="24" borderId="0" xfId="0" applyNumberFormat="1" applyFont="1" applyFill="1" applyAlignment="1">
      <alignment vertical="center"/>
    </xf>
    <xf numFmtId="0" fontId="3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left" vertical="center"/>
    </xf>
    <xf numFmtId="177" fontId="3" fillId="22" borderId="0" xfId="0" applyNumberFormat="1" applyFont="1" applyFill="1" applyAlignment="1">
      <alignment horizontal="right" vertical="center"/>
    </xf>
    <xf numFmtId="0" fontId="3" fillId="22" borderId="0" xfId="0" applyFont="1" applyFill="1" applyBorder="1" applyAlignment="1">
      <alignment horizontal="center" vertical="center"/>
    </xf>
    <xf numFmtId="180" fontId="0" fillId="22" borderId="0" xfId="0" applyNumberFormat="1" applyFill="1" applyAlignment="1">
      <alignment horizontal="center" vertical="center" wrapText="1"/>
    </xf>
    <xf numFmtId="15" fontId="3" fillId="22" borderId="0" xfId="0" applyNumberFormat="1" applyFont="1" applyFill="1" applyBorder="1" applyAlignment="1">
      <alignment horizontal="center" vertical="center"/>
    </xf>
    <xf numFmtId="4" fontId="11" fillId="22" borderId="0" xfId="0" applyNumberFormat="1" applyFont="1" applyFill="1" applyAlignment="1">
      <alignment vertical="center" wrapText="1"/>
    </xf>
    <xf numFmtId="0" fontId="3" fillId="2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vertical="center"/>
    </xf>
    <xf numFmtId="0" fontId="0" fillId="17" borderId="0" xfId="0" applyFill="1" applyAlignment="1">
      <alignment vertical="center" wrapText="1"/>
    </xf>
    <xf numFmtId="0" fontId="2" fillId="17" borderId="0" xfId="0" applyFont="1" applyFill="1" applyAlignment="1">
      <alignment horizontal="center" vertical="center" wrapText="1"/>
    </xf>
    <xf numFmtId="188" fontId="11" fillId="17" borderId="0" xfId="0" applyNumberFormat="1" applyFont="1" applyFill="1" applyAlignment="1">
      <alignment horizontal="center" vertical="center" wrapText="1"/>
    </xf>
    <xf numFmtId="0" fontId="2" fillId="17" borderId="0" xfId="0" applyFont="1" applyFill="1" applyBorder="1" applyAlignment="1">
      <alignment horizontal="center" vertical="center"/>
    </xf>
    <xf numFmtId="177" fontId="2" fillId="17" borderId="0" xfId="0" applyNumberFormat="1" applyFont="1" applyFill="1" applyAlignment="1">
      <alignment horizontal="right" vertical="center"/>
    </xf>
    <xf numFmtId="180" fontId="2" fillId="17" borderId="0" xfId="0" applyNumberFormat="1" applyFont="1" applyFill="1" applyAlignment="1">
      <alignment horizontal="center" vertical="center"/>
    </xf>
    <xf numFmtId="185" fontId="2" fillId="17" borderId="0" xfId="0" applyNumberFormat="1" applyFont="1" applyFill="1" applyBorder="1" applyAlignment="1">
      <alignment horizontal="center" vertical="center" wrapText="1"/>
    </xf>
    <xf numFmtId="0" fontId="2" fillId="17" borderId="0" xfId="0" applyFont="1" applyFill="1" applyBorder="1" applyAlignment="1">
      <alignment vertical="center" wrapText="1"/>
    </xf>
    <xf numFmtId="15" fontId="2" fillId="17" borderId="0" xfId="0" applyNumberFormat="1" applyFont="1" applyFill="1" applyBorder="1" applyAlignment="1">
      <alignment horizontal="center" vertical="center"/>
    </xf>
    <xf numFmtId="4" fontId="11" fillId="17" borderId="0" xfId="0" applyNumberFormat="1" applyFont="1" applyFill="1" applyAlignment="1">
      <alignment vertical="center"/>
    </xf>
    <xf numFmtId="4" fontId="7" fillId="17" borderId="0" xfId="0" applyNumberFormat="1" applyFont="1" applyFill="1" applyAlignment="1">
      <alignment vertical="center"/>
    </xf>
    <xf numFmtId="0" fontId="0" fillId="17" borderId="0" xfId="0" applyFill="1" applyAlignment="1">
      <alignment horizontal="center" vertical="center"/>
    </xf>
    <xf numFmtId="0" fontId="11" fillId="17" borderId="0" xfId="0" applyFont="1" applyFill="1" applyAlignment="1">
      <alignment vertical="center"/>
    </xf>
    <xf numFmtId="0" fontId="7" fillId="17" borderId="0" xfId="0" applyFont="1" applyFill="1" applyAlignment="1">
      <alignment vertical="center" wrapText="1"/>
    </xf>
    <xf numFmtId="182" fontId="11" fillId="17" borderId="0" xfId="0" applyNumberFormat="1" applyFont="1" applyFill="1" applyAlignment="1">
      <alignment horizontal="center" vertical="center"/>
    </xf>
    <xf numFmtId="3" fontId="18" fillId="17" borderId="0" xfId="0" applyNumberFormat="1" applyFont="1" applyFill="1" applyAlignment="1">
      <alignment vertical="center"/>
    </xf>
    <xf numFmtId="0" fontId="7" fillId="17" borderId="0" xfId="0" applyFont="1" applyFill="1" applyAlignment="1">
      <alignment horizontal="left" vertical="center"/>
    </xf>
    <xf numFmtId="0" fontId="22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vertical="center"/>
    </xf>
    <xf numFmtId="0" fontId="0" fillId="17" borderId="0" xfId="0" applyFill="1" applyBorder="1" applyAlignment="1">
      <alignment horizontal="center" vertical="center"/>
    </xf>
    <xf numFmtId="185" fontId="0" fillId="17" borderId="0" xfId="0" applyNumberFormat="1" applyFill="1" applyBorder="1" applyAlignment="1">
      <alignment horizontal="center" vertical="center" wrapText="1"/>
    </xf>
    <xf numFmtId="0" fontId="0" fillId="17" borderId="0" xfId="0" applyFill="1" applyBorder="1" applyAlignment="1">
      <alignment vertical="center" wrapText="1"/>
    </xf>
    <xf numFmtId="193" fontId="11" fillId="17" borderId="0" xfId="0" applyNumberFormat="1" applyFont="1" applyFill="1" applyAlignment="1">
      <alignment horizontal="center" vertical="center"/>
    </xf>
    <xf numFmtId="4" fontId="11" fillId="17" borderId="0" xfId="0" applyNumberFormat="1" applyFont="1" applyFill="1" applyAlignment="1">
      <alignment vertical="center" wrapText="1"/>
    </xf>
    <xf numFmtId="4" fontId="2" fillId="17" borderId="0" xfId="0" applyNumberFormat="1" applyFont="1" applyFill="1" applyAlignment="1">
      <alignment vertical="center"/>
    </xf>
    <xf numFmtId="0" fontId="0" fillId="17" borderId="0" xfId="0" applyFill="1" applyBorder="1" applyAlignment="1">
      <alignment horizontal="center" vertical="center" wrapText="1"/>
    </xf>
    <xf numFmtId="0" fontId="2" fillId="25" borderId="0" xfId="0" applyFont="1" applyFill="1" applyAlignment="1">
      <alignment horizontal="center" vertical="center"/>
    </xf>
    <xf numFmtId="0" fontId="2" fillId="25" borderId="0" xfId="0" applyFont="1" applyFill="1" applyAlignment="1">
      <alignment vertical="center"/>
    </xf>
    <xf numFmtId="0" fontId="0" fillId="25" borderId="0" xfId="0" applyFill="1" applyAlignment="1">
      <alignment vertical="center" wrapText="1"/>
    </xf>
    <xf numFmtId="188" fontId="11" fillId="25" borderId="0" xfId="0" applyNumberFormat="1" applyFont="1" applyFill="1" applyAlignment="1">
      <alignment horizontal="center" vertical="center" wrapText="1"/>
    </xf>
    <xf numFmtId="177" fontId="2" fillId="25" borderId="0" xfId="0" applyNumberFormat="1" applyFont="1" applyFill="1" applyAlignment="1">
      <alignment horizontal="right" vertical="center"/>
    </xf>
    <xf numFmtId="180" fontId="2" fillId="25" borderId="0" xfId="0" applyNumberFormat="1" applyFont="1" applyFill="1" applyAlignment="1">
      <alignment horizontal="center" vertical="center"/>
    </xf>
    <xf numFmtId="15" fontId="2" fillId="25" borderId="0" xfId="0" applyNumberFormat="1" applyFont="1" applyFill="1" applyBorder="1" applyAlignment="1">
      <alignment horizontal="center" vertical="center"/>
    </xf>
    <xf numFmtId="4" fontId="11" fillId="25" borderId="0" xfId="0" applyNumberFormat="1" applyFont="1" applyFill="1" applyAlignment="1">
      <alignment vertical="center"/>
    </xf>
    <xf numFmtId="0" fontId="0" fillId="25" borderId="0" xfId="0" applyFill="1" applyAlignment="1">
      <alignment horizontal="center" vertical="center"/>
    </xf>
    <xf numFmtId="0" fontId="11" fillId="25" borderId="0" xfId="0" applyFont="1" applyFill="1" applyAlignment="1">
      <alignment vertical="center"/>
    </xf>
    <xf numFmtId="182" fontId="11" fillId="25" borderId="0" xfId="0" applyNumberFormat="1" applyFont="1" applyFill="1" applyAlignment="1">
      <alignment horizontal="center" vertical="center"/>
    </xf>
    <xf numFmtId="3" fontId="18" fillId="25" borderId="0" xfId="0" applyNumberFormat="1" applyFont="1" applyFill="1" applyAlignment="1">
      <alignment vertical="center"/>
    </xf>
    <xf numFmtId="0" fontId="22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 wrapText="1"/>
    </xf>
    <xf numFmtId="0" fontId="0" fillId="25" borderId="0" xfId="0" applyFill="1" applyAlignment="1">
      <alignment vertical="center"/>
    </xf>
    <xf numFmtId="0" fontId="0" fillId="25" borderId="0" xfId="0" applyFill="1" applyBorder="1" applyAlignment="1">
      <alignment horizontal="center" vertical="center"/>
    </xf>
    <xf numFmtId="185" fontId="0" fillId="25" borderId="0" xfId="0" applyNumberFormat="1" applyFill="1" applyBorder="1" applyAlignment="1">
      <alignment horizontal="center" vertical="center" wrapText="1"/>
    </xf>
    <xf numFmtId="0" fontId="0" fillId="25" borderId="0" xfId="0" applyFill="1" applyBorder="1" applyAlignment="1">
      <alignment vertical="center" wrapText="1"/>
    </xf>
    <xf numFmtId="193" fontId="11" fillId="25" borderId="0" xfId="0" applyNumberFormat="1" applyFont="1" applyFill="1" applyAlignment="1">
      <alignment horizontal="center" vertical="center"/>
    </xf>
    <xf numFmtId="4" fontId="2" fillId="25" borderId="0" xfId="0" applyNumberFormat="1" applyFont="1" applyFill="1" applyAlignment="1">
      <alignment vertical="center"/>
    </xf>
    <xf numFmtId="0" fontId="7" fillId="24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vertical="center"/>
    </xf>
    <xf numFmtId="177" fontId="2" fillId="24" borderId="0" xfId="0" applyNumberFormat="1" applyFont="1" applyFill="1" applyAlignment="1">
      <alignment horizontal="right" vertical="center"/>
    </xf>
    <xf numFmtId="180" fontId="2" fillId="24" borderId="0" xfId="0" applyNumberFormat="1" applyFont="1" applyFill="1" applyAlignment="1">
      <alignment horizontal="center" vertical="center"/>
    </xf>
    <xf numFmtId="15" fontId="2" fillId="24" borderId="0" xfId="0" applyNumberFormat="1" applyFont="1" applyFill="1" applyBorder="1" applyAlignment="1">
      <alignment horizontal="center" vertical="center"/>
    </xf>
    <xf numFmtId="0" fontId="7" fillId="24" borderId="0" xfId="0" applyFont="1" applyFill="1" applyAlignment="1">
      <alignment vertical="center"/>
    </xf>
    <xf numFmtId="195" fontId="2" fillId="17" borderId="0" xfId="0" applyNumberFormat="1" applyFont="1" applyFill="1" applyBorder="1" applyAlignment="1">
      <alignment vertical="center"/>
    </xf>
    <xf numFmtId="0" fontId="11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vertical="center" wrapText="1"/>
    </xf>
    <xf numFmtId="177" fontId="2" fillId="17" borderId="0" xfId="0" applyNumberFormat="1" applyFont="1" applyFill="1" applyBorder="1" applyAlignment="1">
      <alignment vertical="center"/>
    </xf>
    <xf numFmtId="195" fontId="0" fillId="17" borderId="0" xfId="0" applyNumberFormat="1" applyFill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177" fontId="2" fillId="19" borderId="0" xfId="0" applyNumberFormat="1" applyFont="1" applyFill="1" applyBorder="1" applyAlignment="1">
      <alignment vertical="center"/>
    </xf>
    <xf numFmtId="4" fontId="7" fillId="19" borderId="0" xfId="0" applyNumberFormat="1" applyFont="1" applyFill="1" applyAlignment="1">
      <alignment vertical="center"/>
    </xf>
    <xf numFmtId="0" fontId="11" fillId="24" borderId="0" xfId="0" applyFont="1" applyFill="1" applyAlignment="1">
      <alignment horizontal="center" vertical="center"/>
    </xf>
    <xf numFmtId="177" fontId="2" fillId="24" borderId="0" xfId="0" applyNumberFormat="1" applyFont="1" applyFill="1" applyBorder="1" applyAlignment="1">
      <alignment vertical="center"/>
    </xf>
    <xf numFmtId="185" fontId="2" fillId="24" borderId="0" xfId="0" applyNumberFormat="1" applyFont="1" applyFill="1" applyBorder="1" applyAlignment="1">
      <alignment horizontal="center" vertical="center" wrapText="1"/>
    </xf>
    <xf numFmtId="195" fontId="2" fillId="24" borderId="0" xfId="0" applyNumberFormat="1" applyFont="1" applyFill="1" applyBorder="1" applyAlignment="1">
      <alignment vertical="center"/>
    </xf>
    <xf numFmtId="4" fontId="2" fillId="24" borderId="0" xfId="0" applyNumberFormat="1" applyFont="1" applyFill="1" applyAlignment="1">
      <alignment vertical="center"/>
    </xf>
    <xf numFmtId="4" fontId="7" fillId="24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177" fontId="2" fillId="18" borderId="0" xfId="0" applyNumberFormat="1" applyFont="1" applyFill="1" applyBorder="1" applyAlignment="1">
      <alignment vertical="center"/>
    </xf>
    <xf numFmtId="185" fontId="2" fillId="18" borderId="0" xfId="0" applyNumberFormat="1" applyFont="1" applyFill="1" applyBorder="1" applyAlignment="1">
      <alignment horizontal="center" vertical="center" wrapText="1"/>
    </xf>
    <xf numFmtId="0" fontId="0" fillId="18" borderId="0" xfId="0" applyFill="1" applyBorder="1" applyAlignment="1">
      <alignment vertical="center" wrapText="1"/>
    </xf>
    <xf numFmtId="195" fontId="2" fillId="18" borderId="0" xfId="0" applyNumberFormat="1" applyFont="1" applyFill="1" applyBorder="1" applyAlignment="1">
      <alignment vertical="center"/>
    </xf>
    <xf numFmtId="195" fontId="19" fillId="0" borderId="0" xfId="0" applyNumberFormat="1" applyFont="1" applyAlignment="1">
      <alignment vertical="center"/>
    </xf>
    <xf numFmtId="0" fontId="5" fillId="17" borderId="0" xfId="2" applyFill="1" applyAlignment="1" applyProtection="1">
      <alignment vertical="center" wrapText="1"/>
    </xf>
    <xf numFmtId="0" fontId="22" fillId="24" borderId="0" xfId="0" applyFont="1" applyFill="1" applyAlignment="1">
      <alignment horizontal="center" vertical="center"/>
    </xf>
    <xf numFmtId="0" fontId="2" fillId="24" borderId="0" xfId="0" applyFont="1" applyFill="1" applyAlignment="1">
      <alignment vertical="center"/>
    </xf>
    <xf numFmtId="0" fontId="2" fillId="24" borderId="0" xfId="0" applyFont="1" applyFill="1" applyAlignment="1">
      <alignment horizontal="center" vertical="center" wrapText="1"/>
    </xf>
    <xf numFmtId="0" fontId="2" fillId="24" borderId="0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 wrapText="1"/>
    </xf>
    <xf numFmtId="0" fontId="2" fillId="24" borderId="0" xfId="0" applyFont="1" applyFill="1" applyAlignment="1">
      <alignment vertical="center" wrapText="1"/>
    </xf>
    <xf numFmtId="0" fontId="2" fillId="17" borderId="0" xfId="0" applyFont="1" applyFill="1" applyAlignment="1">
      <alignment horizontal="left" vertical="center"/>
    </xf>
    <xf numFmtId="177" fontId="2" fillId="17" borderId="0" xfId="0" applyNumberFormat="1" applyFont="1" applyFill="1" applyAlignment="1">
      <alignment horizontal="center" vertical="center"/>
    </xf>
    <xf numFmtId="4" fontId="33" fillId="17" borderId="0" xfId="0" applyNumberFormat="1" applyFont="1" applyFill="1" applyAlignment="1">
      <alignment vertical="center"/>
    </xf>
    <xf numFmtId="177" fontId="0" fillId="17" borderId="0" xfId="0" applyNumberFormat="1" applyFill="1" applyAlignment="1">
      <alignment horizontal="center" vertical="center"/>
    </xf>
    <xf numFmtId="179" fontId="2" fillId="17" borderId="0" xfId="1" applyNumberFormat="1" applyFont="1" applyFill="1" applyAlignment="1">
      <alignment horizontal="right" vertical="center"/>
    </xf>
    <xf numFmtId="195" fontId="11" fillId="5" borderId="0" xfId="0" applyNumberFormat="1" applyFont="1" applyFill="1" applyAlignment="1">
      <alignment vertical="center"/>
    </xf>
    <xf numFmtId="195" fontId="11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95" fontId="34" fillId="0" borderId="0" xfId="0" applyNumberFormat="1" applyFont="1" applyAlignment="1">
      <alignment vertical="center"/>
    </xf>
    <xf numFmtId="0" fontId="7" fillId="23" borderId="0" xfId="0" applyFont="1" applyFill="1" applyAlignment="1">
      <alignment horizontal="center" vertical="center"/>
    </xf>
    <xf numFmtId="0" fontId="11" fillId="23" borderId="0" xfId="0" applyFont="1" applyFill="1" applyAlignment="1">
      <alignment horizontal="center" vertical="center"/>
    </xf>
    <xf numFmtId="0" fontId="0" fillId="23" borderId="0" xfId="0" applyFill="1" applyAlignment="1">
      <alignment vertical="center"/>
    </xf>
    <xf numFmtId="0" fontId="0" fillId="23" borderId="0" xfId="0" applyFill="1" applyAlignment="1">
      <alignment horizontal="center" vertical="center" wrapText="1"/>
    </xf>
    <xf numFmtId="177" fontId="2" fillId="23" borderId="0" xfId="0" applyNumberFormat="1" applyFont="1" applyFill="1" applyBorder="1" applyAlignment="1">
      <alignment vertical="center"/>
    </xf>
    <xf numFmtId="180" fontId="2" fillId="23" borderId="0" xfId="0" applyNumberFormat="1" applyFont="1" applyFill="1" applyAlignment="1">
      <alignment horizontal="center" vertical="center"/>
    </xf>
    <xf numFmtId="0" fontId="0" fillId="23" borderId="0" xfId="0" applyFill="1" applyBorder="1" applyAlignment="1">
      <alignment vertical="center" wrapText="1"/>
    </xf>
    <xf numFmtId="0" fontId="7" fillId="23" borderId="0" xfId="0" applyFont="1" applyFill="1" applyAlignment="1">
      <alignment vertical="center"/>
    </xf>
    <xf numFmtId="4" fontId="7" fillId="23" borderId="0" xfId="0" applyNumberFormat="1" applyFont="1" applyFill="1" applyAlignment="1">
      <alignment vertical="center"/>
    </xf>
    <xf numFmtId="0" fontId="0" fillId="0" borderId="0" xfId="0" applyAlignment="1"/>
    <xf numFmtId="178" fontId="0" fillId="0" borderId="0" xfId="1" applyNumberFormat="1" applyFont="1" applyAlignment="1"/>
    <xf numFmtId="0" fontId="0" fillId="0" borderId="12" xfId="0" applyBorder="1" applyAlignment="1"/>
    <xf numFmtId="0" fontId="0" fillId="0" borderId="3" xfId="0" applyBorder="1" applyAlignment="1"/>
    <xf numFmtId="0" fontId="26" fillId="6" borderId="10" xfId="0" applyFont="1" applyFill="1" applyBorder="1" applyAlignment="1">
      <alignment vertical="center" wrapText="1"/>
    </xf>
    <xf numFmtId="0" fontId="26" fillId="6" borderId="7" xfId="0" applyFont="1" applyFill="1" applyBorder="1" applyAlignment="1">
      <alignment vertical="center"/>
    </xf>
    <xf numFmtId="0" fontId="35" fillId="15" borderId="0" xfId="0" applyFont="1" applyFill="1" applyAlignment="1">
      <alignment vertical="center"/>
    </xf>
    <xf numFmtId="198" fontId="0" fillId="0" borderId="0" xfId="1" applyNumberFormat="1" applyFont="1" applyAlignment="1">
      <alignment horizontal="right"/>
    </xf>
    <xf numFmtId="198" fontId="0" fillId="0" borderId="12" xfId="1" applyNumberFormat="1" applyFont="1" applyBorder="1" applyAlignment="1">
      <alignment horizontal="right"/>
    </xf>
    <xf numFmtId="198" fontId="0" fillId="0" borderId="3" xfId="1" applyNumberFormat="1" applyFont="1" applyBorder="1" applyAlignment="1">
      <alignment horizontal="right"/>
    </xf>
    <xf numFmtId="198" fontId="27" fillId="0" borderId="0" xfId="1" applyNumberFormat="1" applyFont="1" applyFill="1" applyBorder="1" applyAlignment="1">
      <alignment horizontal="right" vertical="center"/>
    </xf>
    <xf numFmtId="198" fontId="27" fillId="0" borderId="3" xfId="1" applyNumberFormat="1" applyFont="1" applyFill="1" applyBorder="1" applyAlignment="1">
      <alignment horizontal="right" vertical="center"/>
    </xf>
    <xf numFmtId="198" fontId="0" fillId="0" borderId="0" xfId="1" applyNumberFormat="1" applyFont="1" applyAlignment="1"/>
    <xf numFmtId="198" fontId="0" fillId="0" borderId="12" xfId="1" applyNumberFormat="1" applyFont="1" applyBorder="1" applyAlignment="1"/>
    <xf numFmtId="198" fontId="0" fillId="0" borderId="3" xfId="1" applyNumberFormat="1" applyFont="1" applyBorder="1" applyAlignment="1"/>
    <xf numFmtId="198" fontId="26" fillId="6" borderId="4" xfId="1" applyNumberFormat="1" applyFont="1" applyFill="1" applyBorder="1" applyAlignment="1">
      <alignment horizontal="center" vertical="center"/>
    </xf>
    <xf numFmtId="198" fontId="26" fillId="6" borderId="5" xfId="1" applyNumberFormat="1" applyFont="1" applyFill="1" applyBorder="1" applyAlignment="1">
      <alignment horizontal="right" vertical="center"/>
    </xf>
    <xf numFmtId="198" fontId="0" fillId="0" borderId="0" xfId="1" applyNumberFormat="1" applyFont="1" applyAlignment="1">
      <alignment vertical="center"/>
    </xf>
    <xf numFmtId="198" fontId="26" fillId="6" borderId="4" xfId="1" applyNumberFormat="1" applyFont="1" applyFill="1" applyBorder="1" applyAlignment="1">
      <alignment horizontal="center" vertical="center" wrapText="1"/>
    </xf>
    <xf numFmtId="198" fontId="26" fillId="6" borderId="5" xfId="1" applyNumberFormat="1" applyFont="1" applyFill="1" applyBorder="1" applyAlignment="1">
      <alignment horizontal="center" vertical="center" wrapText="1"/>
    </xf>
    <xf numFmtId="198" fontId="27" fillId="0" borderId="11" xfId="1" applyNumberFormat="1" applyFont="1" applyFill="1" applyBorder="1" applyAlignment="1">
      <alignment horizontal="center" vertical="center"/>
    </xf>
    <xf numFmtId="198" fontId="27" fillId="0" borderId="12" xfId="1" applyNumberFormat="1" applyFont="1" applyFill="1" applyBorder="1" applyAlignment="1">
      <alignment horizontal="center" vertical="center"/>
    </xf>
    <xf numFmtId="198" fontId="27" fillId="0" borderId="0" xfId="1" applyNumberFormat="1" applyFont="1" applyFill="1" applyBorder="1" applyAlignment="1">
      <alignment horizontal="center" vertical="center"/>
    </xf>
    <xf numFmtId="198" fontId="27" fillId="0" borderId="3" xfId="1" applyNumberFormat="1" applyFont="1" applyFill="1" applyBorder="1" applyAlignment="1">
      <alignment horizontal="center" vertical="center"/>
    </xf>
    <xf numFmtId="198" fontId="26" fillId="6" borderId="5" xfId="1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vertical="center"/>
    </xf>
    <xf numFmtId="184" fontId="2" fillId="22" borderId="0" xfId="0" applyNumberFormat="1" applyFont="1" applyFill="1" applyBorder="1" applyAlignment="1">
      <alignment vertical="center"/>
    </xf>
    <xf numFmtId="0" fontId="2" fillId="22" borderId="0" xfId="0" applyFont="1" applyFill="1" applyBorder="1" applyAlignment="1">
      <alignment horizontal="center" vertical="center" wrapText="1"/>
    </xf>
    <xf numFmtId="0" fontId="0" fillId="22" borderId="0" xfId="0" applyFont="1" applyFill="1" applyAlignment="1">
      <alignment horizontal="center" vertical="center"/>
    </xf>
    <xf numFmtId="0" fontId="0" fillId="22" borderId="0" xfId="0" applyFill="1" applyBorder="1" applyAlignment="1">
      <alignment horizontal="center" vertical="center" wrapText="1"/>
    </xf>
    <xf numFmtId="187" fontId="2" fillId="22" borderId="0" xfId="0" applyNumberFormat="1" applyFont="1" applyFill="1" applyBorder="1" applyAlignment="1">
      <alignment horizontal="center" vertical="center"/>
    </xf>
    <xf numFmtId="0" fontId="21" fillId="28" borderId="0" xfId="0" applyFont="1" applyFill="1" applyBorder="1">
      <alignment vertical="top"/>
    </xf>
    <xf numFmtId="0" fontId="3" fillId="28" borderId="0" xfId="0" applyFont="1" applyFill="1" applyAlignment="1">
      <alignment horizontal="center" vertical="center"/>
    </xf>
    <xf numFmtId="0" fontId="0" fillId="28" borderId="0" xfId="0" applyFill="1" applyAlignment="1">
      <alignment horizontal="left" vertical="center"/>
    </xf>
    <xf numFmtId="0" fontId="0" fillId="28" borderId="0" xfId="0" applyFill="1" applyAlignment="1">
      <alignment vertical="center" wrapText="1"/>
    </xf>
    <xf numFmtId="188" fontId="11" fillId="28" borderId="0" xfId="0" applyNumberFormat="1" applyFont="1" applyFill="1" applyAlignment="1">
      <alignment horizontal="center" vertical="center" wrapText="1"/>
    </xf>
    <xf numFmtId="0" fontId="0" fillId="28" borderId="0" xfId="0" applyFill="1" applyBorder="1" applyAlignment="1">
      <alignment horizontal="center" vertical="center"/>
    </xf>
    <xf numFmtId="177" fontId="3" fillId="28" borderId="0" xfId="0" applyNumberFormat="1" applyFont="1" applyFill="1" applyAlignment="1">
      <alignment horizontal="right" vertical="center"/>
    </xf>
    <xf numFmtId="0" fontId="3" fillId="28" borderId="0" xfId="0" applyFont="1" applyFill="1" applyBorder="1" applyAlignment="1">
      <alignment horizontal="center" vertical="center"/>
    </xf>
    <xf numFmtId="180" fontId="0" fillId="28" borderId="0" xfId="0" applyNumberFormat="1" applyFill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185" fontId="0" fillId="28" borderId="0" xfId="0" applyNumberFormat="1" applyFill="1" applyBorder="1" applyAlignment="1">
      <alignment horizontal="center" vertical="center" wrapText="1"/>
    </xf>
    <xf numFmtId="194" fontId="2" fillId="28" borderId="0" xfId="0" applyNumberFormat="1" applyFont="1" applyFill="1" applyBorder="1" applyAlignment="1">
      <alignment vertical="center"/>
    </xf>
    <xf numFmtId="15" fontId="3" fillId="28" borderId="0" xfId="0" applyNumberFormat="1" applyFont="1" applyFill="1" applyBorder="1" applyAlignment="1">
      <alignment horizontal="center" vertical="center"/>
    </xf>
    <xf numFmtId="4" fontId="11" fillId="28" borderId="0" xfId="0" applyNumberFormat="1" applyFont="1" applyFill="1" applyAlignment="1">
      <alignment vertical="center" wrapText="1"/>
    </xf>
    <xf numFmtId="4" fontId="11" fillId="28" borderId="0" xfId="0" applyNumberFormat="1" applyFont="1" applyFill="1" applyAlignment="1">
      <alignment vertical="center"/>
    </xf>
    <xf numFmtId="193" fontId="11" fillId="28" borderId="0" xfId="0" applyNumberFormat="1" applyFont="1" applyFill="1" applyAlignment="1">
      <alignment horizontal="center" vertical="center"/>
    </xf>
    <xf numFmtId="195" fontId="0" fillId="28" borderId="0" xfId="0" applyNumberFormat="1" applyFill="1" applyAlignment="1">
      <alignment horizontal="center" vertical="center"/>
    </xf>
    <xf numFmtId="0" fontId="11" fillId="28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182" fontId="11" fillId="28" borderId="0" xfId="0" applyNumberFormat="1" applyFont="1" applyFill="1" applyAlignment="1">
      <alignment horizontal="center" vertical="center"/>
    </xf>
    <xf numFmtId="3" fontId="18" fillId="28" borderId="0" xfId="0" applyNumberFormat="1" applyFont="1" applyFill="1" applyAlignment="1">
      <alignment vertical="center"/>
    </xf>
    <xf numFmtId="0" fontId="2" fillId="28" borderId="0" xfId="0" applyFont="1" applyFill="1" applyAlignment="1">
      <alignment horizontal="center" vertical="center" wrapText="1"/>
    </xf>
    <xf numFmtId="177" fontId="0" fillId="22" borderId="0" xfId="0" applyNumberFormat="1" applyFill="1" applyAlignment="1">
      <alignment horizontal="right" vertical="center"/>
    </xf>
    <xf numFmtId="0" fontId="7" fillId="29" borderId="0" xfId="0" applyFont="1" applyFill="1" applyAlignment="1">
      <alignment horizontal="center" vertical="center"/>
    </xf>
    <xf numFmtId="0" fontId="11" fillId="29" borderId="0" xfId="0" applyFont="1" applyFill="1" applyAlignment="1">
      <alignment horizontal="center" vertical="center"/>
    </xf>
    <xf numFmtId="0" fontId="0" fillId="29" borderId="0" xfId="0" applyFill="1" applyAlignment="1">
      <alignment horizontal="left" vertical="center"/>
    </xf>
    <xf numFmtId="0" fontId="0" fillId="29" borderId="0" xfId="0" applyFill="1" applyAlignment="1">
      <alignment vertical="center" wrapText="1"/>
    </xf>
    <xf numFmtId="0" fontId="0" fillId="29" borderId="0" xfId="0" applyFill="1" applyAlignment="1">
      <alignment horizontal="center" vertical="center" wrapText="1"/>
    </xf>
    <xf numFmtId="188" fontId="11" fillId="29" borderId="0" xfId="0" applyNumberFormat="1" applyFont="1" applyFill="1" applyAlignment="1">
      <alignment horizontal="center" vertical="center" wrapText="1"/>
    </xf>
    <xf numFmtId="0" fontId="0" fillId="29" borderId="0" xfId="0" applyFill="1" applyBorder="1" applyAlignment="1">
      <alignment horizontal="center" vertical="center"/>
    </xf>
    <xf numFmtId="177" fontId="3" fillId="29" borderId="0" xfId="0" applyNumberFormat="1" applyFont="1" applyFill="1" applyAlignment="1">
      <alignment horizontal="right" vertical="center"/>
    </xf>
    <xf numFmtId="0" fontId="3" fillId="29" borderId="0" xfId="0" applyFont="1" applyFill="1" applyBorder="1" applyAlignment="1">
      <alignment horizontal="center" vertical="center"/>
    </xf>
    <xf numFmtId="180" fontId="0" fillId="29" borderId="0" xfId="0" applyNumberFormat="1" applyFill="1" applyAlignment="1">
      <alignment horizontal="center" vertical="center" wrapText="1"/>
    </xf>
    <xf numFmtId="185" fontId="0" fillId="29" borderId="0" xfId="0" applyNumberFormat="1" applyFill="1" applyBorder="1" applyAlignment="1">
      <alignment horizontal="center" vertical="center" wrapText="1"/>
    </xf>
    <xf numFmtId="0" fontId="0" fillId="29" borderId="0" xfId="0" applyFill="1" applyBorder="1" applyAlignment="1">
      <alignment vertical="center" wrapText="1"/>
    </xf>
    <xf numFmtId="194" fontId="2" fillId="29" borderId="0" xfId="0" applyNumberFormat="1" applyFont="1" applyFill="1" applyBorder="1" applyAlignment="1">
      <alignment vertical="center"/>
    </xf>
    <xf numFmtId="15" fontId="3" fillId="29" borderId="0" xfId="0" applyNumberFormat="1" applyFont="1" applyFill="1" applyBorder="1" applyAlignment="1">
      <alignment horizontal="center" vertical="center"/>
    </xf>
    <xf numFmtId="4" fontId="11" fillId="29" borderId="0" xfId="0" applyNumberFormat="1" applyFont="1" applyFill="1" applyAlignment="1">
      <alignment vertical="center"/>
    </xf>
    <xf numFmtId="193" fontId="11" fillId="29" borderId="0" xfId="0" applyNumberFormat="1" applyFont="1" applyFill="1" applyAlignment="1">
      <alignment horizontal="center" vertical="center"/>
    </xf>
    <xf numFmtId="195" fontId="0" fillId="29" borderId="0" xfId="0" applyNumberFormat="1" applyFill="1" applyAlignment="1">
      <alignment horizontal="center" vertical="center"/>
    </xf>
    <xf numFmtId="0" fontId="11" fillId="29" borderId="0" xfId="0" applyFont="1" applyFill="1" applyAlignment="1">
      <alignment vertical="center"/>
    </xf>
    <xf numFmtId="0" fontId="7" fillId="29" borderId="0" xfId="0" applyFont="1" applyFill="1" applyAlignment="1">
      <alignment vertical="center"/>
    </xf>
    <xf numFmtId="182" fontId="11" fillId="29" borderId="0" xfId="0" applyNumberFormat="1" applyFont="1" applyFill="1" applyAlignment="1">
      <alignment horizontal="center" vertical="center"/>
    </xf>
    <xf numFmtId="3" fontId="18" fillId="29" borderId="0" xfId="0" applyNumberFormat="1" applyFont="1" applyFill="1" applyAlignment="1">
      <alignment vertical="center"/>
    </xf>
    <xf numFmtId="0" fontId="0" fillId="29" borderId="0" xfId="0" applyFill="1" applyAlignment="1">
      <alignment vertical="center"/>
    </xf>
    <xf numFmtId="0" fontId="0" fillId="16" borderId="0" xfId="0" applyFill="1" applyAlignment="1">
      <alignment horizontal="center" vertical="center" wrapText="1"/>
    </xf>
    <xf numFmtId="0" fontId="2" fillId="26" borderId="0" xfId="0" applyFont="1" applyFill="1" applyAlignment="1">
      <alignment horizontal="left" vertical="center"/>
    </xf>
    <xf numFmtId="0" fontId="2" fillId="26" borderId="0" xfId="0" applyFont="1" applyFill="1" applyAlignment="1">
      <alignment horizontal="center" vertical="center"/>
    </xf>
    <xf numFmtId="0" fontId="22" fillId="26" borderId="0" xfId="0" applyFont="1" applyFill="1" applyAlignment="1">
      <alignment horizontal="center" vertical="center"/>
    </xf>
    <xf numFmtId="0" fontId="2" fillId="26" borderId="0" xfId="0" applyFont="1" applyFill="1" applyAlignment="1">
      <alignment vertical="center"/>
    </xf>
    <xf numFmtId="0" fontId="0" fillId="26" borderId="0" xfId="0" applyFill="1" applyAlignment="1">
      <alignment vertical="center" wrapText="1"/>
    </xf>
    <xf numFmtId="0" fontId="2" fillId="26" borderId="0" xfId="0" applyFont="1" applyFill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188" fontId="11" fillId="26" borderId="0" xfId="0" applyNumberFormat="1" applyFont="1" applyFill="1" applyAlignment="1">
      <alignment horizontal="center" vertical="center" wrapText="1"/>
    </xf>
    <xf numFmtId="0" fontId="2" fillId="26" borderId="0" xfId="0" applyFont="1" applyFill="1" applyBorder="1" applyAlignment="1">
      <alignment horizontal="center" vertical="center"/>
    </xf>
    <xf numFmtId="177" fontId="2" fillId="26" borderId="0" xfId="0" applyNumberFormat="1" applyFont="1" applyFill="1" applyAlignment="1">
      <alignment horizontal="right" vertical="center"/>
    </xf>
    <xf numFmtId="180" fontId="2" fillId="26" borderId="0" xfId="0" applyNumberFormat="1" applyFont="1" applyFill="1" applyAlignment="1">
      <alignment horizontal="center" vertical="center"/>
    </xf>
    <xf numFmtId="185" fontId="2" fillId="26" borderId="0" xfId="0" applyNumberFormat="1" applyFont="1" applyFill="1" applyBorder="1" applyAlignment="1">
      <alignment horizontal="center" vertical="center" wrapText="1"/>
    </xf>
    <xf numFmtId="0" fontId="2" fillId="26" borderId="0" xfId="0" applyFont="1" applyFill="1" applyBorder="1" applyAlignment="1">
      <alignment vertical="center" wrapText="1"/>
    </xf>
    <xf numFmtId="0" fontId="2" fillId="26" borderId="0" xfId="0" applyFont="1" applyFill="1" applyAlignment="1">
      <alignment vertical="center" wrapText="1"/>
    </xf>
    <xf numFmtId="195" fontId="2" fillId="26" borderId="0" xfId="0" applyNumberFormat="1" applyFont="1" applyFill="1" applyBorder="1" applyAlignment="1">
      <alignment vertical="center"/>
    </xf>
    <xf numFmtId="15" fontId="2" fillId="26" borderId="0" xfId="0" applyNumberFormat="1" applyFont="1" applyFill="1" applyBorder="1" applyAlignment="1">
      <alignment horizontal="center" vertical="center"/>
    </xf>
    <xf numFmtId="4" fontId="11" fillId="26" borderId="0" xfId="0" applyNumberFormat="1" applyFont="1" applyFill="1" applyAlignment="1">
      <alignment vertical="center"/>
    </xf>
    <xf numFmtId="4" fontId="2" fillId="26" borderId="0" xfId="0" applyNumberFormat="1" applyFont="1" applyFill="1" applyAlignment="1">
      <alignment vertical="center"/>
    </xf>
    <xf numFmtId="0" fontId="0" fillId="26" borderId="0" xfId="0" applyFill="1" applyAlignment="1">
      <alignment horizontal="center" vertical="center"/>
    </xf>
    <xf numFmtId="195" fontId="0" fillId="26" borderId="0" xfId="0" applyNumberFormat="1" applyFill="1" applyAlignment="1">
      <alignment horizontal="center" vertical="center"/>
    </xf>
    <xf numFmtId="0" fontId="11" fillId="26" borderId="0" xfId="0" applyFont="1" applyFill="1" applyAlignment="1">
      <alignment vertical="center"/>
    </xf>
    <xf numFmtId="182" fontId="11" fillId="26" borderId="0" xfId="0" applyNumberFormat="1" applyFont="1" applyFill="1" applyAlignment="1">
      <alignment horizontal="center" vertical="center"/>
    </xf>
    <xf numFmtId="3" fontId="18" fillId="26" borderId="0" xfId="0" applyNumberFormat="1" applyFont="1" applyFill="1" applyAlignment="1">
      <alignment vertical="center"/>
    </xf>
    <xf numFmtId="0" fontId="2" fillId="30" borderId="0" xfId="0" applyFont="1" applyFill="1" applyAlignment="1">
      <alignment horizontal="left" vertical="center"/>
    </xf>
    <xf numFmtId="0" fontId="2" fillId="30" borderId="0" xfId="0" applyFont="1" applyFill="1" applyAlignment="1">
      <alignment horizontal="center" vertical="center"/>
    </xf>
    <xf numFmtId="0" fontId="22" fillId="30" borderId="0" xfId="0" applyFont="1" applyFill="1" applyAlignment="1">
      <alignment horizontal="center" vertical="center"/>
    </xf>
    <xf numFmtId="0" fontId="2" fillId="30" borderId="0" xfId="0" applyFont="1" applyFill="1" applyAlignment="1">
      <alignment vertical="center"/>
    </xf>
    <xf numFmtId="0" fontId="0" fillId="30" borderId="0" xfId="0" applyFill="1" applyAlignment="1">
      <alignment vertical="center" wrapText="1"/>
    </xf>
    <xf numFmtId="0" fontId="2" fillId="30" borderId="0" xfId="0" applyFont="1" applyFill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188" fontId="11" fillId="30" borderId="0" xfId="0" applyNumberFormat="1" applyFont="1" applyFill="1" applyAlignment="1">
      <alignment horizontal="center" vertical="center" wrapText="1"/>
    </xf>
    <xf numFmtId="0" fontId="2" fillId="30" borderId="0" xfId="0" applyFont="1" applyFill="1" applyBorder="1" applyAlignment="1">
      <alignment horizontal="center" vertical="center"/>
    </xf>
    <xf numFmtId="177" fontId="2" fillId="30" borderId="0" xfId="0" applyNumberFormat="1" applyFont="1" applyFill="1" applyAlignment="1">
      <alignment horizontal="right" vertical="center"/>
    </xf>
    <xf numFmtId="180" fontId="2" fillId="30" borderId="0" xfId="0" applyNumberFormat="1" applyFont="1" applyFill="1" applyAlignment="1">
      <alignment horizontal="center" vertical="center"/>
    </xf>
    <xf numFmtId="185" fontId="0" fillId="30" borderId="0" xfId="0" applyNumberFormat="1" applyFill="1" applyBorder="1" applyAlignment="1">
      <alignment horizontal="center" vertical="center" wrapText="1"/>
    </xf>
    <xf numFmtId="0" fontId="0" fillId="30" borderId="0" xfId="0" applyFill="1" applyBorder="1" applyAlignment="1">
      <alignment vertical="center" wrapText="1"/>
    </xf>
    <xf numFmtId="195" fontId="2" fillId="30" borderId="0" xfId="0" applyNumberFormat="1" applyFont="1" applyFill="1" applyBorder="1" applyAlignment="1">
      <alignment vertical="center"/>
    </xf>
    <xf numFmtId="15" fontId="2" fillId="30" borderId="0" xfId="0" applyNumberFormat="1" applyFont="1" applyFill="1" applyBorder="1" applyAlignment="1">
      <alignment horizontal="center" vertical="center"/>
    </xf>
    <xf numFmtId="4" fontId="11" fillId="30" borderId="0" xfId="0" applyNumberFormat="1" applyFont="1" applyFill="1" applyAlignment="1">
      <alignment vertical="center"/>
    </xf>
    <xf numFmtId="4" fontId="2" fillId="30" borderId="0" xfId="0" applyNumberFormat="1" applyFont="1" applyFill="1" applyAlignment="1">
      <alignment vertical="center"/>
    </xf>
    <xf numFmtId="0" fontId="0" fillId="30" borderId="0" xfId="0" applyFill="1" applyAlignment="1">
      <alignment horizontal="center" vertical="center"/>
    </xf>
    <xf numFmtId="195" fontId="0" fillId="30" borderId="0" xfId="0" applyNumberFormat="1" applyFill="1" applyAlignment="1">
      <alignment horizontal="center" vertical="center"/>
    </xf>
    <xf numFmtId="0" fontId="11" fillId="30" borderId="0" xfId="0" applyFont="1" applyFill="1" applyAlignment="1">
      <alignment vertical="center"/>
    </xf>
    <xf numFmtId="0" fontId="2" fillId="30" borderId="0" xfId="0" applyFont="1" applyFill="1" applyAlignment="1">
      <alignment vertical="center" wrapText="1"/>
    </xf>
    <xf numFmtId="182" fontId="11" fillId="30" borderId="0" xfId="0" applyNumberFormat="1" applyFont="1" applyFill="1" applyAlignment="1">
      <alignment horizontal="center" vertical="center"/>
    </xf>
    <xf numFmtId="3" fontId="18" fillId="30" borderId="0" xfId="0" applyNumberFormat="1" applyFont="1" applyFill="1" applyAlignment="1">
      <alignment vertical="center"/>
    </xf>
    <xf numFmtId="0" fontId="0" fillId="30" borderId="0" xfId="0" applyFill="1" applyBorder="1" applyAlignment="1">
      <alignment horizontal="center" vertical="center"/>
    </xf>
    <xf numFmtId="185" fontId="2" fillId="30" borderId="0" xfId="0" applyNumberFormat="1" applyFont="1" applyFill="1" applyBorder="1" applyAlignment="1">
      <alignment horizontal="center" vertical="center" wrapText="1"/>
    </xf>
    <xf numFmtId="0" fontId="2" fillId="30" borderId="0" xfId="0" applyFont="1" applyFill="1" applyBorder="1" applyAlignment="1">
      <alignment vertical="center" wrapText="1"/>
    </xf>
    <xf numFmtId="0" fontId="0" fillId="30" borderId="0" xfId="0" applyFill="1" applyAlignment="1">
      <alignment vertical="center"/>
    </xf>
    <xf numFmtId="0" fontId="2" fillId="31" borderId="0" xfId="0" applyFont="1" applyFill="1" applyAlignment="1">
      <alignment horizontal="left" vertical="center"/>
    </xf>
    <xf numFmtId="0" fontId="2" fillId="31" borderId="0" xfId="0" applyFont="1" applyFill="1" applyAlignment="1">
      <alignment horizontal="center" vertical="center"/>
    </xf>
    <xf numFmtId="0" fontId="22" fillId="31" borderId="0" xfId="0" applyFont="1" applyFill="1" applyAlignment="1">
      <alignment horizontal="center" vertical="center"/>
    </xf>
    <xf numFmtId="0" fontId="2" fillId="31" borderId="0" xfId="0" applyFont="1" applyFill="1" applyAlignment="1">
      <alignment vertical="center"/>
    </xf>
    <xf numFmtId="0" fontId="0" fillId="31" borderId="0" xfId="0" applyFill="1" applyAlignment="1">
      <alignment vertical="center" wrapText="1"/>
    </xf>
    <xf numFmtId="0" fontId="2" fillId="31" borderId="0" xfId="0" applyFont="1" applyFill="1" applyAlignment="1">
      <alignment horizontal="center" vertical="center" wrapText="1"/>
    </xf>
    <xf numFmtId="0" fontId="0" fillId="31" borderId="0" xfId="0" applyFill="1" applyAlignment="1">
      <alignment horizontal="center" vertical="center" wrapText="1"/>
    </xf>
    <xf numFmtId="188" fontId="11" fillId="31" borderId="0" xfId="0" applyNumberFormat="1" applyFont="1" applyFill="1" applyAlignment="1">
      <alignment horizontal="center" vertical="center" wrapText="1"/>
    </xf>
    <xf numFmtId="0" fontId="2" fillId="31" borderId="0" xfId="0" applyFont="1" applyFill="1" applyBorder="1" applyAlignment="1">
      <alignment horizontal="center" vertical="center"/>
    </xf>
    <xf numFmtId="177" fontId="2" fillId="31" borderId="0" xfId="0" applyNumberFormat="1" applyFont="1" applyFill="1" applyAlignment="1">
      <alignment horizontal="right" vertical="center"/>
    </xf>
    <xf numFmtId="180" fontId="2" fillId="31" borderId="0" xfId="0" applyNumberFormat="1" applyFont="1" applyFill="1" applyAlignment="1">
      <alignment horizontal="center" vertical="center"/>
    </xf>
    <xf numFmtId="185" fontId="0" fillId="31" borderId="0" xfId="0" applyNumberFormat="1" applyFill="1" applyBorder="1" applyAlignment="1">
      <alignment horizontal="center" vertical="center" wrapText="1"/>
    </xf>
    <xf numFmtId="0" fontId="0" fillId="31" borderId="0" xfId="0" applyFill="1" applyBorder="1" applyAlignment="1">
      <alignment vertical="center" wrapText="1"/>
    </xf>
    <xf numFmtId="195" fontId="2" fillId="31" borderId="0" xfId="0" applyNumberFormat="1" applyFont="1" applyFill="1" applyBorder="1" applyAlignment="1">
      <alignment vertical="center"/>
    </xf>
    <xf numFmtId="15" fontId="2" fillId="31" borderId="0" xfId="0" applyNumberFormat="1" applyFont="1" applyFill="1" applyBorder="1" applyAlignment="1">
      <alignment horizontal="center" vertical="center"/>
    </xf>
    <xf numFmtId="4" fontId="11" fillId="31" borderId="0" xfId="0" applyNumberFormat="1" applyFont="1" applyFill="1" applyAlignment="1">
      <alignment vertical="center"/>
    </xf>
    <xf numFmtId="4" fontId="2" fillId="31" borderId="0" xfId="0" applyNumberFormat="1" applyFont="1" applyFill="1" applyAlignment="1">
      <alignment vertical="center"/>
    </xf>
    <xf numFmtId="0" fontId="0" fillId="31" borderId="0" xfId="0" applyFill="1" applyAlignment="1">
      <alignment horizontal="center" vertical="center"/>
    </xf>
    <xf numFmtId="195" fontId="0" fillId="31" borderId="0" xfId="0" applyNumberFormat="1" applyFill="1" applyAlignment="1">
      <alignment horizontal="center" vertical="center"/>
    </xf>
    <xf numFmtId="0" fontId="11" fillId="31" borderId="0" xfId="0" applyFont="1" applyFill="1" applyAlignment="1">
      <alignment vertical="center"/>
    </xf>
    <xf numFmtId="0" fontId="2" fillId="31" borderId="0" xfId="0" applyFont="1" applyFill="1" applyAlignment="1">
      <alignment vertical="center" wrapText="1"/>
    </xf>
    <xf numFmtId="182" fontId="11" fillId="31" borderId="0" xfId="0" applyNumberFormat="1" applyFont="1" applyFill="1" applyAlignment="1">
      <alignment horizontal="center" vertical="center"/>
    </xf>
    <xf numFmtId="3" fontId="18" fillId="31" borderId="0" xfId="0" applyNumberFormat="1" applyFont="1" applyFill="1" applyAlignment="1">
      <alignment vertical="center"/>
    </xf>
    <xf numFmtId="0" fontId="2" fillId="29" borderId="0" xfId="0" applyFont="1" applyFill="1" applyAlignment="1">
      <alignment horizontal="left" vertical="center"/>
    </xf>
    <xf numFmtId="0" fontId="2" fillId="29" borderId="0" xfId="0" applyFont="1" applyFill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0" fontId="2" fillId="29" borderId="0" xfId="0" applyFont="1" applyFill="1" applyAlignment="1">
      <alignment vertical="center"/>
    </xf>
    <xf numFmtId="0" fontId="2" fillId="29" borderId="0" xfId="0" applyFont="1" applyFill="1" applyAlignment="1">
      <alignment horizontal="center" vertical="center" wrapText="1"/>
    </xf>
    <xf numFmtId="0" fontId="2" fillId="29" borderId="0" xfId="0" applyFont="1" applyFill="1" applyBorder="1" applyAlignment="1">
      <alignment horizontal="center" vertical="center"/>
    </xf>
    <xf numFmtId="177" fontId="2" fillId="29" borderId="0" xfId="0" applyNumberFormat="1" applyFont="1" applyFill="1" applyAlignment="1">
      <alignment horizontal="right" vertical="center"/>
    </xf>
    <xf numFmtId="180" fontId="2" fillId="29" borderId="0" xfId="0" applyNumberFormat="1" applyFont="1" applyFill="1" applyAlignment="1">
      <alignment horizontal="center" vertical="center"/>
    </xf>
    <xf numFmtId="195" fontId="2" fillId="29" borderId="0" xfId="0" applyNumberFormat="1" applyFont="1" applyFill="1" applyBorder="1" applyAlignment="1">
      <alignment vertical="center"/>
    </xf>
    <xf numFmtId="15" fontId="2" fillId="29" borderId="0" xfId="0" applyNumberFormat="1" applyFont="1" applyFill="1" applyBorder="1" applyAlignment="1">
      <alignment horizontal="center" vertical="center"/>
    </xf>
    <xf numFmtId="4" fontId="2" fillId="29" borderId="0" xfId="0" applyNumberFormat="1" applyFont="1" applyFill="1" applyAlignment="1">
      <alignment vertical="center"/>
    </xf>
    <xf numFmtId="0" fontId="0" fillId="29" borderId="0" xfId="0" applyFill="1" applyAlignment="1">
      <alignment horizontal="center" vertical="center"/>
    </xf>
    <xf numFmtId="0" fontId="2" fillId="29" borderId="0" xfId="0" applyFont="1" applyFill="1" applyAlignment="1">
      <alignment vertical="center" wrapText="1"/>
    </xf>
    <xf numFmtId="0" fontId="21" fillId="30" borderId="0" xfId="0" applyFont="1" applyFill="1" applyBorder="1">
      <alignment vertical="top"/>
    </xf>
    <xf numFmtId="0" fontId="3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left" vertical="center"/>
    </xf>
    <xf numFmtId="177" fontId="3" fillId="30" borderId="0" xfId="0" applyNumberFormat="1" applyFont="1" applyFill="1" applyAlignment="1">
      <alignment horizontal="right" vertical="center"/>
    </xf>
    <xf numFmtId="0" fontId="3" fillId="30" borderId="0" xfId="0" applyFont="1" applyFill="1" applyBorder="1" applyAlignment="1">
      <alignment horizontal="center" vertical="center"/>
    </xf>
    <xf numFmtId="180" fontId="0" fillId="30" borderId="0" xfId="0" applyNumberFormat="1" applyFill="1" applyAlignment="1">
      <alignment horizontal="center" vertical="center" wrapText="1"/>
    </xf>
    <xf numFmtId="194" fontId="2" fillId="30" borderId="0" xfId="0" applyNumberFormat="1" applyFont="1" applyFill="1" applyBorder="1" applyAlignment="1">
      <alignment vertical="center"/>
    </xf>
    <xf numFmtId="15" fontId="3" fillId="30" borderId="0" xfId="0" applyNumberFormat="1" applyFont="1" applyFill="1" applyBorder="1" applyAlignment="1">
      <alignment horizontal="center" vertical="center"/>
    </xf>
    <xf numFmtId="4" fontId="11" fillId="30" borderId="0" xfId="0" applyNumberFormat="1" applyFont="1" applyFill="1" applyAlignment="1">
      <alignment vertical="center" wrapText="1"/>
    </xf>
    <xf numFmtId="193" fontId="11" fillId="30" borderId="0" xfId="0" applyNumberFormat="1" applyFont="1" applyFill="1" applyAlignment="1">
      <alignment horizontal="center" vertical="center"/>
    </xf>
    <xf numFmtId="0" fontId="3" fillId="30" borderId="0" xfId="0" applyFont="1" applyFill="1" applyAlignment="1">
      <alignment vertical="center"/>
    </xf>
    <xf numFmtId="177" fontId="0" fillId="30" borderId="0" xfId="0" applyNumberFormat="1" applyFill="1" applyAlignment="1">
      <alignment horizontal="right" vertical="center"/>
    </xf>
    <xf numFmtId="0" fontId="7" fillId="30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177" fontId="2" fillId="30" borderId="0" xfId="0" applyNumberFormat="1" applyFont="1" applyFill="1" applyBorder="1" applyAlignment="1">
      <alignment vertical="center"/>
    </xf>
    <xf numFmtId="0" fontId="7" fillId="30" borderId="0" xfId="0" applyFont="1" applyFill="1" applyAlignment="1">
      <alignment vertical="center"/>
    </xf>
    <xf numFmtId="4" fontId="7" fillId="30" borderId="0" xfId="0" applyNumberFormat="1" applyFont="1" applyFill="1" applyAlignment="1">
      <alignment vertical="center"/>
    </xf>
    <xf numFmtId="0" fontId="21" fillId="32" borderId="0" xfId="0" applyFont="1" applyFill="1" applyBorder="1">
      <alignment vertical="top"/>
    </xf>
    <xf numFmtId="0" fontId="3" fillId="32" borderId="0" xfId="0" applyFont="1" applyFill="1" applyAlignment="1">
      <alignment horizontal="center" vertical="center"/>
    </xf>
    <xf numFmtId="0" fontId="0" fillId="32" borderId="0" xfId="0" applyFill="1" applyAlignment="1">
      <alignment horizontal="left" vertical="center"/>
    </xf>
    <xf numFmtId="0" fontId="0" fillId="32" borderId="0" xfId="0" applyFill="1" applyAlignment="1">
      <alignment vertical="center" wrapText="1"/>
    </xf>
    <xf numFmtId="0" fontId="0" fillId="32" borderId="0" xfId="0" applyFill="1" applyAlignment="1">
      <alignment horizontal="center" vertical="center" wrapText="1"/>
    </xf>
    <xf numFmtId="188" fontId="11" fillId="32" borderId="0" xfId="0" applyNumberFormat="1" applyFont="1" applyFill="1" applyAlignment="1">
      <alignment horizontal="center" vertical="center" wrapText="1"/>
    </xf>
    <xf numFmtId="0" fontId="0" fillId="32" borderId="0" xfId="0" applyFill="1" applyBorder="1" applyAlignment="1">
      <alignment horizontal="center" vertical="center"/>
    </xf>
    <xf numFmtId="177" fontId="3" fillId="32" borderId="0" xfId="0" applyNumberFormat="1" applyFont="1" applyFill="1" applyAlignment="1">
      <alignment horizontal="right" vertical="center"/>
    </xf>
    <xf numFmtId="0" fontId="3" fillId="32" borderId="0" xfId="0" applyFont="1" applyFill="1" applyBorder="1" applyAlignment="1">
      <alignment horizontal="center" vertical="center"/>
    </xf>
    <xf numFmtId="180" fontId="0" fillId="32" borderId="0" xfId="0" applyNumberFormat="1" applyFill="1" applyAlignment="1">
      <alignment horizontal="center" vertical="center" wrapText="1"/>
    </xf>
    <xf numFmtId="185" fontId="0" fillId="32" borderId="0" xfId="0" applyNumberFormat="1" applyFill="1" applyBorder="1" applyAlignment="1">
      <alignment horizontal="center" vertical="center" wrapText="1"/>
    </xf>
    <xf numFmtId="0" fontId="0" fillId="32" borderId="0" xfId="0" applyFill="1" applyBorder="1" applyAlignment="1">
      <alignment vertical="center" wrapText="1"/>
    </xf>
    <xf numFmtId="194" fontId="0" fillId="32" borderId="0" xfId="0" applyNumberFormat="1" applyFill="1" applyBorder="1" applyAlignment="1">
      <alignment vertical="center"/>
    </xf>
    <xf numFmtId="194" fontId="2" fillId="32" borderId="0" xfId="0" applyNumberFormat="1" applyFont="1" applyFill="1" applyBorder="1" applyAlignment="1">
      <alignment vertical="center"/>
    </xf>
    <xf numFmtId="15" fontId="3" fillId="32" borderId="0" xfId="0" applyNumberFormat="1" applyFont="1" applyFill="1" applyBorder="1" applyAlignment="1">
      <alignment horizontal="center" vertical="center"/>
    </xf>
    <xf numFmtId="4" fontId="11" fillId="32" borderId="0" xfId="0" applyNumberFormat="1" applyFont="1" applyFill="1" applyAlignment="1">
      <alignment vertical="center" wrapText="1"/>
    </xf>
    <xf numFmtId="4" fontId="11" fillId="32" borderId="0" xfId="0" applyNumberFormat="1" applyFont="1" applyFill="1" applyAlignment="1">
      <alignment vertical="center"/>
    </xf>
    <xf numFmtId="193" fontId="11" fillId="32" borderId="0" xfId="0" applyNumberFormat="1" applyFont="1" applyFill="1" applyAlignment="1">
      <alignment horizontal="center" vertical="center"/>
    </xf>
    <xf numFmtId="195" fontId="0" fillId="32" borderId="0" xfId="0" applyNumberFormat="1" applyFill="1" applyAlignment="1">
      <alignment horizontal="center" vertical="center"/>
    </xf>
    <xf numFmtId="0" fontId="11" fillId="32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182" fontId="11" fillId="32" borderId="0" xfId="0" applyNumberFormat="1" applyFont="1" applyFill="1" applyAlignment="1">
      <alignment horizontal="center" vertical="center"/>
    </xf>
    <xf numFmtId="3" fontId="18" fillId="32" borderId="0" xfId="0" applyNumberFormat="1" applyFont="1" applyFill="1" applyAlignment="1">
      <alignment vertical="center"/>
    </xf>
    <xf numFmtId="177" fontId="0" fillId="32" borderId="0" xfId="0" applyNumberFormat="1" applyFill="1" applyAlignment="1">
      <alignment horizontal="right" vertical="center"/>
    </xf>
    <xf numFmtId="191" fontId="26" fillId="6" borderId="4" xfId="0" applyNumberFormat="1" applyFont="1" applyFill="1" applyBorder="1" applyAlignment="1">
      <alignment horizontal="center" vertical="center"/>
    </xf>
    <xf numFmtId="0" fontId="21" fillId="21" borderId="0" xfId="0" applyFont="1" applyFill="1" applyBorder="1">
      <alignment vertical="top"/>
    </xf>
    <xf numFmtId="0" fontId="3" fillId="21" borderId="0" xfId="0" applyFont="1" applyFill="1" applyAlignment="1">
      <alignment horizontal="center" vertical="center"/>
    </xf>
    <xf numFmtId="0" fontId="0" fillId="21" borderId="0" xfId="0" applyFill="1" applyAlignment="1">
      <alignment horizontal="left" vertical="center"/>
    </xf>
    <xf numFmtId="0" fontId="0" fillId="21" borderId="0" xfId="0" applyFill="1" applyAlignment="1">
      <alignment vertical="center" wrapText="1"/>
    </xf>
    <xf numFmtId="0" fontId="0" fillId="21" borderId="0" xfId="0" applyFill="1" applyAlignment="1">
      <alignment horizontal="center" vertical="center" wrapText="1"/>
    </xf>
    <xf numFmtId="188" fontId="11" fillId="21" borderId="0" xfId="0" applyNumberFormat="1" applyFont="1" applyFill="1" applyAlignment="1">
      <alignment horizontal="center" vertical="center" wrapText="1"/>
    </xf>
    <xf numFmtId="0" fontId="0" fillId="21" borderId="0" xfId="0" applyFill="1" applyBorder="1" applyAlignment="1">
      <alignment horizontal="center" vertical="center"/>
    </xf>
    <xf numFmtId="177" fontId="3" fillId="21" borderId="0" xfId="0" applyNumberFormat="1" applyFont="1" applyFill="1" applyAlignment="1">
      <alignment horizontal="right" vertical="center"/>
    </xf>
    <xf numFmtId="0" fontId="3" fillId="21" borderId="0" xfId="0" applyFont="1" applyFill="1" applyBorder="1" applyAlignment="1">
      <alignment horizontal="center" vertical="center"/>
    </xf>
    <xf numFmtId="180" fontId="0" fillId="21" borderId="0" xfId="0" applyNumberFormat="1" applyFill="1" applyAlignment="1">
      <alignment horizontal="center" vertical="center" wrapText="1"/>
    </xf>
    <xf numFmtId="185" fontId="0" fillId="21" borderId="0" xfId="0" applyNumberFormat="1" applyFill="1" applyBorder="1" applyAlignment="1">
      <alignment horizontal="center" vertical="center" wrapText="1"/>
    </xf>
    <xf numFmtId="0" fontId="0" fillId="21" borderId="0" xfId="0" applyFill="1" applyBorder="1" applyAlignment="1">
      <alignment vertical="center" wrapText="1"/>
    </xf>
    <xf numFmtId="194" fontId="0" fillId="21" borderId="0" xfId="0" applyNumberFormat="1" applyFill="1" applyBorder="1" applyAlignment="1">
      <alignment vertical="center"/>
    </xf>
    <xf numFmtId="194" fontId="2" fillId="21" borderId="0" xfId="0" applyNumberFormat="1" applyFont="1" applyFill="1" applyBorder="1" applyAlignment="1">
      <alignment vertical="center"/>
    </xf>
    <xf numFmtId="15" fontId="3" fillId="21" borderId="0" xfId="0" applyNumberFormat="1" applyFont="1" applyFill="1" applyBorder="1" applyAlignment="1">
      <alignment horizontal="center" vertical="center"/>
    </xf>
    <xf numFmtId="4" fontId="11" fillId="21" borderId="0" xfId="0" applyNumberFormat="1" applyFont="1" applyFill="1" applyAlignment="1">
      <alignment vertical="center" wrapText="1"/>
    </xf>
    <xf numFmtId="4" fontId="11" fillId="21" borderId="0" xfId="0" applyNumberFormat="1" applyFont="1" applyFill="1" applyAlignment="1">
      <alignment vertical="center"/>
    </xf>
    <xf numFmtId="193" fontId="11" fillId="21" borderId="0" xfId="0" applyNumberFormat="1" applyFont="1" applyFill="1" applyAlignment="1">
      <alignment horizontal="center" vertical="center"/>
    </xf>
    <xf numFmtId="195" fontId="0" fillId="21" borderId="0" xfId="0" applyNumberFormat="1" applyFill="1" applyAlignment="1">
      <alignment horizontal="center" vertical="center"/>
    </xf>
    <xf numFmtId="0" fontId="11" fillId="21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182" fontId="11" fillId="21" borderId="0" xfId="0" applyNumberFormat="1" applyFont="1" applyFill="1" applyAlignment="1">
      <alignment horizontal="center" vertical="center"/>
    </xf>
    <xf numFmtId="3" fontId="18" fillId="21" borderId="0" xfId="0" applyNumberFormat="1" applyFont="1" applyFill="1" applyAlignment="1">
      <alignment vertical="center"/>
    </xf>
    <xf numFmtId="177" fontId="0" fillId="21" borderId="0" xfId="0" applyNumberFormat="1" applyFill="1" applyAlignment="1">
      <alignment horizontal="right" vertical="center"/>
    </xf>
    <xf numFmtId="0" fontId="21" fillId="29" borderId="0" xfId="0" applyFont="1" applyFill="1" applyBorder="1">
      <alignment vertical="top"/>
    </xf>
    <xf numFmtId="0" fontId="3" fillId="29" borderId="0" xfId="0" applyFont="1" applyFill="1" applyAlignment="1">
      <alignment horizontal="center" vertical="center"/>
    </xf>
    <xf numFmtId="194" fontId="0" fillId="29" borderId="0" xfId="0" applyNumberFormat="1" applyFill="1" applyBorder="1" applyAlignment="1">
      <alignment vertical="center"/>
    </xf>
    <xf numFmtId="4" fontId="11" fillId="29" borderId="0" xfId="0" applyNumberFormat="1" applyFont="1" applyFill="1" applyAlignment="1">
      <alignment vertical="center" wrapText="1"/>
    </xf>
    <xf numFmtId="0" fontId="3" fillId="29" borderId="0" xfId="0" applyFont="1" applyFill="1" applyAlignment="1">
      <alignment vertical="center"/>
    </xf>
    <xf numFmtId="177" fontId="0" fillId="29" borderId="0" xfId="0" applyNumberFormat="1" applyFill="1" applyAlignment="1">
      <alignment horizontal="right" vertical="center"/>
    </xf>
    <xf numFmtId="0" fontId="0" fillId="28" borderId="0" xfId="0" applyFill="1" applyAlignment="1">
      <alignment horizontal="center" vertical="center" wrapText="1"/>
    </xf>
    <xf numFmtId="0" fontId="0" fillId="28" borderId="0" xfId="0" applyFill="1" applyBorder="1" applyAlignment="1">
      <alignment vertical="center" wrapText="1"/>
    </xf>
    <xf numFmtId="177" fontId="0" fillId="28" borderId="0" xfId="0" applyNumberFormat="1" applyFill="1" applyAlignment="1">
      <alignment horizontal="right" vertical="center"/>
    </xf>
    <xf numFmtId="0" fontId="0" fillId="16" borderId="0" xfId="0" applyFill="1" applyBorder="1" applyAlignment="1">
      <alignment horizontal="center" vertical="center"/>
    </xf>
    <xf numFmtId="0" fontId="2" fillId="33" borderId="0" xfId="0" applyFont="1" applyFill="1" applyAlignment="1">
      <alignment horizontal="left" vertical="center"/>
    </xf>
    <xf numFmtId="0" fontId="2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center" vertical="center" wrapText="1"/>
    </xf>
    <xf numFmtId="188" fontId="11" fillId="33" borderId="0" xfId="0" applyNumberFormat="1" applyFont="1" applyFill="1" applyAlignment="1">
      <alignment horizontal="center" vertical="center" wrapText="1"/>
    </xf>
    <xf numFmtId="0" fontId="0" fillId="33" borderId="0" xfId="0" applyFill="1" applyBorder="1" applyAlignment="1">
      <alignment horizontal="center" vertical="center"/>
    </xf>
    <xf numFmtId="177" fontId="2" fillId="33" borderId="0" xfId="0" applyNumberFormat="1" applyFont="1" applyFill="1" applyAlignment="1">
      <alignment horizontal="right" vertical="center"/>
    </xf>
    <xf numFmtId="0" fontId="2" fillId="33" borderId="0" xfId="0" applyFont="1" applyFill="1" applyBorder="1" applyAlignment="1">
      <alignment horizontal="center" vertical="center"/>
    </xf>
    <xf numFmtId="180" fontId="2" fillId="33" borderId="0" xfId="0" applyNumberFormat="1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85" fontId="0" fillId="33" borderId="0" xfId="0" applyNumberFormat="1" applyFill="1" applyBorder="1" applyAlignment="1">
      <alignment horizontal="center" vertical="center" wrapText="1"/>
    </xf>
    <xf numFmtId="0" fontId="0" fillId="33" borderId="0" xfId="0" applyFill="1" applyBorder="1" applyAlignment="1">
      <alignment vertical="center" wrapText="1"/>
    </xf>
    <xf numFmtId="195" fontId="2" fillId="33" borderId="0" xfId="0" applyNumberFormat="1" applyFont="1" applyFill="1" applyBorder="1" applyAlignment="1">
      <alignment vertical="center"/>
    </xf>
    <xf numFmtId="15" fontId="2" fillId="33" borderId="0" xfId="0" applyNumberFormat="1" applyFont="1" applyFill="1" applyBorder="1" applyAlignment="1">
      <alignment horizontal="center" vertical="center"/>
    </xf>
    <xf numFmtId="4" fontId="11" fillId="33" borderId="0" xfId="0" applyNumberFormat="1" applyFont="1" applyFill="1" applyAlignment="1">
      <alignment vertical="center"/>
    </xf>
    <xf numFmtId="193" fontId="11" fillId="33" borderId="0" xfId="0" applyNumberFormat="1" applyFont="1" applyFill="1" applyAlignment="1">
      <alignment horizontal="center" vertical="center"/>
    </xf>
    <xf numFmtId="195" fontId="0" fillId="33" borderId="0" xfId="0" applyNumberFormat="1" applyFill="1" applyAlignment="1">
      <alignment horizontal="center" vertical="center"/>
    </xf>
    <xf numFmtId="0" fontId="11" fillId="33" borderId="0" xfId="0" applyFont="1" applyFill="1" applyAlignment="1">
      <alignment vertical="center"/>
    </xf>
    <xf numFmtId="0" fontId="2" fillId="33" borderId="0" xfId="0" applyFont="1" applyFill="1" applyAlignment="1">
      <alignment vertical="center" wrapText="1"/>
    </xf>
    <xf numFmtId="0" fontId="2" fillId="33" borderId="0" xfId="0" applyFont="1" applyFill="1" applyAlignment="1">
      <alignment vertical="center"/>
    </xf>
    <xf numFmtId="182" fontId="11" fillId="33" borderId="0" xfId="0" applyNumberFormat="1" applyFont="1" applyFill="1" applyAlignment="1">
      <alignment horizontal="center" vertical="center"/>
    </xf>
    <xf numFmtId="3" fontId="18" fillId="33" borderId="0" xfId="0" applyNumberFormat="1" applyFont="1" applyFill="1" applyAlignment="1">
      <alignment vertical="center"/>
    </xf>
    <xf numFmtId="4" fontId="2" fillId="33" borderId="0" xfId="0" applyNumberFormat="1" applyFont="1" applyFill="1" applyAlignment="1">
      <alignment vertical="center"/>
    </xf>
    <xf numFmtId="0" fontId="2" fillId="33" borderId="0" xfId="0" applyFont="1" applyFill="1" applyAlignment="1">
      <alignment horizontal="center" vertical="center" wrapText="1"/>
    </xf>
    <xf numFmtId="185" fontId="2" fillId="33" borderId="0" xfId="0" applyNumberFormat="1" applyFont="1" applyFill="1" applyBorder="1" applyAlignment="1">
      <alignment horizontal="center" vertical="center" wrapText="1"/>
    </xf>
    <xf numFmtId="0" fontId="2" fillId="33" borderId="0" xfId="0" applyFont="1" applyFill="1" applyBorder="1" applyAlignment="1">
      <alignment vertical="center" wrapText="1"/>
    </xf>
    <xf numFmtId="0" fontId="2" fillId="34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0" fillId="34" borderId="0" xfId="0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34" borderId="0" xfId="0" applyFill="1" applyAlignment="1">
      <alignment horizontal="center" vertical="center" wrapText="1"/>
    </xf>
    <xf numFmtId="188" fontId="11" fillId="34" borderId="0" xfId="0" applyNumberFormat="1" applyFont="1" applyFill="1" applyAlignment="1">
      <alignment horizontal="center" vertical="center" wrapText="1"/>
    </xf>
    <xf numFmtId="0" fontId="0" fillId="34" borderId="0" xfId="0" applyFill="1" applyBorder="1" applyAlignment="1">
      <alignment horizontal="center" vertical="center"/>
    </xf>
    <xf numFmtId="177" fontId="2" fillId="34" borderId="0" xfId="0" applyNumberFormat="1" applyFont="1" applyFill="1" applyAlignment="1">
      <alignment horizontal="right" vertical="center"/>
    </xf>
    <xf numFmtId="0" fontId="2" fillId="34" borderId="0" xfId="0" applyFont="1" applyFill="1" applyBorder="1" applyAlignment="1">
      <alignment horizontal="center" vertical="center"/>
    </xf>
    <xf numFmtId="180" fontId="2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85" fontId="0" fillId="34" borderId="0" xfId="0" applyNumberFormat="1" applyFill="1" applyBorder="1" applyAlignment="1">
      <alignment horizontal="center" vertical="center" wrapText="1"/>
    </xf>
    <xf numFmtId="0" fontId="0" fillId="34" borderId="0" xfId="0" applyFill="1" applyBorder="1" applyAlignment="1">
      <alignment vertical="center" wrapText="1"/>
    </xf>
    <xf numFmtId="195" fontId="2" fillId="34" borderId="0" xfId="0" applyNumberFormat="1" applyFont="1" applyFill="1" applyBorder="1" applyAlignment="1">
      <alignment vertical="center"/>
    </xf>
    <xf numFmtId="15" fontId="2" fillId="34" borderId="0" xfId="0" applyNumberFormat="1" applyFont="1" applyFill="1" applyBorder="1" applyAlignment="1">
      <alignment horizontal="center" vertical="center"/>
    </xf>
    <xf numFmtId="4" fontId="11" fillId="34" borderId="0" xfId="0" applyNumberFormat="1" applyFont="1" applyFill="1" applyAlignment="1">
      <alignment vertical="center"/>
    </xf>
    <xf numFmtId="193" fontId="11" fillId="34" borderId="0" xfId="0" applyNumberFormat="1" applyFont="1" applyFill="1" applyAlignment="1">
      <alignment horizontal="center" vertical="center"/>
    </xf>
    <xf numFmtId="195" fontId="0" fillId="34" borderId="0" xfId="0" applyNumberFormat="1" applyFill="1" applyAlignment="1">
      <alignment horizontal="center" vertical="center"/>
    </xf>
    <xf numFmtId="0" fontId="11" fillId="34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182" fontId="11" fillId="34" borderId="0" xfId="0" applyNumberFormat="1" applyFont="1" applyFill="1" applyAlignment="1">
      <alignment horizontal="center" vertical="center"/>
    </xf>
    <xf numFmtId="3" fontId="18" fillId="34" borderId="0" xfId="0" applyNumberFormat="1" applyFont="1" applyFill="1" applyAlignment="1">
      <alignment vertical="center"/>
    </xf>
    <xf numFmtId="0" fontId="6" fillId="6" borderId="0" xfId="0" applyFont="1" applyFill="1" applyBorder="1" applyAlignment="1">
      <alignment horizontal="center" vertical="center" wrapText="1"/>
    </xf>
    <xf numFmtId="188" fontId="6" fillId="6" borderId="0" xfId="0" applyNumberFormat="1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center" vertical="center" wrapText="1"/>
    </xf>
    <xf numFmtId="188" fontId="26" fillId="6" borderId="0" xfId="0" applyNumberFormat="1" applyFont="1" applyFill="1" applyBorder="1" applyAlignment="1">
      <alignment horizontal="center" vertical="center"/>
    </xf>
    <xf numFmtId="191" fontId="26" fillId="6" borderId="0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198" fontId="26" fillId="6" borderId="0" xfId="1" applyNumberFormat="1" applyFont="1" applyFill="1" applyBorder="1" applyAlignment="1">
      <alignment horizontal="center" vertical="center"/>
    </xf>
    <xf numFmtId="198" fontId="0" fillId="0" borderId="0" xfId="1" applyNumberFormat="1" applyFont="1" applyBorder="1" applyAlignment="1">
      <alignment horizontal="right"/>
    </xf>
    <xf numFmtId="198" fontId="26" fillId="6" borderId="0" xfId="1" applyNumberFormat="1" applyFont="1" applyFill="1" applyBorder="1" applyAlignment="1">
      <alignment horizontal="right" vertical="center"/>
    </xf>
    <xf numFmtId="198" fontId="0" fillId="0" borderId="0" xfId="1" applyNumberFormat="1" applyFont="1" applyBorder="1" applyAlignment="1"/>
    <xf numFmtId="198" fontId="26" fillId="6" borderId="0" xfId="1" applyNumberFormat="1" applyFont="1" applyFill="1" applyBorder="1" applyAlignment="1">
      <alignment horizontal="center" vertical="center" wrapText="1"/>
    </xf>
    <xf numFmtId="178" fontId="0" fillId="0" borderId="0" xfId="1" applyNumberFormat="1" applyFont="1" applyAlignment="1">
      <alignment vertical="center"/>
    </xf>
    <xf numFmtId="0" fontId="2" fillId="28" borderId="0" xfId="0" applyFont="1" applyFill="1" applyAlignment="1">
      <alignment horizontal="left" vertical="center"/>
    </xf>
    <xf numFmtId="0" fontId="2" fillId="28" borderId="0" xfId="0" applyFont="1" applyFill="1" applyAlignment="1">
      <alignment horizontal="center" vertical="center"/>
    </xf>
    <xf numFmtId="0" fontId="22" fillId="28" borderId="0" xfId="0" applyFont="1" applyFill="1" applyAlignment="1">
      <alignment horizontal="center" vertical="center"/>
    </xf>
    <xf numFmtId="0" fontId="2" fillId="28" borderId="0" xfId="0" applyFont="1" applyFill="1" applyAlignment="1">
      <alignment vertical="center"/>
    </xf>
    <xf numFmtId="177" fontId="2" fillId="28" borderId="0" xfId="0" applyNumberFormat="1" applyFont="1" applyFill="1" applyAlignment="1">
      <alignment horizontal="right" vertical="center"/>
    </xf>
    <xf numFmtId="0" fontId="2" fillId="28" borderId="0" xfId="0" applyFont="1" applyFill="1" applyBorder="1" applyAlignment="1">
      <alignment horizontal="center" vertical="center"/>
    </xf>
    <xf numFmtId="180" fontId="2" fillId="28" borderId="0" xfId="0" applyNumberFormat="1" applyFont="1" applyFill="1" applyAlignment="1">
      <alignment horizontal="center" vertical="center"/>
    </xf>
    <xf numFmtId="185" fontId="2" fillId="28" borderId="0" xfId="0" applyNumberFormat="1" applyFont="1" applyFill="1" applyBorder="1" applyAlignment="1">
      <alignment horizontal="center" vertical="center" wrapText="1"/>
    </xf>
    <xf numFmtId="0" fontId="2" fillId="28" borderId="0" xfId="0" applyFont="1" applyFill="1" applyBorder="1" applyAlignment="1">
      <alignment vertical="center" wrapText="1"/>
    </xf>
    <xf numFmtId="0" fontId="2" fillId="28" borderId="0" xfId="0" applyFont="1" applyFill="1" applyAlignment="1">
      <alignment vertical="center" wrapText="1"/>
    </xf>
    <xf numFmtId="195" fontId="2" fillId="28" borderId="0" xfId="0" applyNumberFormat="1" applyFont="1" applyFill="1" applyBorder="1" applyAlignment="1">
      <alignment vertical="center"/>
    </xf>
    <xf numFmtId="15" fontId="2" fillId="28" borderId="0" xfId="0" applyNumberFormat="1" applyFont="1" applyFill="1" applyBorder="1" applyAlignment="1">
      <alignment horizontal="center" vertical="center"/>
    </xf>
    <xf numFmtId="4" fontId="2" fillId="28" borderId="0" xfId="0" applyNumberFormat="1" applyFont="1" applyFill="1" applyAlignment="1">
      <alignment vertical="center"/>
    </xf>
    <xf numFmtId="194" fontId="2" fillId="35" borderId="0" xfId="0" applyNumberFormat="1" applyFont="1" applyFill="1" applyBorder="1" applyAlignment="1">
      <alignment vertical="center"/>
    </xf>
    <xf numFmtId="0" fontId="11" fillId="35" borderId="0" xfId="0" applyFont="1" applyFill="1" applyAlignment="1">
      <alignment vertical="center"/>
    </xf>
    <xf numFmtId="182" fontId="11" fillId="35" borderId="0" xfId="0" applyNumberFormat="1" applyFont="1" applyFill="1" applyAlignment="1">
      <alignment horizontal="center" vertical="center"/>
    </xf>
    <xf numFmtId="3" fontId="18" fillId="35" borderId="0" xfId="0" applyNumberFormat="1" applyFont="1" applyFill="1" applyAlignment="1">
      <alignment vertical="center"/>
    </xf>
    <xf numFmtId="4" fontId="11" fillId="35" borderId="0" xfId="0" applyNumberFormat="1" applyFont="1" applyFill="1" applyAlignment="1">
      <alignment vertical="center"/>
    </xf>
    <xf numFmtId="0" fontId="21" fillId="35" borderId="0" xfId="0" applyFont="1" applyFill="1" applyBorder="1">
      <alignment vertical="top"/>
    </xf>
    <xf numFmtId="0" fontId="3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188" fontId="11" fillId="35" borderId="0" xfId="0" applyNumberFormat="1" applyFont="1" applyFill="1" applyAlignment="1">
      <alignment horizontal="center" vertical="center" wrapText="1"/>
    </xf>
    <xf numFmtId="0" fontId="0" fillId="35" borderId="0" xfId="0" applyFill="1" applyBorder="1" applyAlignment="1">
      <alignment horizontal="center" vertical="center"/>
    </xf>
    <xf numFmtId="0" fontId="0" fillId="35" borderId="0" xfId="0" applyFill="1" applyAlignment="1">
      <alignment horizontal="left" vertical="center"/>
    </xf>
    <xf numFmtId="15" fontId="3" fillId="35" borderId="0" xfId="0" applyNumberFormat="1" applyFont="1" applyFill="1" applyBorder="1" applyAlignment="1">
      <alignment horizontal="center" vertical="center"/>
    </xf>
    <xf numFmtId="0" fontId="0" fillId="35" borderId="0" xfId="0" applyFill="1" applyBorder="1" applyAlignment="1">
      <alignment vertical="center" wrapText="1"/>
    </xf>
    <xf numFmtId="0" fontId="0" fillId="35" borderId="0" xfId="0" applyFill="1" applyAlignment="1">
      <alignment vertical="center" wrapText="1"/>
    </xf>
    <xf numFmtId="195" fontId="0" fillId="35" borderId="0" xfId="0" applyNumberFormat="1" applyFill="1" applyAlignment="1">
      <alignment horizontal="center" vertical="center"/>
    </xf>
    <xf numFmtId="177" fontId="0" fillId="35" borderId="0" xfId="0" applyNumberFormat="1" applyFill="1" applyAlignment="1">
      <alignment horizontal="right" vertical="center"/>
    </xf>
    <xf numFmtId="0" fontId="3" fillId="35" borderId="0" xfId="0" applyFont="1" applyFill="1" applyBorder="1" applyAlignment="1">
      <alignment horizontal="center" vertical="center"/>
    </xf>
    <xf numFmtId="180" fontId="0" fillId="35" borderId="0" xfId="0" applyNumberFormat="1" applyFill="1" applyAlignment="1">
      <alignment horizontal="center" vertical="center" wrapText="1"/>
    </xf>
    <xf numFmtId="185" fontId="0" fillId="35" borderId="0" xfId="0" applyNumberFormat="1" applyFill="1" applyBorder="1" applyAlignment="1">
      <alignment horizontal="center" vertical="center" wrapText="1"/>
    </xf>
    <xf numFmtId="4" fontId="11" fillId="35" borderId="0" xfId="0" applyNumberFormat="1" applyFont="1" applyFill="1" applyAlignment="1">
      <alignment vertical="center" wrapText="1"/>
    </xf>
    <xf numFmtId="193" fontId="11" fillId="35" borderId="0" xfId="0" applyNumberFormat="1" applyFont="1" applyFill="1" applyAlignment="1">
      <alignment horizontal="center" vertical="center"/>
    </xf>
    <xf numFmtId="0" fontId="3" fillId="35" borderId="0" xfId="0" applyFont="1" applyFill="1" applyAlignment="1">
      <alignment vertical="center"/>
    </xf>
    <xf numFmtId="0" fontId="2" fillId="27" borderId="0" xfId="0" applyFont="1" applyFill="1" applyAlignment="1">
      <alignment horizontal="left" vertical="center"/>
    </xf>
    <xf numFmtId="0" fontId="2" fillId="27" borderId="0" xfId="0" applyFont="1" applyFill="1" applyAlignment="1">
      <alignment horizontal="center" vertical="center"/>
    </xf>
    <xf numFmtId="0" fontId="22" fillId="27" borderId="0" xfId="0" applyFont="1" applyFill="1" applyAlignment="1">
      <alignment horizontal="center" vertical="center"/>
    </xf>
    <xf numFmtId="0" fontId="0" fillId="27" borderId="0" xfId="0" applyFill="1" applyAlignment="1">
      <alignment vertical="center"/>
    </xf>
    <xf numFmtId="0" fontId="0" fillId="27" borderId="0" xfId="0" applyFill="1" applyAlignment="1">
      <alignment vertical="center" wrapText="1"/>
    </xf>
    <xf numFmtId="0" fontId="0" fillId="27" borderId="0" xfId="0" applyFill="1" applyAlignment="1">
      <alignment horizontal="center" vertical="center" wrapText="1"/>
    </xf>
    <xf numFmtId="188" fontId="11" fillId="27" borderId="0" xfId="0" applyNumberFormat="1" applyFont="1" applyFill="1" applyAlignment="1">
      <alignment horizontal="center" vertical="center" wrapText="1"/>
    </xf>
    <xf numFmtId="0" fontId="0" fillId="27" borderId="0" xfId="0" applyFill="1" applyBorder="1" applyAlignment="1">
      <alignment horizontal="center" vertical="center"/>
    </xf>
    <xf numFmtId="177" fontId="2" fillId="27" borderId="0" xfId="0" applyNumberFormat="1" applyFont="1" applyFill="1" applyAlignment="1">
      <alignment horizontal="right" vertical="center"/>
    </xf>
    <xf numFmtId="0" fontId="2" fillId="27" borderId="0" xfId="0" applyFont="1" applyFill="1" applyBorder="1" applyAlignment="1">
      <alignment horizontal="center" vertical="center"/>
    </xf>
    <xf numFmtId="180" fontId="2" fillId="27" borderId="0" xfId="0" applyNumberFormat="1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185" fontId="0" fillId="27" borderId="0" xfId="0" applyNumberFormat="1" applyFill="1" applyBorder="1" applyAlignment="1">
      <alignment horizontal="center" vertical="center" wrapText="1"/>
    </xf>
    <xf numFmtId="0" fontId="0" fillId="27" borderId="0" xfId="0" applyFill="1" applyBorder="1" applyAlignment="1">
      <alignment vertical="center" wrapText="1"/>
    </xf>
    <xf numFmtId="195" fontId="2" fillId="27" borderId="0" xfId="0" applyNumberFormat="1" applyFont="1" applyFill="1" applyBorder="1" applyAlignment="1">
      <alignment vertical="center"/>
    </xf>
    <xf numFmtId="15" fontId="2" fillId="27" borderId="0" xfId="0" applyNumberFormat="1" applyFont="1" applyFill="1" applyBorder="1" applyAlignment="1">
      <alignment horizontal="center" vertical="center"/>
    </xf>
    <xf numFmtId="4" fontId="11" fillId="27" borderId="0" xfId="0" applyNumberFormat="1" applyFont="1" applyFill="1" applyAlignment="1">
      <alignment vertical="center"/>
    </xf>
    <xf numFmtId="193" fontId="11" fillId="27" borderId="0" xfId="0" applyNumberFormat="1" applyFont="1" applyFill="1" applyAlignment="1">
      <alignment horizontal="center" vertical="center"/>
    </xf>
    <xf numFmtId="195" fontId="0" fillId="27" borderId="0" xfId="0" applyNumberFormat="1" applyFill="1" applyAlignment="1">
      <alignment horizontal="center" vertical="center"/>
    </xf>
    <xf numFmtId="0" fontId="11" fillId="27" borderId="0" xfId="0" applyFont="1" applyFill="1" applyAlignment="1">
      <alignment vertical="center"/>
    </xf>
    <xf numFmtId="0" fontId="2" fillId="27" borderId="0" xfId="0" applyFont="1" applyFill="1" applyAlignment="1">
      <alignment vertical="center"/>
    </xf>
    <xf numFmtId="182" fontId="11" fillId="27" borderId="0" xfId="0" applyNumberFormat="1" applyFont="1" applyFill="1" applyAlignment="1">
      <alignment horizontal="center" vertical="center"/>
    </xf>
    <xf numFmtId="3" fontId="18" fillId="27" borderId="0" xfId="0" applyNumberFormat="1" applyFont="1" applyFill="1" applyAlignment="1">
      <alignment vertical="center"/>
    </xf>
    <xf numFmtId="0" fontId="0" fillId="31" borderId="0" xfId="0" applyFill="1" applyAlignment="1">
      <alignment horizontal="right" vertical="center"/>
    </xf>
    <xf numFmtId="189" fontId="0" fillId="31" borderId="0" xfId="0" applyNumberFormat="1" applyFill="1" applyAlignment="1">
      <alignment vertical="center"/>
    </xf>
    <xf numFmtId="0" fontId="0" fillId="31" borderId="0" xfId="0" applyFill="1" applyAlignment="1">
      <alignment vertical="center"/>
    </xf>
    <xf numFmtId="178" fontId="6" fillId="0" borderId="0" xfId="1" applyNumberFormat="1" applyFont="1" applyAlignment="1">
      <alignment vertical="center"/>
    </xf>
    <xf numFmtId="0" fontId="2" fillId="27" borderId="0" xfId="0" applyFont="1" applyFill="1" applyAlignment="1">
      <alignment vertical="center" wrapText="1"/>
    </xf>
    <xf numFmtId="0" fontId="2" fillId="32" borderId="0" xfId="0" applyFont="1" applyFill="1" applyAlignment="1">
      <alignment horizontal="left" vertical="center"/>
    </xf>
    <xf numFmtId="0" fontId="2" fillId="32" borderId="0" xfId="0" applyFont="1" applyFill="1" applyAlignment="1">
      <alignment horizontal="center" vertical="center"/>
    </xf>
    <xf numFmtId="0" fontId="22" fillId="32" borderId="0" xfId="0" applyFont="1" applyFill="1" applyAlignment="1">
      <alignment horizontal="center" vertical="center"/>
    </xf>
    <xf numFmtId="0" fontId="2" fillId="32" borderId="0" xfId="0" applyFont="1" applyFill="1" applyAlignment="1">
      <alignment vertical="center"/>
    </xf>
    <xf numFmtId="0" fontId="2" fillId="32" borderId="0" xfId="0" applyFont="1" applyFill="1" applyAlignment="1">
      <alignment horizontal="center" vertical="center" wrapText="1"/>
    </xf>
    <xf numFmtId="0" fontId="2" fillId="32" borderId="0" xfId="0" applyFont="1" applyFill="1" applyBorder="1" applyAlignment="1">
      <alignment horizontal="center" vertical="center"/>
    </xf>
    <xf numFmtId="177" fontId="2" fillId="32" borderId="0" xfId="0" applyNumberFormat="1" applyFont="1" applyFill="1" applyAlignment="1">
      <alignment horizontal="right" vertical="center"/>
    </xf>
    <xf numFmtId="180" fontId="2" fillId="32" borderId="0" xfId="0" applyNumberFormat="1" applyFont="1" applyFill="1" applyAlignment="1">
      <alignment horizontal="center" vertical="center"/>
    </xf>
    <xf numFmtId="0" fontId="2" fillId="32" borderId="0" xfId="0" applyFont="1" applyFill="1" applyAlignment="1">
      <alignment vertical="center" wrapText="1"/>
    </xf>
    <xf numFmtId="195" fontId="2" fillId="32" borderId="0" xfId="0" applyNumberFormat="1" applyFont="1" applyFill="1" applyBorder="1" applyAlignment="1">
      <alignment vertical="center"/>
    </xf>
    <xf numFmtId="15" fontId="2" fillId="32" borderId="0" xfId="0" applyNumberFormat="1" applyFont="1" applyFill="1" applyBorder="1" applyAlignment="1">
      <alignment horizontal="center" vertical="center"/>
    </xf>
    <xf numFmtId="4" fontId="2" fillId="32" borderId="0" xfId="0" applyNumberFormat="1" applyFont="1" applyFill="1" applyAlignment="1">
      <alignment vertical="center"/>
    </xf>
    <xf numFmtId="0" fontId="0" fillId="32" borderId="0" xfId="0" applyFill="1" applyAlignment="1">
      <alignment horizontal="center" vertical="center"/>
    </xf>
    <xf numFmtId="0" fontId="5" fillId="32" borderId="0" xfId="2" applyFill="1" applyAlignment="1" applyProtection="1">
      <alignment vertical="center" wrapText="1"/>
    </xf>
    <xf numFmtId="0" fontId="5" fillId="28" borderId="0" xfId="2" applyFill="1" applyAlignment="1" applyProtection="1">
      <alignment vertical="center" wrapText="1"/>
    </xf>
    <xf numFmtId="178" fontId="27" fillId="0" borderId="0" xfId="1" applyNumberFormat="1" applyFont="1" applyFill="1" applyBorder="1" applyAlignment="1">
      <alignment horizontal="center" vertical="center"/>
    </xf>
    <xf numFmtId="178" fontId="36" fillId="0" borderId="0" xfId="1" applyNumberFormat="1" applyFont="1" applyAlignment="1">
      <alignment vertical="center"/>
    </xf>
    <xf numFmtId="0" fontId="5" fillId="29" borderId="0" xfId="2" applyFill="1" applyAlignment="1" applyProtection="1">
      <alignment vertical="center" wrapText="1"/>
    </xf>
    <xf numFmtId="195" fontId="0" fillId="33" borderId="0" xfId="0" applyNumberFormat="1" applyFill="1" applyBorder="1" applyAlignment="1">
      <alignment vertical="center"/>
    </xf>
    <xf numFmtId="200" fontId="27" fillId="0" borderId="12" xfId="0" applyNumberFormat="1" applyFont="1" applyFill="1" applyBorder="1" applyAlignment="1">
      <alignment horizontal="center" vertical="center"/>
    </xf>
    <xf numFmtId="200" fontId="27" fillId="0" borderId="3" xfId="0" applyNumberFormat="1" applyFont="1" applyFill="1" applyBorder="1" applyAlignment="1">
      <alignment horizontal="center" vertical="center"/>
    </xf>
    <xf numFmtId="178" fontId="0" fillId="3" borderId="0" xfId="1" applyNumberFormat="1" applyFont="1" applyFill="1" applyAlignment="1">
      <alignment vertical="center"/>
    </xf>
    <xf numFmtId="178" fontId="11" fillId="0" borderId="0" xfId="1" applyNumberFormat="1" applyFont="1" applyAlignment="1">
      <alignment vertical="center"/>
    </xf>
    <xf numFmtId="178" fontId="16" fillId="0" borderId="0" xfId="1" applyNumberFormat="1" applyFont="1" applyAlignment="1">
      <alignment vertical="center"/>
    </xf>
    <xf numFmtId="178" fontId="0" fillId="4" borderId="0" xfId="1" applyNumberFormat="1" applyFont="1" applyFill="1" applyAlignment="1">
      <alignment vertical="center"/>
    </xf>
    <xf numFmtId="178" fontId="0" fillId="11" borderId="0" xfId="1" applyNumberFormat="1" applyFont="1" applyFill="1" applyAlignment="1">
      <alignment vertical="center"/>
    </xf>
    <xf numFmtId="178" fontId="30" fillId="0" borderId="0" xfId="1" applyNumberFormat="1" applyFont="1" applyAlignment="1">
      <alignment vertical="center"/>
    </xf>
    <xf numFmtId="178" fontId="0" fillId="9" borderId="0" xfId="1" applyNumberFormat="1" applyFont="1" applyFill="1" applyAlignment="1">
      <alignment vertical="center"/>
    </xf>
    <xf numFmtId="178" fontId="0" fillId="12" borderId="0" xfId="1" applyNumberFormat="1" applyFont="1" applyFill="1" applyAlignment="1">
      <alignment vertical="center"/>
    </xf>
    <xf numFmtId="178" fontId="0" fillId="15" borderId="0" xfId="1" applyNumberFormat="1" applyFont="1" applyFill="1" applyAlignment="1">
      <alignment vertical="center"/>
    </xf>
    <xf numFmtId="178" fontId="0" fillId="20" borderId="0" xfId="1" applyNumberFormat="1" applyFont="1" applyFill="1" applyAlignment="1">
      <alignment vertical="center"/>
    </xf>
    <xf numFmtId="178" fontId="30" fillId="15" borderId="0" xfId="1" applyNumberFormat="1" applyFont="1" applyFill="1" applyAlignment="1">
      <alignment vertical="center"/>
    </xf>
    <xf numFmtId="178" fontId="0" fillId="21" borderId="0" xfId="1" applyNumberFormat="1" applyFont="1" applyFill="1" applyAlignment="1">
      <alignment vertical="center"/>
    </xf>
    <xf numFmtId="178" fontId="6" fillId="15" borderId="0" xfId="1" applyNumberFormat="1" applyFont="1" applyFill="1" applyAlignment="1">
      <alignment vertical="center"/>
    </xf>
    <xf numFmtId="178" fontId="35" fillId="15" borderId="0" xfId="1" applyNumberFormat="1" applyFont="1" applyFill="1" applyAlignment="1">
      <alignment vertical="center"/>
    </xf>
    <xf numFmtId="195" fontId="0" fillId="34" borderId="0" xfId="0" applyNumberFormat="1" applyFill="1" applyBorder="1" applyAlignment="1">
      <alignment vertical="center"/>
    </xf>
    <xf numFmtId="195" fontId="0" fillId="17" borderId="0" xfId="0" applyNumberFormat="1" applyFill="1" applyBorder="1" applyAlignment="1">
      <alignment vertical="center"/>
    </xf>
    <xf numFmtId="185" fontId="0" fillId="23" borderId="0" xfId="0" applyNumberFormat="1" applyFill="1" applyBorder="1" applyAlignment="1">
      <alignment horizontal="center" vertical="center" wrapText="1"/>
    </xf>
    <xf numFmtId="195" fontId="0" fillId="23" borderId="0" xfId="0" applyNumberFormat="1" applyFill="1" applyBorder="1" applyAlignment="1">
      <alignment vertical="center"/>
    </xf>
    <xf numFmtId="193" fontId="11" fillId="23" borderId="0" xfId="0" applyNumberFormat="1" applyFont="1" applyFill="1" applyAlignment="1">
      <alignment horizontal="center" vertical="center"/>
    </xf>
    <xf numFmtId="189" fontId="0" fillId="0" borderId="0" xfId="0" quotePrefix="1" applyNumberFormat="1" applyAlignment="1">
      <alignment vertical="center"/>
    </xf>
    <xf numFmtId="189" fontId="0" fillId="0" borderId="0" xfId="0" applyNumberFormat="1" applyAlignment="1">
      <alignment horizontal="right" vertical="center"/>
    </xf>
    <xf numFmtId="18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vertical="center"/>
    </xf>
    <xf numFmtId="0" fontId="37" fillId="0" borderId="0" xfId="0" applyFont="1" applyAlignment="1">
      <alignment vertical="center"/>
    </xf>
    <xf numFmtId="189" fontId="37" fillId="0" borderId="0" xfId="0" applyNumberFormat="1" applyFont="1" applyAlignment="1">
      <alignment vertical="center"/>
    </xf>
    <xf numFmtId="178" fontId="37" fillId="0" borderId="0" xfId="1" applyNumberFormat="1" applyFont="1" applyAlignment="1">
      <alignment vertical="center"/>
    </xf>
    <xf numFmtId="0" fontId="2" fillId="18" borderId="0" xfId="0" applyFont="1" applyFill="1" applyAlignment="1">
      <alignment horizontal="left" vertical="center"/>
    </xf>
    <xf numFmtId="0" fontId="22" fillId="18" borderId="0" xfId="0" applyFont="1" applyFill="1" applyAlignment="1">
      <alignment horizontal="center" vertical="center"/>
    </xf>
    <xf numFmtId="177" fontId="2" fillId="18" borderId="0" xfId="0" applyNumberFormat="1" applyFont="1" applyFill="1" applyAlignment="1">
      <alignment horizontal="right" vertical="center"/>
    </xf>
    <xf numFmtId="185" fontId="0" fillId="18" borderId="0" xfId="0" applyNumberFormat="1" applyFill="1" applyBorder="1" applyAlignment="1">
      <alignment horizontal="center" vertical="center" wrapText="1"/>
    </xf>
    <xf numFmtId="195" fontId="0" fillId="18" borderId="0" xfId="0" applyNumberFormat="1" applyFill="1" applyBorder="1" applyAlignment="1">
      <alignment vertical="center"/>
    </xf>
    <xf numFmtId="193" fontId="11" fillId="18" borderId="0" xfId="0" applyNumberFormat="1" applyFont="1" applyFill="1" applyAlignment="1">
      <alignment horizontal="center" vertical="center"/>
    </xf>
    <xf numFmtId="195" fontId="0" fillId="18" borderId="0" xfId="0" applyNumberFormat="1" applyFill="1" applyAlignment="1">
      <alignment horizontal="center" vertical="center"/>
    </xf>
    <xf numFmtId="0" fontId="2" fillId="18" borderId="0" xfId="0" applyFont="1" applyFill="1" applyAlignment="1">
      <alignment vertical="center"/>
    </xf>
    <xf numFmtId="0" fontId="2" fillId="18" borderId="0" xfId="0" applyFont="1" applyFill="1" applyAlignment="1">
      <alignment vertical="center" wrapText="1"/>
    </xf>
    <xf numFmtId="178" fontId="0" fillId="31" borderId="0" xfId="1" applyNumberFormat="1" applyFont="1" applyFill="1" applyAlignment="1">
      <alignment vertical="center"/>
    </xf>
    <xf numFmtId="178" fontId="0" fillId="31" borderId="0" xfId="1" applyNumberFormat="1" applyFont="1" applyFill="1" applyAlignment="1">
      <alignment horizontal="left" vertical="center"/>
    </xf>
    <xf numFmtId="176" fontId="0" fillId="0" borderId="0" xfId="0" applyNumberFormat="1" applyAlignment="1">
      <alignment vertical="center"/>
    </xf>
    <xf numFmtId="0" fontId="26" fillId="2" borderId="11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vertical="center"/>
    </xf>
    <xf numFmtId="0" fontId="26" fillId="6" borderId="8" xfId="0" applyFont="1" applyFill="1" applyBorder="1" applyAlignment="1">
      <alignment horizontal="center" vertical="center"/>
    </xf>
    <xf numFmtId="3" fontId="26" fillId="6" borderId="8" xfId="0" applyNumberFormat="1" applyFont="1" applyFill="1" applyBorder="1" applyAlignment="1">
      <alignment horizontal="right" vertical="center"/>
    </xf>
    <xf numFmtId="191" fontId="26" fillId="6" borderId="8" xfId="0" applyNumberFormat="1" applyFont="1" applyFill="1" applyBorder="1" applyAlignment="1">
      <alignment horizontal="center" vertical="center"/>
    </xf>
    <xf numFmtId="191" fontId="26" fillId="6" borderId="9" xfId="0" applyNumberFormat="1" applyFont="1" applyFill="1" applyBorder="1" applyAlignment="1">
      <alignment horizontal="center" vertical="center"/>
    </xf>
    <xf numFmtId="189" fontId="0" fillId="31" borderId="0" xfId="0" applyNumberFormat="1" applyFill="1" applyAlignment="1">
      <alignment horizontal="right" vertical="center"/>
    </xf>
    <xf numFmtId="177" fontId="0" fillId="31" borderId="0" xfId="0" applyNumberFormat="1" applyFill="1" applyAlignment="1">
      <alignment vertical="center"/>
    </xf>
    <xf numFmtId="177" fontId="6" fillId="0" borderId="0" xfId="1" applyNumberFormat="1" applyFont="1" applyAlignment="1">
      <alignment vertical="center"/>
    </xf>
    <xf numFmtId="178" fontId="0" fillId="31" borderId="0" xfId="0" applyNumberFormat="1" applyFill="1" applyAlignment="1">
      <alignment vertical="center"/>
    </xf>
    <xf numFmtId="0" fontId="0" fillId="28" borderId="0" xfId="0" applyFill="1" applyAlignment="1">
      <alignment vertical="center"/>
    </xf>
    <xf numFmtId="177" fontId="2" fillId="28" borderId="0" xfId="0" applyNumberFormat="1" applyFont="1" applyFill="1" applyAlignment="1">
      <alignment horizontal="center" vertical="center"/>
    </xf>
    <xf numFmtId="0" fontId="0" fillId="28" borderId="0" xfId="0" applyFill="1" applyBorder="1" applyAlignment="1">
      <alignment horizontal="center" vertical="center" wrapText="1"/>
    </xf>
    <xf numFmtId="4" fontId="33" fillId="28" borderId="0" xfId="0" applyNumberFormat="1" applyFont="1" applyFill="1" applyAlignment="1">
      <alignment vertical="center"/>
    </xf>
    <xf numFmtId="185" fontId="0" fillId="28" borderId="0" xfId="0" applyNumberFormat="1" applyFill="1" applyBorder="1" applyAlignment="1">
      <alignment horizontal="left" vertical="center"/>
    </xf>
    <xf numFmtId="195" fontId="0" fillId="30" borderId="0" xfId="0" applyNumberFormat="1" applyFill="1" applyBorder="1" applyAlignment="1">
      <alignment vertical="center"/>
    </xf>
    <xf numFmtId="201" fontId="0" fillId="0" borderId="0" xfId="0" applyNumberForma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177" fontId="0" fillId="0" borderId="0" xfId="0" quotePrefix="1" applyNumberFormat="1" applyFill="1" applyAlignment="1">
      <alignment vertical="center"/>
    </xf>
    <xf numFmtId="177" fontId="37" fillId="0" borderId="0" xfId="0" applyNumberFormat="1" applyFont="1" applyFill="1" applyAlignment="1">
      <alignment vertical="center"/>
    </xf>
    <xf numFmtId="178" fontId="0" fillId="0" borderId="0" xfId="1" applyNumberFormat="1" applyFont="1" applyFill="1" applyAlignment="1">
      <alignment vertical="center"/>
    </xf>
    <xf numFmtId="0" fontId="21" fillId="36" borderId="0" xfId="0" applyFont="1" applyFill="1" applyBorder="1">
      <alignment vertical="top"/>
    </xf>
    <xf numFmtId="0" fontId="3" fillId="36" borderId="0" xfId="0" applyFont="1" applyFill="1" applyAlignment="1">
      <alignment horizontal="center" vertical="center"/>
    </xf>
    <xf numFmtId="0" fontId="0" fillId="36" borderId="0" xfId="0" applyFill="1" applyAlignment="1">
      <alignment horizontal="left" vertical="center"/>
    </xf>
    <xf numFmtId="0" fontId="0" fillId="36" borderId="0" xfId="0" applyFill="1" applyAlignment="1">
      <alignment vertical="center" wrapText="1"/>
    </xf>
    <xf numFmtId="0" fontId="0" fillId="36" borderId="0" xfId="0" applyFill="1" applyAlignment="1">
      <alignment horizontal="center" vertical="center" wrapText="1"/>
    </xf>
    <xf numFmtId="188" fontId="11" fillId="36" borderId="0" xfId="0" applyNumberFormat="1" applyFont="1" applyFill="1" applyAlignment="1">
      <alignment horizontal="center" vertical="center" wrapText="1"/>
    </xf>
    <xf numFmtId="0" fontId="0" fillId="36" borderId="0" xfId="0" applyFill="1" applyBorder="1" applyAlignment="1">
      <alignment horizontal="center" vertical="center"/>
    </xf>
    <xf numFmtId="177" fontId="3" fillId="36" borderId="0" xfId="0" applyNumberFormat="1" applyFont="1" applyFill="1" applyAlignment="1">
      <alignment horizontal="right" vertical="center"/>
    </xf>
    <xf numFmtId="0" fontId="3" fillId="36" borderId="0" xfId="0" applyFont="1" applyFill="1" applyBorder="1" applyAlignment="1">
      <alignment horizontal="center" vertical="center"/>
    </xf>
    <xf numFmtId="180" fontId="0" fillId="36" borderId="0" xfId="0" applyNumberFormat="1" applyFill="1" applyAlignment="1">
      <alignment horizontal="center" vertical="center" wrapText="1"/>
    </xf>
    <xf numFmtId="185" fontId="0" fillId="36" borderId="0" xfId="0" applyNumberForma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 wrapText="1"/>
    </xf>
    <xf numFmtId="194" fontId="2" fillId="36" borderId="0" xfId="0" applyNumberFormat="1" applyFont="1" applyFill="1" applyBorder="1" applyAlignment="1">
      <alignment vertical="center"/>
    </xf>
    <xf numFmtId="15" fontId="3" fillId="36" borderId="0" xfId="0" applyNumberFormat="1" applyFont="1" applyFill="1" applyBorder="1" applyAlignment="1">
      <alignment horizontal="center" vertical="center"/>
    </xf>
    <xf numFmtId="4" fontId="11" fillId="36" borderId="0" xfId="0" applyNumberFormat="1" applyFont="1" applyFill="1" applyAlignment="1">
      <alignment vertical="center" wrapText="1"/>
    </xf>
    <xf numFmtId="4" fontId="11" fillId="36" borderId="0" xfId="0" applyNumberFormat="1" applyFont="1" applyFill="1" applyAlignment="1">
      <alignment vertical="center"/>
    </xf>
    <xf numFmtId="193" fontId="11" fillId="36" borderId="0" xfId="0" applyNumberFormat="1" applyFont="1" applyFill="1" applyAlignment="1">
      <alignment horizontal="center" vertical="center"/>
    </xf>
    <xf numFmtId="195" fontId="0" fillId="36" borderId="0" xfId="0" applyNumberFormat="1" applyFill="1" applyAlignment="1">
      <alignment horizontal="center" vertical="center"/>
    </xf>
    <xf numFmtId="0" fontId="11" fillId="36" borderId="0" xfId="0" applyFont="1" applyFill="1" applyAlignment="1">
      <alignment vertical="center"/>
    </xf>
    <xf numFmtId="0" fontId="3" fillId="36" borderId="0" xfId="0" applyFont="1" applyFill="1" applyAlignment="1">
      <alignment vertical="center"/>
    </xf>
    <xf numFmtId="182" fontId="11" fillId="36" borderId="0" xfId="0" applyNumberFormat="1" applyFont="1" applyFill="1" applyAlignment="1">
      <alignment horizontal="center" vertical="center"/>
    </xf>
    <xf numFmtId="3" fontId="18" fillId="36" borderId="0" xfId="0" applyNumberFormat="1" applyFont="1" applyFill="1" applyAlignment="1">
      <alignment vertical="center"/>
    </xf>
    <xf numFmtId="177" fontId="0" fillId="36" borderId="0" xfId="0" applyNumberFormat="1" applyFill="1" applyAlignment="1">
      <alignment horizontal="right" vertical="center"/>
    </xf>
    <xf numFmtId="0" fontId="2" fillId="37" borderId="0" xfId="0" applyFont="1" applyFill="1" applyAlignment="1">
      <alignment horizontal="left" vertical="center"/>
    </xf>
    <xf numFmtId="0" fontId="2" fillId="37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37" borderId="0" xfId="0" applyFill="1" applyAlignment="1">
      <alignment vertical="center"/>
    </xf>
    <xf numFmtId="0" fontId="0" fillId="37" borderId="0" xfId="0" applyFill="1" applyAlignment="1">
      <alignment vertical="center" wrapText="1"/>
    </xf>
    <xf numFmtId="0" fontId="0" fillId="37" borderId="0" xfId="0" applyFill="1" applyAlignment="1">
      <alignment horizontal="center" vertical="center" wrapText="1"/>
    </xf>
    <xf numFmtId="188" fontId="11" fillId="37" borderId="0" xfId="0" applyNumberFormat="1" applyFont="1" applyFill="1" applyAlignment="1">
      <alignment horizontal="center" vertical="center" wrapText="1"/>
    </xf>
    <xf numFmtId="0" fontId="0" fillId="37" borderId="0" xfId="0" applyFill="1" applyBorder="1" applyAlignment="1">
      <alignment horizontal="center" vertical="center"/>
    </xf>
    <xf numFmtId="177" fontId="2" fillId="37" borderId="0" xfId="0" applyNumberFormat="1" applyFont="1" applyFill="1" applyAlignment="1">
      <alignment horizontal="right" vertical="center"/>
    </xf>
    <xf numFmtId="0" fontId="2" fillId="37" borderId="0" xfId="0" applyFont="1" applyFill="1" applyBorder="1" applyAlignment="1">
      <alignment horizontal="center" vertical="center"/>
    </xf>
    <xf numFmtId="180" fontId="2" fillId="37" borderId="0" xfId="0" applyNumberFormat="1" applyFon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185" fontId="0" fillId="37" borderId="0" xfId="0" applyNumberFormat="1" applyFill="1" applyBorder="1" applyAlignment="1">
      <alignment horizontal="center" vertical="center" wrapText="1"/>
    </xf>
    <xf numFmtId="0" fontId="0" fillId="37" borderId="0" xfId="0" applyFill="1" applyBorder="1" applyAlignment="1">
      <alignment vertical="center" wrapText="1"/>
    </xf>
    <xf numFmtId="195" fontId="2" fillId="37" borderId="0" xfId="0" applyNumberFormat="1" applyFont="1" applyFill="1" applyBorder="1" applyAlignment="1">
      <alignment vertical="center"/>
    </xf>
    <xf numFmtId="195" fontId="0" fillId="37" borderId="0" xfId="0" applyNumberFormat="1" applyFill="1" applyBorder="1" applyAlignment="1">
      <alignment vertical="center"/>
    </xf>
    <xf numFmtId="15" fontId="2" fillId="37" borderId="0" xfId="0" applyNumberFormat="1" applyFont="1" applyFill="1" applyBorder="1" applyAlignment="1">
      <alignment horizontal="center" vertical="center"/>
    </xf>
    <xf numFmtId="4" fontId="11" fillId="37" borderId="0" xfId="0" applyNumberFormat="1" applyFont="1" applyFill="1" applyAlignment="1">
      <alignment vertical="center"/>
    </xf>
    <xf numFmtId="193" fontId="11" fillId="37" borderId="0" xfId="0" applyNumberFormat="1" applyFont="1" applyFill="1" applyAlignment="1">
      <alignment horizontal="center" vertical="center"/>
    </xf>
    <xf numFmtId="195" fontId="0" fillId="37" borderId="0" xfId="0" applyNumberFormat="1" applyFill="1" applyAlignment="1">
      <alignment horizontal="center" vertical="center"/>
    </xf>
    <xf numFmtId="0" fontId="11" fillId="37" borderId="0" xfId="0" applyFont="1" applyFill="1" applyAlignment="1">
      <alignment vertical="center"/>
    </xf>
    <xf numFmtId="0" fontId="2" fillId="37" borderId="0" xfId="0" applyFont="1" applyFill="1" applyAlignment="1">
      <alignment vertical="center"/>
    </xf>
    <xf numFmtId="182" fontId="11" fillId="37" borderId="0" xfId="0" applyNumberFormat="1" applyFont="1" applyFill="1" applyAlignment="1">
      <alignment horizontal="center" vertical="center"/>
    </xf>
    <xf numFmtId="3" fontId="18" fillId="37" borderId="0" xfId="0" applyNumberFormat="1" applyFont="1" applyFill="1" applyAlignment="1">
      <alignment vertical="center"/>
    </xf>
    <xf numFmtId="195" fontId="0" fillId="28" borderId="0" xfId="0" applyNumberFormat="1" applyFill="1" applyBorder="1" applyAlignment="1">
      <alignment vertical="center"/>
    </xf>
    <xf numFmtId="0" fontId="27" fillId="13" borderId="6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27" fillId="13" borderId="0" xfId="0" applyFont="1" applyFill="1" applyBorder="1" applyAlignment="1">
      <alignment vertical="center" wrapText="1"/>
    </xf>
    <xf numFmtId="0" fontId="27" fillId="13" borderId="0" xfId="0" applyFont="1" applyFill="1" applyBorder="1" applyAlignment="1">
      <alignment horizontal="center" vertical="center"/>
    </xf>
    <xf numFmtId="177" fontId="27" fillId="13" borderId="0" xfId="0" applyNumberFormat="1" applyFont="1" applyFill="1" applyBorder="1" applyAlignment="1">
      <alignment vertical="center"/>
    </xf>
    <xf numFmtId="180" fontId="27" fillId="13" borderId="0" xfId="0" applyNumberFormat="1" applyFont="1" applyFill="1" applyBorder="1" applyAlignment="1">
      <alignment horizontal="center" vertical="center"/>
    </xf>
    <xf numFmtId="200" fontId="27" fillId="13" borderId="3" xfId="0" applyNumberFormat="1" applyFont="1" applyFill="1" applyBorder="1" applyAlignment="1">
      <alignment horizontal="center" vertical="center"/>
    </xf>
    <xf numFmtId="0" fontId="0" fillId="32" borderId="0" xfId="0" applyFill="1" applyAlignment="1">
      <alignment vertical="center"/>
    </xf>
    <xf numFmtId="195" fontId="0" fillId="32" borderId="0" xfId="0" applyNumberFormat="1" applyFill="1" applyBorder="1" applyAlignment="1">
      <alignment vertical="center"/>
    </xf>
    <xf numFmtId="0" fontId="26" fillId="6" borderId="11" xfId="0" applyFont="1" applyFill="1" applyBorder="1" applyAlignment="1">
      <alignment vertical="center" wrapText="1"/>
    </xf>
    <xf numFmtId="0" fontId="26" fillId="6" borderId="13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177" fontId="27" fillId="0" borderId="0" xfId="0" applyNumberFormat="1" applyFont="1" applyFill="1" applyBorder="1" applyAlignment="1">
      <alignment vertical="center"/>
    </xf>
    <xf numFmtId="177" fontId="0" fillId="24" borderId="0" xfId="0" applyNumberFormat="1" applyFill="1" applyAlignment="1">
      <alignment horizontal="right" vertical="center"/>
    </xf>
    <xf numFmtId="0" fontId="2" fillId="25" borderId="0" xfId="0" applyFont="1" applyFill="1" applyAlignment="1">
      <alignment horizontal="left" vertical="center"/>
    </xf>
    <xf numFmtId="195" fontId="0" fillId="25" borderId="0" xfId="0" applyNumberFormat="1" applyFill="1" applyBorder="1" applyAlignment="1">
      <alignment vertical="center"/>
    </xf>
    <xf numFmtId="195" fontId="0" fillId="25" borderId="0" xfId="0" applyNumberFormat="1" applyFill="1" applyAlignment="1">
      <alignment horizontal="center" vertical="center"/>
    </xf>
    <xf numFmtId="0" fontId="2" fillId="38" borderId="0" xfId="0" applyFont="1" applyFill="1" applyAlignment="1">
      <alignment horizontal="left" vertical="center"/>
    </xf>
    <xf numFmtId="0" fontId="2" fillId="38" borderId="0" xfId="0" applyFont="1" applyFill="1" applyAlignment="1">
      <alignment horizontal="center" vertical="center"/>
    </xf>
    <xf numFmtId="0" fontId="22" fillId="38" borderId="0" xfId="0" applyFont="1" applyFill="1" applyAlignment="1">
      <alignment horizontal="center" vertical="center"/>
    </xf>
    <xf numFmtId="0" fontId="0" fillId="38" borderId="0" xfId="0" applyFill="1" applyAlignment="1">
      <alignment vertical="center"/>
    </xf>
    <xf numFmtId="0" fontId="0" fillId="38" borderId="0" xfId="0" applyFill="1" applyAlignment="1">
      <alignment vertical="center" wrapText="1"/>
    </xf>
    <xf numFmtId="0" fontId="0" fillId="38" borderId="0" xfId="0" applyFill="1" applyAlignment="1">
      <alignment horizontal="center" vertical="center" wrapText="1"/>
    </xf>
    <xf numFmtId="188" fontId="11" fillId="38" borderId="0" xfId="0" applyNumberFormat="1" applyFont="1" applyFill="1" applyAlignment="1">
      <alignment horizontal="center" vertical="center" wrapText="1"/>
    </xf>
    <xf numFmtId="0" fontId="0" fillId="38" borderId="0" xfId="0" applyFill="1" applyBorder="1" applyAlignment="1">
      <alignment horizontal="center" vertical="center"/>
    </xf>
    <xf numFmtId="177" fontId="2" fillId="38" borderId="0" xfId="0" applyNumberFormat="1" applyFont="1" applyFill="1" applyAlignment="1">
      <alignment horizontal="right" vertical="center"/>
    </xf>
    <xf numFmtId="180" fontId="2" fillId="38" borderId="0" xfId="0" applyNumberFormat="1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85" fontId="0" fillId="38" borderId="0" xfId="0" applyNumberFormat="1" applyFill="1" applyBorder="1" applyAlignment="1">
      <alignment horizontal="center" vertical="center" wrapText="1"/>
    </xf>
    <xf numFmtId="0" fontId="0" fillId="38" borderId="0" xfId="0" applyFill="1" applyBorder="1" applyAlignment="1">
      <alignment vertical="center" wrapText="1"/>
    </xf>
    <xf numFmtId="195" fontId="0" fillId="38" borderId="0" xfId="0" applyNumberFormat="1" applyFill="1" applyBorder="1" applyAlignment="1">
      <alignment vertical="center"/>
    </xf>
    <xf numFmtId="15" fontId="2" fillId="38" borderId="0" xfId="0" applyNumberFormat="1" applyFont="1" applyFill="1" applyBorder="1" applyAlignment="1">
      <alignment horizontal="center" vertical="center"/>
    </xf>
    <xf numFmtId="4" fontId="11" fillId="38" borderId="0" xfId="0" applyNumberFormat="1" applyFont="1" applyFill="1" applyAlignment="1">
      <alignment vertical="center"/>
    </xf>
    <xf numFmtId="4" fontId="2" fillId="38" borderId="0" xfId="0" applyNumberFormat="1" applyFont="1" applyFill="1" applyAlignment="1">
      <alignment vertical="center"/>
    </xf>
    <xf numFmtId="193" fontId="11" fillId="38" borderId="0" xfId="0" applyNumberFormat="1" applyFont="1" applyFill="1" applyAlignment="1">
      <alignment horizontal="center" vertical="center"/>
    </xf>
    <xf numFmtId="195" fontId="0" fillId="38" borderId="0" xfId="0" applyNumberFormat="1" applyFill="1" applyAlignment="1">
      <alignment horizontal="center" vertical="center"/>
    </xf>
    <xf numFmtId="0" fontId="11" fillId="38" borderId="0" xfId="0" applyFont="1" applyFill="1" applyAlignment="1">
      <alignment vertical="center"/>
    </xf>
    <xf numFmtId="0" fontId="2" fillId="38" borderId="0" xfId="0" applyFont="1" applyFill="1" applyAlignment="1">
      <alignment vertical="center"/>
    </xf>
    <xf numFmtId="182" fontId="11" fillId="38" borderId="0" xfId="0" applyNumberFormat="1" applyFont="1" applyFill="1" applyAlignment="1">
      <alignment horizontal="center" vertical="center"/>
    </xf>
    <xf numFmtId="3" fontId="18" fillId="38" borderId="0" xfId="0" applyNumberFormat="1" applyFont="1" applyFill="1" applyAlignment="1">
      <alignment vertical="center"/>
    </xf>
    <xf numFmtId="180" fontId="0" fillId="17" borderId="0" xfId="0" applyNumberFormat="1" applyFill="1" applyAlignment="1">
      <alignment horizontal="center" vertical="center"/>
    </xf>
    <xf numFmtId="0" fontId="0" fillId="17" borderId="0" xfId="0" applyFont="1" applyFill="1" applyAlignment="1">
      <alignment horizontal="center" vertical="center" wrapText="1"/>
    </xf>
    <xf numFmtId="15" fontId="0" fillId="17" borderId="0" xfId="0" applyNumberFormat="1" applyFill="1" applyBorder="1" applyAlignment="1">
      <alignment horizontal="center" vertical="center"/>
    </xf>
    <xf numFmtId="0" fontId="21" fillId="31" borderId="0" xfId="0" applyFont="1" applyFill="1" applyBorder="1">
      <alignment vertical="top"/>
    </xf>
    <xf numFmtId="0" fontId="3" fillId="31" borderId="0" xfId="0" applyFont="1" applyFill="1" applyAlignment="1">
      <alignment horizontal="center" vertical="center"/>
    </xf>
    <xf numFmtId="0" fontId="0" fillId="31" borderId="0" xfId="0" applyFill="1" applyAlignment="1">
      <alignment horizontal="left" vertical="center"/>
    </xf>
    <xf numFmtId="0" fontId="0" fillId="31" borderId="0" xfId="0" applyFill="1" applyBorder="1" applyAlignment="1">
      <alignment horizontal="center" vertical="center"/>
    </xf>
    <xf numFmtId="177" fontId="3" fillId="31" borderId="0" xfId="0" applyNumberFormat="1" applyFont="1" applyFill="1" applyAlignment="1">
      <alignment horizontal="right" vertical="center"/>
    </xf>
    <xf numFmtId="0" fontId="3" fillId="31" borderId="0" xfId="0" applyFont="1" applyFill="1" applyBorder="1" applyAlignment="1">
      <alignment horizontal="center" vertical="center"/>
    </xf>
    <xf numFmtId="180" fontId="0" fillId="31" borderId="0" xfId="0" applyNumberFormat="1" applyFill="1" applyAlignment="1">
      <alignment horizontal="center" vertical="center" wrapText="1"/>
    </xf>
    <xf numFmtId="194" fontId="2" fillId="31" borderId="0" xfId="0" applyNumberFormat="1" applyFont="1" applyFill="1" applyBorder="1" applyAlignment="1">
      <alignment vertical="center"/>
    </xf>
    <xf numFmtId="15" fontId="3" fillId="31" borderId="0" xfId="0" applyNumberFormat="1" applyFont="1" applyFill="1" applyBorder="1" applyAlignment="1">
      <alignment horizontal="center" vertical="center"/>
    </xf>
    <xf numFmtId="4" fontId="11" fillId="31" borderId="0" xfId="0" applyNumberFormat="1" applyFont="1" applyFill="1" applyAlignment="1">
      <alignment vertical="center" wrapText="1"/>
    </xf>
    <xf numFmtId="193" fontId="11" fillId="31" borderId="0" xfId="0" applyNumberFormat="1" applyFont="1" applyFill="1" applyAlignment="1">
      <alignment horizontal="center" vertical="center"/>
    </xf>
    <xf numFmtId="0" fontId="3" fillId="31" borderId="0" xfId="0" applyFont="1" applyFill="1" applyAlignment="1">
      <alignment vertical="center"/>
    </xf>
    <xf numFmtId="177" fontId="0" fillId="31" borderId="0" xfId="0" applyNumberFormat="1" applyFill="1" applyAlignment="1">
      <alignment horizontal="right" vertical="center"/>
    </xf>
    <xf numFmtId="0" fontId="21" fillId="39" borderId="0" xfId="0" applyFont="1" applyFill="1" applyBorder="1">
      <alignment vertical="top"/>
    </xf>
    <xf numFmtId="0" fontId="3" fillId="39" borderId="0" xfId="0" applyFont="1" applyFill="1" applyAlignment="1">
      <alignment horizontal="center" vertical="center"/>
    </xf>
    <xf numFmtId="0" fontId="0" fillId="39" borderId="0" xfId="0" applyFill="1" applyAlignment="1">
      <alignment horizontal="left" vertical="center"/>
    </xf>
    <xf numFmtId="0" fontId="0" fillId="39" borderId="0" xfId="0" applyFill="1" applyAlignment="1">
      <alignment vertical="center" wrapText="1"/>
    </xf>
    <xf numFmtId="0" fontId="0" fillId="39" borderId="0" xfId="0" applyFill="1" applyAlignment="1">
      <alignment horizontal="center" vertical="center" wrapText="1"/>
    </xf>
    <xf numFmtId="188" fontId="11" fillId="39" borderId="0" xfId="0" applyNumberFormat="1" applyFont="1" applyFill="1" applyAlignment="1">
      <alignment horizontal="center" vertical="center" wrapText="1"/>
    </xf>
    <xf numFmtId="0" fontId="0" fillId="39" borderId="0" xfId="0" applyFill="1" applyBorder="1" applyAlignment="1">
      <alignment horizontal="center" vertical="center"/>
    </xf>
    <xf numFmtId="177" fontId="3" fillId="39" borderId="0" xfId="0" applyNumberFormat="1" applyFont="1" applyFill="1" applyAlignment="1">
      <alignment horizontal="right" vertical="center"/>
    </xf>
    <xf numFmtId="0" fontId="3" fillId="39" borderId="0" xfId="0" applyFont="1" applyFill="1" applyBorder="1" applyAlignment="1">
      <alignment horizontal="center" vertical="center"/>
    </xf>
    <xf numFmtId="180" fontId="0" fillId="39" borderId="0" xfId="0" applyNumberFormat="1" applyFill="1" applyAlignment="1">
      <alignment horizontal="center" vertical="center" wrapText="1"/>
    </xf>
    <xf numFmtId="185" fontId="0" fillId="39" borderId="0" xfId="0" applyNumberFormat="1" applyFill="1" applyBorder="1" applyAlignment="1">
      <alignment horizontal="center" vertical="center" wrapText="1"/>
    </xf>
    <xf numFmtId="0" fontId="0" fillId="39" borderId="0" xfId="0" applyFill="1" applyBorder="1" applyAlignment="1">
      <alignment vertical="center" wrapText="1"/>
    </xf>
    <xf numFmtId="194" fontId="2" fillId="39" borderId="0" xfId="0" applyNumberFormat="1" applyFont="1" applyFill="1" applyBorder="1" applyAlignment="1">
      <alignment vertical="center"/>
    </xf>
    <xf numFmtId="15" fontId="3" fillId="39" borderId="0" xfId="0" applyNumberFormat="1" applyFont="1" applyFill="1" applyBorder="1" applyAlignment="1">
      <alignment horizontal="center" vertical="center"/>
    </xf>
    <xf numFmtId="4" fontId="11" fillId="39" borderId="0" xfId="0" applyNumberFormat="1" applyFont="1" applyFill="1" applyAlignment="1">
      <alignment vertical="center" wrapText="1"/>
    </xf>
    <xf numFmtId="4" fontId="11" fillId="39" borderId="0" xfId="0" applyNumberFormat="1" applyFont="1" applyFill="1" applyAlignment="1">
      <alignment vertical="center"/>
    </xf>
    <xf numFmtId="193" fontId="11" fillId="39" borderId="0" xfId="0" applyNumberFormat="1" applyFont="1" applyFill="1" applyAlignment="1">
      <alignment horizontal="center" vertical="center"/>
    </xf>
    <xf numFmtId="195" fontId="0" fillId="39" borderId="0" xfId="0" applyNumberFormat="1" applyFill="1" applyAlignment="1">
      <alignment horizontal="center" vertical="center"/>
    </xf>
    <xf numFmtId="0" fontId="11" fillId="39" borderId="0" xfId="0" applyFont="1" applyFill="1" applyAlignment="1">
      <alignment vertical="center"/>
    </xf>
    <xf numFmtId="0" fontId="3" fillId="39" borderId="0" xfId="0" applyFont="1" applyFill="1" applyAlignment="1">
      <alignment vertical="center"/>
    </xf>
    <xf numFmtId="182" fontId="11" fillId="39" borderId="0" xfId="0" applyNumberFormat="1" applyFont="1" applyFill="1" applyAlignment="1">
      <alignment horizontal="center" vertical="center"/>
    </xf>
    <xf numFmtId="3" fontId="18" fillId="39" borderId="0" xfId="0" applyNumberFormat="1" applyFont="1" applyFill="1" applyAlignment="1">
      <alignment vertical="center"/>
    </xf>
    <xf numFmtId="177" fontId="0" fillId="39" borderId="0" xfId="0" applyNumberFormat="1" applyFill="1" applyAlignment="1">
      <alignment horizontal="right" vertical="center"/>
    </xf>
    <xf numFmtId="0" fontId="0" fillId="40" borderId="0" xfId="0" applyFill="1" applyAlignment="1">
      <alignment vertical="center"/>
    </xf>
    <xf numFmtId="189" fontId="0" fillId="40" borderId="0" xfId="0" applyNumberFormat="1" applyFill="1" applyAlignment="1">
      <alignment vertical="center"/>
    </xf>
    <xf numFmtId="178" fontId="0" fillId="40" borderId="0" xfId="1" applyNumberFormat="1" applyFont="1" applyFill="1" applyAlignment="1">
      <alignment vertical="center"/>
    </xf>
    <xf numFmtId="0" fontId="0" fillId="27" borderId="0" xfId="0" applyFont="1" applyFill="1" applyAlignment="1">
      <alignment horizontal="center" vertical="center" wrapText="1"/>
    </xf>
    <xf numFmtId="180" fontId="0" fillId="27" borderId="0" xfId="0" applyNumberFormat="1" applyFill="1" applyAlignment="1">
      <alignment horizontal="center" vertical="center"/>
    </xf>
    <xf numFmtId="4" fontId="2" fillId="27" borderId="0" xfId="0" applyNumberFormat="1" applyFont="1" applyFill="1" applyAlignment="1">
      <alignment vertical="center"/>
    </xf>
    <xf numFmtId="0" fontId="0" fillId="23" borderId="0" xfId="0" applyFont="1" applyFill="1" applyAlignment="1">
      <alignment horizontal="center" vertical="center" wrapText="1"/>
    </xf>
    <xf numFmtId="180" fontId="0" fillId="23" borderId="0" xfId="0" applyNumberFormat="1" applyFill="1" applyAlignment="1">
      <alignment horizontal="center" vertical="center"/>
    </xf>
    <xf numFmtId="0" fontId="0" fillId="29" borderId="0" xfId="0" applyFont="1" applyFill="1" applyAlignment="1">
      <alignment horizontal="center" vertical="center" wrapText="1"/>
    </xf>
    <xf numFmtId="180" fontId="0" fillId="29" borderId="0" xfId="0" applyNumberForma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85" fontId="0" fillId="0" borderId="0" xfId="0" applyNumberFormat="1" applyFill="1" applyBorder="1" applyAlignment="1">
      <alignment horizontal="left" vertical="center"/>
    </xf>
    <xf numFmtId="188" fontId="11" fillId="0" borderId="0" xfId="0" applyNumberFormat="1" applyFont="1" applyFill="1" applyAlignment="1">
      <alignment horizontal="center" vertical="center"/>
    </xf>
    <xf numFmtId="0" fontId="21" fillId="39" borderId="0" xfId="0" applyFont="1" applyFill="1" applyBorder="1" applyAlignment="1">
      <alignment vertical="top"/>
    </xf>
    <xf numFmtId="0" fontId="0" fillId="39" borderId="0" xfId="0" applyFill="1" applyAlignment="1">
      <alignment vertical="center"/>
    </xf>
    <xf numFmtId="0" fontId="0" fillId="39" borderId="0" xfId="0" applyFill="1" applyAlignment="1">
      <alignment horizontal="center" vertical="center"/>
    </xf>
    <xf numFmtId="188" fontId="11" fillId="39" borderId="0" xfId="0" applyNumberFormat="1" applyFont="1" applyFill="1" applyAlignment="1">
      <alignment horizontal="center" vertical="center"/>
    </xf>
    <xf numFmtId="180" fontId="0" fillId="39" borderId="0" xfId="0" applyNumberFormat="1" applyFill="1" applyAlignment="1">
      <alignment horizontal="center" vertical="center"/>
    </xf>
    <xf numFmtId="185" fontId="0" fillId="39" borderId="0" xfId="0" applyNumberFormat="1" applyFill="1" applyBorder="1" applyAlignment="1">
      <alignment horizontal="center" vertical="center"/>
    </xf>
    <xf numFmtId="0" fontId="0" fillId="39" borderId="0" xfId="0" applyFill="1" applyBorder="1" applyAlignment="1">
      <alignment vertical="center"/>
    </xf>
    <xf numFmtId="195" fontId="0" fillId="23" borderId="0" xfId="0" applyNumberFormat="1" applyFill="1" applyBorder="1" applyAlignment="1">
      <alignment vertical="center" wrapText="1"/>
    </xf>
    <xf numFmtId="200" fontId="27" fillId="0" borderId="9" xfId="0" applyNumberFormat="1" applyFont="1" applyFill="1" applyBorder="1" applyAlignment="1">
      <alignment horizontal="center" vertical="center"/>
    </xf>
    <xf numFmtId="189" fontId="0" fillId="0" borderId="0" xfId="0" applyNumberFormat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189" fontId="0" fillId="20" borderId="0" xfId="0" applyNumberFormat="1" applyFill="1" applyAlignment="1">
      <alignment vertical="center"/>
    </xf>
    <xf numFmtId="0" fontId="21" fillId="28" borderId="0" xfId="0" applyFont="1" applyFill="1" applyBorder="1" applyAlignment="1">
      <alignment vertical="top"/>
    </xf>
    <xf numFmtId="180" fontId="0" fillId="28" borderId="0" xfId="0" applyNumberFormat="1" applyFill="1" applyAlignment="1">
      <alignment horizontal="center" vertical="center"/>
    </xf>
    <xf numFmtId="185" fontId="0" fillId="28" borderId="0" xfId="0" applyNumberFormat="1" applyFill="1" applyBorder="1" applyAlignment="1">
      <alignment horizontal="center" vertical="center"/>
    </xf>
    <xf numFmtId="0" fontId="0" fillId="28" borderId="0" xfId="0" applyFill="1" applyBorder="1" applyAlignment="1">
      <alignment vertical="center"/>
    </xf>
    <xf numFmtId="190" fontId="11" fillId="0" borderId="0" xfId="0" applyNumberFormat="1" applyFont="1" applyFill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94" fontId="2" fillId="0" borderId="0" xfId="0" applyNumberFormat="1" applyFont="1" applyFill="1" applyAlignment="1">
      <alignment vertical="center"/>
    </xf>
    <xf numFmtId="186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194" fontId="2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188" fontId="16" fillId="0" borderId="0" xfId="0" applyNumberFormat="1" applyFont="1" applyFill="1" applyAlignment="1">
      <alignment horizontal="center" vertical="center" wrapText="1"/>
    </xf>
    <xf numFmtId="177" fontId="6" fillId="0" borderId="0" xfId="0" applyNumberFormat="1" applyFont="1" applyFill="1" applyAlignment="1">
      <alignment horizontal="right" vertical="center"/>
    </xf>
    <xf numFmtId="180" fontId="6" fillId="0" borderId="0" xfId="0" applyNumberFormat="1" applyFont="1" applyFill="1" applyAlignment="1">
      <alignment horizontal="center" vertical="center"/>
    </xf>
    <xf numFmtId="194" fontId="6" fillId="0" borderId="0" xfId="0" applyNumberFormat="1" applyFont="1" applyFill="1" applyBorder="1" applyAlignment="1">
      <alignment vertical="center"/>
    </xf>
    <xf numFmtId="15" fontId="6" fillId="0" borderId="0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Alignment="1">
      <alignment vertical="center"/>
    </xf>
    <xf numFmtId="4" fontId="16" fillId="0" borderId="0" xfId="0" applyNumberFormat="1" applyFont="1" applyFill="1" applyAlignment="1">
      <alignment horizontal="center" vertical="center"/>
    </xf>
    <xf numFmtId="4" fontId="16" fillId="0" borderId="0" xfId="0" applyNumberFormat="1" applyFont="1" applyFill="1" applyAlignment="1">
      <alignment vertical="center"/>
    </xf>
    <xf numFmtId="196" fontId="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182" fontId="16" fillId="0" borderId="0" xfId="0" applyNumberFormat="1" applyFont="1" applyFill="1" applyAlignment="1">
      <alignment horizontal="center" vertical="center"/>
    </xf>
    <xf numFmtId="3" fontId="29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center" vertical="center" wrapText="1"/>
    </xf>
    <xf numFmtId="188" fontId="24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/>
    </xf>
    <xf numFmtId="177" fontId="24" fillId="0" borderId="0" xfId="0" applyNumberFormat="1" applyFont="1" applyFill="1" applyAlignment="1">
      <alignment horizontal="right" vertical="center"/>
    </xf>
    <xf numFmtId="180" fontId="24" fillId="0" borderId="0" xfId="0" applyNumberFormat="1" applyFont="1" applyFill="1" applyAlignment="1">
      <alignment horizontal="center" vertical="center"/>
    </xf>
    <xf numFmtId="185" fontId="24" fillId="0" borderId="0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194" fontId="24" fillId="0" borderId="0" xfId="0" applyNumberFormat="1" applyFont="1" applyFill="1" applyBorder="1" applyAlignment="1">
      <alignment vertical="center"/>
    </xf>
    <xf numFmtId="15" fontId="24" fillId="0" borderId="0" xfId="0" applyNumberFormat="1" applyFont="1" applyFill="1" applyBorder="1" applyAlignment="1">
      <alignment horizontal="center" vertical="center"/>
    </xf>
    <xf numFmtId="4" fontId="24" fillId="0" borderId="0" xfId="0" applyNumberFormat="1" applyFont="1" applyFill="1" applyAlignment="1">
      <alignment vertical="center"/>
    </xf>
    <xf numFmtId="196" fontId="24" fillId="0" borderId="0" xfId="0" applyNumberFormat="1" applyFont="1" applyFill="1" applyBorder="1" applyAlignment="1">
      <alignment vertical="center"/>
    </xf>
    <xf numFmtId="182" fontId="24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horizontal="right" vertical="center"/>
    </xf>
    <xf numFmtId="4" fontId="0" fillId="0" borderId="0" xfId="0" applyNumberFormat="1" applyFill="1" applyAlignment="1">
      <alignment vertical="center" wrapText="1"/>
    </xf>
    <xf numFmtId="194" fontId="3" fillId="0" borderId="0" xfId="0" applyNumberFormat="1" applyFont="1" applyFill="1" applyBorder="1" applyAlignment="1">
      <alignment vertical="center"/>
    </xf>
    <xf numFmtId="197" fontId="0" fillId="0" borderId="0" xfId="1" applyNumberFormat="1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right" vertical="center"/>
    </xf>
    <xf numFmtId="199" fontId="3" fillId="0" borderId="0" xfId="0" applyNumberFormat="1" applyFont="1" applyFill="1" applyBorder="1" applyAlignment="1">
      <alignment horizontal="center" vertical="center"/>
    </xf>
    <xf numFmtId="0" fontId="5" fillId="0" borderId="0" xfId="2" applyFill="1" applyBorder="1" applyAlignment="1" applyProtection="1">
      <alignment vertical="center" wrapText="1"/>
    </xf>
    <xf numFmtId="4" fontId="33" fillId="0" borderId="0" xfId="0" applyNumberFormat="1" applyFont="1" applyFill="1" applyAlignment="1">
      <alignment vertical="center"/>
    </xf>
    <xf numFmtId="0" fontId="21" fillId="0" borderId="0" xfId="0" applyFont="1" applyFill="1" applyBorder="1" applyAlignment="1">
      <alignment vertical="top"/>
    </xf>
    <xf numFmtId="180" fontId="0" fillId="0" borderId="0" xfId="0" applyNumberFormat="1" applyFill="1" applyAlignment="1">
      <alignment horizontal="center" vertical="center"/>
    </xf>
    <xf numFmtId="185" fontId="0" fillId="0" borderId="0" xfId="0" applyNumberFormat="1" applyFill="1" applyBorder="1" applyAlignment="1">
      <alignment horizontal="center" vertical="center"/>
    </xf>
    <xf numFmtId="0" fontId="21" fillId="19" borderId="0" xfId="0" applyFont="1" applyFill="1" applyBorder="1" applyAlignment="1">
      <alignment vertical="top"/>
    </xf>
    <xf numFmtId="180" fontId="0" fillId="19" borderId="0" xfId="0" applyNumberFormat="1" applyFill="1" applyAlignment="1">
      <alignment horizontal="center" vertical="center"/>
    </xf>
    <xf numFmtId="185" fontId="0" fillId="19" borderId="0" xfId="0" applyNumberFormat="1" applyFill="1" applyBorder="1" applyAlignment="1">
      <alignment horizontal="center" vertical="center"/>
    </xf>
    <xf numFmtId="0" fontId="0" fillId="19" borderId="0" xfId="0" applyFill="1" applyBorder="1" applyAlignment="1">
      <alignment vertical="center"/>
    </xf>
    <xf numFmtId="194" fontId="2" fillId="19" borderId="0" xfId="0" applyNumberFormat="1" applyFont="1" applyFill="1" applyBorder="1" applyAlignment="1">
      <alignment vertical="center"/>
    </xf>
    <xf numFmtId="177" fontId="0" fillId="19" borderId="0" xfId="0" applyNumberFormat="1" applyFill="1" applyAlignment="1">
      <alignment horizontal="right" vertical="center"/>
    </xf>
    <xf numFmtId="178" fontId="0" fillId="0" borderId="0" xfId="1" applyNumberFormat="1" applyFont="1" applyAlignment="1">
      <alignment horizontal="right" vertical="center"/>
    </xf>
    <xf numFmtId="0" fontId="21" fillId="16" borderId="0" xfId="0" applyFont="1" applyFill="1" applyBorder="1" applyAlignment="1">
      <alignment vertical="top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vertical="center"/>
    </xf>
    <xf numFmtId="177" fontId="3" fillId="16" borderId="0" xfId="0" applyNumberFormat="1" applyFont="1" applyFill="1" applyAlignment="1">
      <alignment horizontal="right" vertical="center"/>
    </xf>
    <xf numFmtId="0" fontId="3" fillId="16" borderId="0" xfId="0" applyFont="1" applyFill="1" applyBorder="1" applyAlignment="1">
      <alignment horizontal="center" vertical="center"/>
    </xf>
    <xf numFmtId="180" fontId="0" fillId="16" borderId="0" xfId="0" applyNumberFormat="1" applyFill="1" applyAlignment="1">
      <alignment horizontal="center" vertical="center"/>
    </xf>
    <xf numFmtId="185" fontId="0" fillId="16" borderId="0" xfId="0" applyNumberFormat="1" applyFill="1" applyBorder="1" applyAlignment="1">
      <alignment horizontal="center" vertical="center"/>
    </xf>
    <xf numFmtId="0" fontId="0" fillId="16" borderId="0" xfId="0" applyFill="1" applyBorder="1" applyAlignment="1">
      <alignment vertical="center"/>
    </xf>
    <xf numFmtId="194" fontId="2" fillId="16" borderId="0" xfId="0" applyNumberFormat="1" applyFont="1" applyFill="1" applyBorder="1" applyAlignment="1">
      <alignment vertical="center"/>
    </xf>
    <xf numFmtId="15" fontId="3" fillId="16" borderId="0" xfId="0" applyNumberFormat="1" applyFont="1" applyFill="1" applyBorder="1" applyAlignment="1">
      <alignment horizontal="center" vertical="center"/>
    </xf>
    <xf numFmtId="193" fontId="11" fillId="16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vertical="center"/>
    </xf>
    <xf numFmtId="177" fontId="0" fillId="16" borderId="0" xfId="0" applyNumberFormat="1" applyFill="1" applyAlignment="1">
      <alignment horizontal="right" vertical="center"/>
    </xf>
    <xf numFmtId="0" fontId="21" fillId="37" borderId="0" xfId="0" applyFont="1" applyFill="1" applyBorder="1" applyAlignment="1">
      <alignment vertical="top"/>
    </xf>
    <xf numFmtId="0" fontId="3" fillId="37" borderId="0" xfId="0" applyFont="1" applyFill="1" applyAlignment="1">
      <alignment horizontal="center" vertical="center"/>
    </xf>
    <xf numFmtId="0" fontId="0" fillId="37" borderId="0" xfId="0" applyFill="1" applyAlignment="1">
      <alignment horizontal="left" vertical="center"/>
    </xf>
    <xf numFmtId="177" fontId="3" fillId="37" borderId="0" xfId="0" applyNumberFormat="1" applyFont="1" applyFill="1" applyAlignment="1">
      <alignment horizontal="right" vertical="center"/>
    </xf>
    <xf numFmtId="0" fontId="3" fillId="37" borderId="0" xfId="0" applyFont="1" applyFill="1" applyBorder="1" applyAlignment="1">
      <alignment horizontal="center" vertical="center"/>
    </xf>
    <xf numFmtId="180" fontId="0" fillId="37" borderId="0" xfId="0" applyNumberFormat="1" applyFill="1" applyAlignment="1">
      <alignment horizontal="center" vertical="center"/>
    </xf>
    <xf numFmtId="185" fontId="0" fillId="37" borderId="0" xfId="0" applyNumberFormat="1" applyFill="1" applyBorder="1" applyAlignment="1">
      <alignment horizontal="center" vertical="center"/>
    </xf>
    <xf numFmtId="0" fontId="0" fillId="37" borderId="0" xfId="0" applyFill="1" applyBorder="1" applyAlignment="1">
      <alignment vertical="center"/>
    </xf>
    <xf numFmtId="194" fontId="2" fillId="37" borderId="0" xfId="0" applyNumberFormat="1" applyFont="1" applyFill="1" applyBorder="1" applyAlignment="1">
      <alignment vertical="center"/>
    </xf>
    <xf numFmtId="15" fontId="3" fillId="37" borderId="0" xfId="0" applyNumberFormat="1" applyFont="1" applyFill="1" applyBorder="1" applyAlignment="1">
      <alignment horizontal="center" vertical="center"/>
    </xf>
    <xf numFmtId="0" fontId="3" fillId="37" borderId="0" xfId="0" applyFont="1" applyFill="1" applyAlignment="1">
      <alignment vertical="center"/>
    </xf>
    <xf numFmtId="177" fontId="0" fillId="37" borderId="0" xfId="0" applyNumberFormat="1" applyFill="1" applyAlignment="1">
      <alignment horizontal="right" vertical="center"/>
    </xf>
    <xf numFmtId="0" fontId="21" fillId="41" borderId="0" xfId="0" applyFont="1" applyFill="1" applyBorder="1" applyAlignment="1">
      <alignment vertical="top"/>
    </xf>
    <xf numFmtId="0" fontId="3" fillId="41" borderId="0" xfId="0" applyFont="1" applyFill="1" applyAlignment="1">
      <alignment horizontal="center" vertical="center"/>
    </xf>
    <xf numFmtId="0" fontId="0" fillId="41" borderId="0" xfId="0" applyFill="1" applyAlignment="1">
      <alignment horizontal="left" vertical="center"/>
    </xf>
    <xf numFmtId="0" fontId="0" fillId="41" borderId="0" xfId="0" applyFill="1" applyAlignment="1">
      <alignment vertical="center"/>
    </xf>
    <xf numFmtId="0" fontId="0" fillId="41" borderId="0" xfId="0" applyFill="1" applyAlignment="1">
      <alignment horizontal="center" vertical="center"/>
    </xf>
    <xf numFmtId="188" fontId="11" fillId="41" borderId="0" xfId="0" applyNumberFormat="1" applyFont="1" applyFill="1" applyAlignment="1">
      <alignment horizontal="center" vertical="center" wrapText="1"/>
    </xf>
    <xf numFmtId="0" fontId="0" fillId="41" borderId="0" xfId="0" applyFill="1" applyBorder="1" applyAlignment="1">
      <alignment horizontal="center" vertical="center"/>
    </xf>
    <xf numFmtId="177" fontId="3" fillId="41" borderId="0" xfId="0" applyNumberFormat="1" applyFont="1" applyFill="1" applyAlignment="1">
      <alignment horizontal="right" vertical="center"/>
    </xf>
    <xf numFmtId="0" fontId="3" fillId="41" borderId="0" xfId="0" applyFont="1" applyFill="1" applyBorder="1" applyAlignment="1">
      <alignment horizontal="center" vertical="center"/>
    </xf>
    <xf numFmtId="180" fontId="0" fillId="41" borderId="0" xfId="0" applyNumberFormat="1" applyFill="1" applyAlignment="1">
      <alignment horizontal="center" vertical="center"/>
    </xf>
    <xf numFmtId="185" fontId="0" fillId="41" borderId="0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vertical="center"/>
    </xf>
    <xf numFmtId="194" fontId="2" fillId="41" borderId="0" xfId="0" applyNumberFormat="1" applyFont="1" applyFill="1" applyBorder="1" applyAlignment="1">
      <alignment vertical="center"/>
    </xf>
    <xf numFmtId="15" fontId="3" fillId="41" borderId="0" xfId="0" applyNumberFormat="1" applyFont="1" applyFill="1" applyBorder="1" applyAlignment="1">
      <alignment horizontal="center" vertical="center"/>
    </xf>
    <xf numFmtId="4" fontId="11" fillId="41" borderId="0" xfId="0" applyNumberFormat="1" applyFont="1" applyFill="1" applyAlignment="1">
      <alignment vertical="center"/>
    </xf>
    <xf numFmtId="193" fontId="11" fillId="41" borderId="0" xfId="0" applyNumberFormat="1" applyFont="1" applyFill="1" applyAlignment="1">
      <alignment horizontal="center" vertical="center"/>
    </xf>
    <xf numFmtId="195" fontId="0" fillId="41" borderId="0" xfId="0" applyNumberFormat="1" applyFill="1" applyAlignment="1">
      <alignment horizontal="center" vertical="center"/>
    </xf>
    <xf numFmtId="0" fontId="11" fillId="41" borderId="0" xfId="0" applyFont="1" applyFill="1" applyAlignment="1">
      <alignment vertical="center"/>
    </xf>
    <xf numFmtId="0" fontId="3" fillId="41" borderId="0" xfId="0" applyFont="1" applyFill="1" applyAlignment="1">
      <alignment vertical="center"/>
    </xf>
    <xf numFmtId="182" fontId="11" fillId="41" borderId="0" xfId="0" applyNumberFormat="1" applyFont="1" applyFill="1" applyAlignment="1">
      <alignment horizontal="center" vertical="center"/>
    </xf>
    <xf numFmtId="3" fontId="18" fillId="41" borderId="0" xfId="0" applyNumberFormat="1" applyFont="1" applyFill="1" applyAlignment="1">
      <alignment vertical="center"/>
    </xf>
    <xf numFmtId="177" fontId="0" fillId="41" borderId="0" xfId="0" applyNumberFormat="1" applyFill="1" applyAlignment="1">
      <alignment horizontal="right" vertical="center"/>
    </xf>
    <xf numFmtId="0" fontId="26" fillId="6" borderId="2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vertical="center" wrapText="1"/>
    </xf>
    <xf numFmtId="0" fontId="21" fillId="42" borderId="0" xfId="0" applyFont="1" applyFill="1" applyBorder="1" applyAlignment="1">
      <alignment vertical="top"/>
    </xf>
    <xf numFmtId="0" fontId="3" fillId="42" borderId="0" xfId="0" applyFont="1" applyFill="1" applyAlignment="1">
      <alignment horizontal="center" vertical="center"/>
    </xf>
    <xf numFmtId="0" fontId="0" fillId="42" borderId="0" xfId="0" applyFill="1" applyAlignment="1">
      <alignment horizontal="left" vertical="center"/>
    </xf>
    <xf numFmtId="0" fontId="0" fillId="42" borderId="0" xfId="0" applyFill="1" applyAlignment="1">
      <alignment vertical="center"/>
    </xf>
    <xf numFmtId="0" fontId="0" fillId="42" borderId="0" xfId="0" applyFill="1" applyAlignment="1">
      <alignment horizontal="center" vertical="center"/>
    </xf>
    <xf numFmtId="188" fontId="11" fillId="42" borderId="0" xfId="0" applyNumberFormat="1" applyFont="1" applyFill="1" applyAlignment="1">
      <alignment horizontal="center" vertical="center" wrapText="1"/>
    </xf>
    <xf numFmtId="0" fontId="0" fillId="42" borderId="0" xfId="0" applyFill="1" applyBorder="1" applyAlignment="1">
      <alignment horizontal="center" vertical="center"/>
    </xf>
    <xf numFmtId="177" fontId="3" fillId="42" borderId="0" xfId="0" applyNumberFormat="1" applyFont="1" applyFill="1" applyAlignment="1">
      <alignment horizontal="right" vertical="center"/>
    </xf>
    <xf numFmtId="0" fontId="3" fillId="42" borderId="0" xfId="0" applyFont="1" applyFill="1" applyBorder="1" applyAlignment="1">
      <alignment horizontal="center" vertical="center"/>
    </xf>
    <xf numFmtId="180" fontId="0" fillId="42" borderId="0" xfId="0" applyNumberFormat="1" applyFill="1" applyAlignment="1">
      <alignment horizontal="center" vertical="center"/>
    </xf>
    <xf numFmtId="185" fontId="0" fillId="42" borderId="0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vertical="center"/>
    </xf>
    <xf numFmtId="194" fontId="2" fillId="42" borderId="0" xfId="0" applyNumberFormat="1" applyFont="1" applyFill="1" applyBorder="1" applyAlignment="1">
      <alignment vertical="center"/>
    </xf>
    <xf numFmtId="15" fontId="3" fillId="42" borderId="0" xfId="0" applyNumberFormat="1" applyFont="1" applyFill="1" applyBorder="1" applyAlignment="1">
      <alignment horizontal="center" vertical="center"/>
    </xf>
    <xf numFmtId="4" fontId="11" fillId="42" borderId="0" xfId="0" applyNumberFormat="1" applyFont="1" applyFill="1" applyAlignment="1">
      <alignment vertical="center"/>
    </xf>
    <xf numFmtId="193" fontId="11" fillId="42" borderId="0" xfId="0" applyNumberFormat="1" applyFont="1" applyFill="1" applyAlignment="1">
      <alignment horizontal="center" vertical="center"/>
    </xf>
    <xf numFmtId="195" fontId="0" fillId="42" borderId="0" xfId="0" applyNumberFormat="1" applyFill="1" applyAlignment="1">
      <alignment horizontal="center" vertical="center"/>
    </xf>
    <xf numFmtId="0" fontId="11" fillId="42" borderId="0" xfId="0" applyFont="1" applyFill="1" applyAlignment="1">
      <alignment vertical="center"/>
    </xf>
    <xf numFmtId="0" fontId="3" fillId="42" borderId="0" xfId="0" applyFont="1" applyFill="1" applyAlignment="1">
      <alignment vertical="center"/>
    </xf>
    <xf numFmtId="182" fontId="11" fillId="42" borderId="0" xfId="0" applyNumberFormat="1" applyFont="1" applyFill="1" applyAlignment="1">
      <alignment horizontal="center" vertical="center"/>
    </xf>
    <xf numFmtId="3" fontId="18" fillId="42" borderId="0" xfId="0" applyNumberFormat="1" applyFont="1" applyFill="1" applyAlignment="1">
      <alignment vertical="center"/>
    </xf>
    <xf numFmtId="177" fontId="0" fillId="42" borderId="0" xfId="0" applyNumberFormat="1" applyFill="1" applyAlignment="1">
      <alignment horizontal="right" vertical="center"/>
    </xf>
    <xf numFmtId="0" fontId="21" fillId="43" borderId="0" xfId="0" applyFont="1" applyFill="1" applyBorder="1" applyAlignment="1">
      <alignment vertical="top"/>
    </xf>
    <xf numFmtId="0" fontId="3" fillId="43" borderId="0" xfId="0" applyFont="1" applyFill="1" applyAlignment="1">
      <alignment horizontal="center" vertical="center"/>
    </xf>
    <xf numFmtId="0" fontId="0" fillId="43" borderId="0" xfId="0" applyFill="1" applyAlignment="1">
      <alignment horizontal="left" vertical="center"/>
    </xf>
    <xf numFmtId="0" fontId="0" fillId="43" borderId="0" xfId="0" applyFill="1" applyAlignment="1">
      <alignment vertical="center"/>
    </xf>
    <xf numFmtId="0" fontId="0" fillId="43" borderId="0" xfId="0" applyFill="1" applyAlignment="1">
      <alignment horizontal="center" vertical="center"/>
    </xf>
    <xf numFmtId="188" fontId="11" fillId="43" borderId="0" xfId="0" applyNumberFormat="1" applyFont="1" applyFill="1" applyAlignment="1">
      <alignment horizontal="center" vertical="center" wrapText="1"/>
    </xf>
    <xf numFmtId="0" fontId="0" fillId="43" borderId="0" xfId="0" applyFill="1" applyBorder="1" applyAlignment="1">
      <alignment horizontal="center" vertical="center"/>
    </xf>
    <xf numFmtId="177" fontId="3" fillId="43" borderId="0" xfId="0" applyNumberFormat="1" applyFont="1" applyFill="1" applyAlignment="1">
      <alignment horizontal="right" vertical="center"/>
    </xf>
    <xf numFmtId="0" fontId="3" fillId="43" borderId="0" xfId="0" applyFont="1" applyFill="1" applyBorder="1" applyAlignment="1">
      <alignment horizontal="center" vertical="center"/>
    </xf>
    <xf numFmtId="180" fontId="0" fillId="43" borderId="0" xfId="0" applyNumberFormat="1" applyFill="1" applyAlignment="1">
      <alignment horizontal="center" vertical="center"/>
    </xf>
    <xf numFmtId="185" fontId="0" fillId="43" borderId="0" xfId="0" applyNumberFormat="1" applyFill="1" applyBorder="1" applyAlignment="1">
      <alignment horizontal="center" vertical="center"/>
    </xf>
    <xf numFmtId="0" fontId="0" fillId="43" borderId="0" xfId="0" applyFill="1" applyBorder="1" applyAlignment="1">
      <alignment vertical="center"/>
    </xf>
    <xf numFmtId="194" fontId="2" fillId="43" borderId="0" xfId="0" applyNumberFormat="1" applyFont="1" applyFill="1" applyBorder="1" applyAlignment="1">
      <alignment vertical="center"/>
    </xf>
    <xf numFmtId="15" fontId="3" fillId="43" borderId="0" xfId="0" applyNumberFormat="1" applyFont="1" applyFill="1" applyBorder="1" applyAlignment="1">
      <alignment horizontal="center" vertical="center"/>
    </xf>
    <xf numFmtId="4" fontId="11" fillId="43" borderId="0" xfId="0" applyNumberFormat="1" applyFont="1" applyFill="1" applyAlignment="1">
      <alignment vertical="center"/>
    </xf>
    <xf numFmtId="193" fontId="11" fillId="43" borderId="0" xfId="0" applyNumberFormat="1" applyFont="1" applyFill="1" applyAlignment="1">
      <alignment horizontal="center" vertical="center"/>
    </xf>
    <xf numFmtId="195" fontId="0" fillId="43" borderId="0" xfId="0" applyNumberFormat="1" applyFill="1" applyAlignment="1">
      <alignment horizontal="center" vertical="center"/>
    </xf>
    <xf numFmtId="0" fontId="11" fillId="43" borderId="0" xfId="0" applyFont="1" applyFill="1" applyAlignment="1">
      <alignment vertical="center"/>
    </xf>
    <xf numFmtId="0" fontId="3" fillId="43" borderId="0" xfId="0" applyFont="1" applyFill="1" applyAlignment="1">
      <alignment vertical="center"/>
    </xf>
    <xf numFmtId="182" fontId="11" fillId="43" borderId="0" xfId="0" applyNumberFormat="1" applyFont="1" applyFill="1" applyAlignment="1">
      <alignment horizontal="center" vertical="center"/>
    </xf>
    <xf numFmtId="3" fontId="18" fillId="43" borderId="0" xfId="0" applyNumberFormat="1" applyFont="1" applyFill="1" applyAlignment="1">
      <alignment vertical="center"/>
    </xf>
    <xf numFmtId="177" fontId="0" fillId="43" borderId="0" xfId="0" applyNumberFormat="1" applyFill="1" applyAlignment="1">
      <alignment horizontal="right" vertical="center"/>
    </xf>
    <xf numFmtId="0" fontId="21" fillId="44" borderId="0" xfId="0" applyFont="1" applyFill="1" applyBorder="1" applyAlignment="1">
      <alignment vertical="top"/>
    </xf>
    <xf numFmtId="0" fontId="3" fillId="44" borderId="0" xfId="0" applyFont="1" applyFill="1" applyAlignment="1">
      <alignment horizontal="center" vertical="center"/>
    </xf>
    <xf numFmtId="0" fontId="0" fillId="44" borderId="0" xfId="0" applyFill="1" applyAlignment="1">
      <alignment horizontal="left" vertical="center"/>
    </xf>
    <xf numFmtId="0" fontId="0" fillId="44" borderId="0" xfId="0" applyFill="1" applyAlignment="1">
      <alignment vertical="center"/>
    </xf>
    <xf numFmtId="0" fontId="0" fillId="44" borderId="0" xfId="0" applyFill="1" applyAlignment="1">
      <alignment horizontal="center" vertical="center"/>
    </xf>
    <xf numFmtId="188" fontId="11" fillId="44" borderId="0" xfId="0" applyNumberFormat="1" applyFont="1" applyFill="1" applyAlignment="1">
      <alignment horizontal="center" vertical="center" wrapText="1"/>
    </xf>
    <xf numFmtId="0" fontId="0" fillId="44" borderId="0" xfId="0" applyFill="1" applyBorder="1" applyAlignment="1">
      <alignment horizontal="center" vertical="center"/>
    </xf>
    <xf numFmtId="177" fontId="3" fillId="44" borderId="0" xfId="0" applyNumberFormat="1" applyFont="1" applyFill="1" applyAlignment="1">
      <alignment horizontal="right" vertical="center"/>
    </xf>
    <xf numFmtId="0" fontId="3" fillId="44" borderId="0" xfId="0" applyFont="1" applyFill="1" applyBorder="1" applyAlignment="1">
      <alignment horizontal="center" vertical="center"/>
    </xf>
    <xf numFmtId="180" fontId="0" fillId="44" borderId="0" xfId="0" applyNumberFormat="1" applyFill="1" applyAlignment="1">
      <alignment horizontal="center" vertical="center"/>
    </xf>
    <xf numFmtId="185" fontId="0" fillId="44" borderId="0" xfId="0" applyNumberFormat="1" applyFill="1" applyBorder="1" applyAlignment="1">
      <alignment horizontal="center" vertical="center"/>
    </xf>
    <xf numFmtId="0" fontId="0" fillId="44" borderId="0" xfId="0" applyFill="1" applyBorder="1" applyAlignment="1">
      <alignment vertical="center"/>
    </xf>
    <xf numFmtId="194" fontId="2" fillId="44" borderId="0" xfId="0" applyNumberFormat="1" applyFont="1" applyFill="1" applyBorder="1" applyAlignment="1">
      <alignment vertical="center"/>
    </xf>
    <xf numFmtId="15" fontId="3" fillId="44" borderId="0" xfId="0" applyNumberFormat="1" applyFont="1" applyFill="1" applyBorder="1" applyAlignment="1">
      <alignment horizontal="center" vertical="center"/>
    </xf>
    <xf numFmtId="4" fontId="11" fillId="44" borderId="0" xfId="0" applyNumberFormat="1" applyFont="1" applyFill="1" applyAlignment="1">
      <alignment vertical="center"/>
    </xf>
    <xf numFmtId="193" fontId="11" fillId="44" borderId="0" xfId="0" applyNumberFormat="1" applyFont="1" applyFill="1" applyAlignment="1">
      <alignment horizontal="center" vertical="center"/>
    </xf>
    <xf numFmtId="195" fontId="0" fillId="44" borderId="0" xfId="0" applyNumberFormat="1" applyFill="1" applyAlignment="1">
      <alignment horizontal="center" vertical="center"/>
    </xf>
    <xf numFmtId="0" fontId="11" fillId="44" borderId="0" xfId="0" applyFont="1" applyFill="1" applyAlignment="1">
      <alignment vertical="center"/>
    </xf>
    <xf numFmtId="0" fontId="3" fillId="44" borderId="0" xfId="0" applyFont="1" applyFill="1" applyAlignment="1">
      <alignment vertical="center"/>
    </xf>
    <xf numFmtId="182" fontId="11" fillId="44" borderId="0" xfId="0" applyNumberFormat="1" applyFont="1" applyFill="1" applyAlignment="1">
      <alignment horizontal="center" vertical="center"/>
    </xf>
    <xf numFmtId="3" fontId="18" fillId="44" borderId="0" xfId="0" applyNumberFormat="1" applyFont="1" applyFill="1" applyAlignment="1">
      <alignment vertical="center"/>
    </xf>
    <xf numFmtId="177" fontId="0" fillId="44" borderId="0" xfId="0" applyNumberFormat="1" applyFill="1" applyAlignment="1">
      <alignment horizontal="right" vertical="center"/>
    </xf>
    <xf numFmtId="14" fontId="26" fillId="6" borderId="2" xfId="0" applyNumberFormat="1" applyFont="1" applyFill="1" applyBorder="1" applyAlignment="1">
      <alignment horizontal="center" vertical="center" wrapText="1"/>
    </xf>
    <xf numFmtId="14" fontId="27" fillId="0" borderId="14" xfId="0" applyNumberFormat="1" applyFont="1" applyBorder="1" applyAlignment="1">
      <alignment horizontal="center" vertical="center"/>
    </xf>
    <xf numFmtId="14" fontId="27" fillId="0" borderId="0" xfId="0" applyNumberFormat="1" applyFont="1" applyBorder="1" applyAlignment="1">
      <alignment horizontal="center" vertical="center"/>
    </xf>
    <xf numFmtId="0" fontId="21" fillId="45" borderId="0" xfId="0" applyFont="1" applyFill="1" applyBorder="1" applyAlignment="1">
      <alignment vertical="top"/>
    </xf>
    <xf numFmtId="0" fontId="3" fillId="45" borderId="0" xfId="0" applyFont="1" applyFill="1" applyAlignment="1">
      <alignment horizontal="center" vertical="center"/>
    </xf>
    <xf numFmtId="0" fontId="0" fillId="45" borderId="0" xfId="0" applyFill="1" applyAlignment="1">
      <alignment horizontal="left" vertical="center"/>
    </xf>
    <xf numFmtId="0" fontId="0" fillId="45" borderId="0" xfId="0" applyFill="1" applyAlignment="1">
      <alignment vertical="center"/>
    </xf>
    <xf numFmtId="0" fontId="0" fillId="45" borderId="0" xfId="0" applyFill="1" applyAlignment="1">
      <alignment horizontal="center" vertical="center"/>
    </xf>
    <xf numFmtId="188" fontId="11" fillId="45" borderId="0" xfId="0" applyNumberFormat="1" applyFont="1" applyFill="1" applyAlignment="1">
      <alignment horizontal="center" vertical="center" wrapText="1"/>
    </xf>
    <xf numFmtId="0" fontId="0" fillId="45" borderId="0" xfId="0" applyFill="1" applyBorder="1" applyAlignment="1">
      <alignment horizontal="center" vertical="center"/>
    </xf>
    <xf numFmtId="177" fontId="3" fillId="45" borderId="0" xfId="0" applyNumberFormat="1" applyFont="1" applyFill="1" applyAlignment="1">
      <alignment horizontal="right" vertical="center"/>
    </xf>
    <xf numFmtId="0" fontId="3" fillId="45" borderId="0" xfId="0" applyFont="1" applyFill="1" applyBorder="1" applyAlignment="1">
      <alignment horizontal="center" vertical="center"/>
    </xf>
    <xf numFmtId="180" fontId="0" fillId="45" borderId="0" xfId="0" applyNumberFormat="1" applyFill="1" applyAlignment="1">
      <alignment horizontal="center" vertical="center"/>
    </xf>
    <xf numFmtId="185" fontId="0" fillId="45" borderId="0" xfId="0" applyNumberFormat="1" applyFill="1" applyBorder="1" applyAlignment="1">
      <alignment horizontal="center" vertical="center"/>
    </xf>
    <xf numFmtId="0" fontId="0" fillId="45" borderId="0" xfId="0" applyFill="1" applyBorder="1" applyAlignment="1">
      <alignment vertical="center"/>
    </xf>
    <xf numFmtId="194" fontId="2" fillId="45" borderId="0" xfId="0" applyNumberFormat="1" applyFont="1" applyFill="1" applyBorder="1" applyAlignment="1">
      <alignment vertical="center"/>
    </xf>
    <xf numFmtId="15" fontId="3" fillId="45" borderId="0" xfId="0" applyNumberFormat="1" applyFont="1" applyFill="1" applyBorder="1" applyAlignment="1">
      <alignment horizontal="center" vertical="center"/>
    </xf>
    <xf numFmtId="4" fontId="11" fillId="45" borderId="0" xfId="0" applyNumberFormat="1" applyFont="1" applyFill="1" applyAlignment="1">
      <alignment vertical="center"/>
    </xf>
    <xf numFmtId="193" fontId="11" fillId="45" borderId="0" xfId="0" applyNumberFormat="1" applyFont="1" applyFill="1" applyAlignment="1">
      <alignment horizontal="center" vertical="center"/>
    </xf>
    <xf numFmtId="195" fontId="0" fillId="45" borderId="0" xfId="0" applyNumberFormat="1" applyFill="1" applyAlignment="1">
      <alignment horizontal="center" vertical="center"/>
    </xf>
    <xf numFmtId="0" fontId="11" fillId="45" borderId="0" xfId="0" applyFont="1" applyFill="1" applyAlignment="1">
      <alignment vertical="center"/>
    </xf>
    <xf numFmtId="0" fontId="3" fillId="45" borderId="0" xfId="0" applyFont="1" applyFill="1" applyAlignment="1">
      <alignment vertical="center"/>
    </xf>
    <xf numFmtId="182" fontId="11" fillId="45" borderId="0" xfId="0" applyNumberFormat="1" applyFont="1" applyFill="1" applyAlignment="1">
      <alignment horizontal="center" vertical="center"/>
    </xf>
    <xf numFmtId="3" fontId="18" fillId="45" borderId="0" xfId="0" applyNumberFormat="1" applyFont="1" applyFill="1" applyAlignment="1">
      <alignment vertical="center"/>
    </xf>
    <xf numFmtId="177" fontId="0" fillId="45" borderId="0" xfId="0" applyNumberFormat="1" applyFill="1" applyAlignment="1">
      <alignment horizontal="right" vertical="center"/>
    </xf>
    <xf numFmtId="0" fontId="21" fillId="18" borderId="0" xfId="0" applyFont="1" applyFill="1" applyBorder="1" applyAlignment="1">
      <alignment vertical="top"/>
    </xf>
    <xf numFmtId="0" fontId="3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left" vertical="center"/>
    </xf>
    <xf numFmtId="177" fontId="3" fillId="18" borderId="0" xfId="0" applyNumberFormat="1" applyFont="1" applyFill="1" applyAlignment="1">
      <alignment horizontal="right" vertical="center"/>
    </xf>
    <xf numFmtId="0" fontId="3" fillId="18" borderId="0" xfId="0" applyFont="1" applyFill="1" applyBorder="1" applyAlignment="1">
      <alignment horizontal="center" vertical="center"/>
    </xf>
    <xf numFmtId="180" fontId="0" fillId="18" borderId="0" xfId="0" applyNumberFormat="1" applyFill="1" applyAlignment="1">
      <alignment horizontal="center" vertical="center"/>
    </xf>
    <xf numFmtId="185" fontId="0" fillId="18" borderId="0" xfId="0" applyNumberFormat="1" applyFill="1" applyBorder="1" applyAlignment="1">
      <alignment horizontal="center" vertical="center"/>
    </xf>
    <xf numFmtId="0" fontId="0" fillId="18" borderId="0" xfId="0" applyFill="1" applyBorder="1" applyAlignment="1">
      <alignment vertical="center"/>
    </xf>
    <xf numFmtId="194" fontId="2" fillId="18" borderId="0" xfId="0" applyNumberFormat="1" applyFont="1" applyFill="1" applyBorder="1" applyAlignment="1">
      <alignment vertical="center"/>
    </xf>
    <xf numFmtId="15" fontId="3" fillId="18" borderId="0" xfId="0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vertical="center"/>
    </xf>
    <xf numFmtId="0" fontId="21" fillId="46" borderId="0" xfId="0" applyFont="1" applyFill="1" applyBorder="1" applyAlignment="1">
      <alignment vertical="top"/>
    </xf>
    <xf numFmtId="0" fontId="3" fillId="46" borderId="0" xfId="0" applyFont="1" applyFill="1" applyAlignment="1">
      <alignment horizontal="center" vertical="center"/>
    </xf>
    <xf numFmtId="0" fontId="0" fillId="46" borderId="0" xfId="0" applyFill="1" applyAlignment="1">
      <alignment horizontal="left" vertical="center"/>
    </xf>
    <xf numFmtId="0" fontId="0" fillId="46" borderId="0" xfId="0" applyFill="1" applyAlignment="1">
      <alignment vertical="center"/>
    </xf>
    <xf numFmtId="0" fontId="0" fillId="46" borderId="0" xfId="0" applyFill="1" applyAlignment="1">
      <alignment horizontal="center" vertical="center"/>
    </xf>
    <xf numFmtId="188" fontId="11" fillId="46" borderId="0" xfId="0" applyNumberFormat="1" applyFont="1" applyFill="1" applyAlignment="1">
      <alignment horizontal="center" vertical="center" wrapText="1"/>
    </xf>
    <xf numFmtId="0" fontId="0" fillId="46" borderId="0" xfId="0" applyFill="1" applyBorder="1" applyAlignment="1">
      <alignment horizontal="center" vertical="center"/>
    </xf>
    <xf numFmtId="177" fontId="3" fillId="46" borderId="0" xfId="0" applyNumberFormat="1" applyFont="1" applyFill="1" applyAlignment="1">
      <alignment horizontal="right" vertical="center"/>
    </xf>
    <xf numFmtId="0" fontId="3" fillId="46" borderId="0" xfId="0" applyFont="1" applyFill="1" applyBorder="1" applyAlignment="1">
      <alignment horizontal="center" vertical="center"/>
    </xf>
    <xf numFmtId="180" fontId="0" fillId="46" borderId="0" xfId="0" applyNumberFormat="1" applyFill="1" applyAlignment="1">
      <alignment horizontal="center" vertical="center"/>
    </xf>
    <xf numFmtId="185" fontId="0" fillId="46" borderId="0" xfId="0" applyNumberFormat="1" applyFill="1" applyBorder="1" applyAlignment="1">
      <alignment horizontal="center" vertical="center"/>
    </xf>
    <xf numFmtId="0" fontId="0" fillId="46" borderId="0" xfId="0" applyFill="1" applyBorder="1" applyAlignment="1">
      <alignment vertical="center"/>
    </xf>
    <xf numFmtId="194" fontId="2" fillId="46" borderId="0" xfId="0" applyNumberFormat="1" applyFont="1" applyFill="1" applyBorder="1" applyAlignment="1">
      <alignment vertical="center"/>
    </xf>
    <xf numFmtId="15" fontId="3" fillId="46" borderId="0" xfId="0" applyNumberFormat="1" applyFont="1" applyFill="1" applyBorder="1" applyAlignment="1">
      <alignment horizontal="center" vertical="center"/>
    </xf>
    <xf numFmtId="4" fontId="11" fillId="46" borderId="0" xfId="0" applyNumberFormat="1" applyFont="1" applyFill="1" applyAlignment="1">
      <alignment vertical="center"/>
    </xf>
    <xf numFmtId="193" fontId="11" fillId="46" borderId="0" xfId="0" applyNumberFormat="1" applyFont="1" applyFill="1" applyAlignment="1">
      <alignment horizontal="center" vertical="center"/>
    </xf>
    <xf numFmtId="195" fontId="0" fillId="46" borderId="0" xfId="0" applyNumberFormat="1" applyFill="1" applyAlignment="1">
      <alignment horizontal="center" vertical="center"/>
    </xf>
    <xf numFmtId="0" fontId="11" fillId="46" borderId="0" xfId="0" applyFont="1" applyFill="1" applyAlignment="1">
      <alignment vertical="center"/>
    </xf>
    <xf numFmtId="0" fontId="3" fillId="46" borderId="0" xfId="0" applyFont="1" applyFill="1" applyAlignment="1">
      <alignment vertical="center"/>
    </xf>
    <xf numFmtId="182" fontId="11" fillId="46" borderId="0" xfId="0" applyNumberFormat="1" applyFont="1" applyFill="1" applyAlignment="1">
      <alignment horizontal="center" vertical="center"/>
    </xf>
    <xf numFmtId="3" fontId="18" fillId="46" borderId="0" xfId="0" applyNumberFormat="1" applyFont="1" applyFill="1" applyAlignment="1">
      <alignment vertical="center"/>
    </xf>
    <xf numFmtId="177" fontId="0" fillId="46" borderId="0" xfId="0" applyNumberFormat="1" applyFill="1" applyAlignment="1">
      <alignment horizontal="right" vertical="center"/>
    </xf>
    <xf numFmtId="194" fontId="0" fillId="28" borderId="0" xfId="0" applyNumberFormat="1" applyFill="1" applyBorder="1" applyAlignment="1">
      <alignment vertical="center"/>
    </xf>
    <xf numFmtId="0" fontId="0" fillId="47" borderId="0" xfId="0" applyFill="1" applyAlignment="1">
      <alignment vertical="center"/>
    </xf>
    <xf numFmtId="178" fontId="0" fillId="47" borderId="0" xfId="1" applyNumberFormat="1" applyFont="1" applyFill="1" applyAlignment="1">
      <alignment vertical="center"/>
    </xf>
    <xf numFmtId="194" fontId="0" fillId="37" borderId="0" xfId="0" applyNumberFormat="1" applyFill="1" applyBorder="1" applyAlignment="1">
      <alignment vertical="center"/>
    </xf>
    <xf numFmtId="194" fontId="0" fillId="41" borderId="0" xfId="0" applyNumberFormat="1" applyFill="1" applyBorder="1" applyAlignment="1">
      <alignment vertical="center"/>
    </xf>
    <xf numFmtId="0" fontId="21" fillId="22" borderId="0" xfId="0" applyFont="1" applyFill="1" applyBorder="1" applyAlignment="1">
      <alignment vertical="top"/>
    </xf>
    <xf numFmtId="180" fontId="0" fillId="22" borderId="0" xfId="0" applyNumberFormat="1" applyFill="1" applyAlignment="1">
      <alignment horizontal="center" vertical="center"/>
    </xf>
    <xf numFmtId="185" fontId="0" fillId="22" borderId="0" xfId="0" applyNumberFormat="1" applyFill="1" applyBorder="1" applyAlignment="1">
      <alignment horizontal="center" vertical="center"/>
    </xf>
    <xf numFmtId="0" fontId="0" fillId="22" borderId="0" xfId="0" applyFill="1" applyBorder="1" applyAlignment="1">
      <alignment vertical="center"/>
    </xf>
    <xf numFmtId="194" fontId="0" fillId="22" borderId="0" xfId="0" applyNumberFormat="1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8" borderId="0" xfId="0" quotePrefix="1" applyFill="1" applyBorder="1" applyAlignment="1">
      <alignment vertical="center"/>
    </xf>
    <xf numFmtId="0" fontId="39" fillId="0" borderId="0" xfId="7"/>
    <xf numFmtId="0" fontId="6" fillId="2" borderId="17" xfId="8" applyFont="1" applyFill="1" applyBorder="1" applyAlignment="1">
      <alignment horizontal="center" vertical="center"/>
    </xf>
    <xf numFmtId="202" fontId="41" fillId="2" borderId="17" xfId="7" applyNumberFormat="1" applyFont="1" applyFill="1" applyBorder="1" applyAlignment="1">
      <alignment horizontal="center" vertical="center"/>
    </xf>
    <xf numFmtId="0" fontId="6" fillId="2" borderId="19" xfId="8" applyFont="1" applyFill="1" applyBorder="1" applyAlignment="1">
      <alignment horizontal="center" vertical="center"/>
    </xf>
    <xf numFmtId="0" fontId="42" fillId="0" borderId="20" xfId="7" applyFont="1" applyFill="1" applyBorder="1" applyAlignment="1">
      <alignment vertical="center"/>
    </xf>
    <xf numFmtId="3" fontId="43" fillId="0" borderId="21" xfId="7" applyNumberFormat="1" applyFont="1" applyFill="1" applyBorder="1" applyAlignment="1">
      <alignment horizontal="center" vertical="center"/>
    </xf>
    <xf numFmtId="0" fontId="2" fillId="0" borderId="20" xfId="8" applyFont="1" applyBorder="1" applyAlignment="1">
      <alignment vertical="center"/>
    </xf>
    <xf numFmtId="0" fontId="2" fillId="0" borderId="0" xfId="8" applyFont="1" applyBorder="1" applyAlignment="1">
      <alignment vertical="center"/>
    </xf>
    <xf numFmtId="38" fontId="2" fillId="0" borderId="21" xfId="8" applyNumberFormat="1" applyFont="1" applyBorder="1" applyAlignment="1">
      <alignment vertical="center"/>
    </xf>
    <xf numFmtId="10" fontId="43" fillId="0" borderId="21" xfId="7" applyNumberFormat="1" applyFont="1" applyBorder="1" applyAlignment="1">
      <alignment horizontal="center" vertical="center"/>
    </xf>
    <xf numFmtId="10" fontId="41" fillId="2" borderId="23" xfId="7" applyNumberFormat="1" applyFont="1" applyFill="1" applyBorder="1" applyAlignment="1">
      <alignment horizontal="center" vertical="center"/>
    </xf>
    <xf numFmtId="0" fontId="2" fillId="0" borderId="18" xfId="8" applyFont="1" applyBorder="1" applyAlignment="1">
      <alignment vertical="center"/>
    </xf>
    <xf numFmtId="0" fontId="2" fillId="0" borderId="8" xfId="7" applyFont="1" applyBorder="1" applyAlignment="1">
      <alignment vertical="top"/>
    </xf>
    <xf numFmtId="38" fontId="2" fillId="0" borderId="19" xfId="8" applyNumberFormat="1" applyFont="1" applyBorder="1" applyAlignment="1">
      <alignment vertical="center"/>
    </xf>
    <xf numFmtId="38" fontId="6" fillId="2" borderId="23" xfId="8" applyNumberFormat="1" applyFont="1" applyFill="1" applyBorder="1" applyAlignment="1">
      <alignment vertical="center"/>
    </xf>
    <xf numFmtId="202" fontId="41" fillId="2" borderId="26" xfId="7" applyNumberFormat="1" applyFont="1" applyFill="1" applyBorder="1" applyAlignment="1">
      <alignment horizontal="center" vertical="center"/>
    </xf>
    <xf numFmtId="3" fontId="43" fillId="0" borderId="27" xfId="7" applyNumberFormat="1" applyFont="1" applyFill="1" applyBorder="1" applyAlignment="1">
      <alignment horizontal="center" vertical="center"/>
    </xf>
    <xf numFmtId="10" fontId="43" fillId="0" borderId="27" xfId="7" applyNumberFormat="1" applyFont="1" applyBorder="1" applyAlignment="1">
      <alignment horizontal="center" vertical="center"/>
    </xf>
    <xf numFmtId="10" fontId="41" fillId="2" borderId="28" xfId="7" applyNumberFormat="1" applyFont="1" applyFill="1" applyBorder="1" applyAlignment="1">
      <alignment horizontal="center" vertical="center"/>
    </xf>
    <xf numFmtId="0" fontId="6" fillId="2" borderId="26" xfId="8" applyFont="1" applyFill="1" applyBorder="1" applyAlignment="1">
      <alignment horizontal="center" vertical="center"/>
    </xf>
    <xf numFmtId="0" fontId="6" fillId="2" borderId="29" xfId="8" applyFont="1" applyFill="1" applyBorder="1" applyAlignment="1">
      <alignment horizontal="center" vertical="center"/>
    </xf>
    <xf numFmtId="38" fontId="2" fillId="0" borderId="27" xfId="8" applyNumberFormat="1" applyFont="1" applyBorder="1" applyAlignment="1">
      <alignment vertical="center"/>
    </xf>
    <xf numFmtId="38" fontId="2" fillId="0" borderId="29" xfId="8" applyNumberFormat="1" applyFont="1" applyBorder="1" applyAlignment="1">
      <alignment vertical="center"/>
    </xf>
    <xf numFmtId="38" fontId="6" fillId="2" borderId="28" xfId="8" applyNumberFormat="1" applyFont="1" applyFill="1" applyBorder="1" applyAlignment="1">
      <alignment vertical="center"/>
    </xf>
    <xf numFmtId="194" fontId="0" fillId="39" borderId="0" xfId="0" applyNumberFormat="1" applyFill="1" applyBorder="1" applyAlignment="1">
      <alignment vertical="center"/>
    </xf>
    <xf numFmtId="0" fontId="0" fillId="39" borderId="0" xfId="0" applyFont="1" applyFill="1" applyAlignment="1">
      <alignment horizontal="center" vertical="center"/>
    </xf>
    <xf numFmtId="0" fontId="2" fillId="41" borderId="0" xfId="0" applyFont="1" applyFill="1" applyAlignment="1">
      <alignment horizontal="center" vertical="center"/>
    </xf>
    <xf numFmtId="0" fontId="0" fillId="41" borderId="0" xfId="0" applyFont="1" applyFill="1" applyAlignment="1">
      <alignment horizontal="center" vertical="center"/>
    </xf>
    <xf numFmtId="0" fontId="2" fillId="41" borderId="0" xfId="0" applyFont="1" applyFill="1" applyBorder="1" applyAlignment="1">
      <alignment horizontal="center" vertical="center"/>
    </xf>
    <xf numFmtId="15" fontId="2" fillId="41" borderId="0" xfId="0" applyNumberFormat="1" applyFont="1" applyFill="1" applyBorder="1" applyAlignment="1">
      <alignment horizontal="center" vertical="center"/>
    </xf>
    <xf numFmtId="0" fontId="2" fillId="41" borderId="0" xfId="0" applyFont="1" applyFill="1" applyAlignment="1">
      <alignment vertical="center"/>
    </xf>
    <xf numFmtId="178" fontId="0" fillId="0" borderId="0" xfId="5" applyNumberFormat="1" applyFont="1" applyAlignment="1">
      <alignment vertical="center"/>
    </xf>
    <xf numFmtId="178" fontId="0" fillId="0" borderId="0" xfId="5" applyNumberFormat="1" applyFont="1" applyAlignment="1">
      <alignment horizontal="right" vertical="center"/>
    </xf>
    <xf numFmtId="178" fontId="27" fillId="0" borderId="0" xfId="5" applyNumberFormat="1" applyFont="1" applyFill="1" applyBorder="1" applyAlignment="1">
      <alignment horizontal="center" vertical="center"/>
    </xf>
    <xf numFmtId="0" fontId="21" fillId="30" borderId="0" xfId="0" applyFont="1" applyFill="1" applyBorder="1" applyAlignment="1">
      <alignment vertical="top"/>
    </xf>
    <xf numFmtId="180" fontId="0" fillId="30" borderId="0" xfId="0" applyNumberFormat="1" applyFill="1" applyAlignment="1">
      <alignment horizontal="center" vertical="center"/>
    </xf>
    <xf numFmtId="185" fontId="0" fillId="30" borderId="0" xfId="0" applyNumberFormat="1" applyFill="1" applyBorder="1" applyAlignment="1">
      <alignment horizontal="center" vertical="center"/>
    </xf>
    <xf numFmtId="0" fontId="0" fillId="30" borderId="0" xfId="0" applyFill="1" applyBorder="1" applyAlignment="1">
      <alignment vertical="center"/>
    </xf>
    <xf numFmtId="194" fontId="0" fillId="30" borderId="0" xfId="0" applyNumberFormat="1" applyFill="1" applyBorder="1" applyAlignment="1">
      <alignment vertical="center"/>
    </xf>
    <xf numFmtId="0" fontId="21" fillId="23" borderId="0" xfId="0" applyFont="1" applyFill="1" applyBorder="1" applyAlignment="1">
      <alignment vertical="top"/>
    </xf>
    <xf numFmtId="0" fontId="0" fillId="23" borderId="0" xfId="0" applyFill="1" applyAlignment="1">
      <alignment horizontal="left" vertical="center"/>
    </xf>
    <xf numFmtId="177" fontId="0" fillId="23" borderId="0" xfId="0" applyNumberFormat="1" applyFill="1" applyAlignment="1">
      <alignment horizontal="right" vertical="center"/>
    </xf>
    <xf numFmtId="185" fontId="0" fillId="23" borderId="0" xfId="0" applyNumberFormat="1" applyFill="1" applyBorder="1" applyAlignment="1">
      <alignment horizontal="center" vertical="center"/>
    </xf>
    <xf numFmtId="0" fontId="0" fillId="23" borderId="0" xfId="0" applyFill="1" applyBorder="1" applyAlignment="1">
      <alignment vertical="center"/>
    </xf>
    <xf numFmtId="194" fontId="0" fillId="23" borderId="0" xfId="0" applyNumberFormat="1" applyFill="1" applyBorder="1" applyAlignment="1">
      <alignment vertical="center"/>
    </xf>
    <xf numFmtId="194" fontId="2" fillId="23" borderId="0" xfId="0" applyNumberFormat="1" applyFont="1" applyFill="1" applyBorder="1" applyAlignment="1">
      <alignment vertical="center"/>
    </xf>
    <xf numFmtId="178" fontId="39" fillId="0" borderId="0" xfId="1" applyNumberFormat="1" applyFont="1" applyAlignment="1"/>
    <xf numFmtId="38" fontId="39" fillId="0" borderId="0" xfId="7" applyNumberFormat="1"/>
    <xf numFmtId="0" fontId="45" fillId="47" borderId="0" xfId="0" applyFont="1" applyFill="1" applyBorder="1" applyAlignment="1">
      <alignment vertical="top"/>
    </xf>
    <xf numFmtId="0" fontId="46" fillId="47" borderId="0" xfId="0" applyFont="1" applyFill="1" applyAlignment="1">
      <alignment horizontal="center" vertical="center"/>
    </xf>
    <xf numFmtId="0" fontId="46" fillId="47" borderId="0" xfId="0" applyFont="1" applyFill="1" applyAlignment="1">
      <alignment horizontal="left" vertical="center"/>
    </xf>
    <xf numFmtId="0" fontId="46" fillId="47" borderId="0" xfId="0" applyFont="1" applyFill="1" applyAlignment="1">
      <alignment vertical="center"/>
    </xf>
    <xf numFmtId="0" fontId="46" fillId="47" borderId="0" xfId="0" applyFont="1" applyFill="1" applyBorder="1" applyAlignment="1">
      <alignment horizontal="center" vertical="center"/>
    </xf>
    <xf numFmtId="177" fontId="46" fillId="47" borderId="0" xfId="0" applyNumberFormat="1" applyFont="1" applyFill="1" applyAlignment="1">
      <alignment horizontal="right" vertical="center"/>
    </xf>
    <xf numFmtId="180" fontId="46" fillId="47" borderId="0" xfId="0" applyNumberFormat="1" applyFont="1" applyFill="1" applyAlignment="1">
      <alignment horizontal="center" vertical="center"/>
    </xf>
    <xf numFmtId="185" fontId="46" fillId="47" borderId="0" xfId="0" applyNumberFormat="1" applyFont="1" applyFill="1" applyBorder="1" applyAlignment="1">
      <alignment horizontal="center" vertical="center"/>
    </xf>
    <xf numFmtId="0" fontId="46" fillId="47" borderId="0" xfId="0" applyFont="1" applyFill="1" applyBorder="1" applyAlignment="1">
      <alignment vertical="center"/>
    </xf>
    <xf numFmtId="194" fontId="46" fillId="47" borderId="0" xfId="0" applyNumberFormat="1" applyFont="1" applyFill="1" applyBorder="1" applyAlignment="1">
      <alignment vertical="center"/>
    </xf>
    <xf numFmtId="15" fontId="46" fillId="47" borderId="0" xfId="0" applyNumberFormat="1" applyFont="1" applyFill="1" applyBorder="1" applyAlignment="1">
      <alignment horizontal="center" vertical="center"/>
    </xf>
    <xf numFmtId="4" fontId="46" fillId="47" borderId="0" xfId="0" applyNumberFormat="1" applyFont="1" applyFill="1" applyAlignment="1">
      <alignment vertical="center"/>
    </xf>
    <xf numFmtId="193" fontId="46" fillId="47" borderId="0" xfId="0" applyNumberFormat="1" applyFont="1" applyFill="1" applyAlignment="1">
      <alignment horizontal="center" vertical="center"/>
    </xf>
    <xf numFmtId="195" fontId="46" fillId="47" borderId="0" xfId="0" applyNumberFormat="1" applyFont="1" applyFill="1" applyAlignment="1">
      <alignment horizontal="center" vertical="center"/>
    </xf>
    <xf numFmtId="182" fontId="46" fillId="47" borderId="0" xfId="0" applyNumberFormat="1" applyFont="1" applyFill="1" applyAlignment="1">
      <alignment horizontal="center" vertical="center"/>
    </xf>
    <xf numFmtId="3" fontId="47" fillId="47" borderId="0" xfId="0" applyNumberFormat="1" applyFont="1" applyFill="1" applyAlignment="1">
      <alignment vertical="center"/>
    </xf>
    <xf numFmtId="0" fontId="21" fillId="15" borderId="0" xfId="0" applyFont="1" applyFill="1" applyBorder="1">
      <alignment vertical="top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vertical="center" wrapText="1"/>
    </xf>
    <xf numFmtId="0" fontId="0" fillId="15" borderId="0" xfId="0" applyFill="1" applyAlignment="1">
      <alignment horizontal="center" vertical="center" wrapText="1"/>
    </xf>
    <xf numFmtId="188" fontId="11" fillId="15" borderId="0" xfId="0" applyNumberFormat="1" applyFont="1" applyFill="1" applyAlignment="1">
      <alignment horizontal="center" vertical="center" wrapText="1"/>
    </xf>
    <xf numFmtId="0" fontId="0" fillId="15" borderId="0" xfId="0" applyFill="1" applyBorder="1" applyAlignment="1">
      <alignment horizontal="center" vertical="center"/>
    </xf>
    <xf numFmtId="177" fontId="0" fillId="15" borderId="0" xfId="0" applyNumberFormat="1" applyFill="1" applyAlignment="1">
      <alignment horizontal="right" vertical="center"/>
    </xf>
    <xf numFmtId="0" fontId="3" fillId="15" borderId="0" xfId="0" applyFont="1" applyFill="1" applyBorder="1" applyAlignment="1">
      <alignment horizontal="center" vertical="center"/>
    </xf>
    <xf numFmtId="180" fontId="0" fillId="15" borderId="0" xfId="0" applyNumberFormat="1" applyFill="1" applyAlignment="1">
      <alignment horizontal="center" vertical="center" wrapText="1"/>
    </xf>
    <xf numFmtId="185" fontId="0" fillId="15" borderId="0" xfId="0" applyNumberFormat="1" applyFill="1" applyBorder="1" applyAlignment="1">
      <alignment horizontal="center" vertical="center" wrapText="1"/>
    </xf>
    <xf numFmtId="0" fontId="0" fillId="15" borderId="0" xfId="0" applyFill="1" applyBorder="1" applyAlignment="1">
      <alignment vertical="center" wrapText="1"/>
    </xf>
    <xf numFmtId="194" fontId="2" fillId="15" borderId="0" xfId="0" applyNumberFormat="1" applyFont="1" applyFill="1" applyBorder="1" applyAlignment="1">
      <alignment vertical="center"/>
    </xf>
    <xf numFmtId="15" fontId="3" fillId="15" borderId="0" xfId="0" applyNumberFormat="1" applyFont="1" applyFill="1" applyBorder="1" applyAlignment="1">
      <alignment horizontal="center" vertical="center"/>
    </xf>
    <xf numFmtId="4" fontId="11" fillId="15" borderId="0" xfId="0" applyNumberFormat="1" applyFont="1" applyFill="1" applyAlignment="1">
      <alignment vertical="center" wrapText="1"/>
    </xf>
    <xf numFmtId="4" fontId="11" fillId="15" borderId="0" xfId="0" applyNumberFormat="1" applyFont="1" applyFill="1" applyAlignment="1">
      <alignment vertical="center"/>
    </xf>
    <xf numFmtId="193" fontId="11" fillId="15" borderId="0" xfId="0" applyNumberFormat="1" applyFont="1" applyFill="1" applyAlignment="1">
      <alignment horizontal="center" vertical="center"/>
    </xf>
    <xf numFmtId="195" fontId="0" fillId="15" borderId="0" xfId="0" applyNumberFormat="1" applyFill="1" applyAlignment="1">
      <alignment horizontal="center" vertical="center"/>
    </xf>
    <xf numFmtId="0" fontId="11" fillId="15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182" fontId="11" fillId="15" borderId="0" xfId="0" applyNumberFormat="1" applyFont="1" applyFill="1" applyAlignment="1">
      <alignment horizontal="center" vertical="center"/>
    </xf>
    <xf numFmtId="3" fontId="18" fillId="15" borderId="0" xfId="0" applyNumberFormat="1" applyFont="1" applyFill="1" applyAlignment="1">
      <alignment vertical="center"/>
    </xf>
    <xf numFmtId="0" fontId="2" fillId="48" borderId="0" xfId="0" applyFont="1" applyFill="1" applyAlignment="1">
      <alignment horizontal="left" vertical="center"/>
    </xf>
    <xf numFmtId="0" fontId="2" fillId="48" borderId="0" xfId="0" applyFont="1" applyFill="1" applyAlignment="1">
      <alignment horizontal="center" vertical="center"/>
    </xf>
    <xf numFmtId="0" fontId="22" fillId="48" borderId="0" xfId="0" applyFont="1" applyFill="1" applyAlignment="1">
      <alignment horizontal="center" vertical="center"/>
    </xf>
    <xf numFmtId="0" fontId="0" fillId="48" borderId="0" xfId="0" applyFill="1" applyAlignment="1">
      <alignment vertical="center"/>
    </xf>
    <xf numFmtId="0" fontId="0" fillId="48" borderId="0" xfId="0" applyFill="1" applyAlignment="1">
      <alignment vertical="center" wrapText="1"/>
    </xf>
    <xf numFmtId="0" fontId="0" fillId="48" borderId="0" xfId="0" applyFont="1" applyFill="1" applyAlignment="1">
      <alignment horizontal="center" vertical="center" wrapText="1"/>
    </xf>
    <xf numFmtId="0" fontId="0" fillId="48" borderId="0" xfId="0" applyFill="1" applyAlignment="1">
      <alignment horizontal="center" vertical="center" wrapText="1"/>
    </xf>
    <xf numFmtId="188" fontId="11" fillId="48" borderId="0" xfId="0" applyNumberFormat="1" applyFont="1" applyFill="1" applyAlignment="1">
      <alignment horizontal="center" vertical="center" wrapText="1"/>
    </xf>
    <xf numFmtId="0" fontId="2" fillId="48" borderId="0" xfId="0" applyFont="1" applyFill="1" applyBorder="1" applyAlignment="1">
      <alignment horizontal="center" vertical="center"/>
    </xf>
    <xf numFmtId="177" fontId="2" fillId="48" borderId="0" xfId="0" applyNumberFormat="1" applyFont="1" applyFill="1" applyAlignment="1">
      <alignment horizontal="right" vertical="center"/>
    </xf>
    <xf numFmtId="0" fontId="0" fillId="48" borderId="0" xfId="0" applyFill="1" applyBorder="1" applyAlignment="1">
      <alignment horizontal="center" vertical="center"/>
    </xf>
    <xf numFmtId="180" fontId="0" fillId="48" borderId="0" xfId="0" applyNumberFormat="1" applyFill="1" applyAlignment="1">
      <alignment horizontal="center" vertical="center"/>
    </xf>
    <xf numFmtId="185" fontId="0" fillId="48" borderId="0" xfId="0" applyNumberFormat="1" applyFill="1" applyBorder="1" applyAlignment="1">
      <alignment horizontal="center" vertical="center" wrapText="1"/>
    </xf>
    <xf numFmtId="0" fontId="0" fillId="48" borderId="0" xfId="0" applyFill="1" applyBorder="1" applyAlignment="1">
      <alignment vertical="center" wrapText="1"/>
    </xf>
    <xf numFmtId="195" fontId="2" fillId="48" borderId="0" xfId="0" applyNumberFormat="1" applyFont="1" applyFill="1" applyBorder="1" applyAlignment="1">
      <alignment vertical="center"/>
    </xf>
    <xf numFmtId="15" fontId="2" fillId="48" borderId="0" xfId="0" applyNumberFormat="1" applyFont="1" applyFill="1" applyBorder="1" applyAlignment="1">
      <alignment horizontal="center" vertical="center"/>
    </xf>
    <xf numFmtId="0" fontId="2" fillId="48" borderId="0" xfId="0" applyFont="1" applyFill="1" applyAlignment="1">
      <alignment vertical="center"/>
    </xf>
    <xf numFmtId="4" fontId="11" fillId="48" borderId="0" xfId="0" applyNumberFormat="1" applyFont="1" applyFill="1" applyAlignment="1">
      <alignment vertical="center"/>
    </xf>
    <xf numFmtId="4" fontId="2" fillId="48" borderId="0" xfId="0" applyNumberFormat="1" applyFont="1" applyFill="1" applyAlignment="1">
      <alignment vertical="center"/>
    </xf>
    <xf numFmtId="0" fontId="0" fillId="48" borderId="0" xfId="0" applyFill="1" applyAlignment="1">
      <alignment horizontal="center" vertical="center"/>
    </xf>
    <xf numFmtId="195" fontId="0" fillId="48" borderId="0" xfId="0" applyNumberFormat="1" applyFill="1" applyAlignment="1">
      <alignment horizontal="center" vertical="center"/>
    </xf>
    <xf numFmtId="0" fontId="11" fillId="48" borderId="0" xfId="0" applyFont="1" applyFill="1" applyAlignment="1">
      <alignment vertical="center"/>
    </xf>
    <xf numFmtId="0" fontId="2" fillId="48" borderId="0" xfId="0" applyFont="1" applyFill="1" applyAlignment="1">
      <alignment vertical="center" wrapText="1"/>
    </xf>
    <xf numFmtId="182" fontId="11" fillId="48" borderId="0" xfId="0" applyNumberFormat="1" applyFont="1" applyFill="1" applyAlignment="1">
      <alignment horizontal="center" vertical="center"/>
    </xf>
    <xf numFmtId="3" fontId="18" fillId="48" borderId="0" xfId="0" applyNumberFormat="1" applyFont="1" applyFill="1" applyAlignment="1">
      <alignment vertical="center"/>
    </xf>
    <xf numFmtId="191" fontId="27" fillId="0" borderId="12" xfId="0" applyNumberFormat="1" applyFont="1" applyFill="1" applyBorder="1" applyAlignment="1">
      <alignment horizontal="center" vertical="center"/>
    </xf>
    <xf numFmtId="191" fontId="27" fillId="0" borderId="3" xfId="0" applyNumberFormat="1" applyFont="1" applyFill="1" applyBorder="1" applyAlignment="1">
      <alignment horizontal="center" vertical="center"/>
    </xf>
    <xf numFmtId="0" fontId="40" fillId="2" borderId="22" xfId="7" applyFont="1" applyFill="1" applyBorder="1" applyAlignment="1">
      <alignment horizontal="left" vertical="center"/>
    </xf>
    <xf numFmtId="0" fontId="40" fillId="2" borderId="23" xfId="7" applyFont="1" applyFill="1" applyBorder="1" applyAlignment="1">
      <alignment horizontal="left" vertical="center"/>
    </xf>
    <xf numFmtId="0" fontId="6" fillId="2" borderId="16" xfId="8" applyFont="1" applyFill="1" applyBorder="1" applyAlignment="1">
      <alignment horizontal="left" vertical="center"/>
    </xf>
    <xf numFmtId="0" fontId="6" fillId="2" borderId="18" xfId="8" applyFont="1" applyFill="1" applyBorder="1" applyAlignment="1">
      <alignment horizontal="left" vertical="center"/>
    </xf>
    <xf numFmtId="0" fontId="6" fillId="2" borderId="17" xfId="8" applyFont="1" applyFill="1" applyBorder="1" applyAlignment="1">
      <alignment horizontal="left" vertical="center"/>
    </xf>
    <xf numFmtId="0" fontId="6" fillId="2" borderId="19" xfId="8" applyFont="1" applyFill="1" applyBorder="1" applyAlignment="1">
      <alignment horizontal="left" vertical="center"/>
    </xf>
    <xf numFmtId="0" fontId="6" fillId="2" borderId="24" xfId="8" applyFont="1" applyFill="1" applyBorder="1" applyAlignment="1">
      <alignment horizontal="left" vertical="center"/>
    </xf>
    <xf numFmtId="0" fontId="6" fillId="2" borderId="25" xfId="8" applyFont="1" applyFill="1" applyBorder="1" applyAlignment="1">
      <alignment horizontal="left" vertical="center"/>
    </xf>
    <xf numFmtId="0" fontId="40" fillId="2" borderId="16" xfId="7" applyFont="1" applyFill="1" applyBorder="1" applyAlignment="1">
      <alignment horizontal="left" vertical="center"/>
    </xf>
    <xf numFmtId="0" fontId="40" fillId="2" borderId="17" xfId="7" applyFont="1" applyFill="1" applyBorder="1" applyAlignment="1">
      <alignment horizontal="left" vertical="center"/>
    </xf>
    <xf numFmtId="0" fontId="42" fillId="0" borderId="20" xfId="7" applyFont="1" applyFill="1" applyBorder="1" applyAlignment="1">
      <alignment horizontal="left" vertical="center"/>
    </xf>
    <xf numFmtId="0" fontId="42" fillId="0" borderId="21" xfId="7" applyFont="1" applyFill="1" applyBorder="1" applyAlignment="1">
      <alignment horizontal="left" vertical="center"/>
    </xf>
    <xf numFmtId="0" fontId="42" fillId="0" borderId="20" xfId="7" applyFont="1" applyBorder="1" applyAlignment="1">
      <alignment horizontal="left" vertical="center"/>
    </xf>
    <xf numFmtId="0" fontId="42" fillId="0" borderId="21" xfId="7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</cellXfs>
  <cellStyles count="9">
    <cellStyle name="Comma" xfId="1" builtinId="3"/>
    <cellStyle name="Comma 2" xfId="5"/>
    <cellStyle name="Hyperlink" xfId="2" builtinId="8"/>
    <cellStyle name="Normal" xfId="0" builtinId="0"/>
    <cellStyle name="Normal 2" xfId="6"/>
    <cellStyle name="Normal 3" xfId="7"/>
    <cellStyle name="Normal_CLO bond data-0907" xfId="8"/>
    <cellStyle name="Normal_Sheet1" xfId="3"/>
    <cellStyle name="一般_Bond 2004B" xfId="4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66"/>
      <color rgb="FFFFFF99"/>
      <color rgb="FFCC99FF"/>
      <color rgb="FFA66BFD"/>
      <color rgb="FF99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ernardina.suen@sgcib.com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enber.hkdb@bloomberg.net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enny.zhang@nomura.com%20//%202536%20708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udy.Yung@anz.com" TargetMode="External"/><Relationship Id="rId7" Type="http://schemas.openxmlformats.org/officeDocument/2006/relationships/comments" Target="../comments2.xml"/><Relationship Id="rId2" Type="http://schemas.openxmlformats.org/officeDocument/2006/relationships/hyperlink" Target="mailto:Judy.Yung@anz.com" TargetMode="External"/><Relationship Id="rId1" Type="http://schemas.openxmlformats.org/officeDocument/2006/relationships/hyperlink" Target="mailto:Judy.Yung@anz.com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Judy.Yung@anz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Na.Li@hk.email.gs.com" TargetMode="Externa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C000"/>
  </sheetPr>
  <dimension ref="B3:K37"/>
  <sheetViews>
    <sheetView workbookViewId="0">
      <selection activeCell="F13" sqref="F13"/>
    </sheetView>
  </sheetViews>
  <sheetFormatPr defaultRowHeight="15.75"/>
  <cols>
    <col min="1" max="1" width="9.140625" style="1691"/>
    <col min="2" max="2" width="13.28515625" style="1691" customWidth="1"/>
    <col min="3" max="3" width="13.42578125" style="1691" customWidth="1"/>
    <col min="4" max="6" width="17.5703125" style="1691" customWidth="1"/>
    <col min="7" max="11" width="17.42578125" style="1691" customWidth="1"/>
    <col min="12" max="16384" width="9.140625" style="1691"/>
  </cols>
  <sheetData>
    <row r="3" spans="2:11" ht="16.5" thickBot="1"/>
    <row r="4" spans="2:11">
      <c r="B4" s="1812" t="s">
        <v>1437</v>
      </c>
      <c r="C4" s="1813"/>
      <c r="D4" s="1706">
        <v>42460</v>
      </c>
      <c r="E4" s="1706">
        <v>42369</v>
      </c>
      <c r="F4" s="1693" t="s">
        <v>1435</v>
      </c>
      <c r="G4" s="1693" t="s">
        <v>1436</v>
      </c>
      <c r="H4" s="1693">
        <v>41274</v>
      </c>
      <c r="I4" s="1693">
        <v>40907</v>
      </c>
      <c r="J4" s="1693">
        <v>40543</v>
      </c>
      <c r="K4" s="1693">
        <v>40178</v>
      </c>
    </row>
    <row r="5" spans="2:11">
      <c r="B5" s="1814" t="s">
        <v>1439</v>
      </c>
      <c r="C5" s="1815"/>
      <c r="D5" s="1707">
        <v>90286787782.235596</v>
      </c>
      <c r="E5" s="1707">
        <v>71862984374.650467</v>
      </c>
      <c r="F5" s="1696">
        <v>56930483315.394287</v>
      </c>
      <c r="G5" s="1696">
        <v>41435959277.411209</v>
      </c>
      <c r="H5" s="1696">
        <v>26510209007.085625</v>
      </c>
      <c r="I5" s="1696">
        <v>16155462928.71814</v>
      </c>
      <c r="J5" s="1696">
        <v>12125256577.801989</v>
      </c>
      <c r="K5" s="1696">
        <v>11079238215.509247</v>
      </c>
    </row>
    <row r="6" spans="2:11">
      <c r="B6" s="1814" t="s">
        <v>1441</v>
      </c>
      <c r="C6" s="1815"/>
      <c r="D6" s="1707">
        <v>1403657725.5489619</v>
      </c>
      <c r="E6" s="1707">
        <v>4436147183.8520823</v>
      </c>
      <c r="F6" s="1696">
        <v>3630562479.7300005</v>
      </c>
      <c r="G6" s="1696">
        <v>2684927845.3859334</v>
      </c>
      <c r="H6" s="1696">
        <v>1760806522.1679599</v>
      </c>
      <c r="I6" s="1696">
        <v>1047816619.03</v>
      </c>
      <c r="J6" s="1696">
        <v>694183814.08000004</v>
      </c>
      <c r="K6" s="1696">
        <v>621777243.38</v>
      </c>
    </row>
    <row r="7" spans="2:11">
      <c r="B7" s="1814" t="s">
        <v>1443</v>
      </c>
      <c r="C7" s="1815"/>
      <c r="D7" s="1707">
        <v>136250000</v>
      </c>
      <c r="E7" s="1707">
        <v>106538250</v>
      </c>
      <c r="F7" s="1696">
        <v>53238812.226100683</v>
      </c>
      <c r="G7" s="1696">
        <v>10018340.344572159</v>
      </c>
      <c r="H7" s="1696">
        <v>7424418.6046511624</v>
      </c>
      <c r="I7" s="1696">
        <v>13499690.169076022</v>
      </c>
      <c r="J7" s="1696">
        <v>7577471.5600000005</v>
      </c>
      <c r="K7" s="1696">
        <v>10720000</v>
      </c>
    </row>
    <row r="8" spans="2:11">
      <c r="B8" s="1816" t="s">
        <v>1445</v>
      </c>
      <c r="C8" s="1817"/>
      <c r="D8" s="1708">
        <v>1.7055737205570923E-2</v>
      </c>
      <c r="E8" s="1708">
        <v>6.3213147538783626E-2</v>
      </c>
      <c r="F8" s="1700">
        <v>6.470700892433813E-2</v>
      </c>
      <c r="G8" s="1700">
        <v>6.5038826968817257E-2</v>
      </c>
      <c r="H8" s="1700">
        <v>6.6699999999999995E-2</v>
      </c>
      <c r="I8" s="1700">
        <v>6.5693958376919534E-2</v>
      </c>
      <c r="J8" s="1700">
        <v>5.7875994717071139E-2</v>
      </c>
      <c r="K8" s="1700">
        <v>5.7088513765738889E-2</v>
      </c>
    </row>
    <row r="9" spans="2:11">
      <c r="B9" s="1814" t="s">
        <v>1447</v>
      </c>
      <c r="C9" s="1815"/>
      <c r="D9" s="1707">
        <v>5614630902.1958475</v>
      </c>
      <c r="E9" s="1707">
        <v>4436147183.8520823</v>
      </c>
      <c r="F9" s="1696">
        <v>3630562479.7300005</v>
      </c>
      <c r="G9" s="1696">
        <v>2684927845.3859334</v>
      </c>
      <c r="H9" s="1696">
        <v>1760806522.1679602</v>
      </c>
      <c r="I9" s="1696">
        <v>1047816619.03</v>
      </c>
      <c r="J9" s="1696">
        <v>694183814.08000004</v>
      </c>
      <c r="K9" s="1696">
        <v>621777243.38</v>
      </c>
    </row>
    <row r="10" spans="2:11" ht="16.5" thickBot="1">
      <c r="B10" s="1804" t="s">
        <v>1449</v>
      </c>
      <c r="C10" s="1805"/>
      <c r="D10" s="1709">
        <v>6.369570834734431E-2</v>
      </c>
      <c r="E10" s="1709">
        <v>6.3213147538783626E-2</v>
      </c>
      <c r="F10" s="1701">
        <v>6.470700892433813E-2</v>
      </c>
      <c r="G10" s="1701">
        <v>6.5038826968817257E-2</v>
      </c>
      <c r="H10" s="1701">
        <v>6.6699999999999995E-2</v>
      </c>
      <c r="I10" s="1701">
        <v>6.5693958376919534E-2</v>
      </c>
      <c r="J10" s="1701">
        <v>5.7875994717071139E-2</v>
      </c>
      <c r="K10" s="1701">
        <v>5.7088513765738889E-2</v>
      </c>
    </row>
    <row r="11" spans="2:11">
      <c r="B11" s="1695" t="s">
        <v>1513</v>
      </c>
      <c r="C11" s="1695"/>
    </row>
    <row r="15" spans="2:11" ht="16.5" thickBot="1"/>
    <row r="16" spans="2:11">
      <c r="B16" s="1806" t="s">
        <v>1433</v>
      </c>
      <c r="C16" s="1808" t="s">
        <v>1434</v>
      </c>
      <c r="D16" s="1710" t="s">
        <v>1512</v>
      </c>
      <c r="E16" s="1710" t="s">
        <v>1505</v>
      </c>
      <c r="F16" s="1692" t="s">
        <v>1435</v>
      </c>
      <c r="G16" s="1692" t="s">
        <v>1436</v>
      </c>
      <c r="H16" s="1692" t="s">
        <v>1455</v>
      </c>
      <c r="I16" s="1692" t="s">
        <v>1456</v>
      </c>
      <c r="J16" s="1692" t="s">
        <v>1457</v>
      </c>
      <c r="K16" s="1692" t="s">
        <v>1458</v>
      </c>
    </row>
    <row r="17" spans="2:11">
      <c r="B17" s="1807"/>
      <c r="C17" s="1809"/>
      <c r="D17" s="1711" t="s">
        <v>1438</v>
      </c>
      <c r="E17" s="1711" t="s">
        <v>1438</v>
      </c>
      <c r="F17" s="1694" t="s">
        <v>1438</v>
      </c>
      <c r="G17" s="1694" t="s">
        <v>1438</v>
      </c>
      <c r="H17" s="1694" t="s">
        <v>1438</v>
      </c>
      <c r="I17" s="1694" t="s">
        <v>1438</v>
      </c>
      <c r="J17" s="1694" t="s">
        <v>1438</v>
      </c>
      <c r="K17" s="1694" t="s">
        <v>1438</v>
      </c>
    </row>
    <row r="18" spans="2:11">
      <c r="B18" s="1697" t="s">
        <v>423</v>
      </c>
      <c r="C18" s="1698" t="s">
        <v>1440</v>
      </c>
      <c r="D18" s="1712">
        <v>76787373495.926376</v>
      </c>
      <c r="E18" s="1712">
        <v>73717637183.248642</v>
      </c>
      <c r="F18" s="1699">
        <v>57293066227.095085</v>
      </c>
      <c r="G18" s="1699">
        <v>46932949479.251923</v>
      </c>
      <c r="H18" s="1699">
        <v>32184601658.205273</v>
      </c>
      <c r="I18" s="1699">
        <v>18303491471.847603</v>
      </c>
      <c r="J18" s="1699">
        <v>14385845719.212328</v>
      </c>
      <c r="K18" s="1699">
        <v>10659258427.130001</v>
      </c>
    </row>
    <row r="19" spans="2:11">
      <c r="B19" s="1697" t="s">
        <v>1058</v>
      </c>
      <c r="C19" s="1698" t="s">
        <v>1442</v>
      </c>
      <c r="D19" s="1712">
        <v>1040699725.7699999</v>
      </c>
      <c r="E19" s="1712">
        <v>1024034181.7900001</v>
      </c>
      <c r="F19" s="1699">
        <v>985514792.69000006</v>
      </c>
      <c r="G19" s="1699">
        <v>960589090.22999966</v>
      </c>
      <c r="H19" s="1699">
        <v>2452204611.8899994</v>
      </c>
      <c r="I19" s="1699">
        <v>881004736.06000018</v>
      </c>
      <c r="J19" s="1699">
        <v>668173745.21999979</v>
      </c>
      <c r="K19" s="1699">
        <v>576790981.06999993</v>
      </c>
    </row>
    <row r="20" spans="2:11">
      <c r="B20" s="1697" t="s">
        <v>424</v>
      </c>
      <c r="C20" s="1698" t="s">
        <v>1444</v>
      </c>
      <c r="D20" s="1712">
        <v>19295650829.139999</v>
      </c>
      <c r="E20" s="1712">
        <v>15209727762.630001</v>
      </c>
      <c r="F20" s="1699">
        <v>7592659180.1899967</v>
      </c>
      <c r="G20" s="1699">
        <v>3779681060.8099995</v>
      </c>
      <c r="H20" s="1699">
        <v>1996455849.6300004</v>
      </c>
      <c r="I20" s="1699">
        <v>1054750552.9099998</v>
      </c>
      <c r="J20" s="1699">
        <v>818276551.07000005</v>
      </c>
      <c r="K20" s="1699">
        <v>532902563.22000015</v>
      </c>
    </row>
    <row r="21" spans="2:11">
      <c r="B21" s="1697" t="s">
        <v>425</v>
      </c>
      <c r="C21" s="1698" t="s">
        <v>1446</v>
      </c>
      <c r="D21" s="1712">
        <v>697147190.46000016</v>
      </c>
      <c r="E21" s="1712">
        <v>687651209.81999993</v>
      </c>
      <c r="F21" s="1699">
        <v>660222959.94000006</v>
      </c>
      <c r="G21" s="1699">
        <v>507860428.43000001</v>
      </c>
      <c r="H21" s="1699">
        <v>381033846.81999999</v>
      </c>
      <c r="I21" s="1699">
        <v>274175995.27000004</v>
      </c>
      <c r="J21" s="1699">
        <v>128447323.47</v>
      </c>
      <c r="K21" s="1699">
        <v>92333195.650000006</v>
      </c>
    </row>
    <row r="22" spans="2:11">
      <c r="B22" s="1697" t="s">
        <v>513</v>
      </c>
      <c r="C22" s="1698" t="s">
        <v>1448</v>
      </c>
      <c r="D22" s="1712">
        <v>22402472.280000001</v>
      </c>
      <c r="E22" s="1712">
        <v>22381113.649999999</v>
      </c>
      <c r="F22" s="1699">
        <v>20978966.029999997</v>
      </c>
      <c r="G22" s="1699">
        <v>2087443476.5799999</v>
      </c>
      <c r="H22" s="1699">
        <v>320509308.65000004</v>
      </c>
      <c r="I22" s="1699">
        <v>37400404.720000006</v>
      </c>
      <c r="J22" s="1699">
        <v>20572155.649999999</v>
      </c>
      <c r="K22" s="1699">
        <v>83386653.289999992</v>
      </c>
    </row>
    <row r="23" spans="2:11">
      <c r="B23" s="1697" t="s">
        <v>1450</v>
      </c>
      <c r="C23" s="1698" t="s">
        <v>1451</v>
      </c>
      <c r="D23" s="1712">
        <v>441411315.92000002</v>
      </c>
      <c r="E23" s="1712">
        <v>437107661.43000001</v>
      </c>
      <c r="F23" s="1699">
        <v>432665415.5</v>
      </c>
      <c r="G23" s="1699">
        <v>420430876.18999994</v>
      </c>
      <c r="H23" s="1699">
        <v>414100933.97999996</v>
      </c>
      <c r="I23" s="1699">
        <v>26785470.219999999</v>
      </c>
      <c r="J23" s="1699">
        <v>27129274.390000001</v>
      </c>
      <c r="K23" s="1699">
        <v>5031343.67</v>
      </c>
    </row>
    <row r="24" spans="2:11">
      <c r="B24" s="1702" t="s">
        <v>1452</v>
      </c>
      <c r="C24" s="1703" t="s">
        <v>1453</v>
      </c>
      <c r="D24" s="1713">
        <v>391093819.73000002</v>
      </c>
      <c r="E24" s="1713">
        <v>382549519.06999999</v>
      </c>
      <c r="F24" s="1704">
        <v>379588976.10000002</v>
      </c>
      <c r="G24" s="1704">
        <v>360089365.34000003</v>
      </c>
      <c r="H24" s="1704">
        <v>359801822.93000001</v>
      </c>
      <c r="I24" s="1704">
        <v>13340124.109999999</v>
      </c>
      <c r="J24" s="1704">
        <v>0</v>
      </c>
      <c r="K24" s="1704">
        <v>0</v>
      </c>
    </row>
    <row r="25" spans="2:11" ht="16.5" thickBot="1">
      <c r="B25" s="1810" t="s">
        <v>1454</v>
      </c>
      <c r="C25" s="1811"/>
      <c r="D25" s="1714">
        <v>98675778849.226379</v>
      </c>
      <c r="E25" s="1714">
        <v>91481088631.638641</v>
      </c>
      <c r="F25" s="1705">
        <v>67364696517.545082</v>
      </c>
      <c r="G25" s="1705">
        <v>55049043776.831924</v>
      </c>
      <c r="H25" s="1705">
        <v>38108708032.105278</v>
      </c>
      <c r="I25" s="1705">
        <v>20590948755.137608</v>
      </c>
      <c r="J25" s="1705">
        <v>16048444769.012325</v>
      </c>
      <c r="K25" s="1705">
        <v>11949703164.030001</v>
      </c>
    </row>
    <row r="26" spans="2:11">
      <c r="F26" s="1691">
        <v>3023524145.1799998</v>
      </c>
      <c r="G26" s="1691">
        <v>994602893.30843782</v>
      </c>
      <c r="H26" s="1691">
        <v>994602893.30843782</v>
      </c>
    </row>
    <row r="27" spans="2:11">
      <c r="B27" s="1691" t="s">
        <v>1519</v>
      </c>
      <c r="E27" s="1738">
        <f>F25</f>
        <v>67364696517.545082</v>
      </c>
      <c r="F27" s="1737">
        <f>G25</f>
        <v>55049043776.831924</v>
      </c>
    </row>
    <row r="28" spans="2:11">
      <c r="B28" s="1691" t="s">
        <v>1514</v>
      </c>
      <c r="E28" s="1737">
        <f>2562729567.64549-3023524145.18</f>
        <v>-460794577.53450966</v>
      </c>
      <c r="F28" s="1737">
        <f>3023524145.18-994602893.308438</f>
        <v>2028921251.871562</v>
      </c>
    </row>
    <row r="29" spans="2:11">
      <c r="B29" s="1691" t="s">
        <v>1518</v>
      </c>
      <c r="E29" s="1737">
        <v>136250000</v>
      </c>
      <c r="F29" s="1737">
        <v>53238812.226100683</v>
      </c>
    </row>
    <row r="30" spans="2:11">
      <c r="B30" s="1691" t="s">
        <v>1515</v>
      </c>
      <c r="E30" s="1737">
        <v>16910043461.9</v>
      </c>
      <c r="F30" s="1737">
        <v>6349770929.789999</v>
      </c>
    </row>
    <row r="31" spans="2:11">
      <c r="B31" s="1691" t="s">
        <v>1516</v>
      </c>
      <c r="E31" s="1737">
        <v>4436147183.8520823</v>
      </c>
      <c r="F31" s="1737">
        <v>3630562479.7300005</v>
      </c>
    </row>
    <row r="32" spans="2:11">
      <c r="B32" s="1691" t="s">
        <v>1517</v>
      </c>
      <c r="E32" s="1737">
        <f>3067468456.8</f>
        <v>3067468456.8000002</v>
      </c>
      <c r="F32" s="1737"/>
    </row>
    <row r="33" spans="2:6">
      <c r="F33" s="1737"/>
    </row>
    <row r="34" spans="2:6">
      <c r="B34" s="1691" t="s">
        <v>1520</v>
      </c>
      <c r="E34" s="1738">
        <f>SUM(E27:E32)</f>
        <v>91453811042.562653</v>
      </c>
      <c r="F34" s="1738">
        <f>SUM(F27:F32)</f>
        <v>67111537250.449585</v>
      </c>
    </row>
    <row r="35" spans="2:6">
      <c r="B35" s="1691" t="s">
        <v>1521</v>
      </c>
      <c r="E35" s="1738">
        <f>E34-E25</f>
        <v>-27277589.07598877</v>
      </c>
      <c r="F35" s="1738">
        <f>F34-F25</f>
        <v>-253159267.09549713</v>
      </c>
    </row>
    <row r="37" spans="2:6">
      <c r="E37" s="1691" t="s">
        <v>1522</v>
      </c>
    </row>
  </sheetData>
  <mergeCells count="10">
    <mergeCell ref="B10:C10"/>
    <mergeCell ref="B16:B17"/>
    <mergeCell ref="C16:C17"/>
    <mergeCell ref="B25:C25"/>
    <mergeCell ref="B4:C4"/>
    <mergeCell ref="B5:C5"/>
    <mergeCell ref="B6:C6"/>
    <mergeCell ref="B7:C7"/>
    <mergeCell ref="B8:C8"/>
    <mergeCell ref="B9:C9"/>
  </mergeCells>
  <phoneticPr fontId="3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3"/>
  <dimension ref="A1:AH27"/>
  <sheetViews>
    <sheetView topLeftCell="E1" zoomScale="85" zoomScaleNormal="85" workbookViewId="0">
      <pane xSplit="1" ySplit="5" topLeftCell="F26" activePane="bottomRight" state="frozen"/>
      <selection activeCell="E1" sqref="E1"/>
      <selection pane="topRight" activeCell="F1" sqref="F1"/>
      <selection pane="bottomLeft" activeCell="E6" sqref="E6"/>
      <selection pane="bottomRight" activeCell="T34" sqref="T34"/>
    </sheetView>
  </sheetViews>
  <sheetFormatPr defaultRowHeight="12.75"/>
  <cols>
    <col min="1" max="2" width="16.28515625" customWidth="1"/>
    <col min="3" max="3" width="10.7109375" customWidth="1"/>
    <col min="4" max="4" width="11.5703125" customWidth="1"/>
    <col min="6" max="6" width="15.7109375" customWidth="1"/>
    <col min="7" max="7" width="23.140625" customWidth="1"/>
    <col min="8" max="10" width="9" customWidth="1"/>
    <col min="12" max="12" width="15.85546875" customWidth="1"/>
    <col min="13" max="13" width="11.28515625" customWidth="1"/>
    <col min="14" max="14" width="10.140625" customWidth="1"/>
    <col min="15" max="15" width="12.5703125" customWidth="1"/>
    <col min="16" max="16" width="12.28515625" customWidth="1"/>
    <col min="17" max="17" width="13.42578125" customWidth="1"/>
    <col min="18" max="18" width="22" customWidth="1"/>
    <col min="19" max="20" width="10.7109375" style="637" customWidth="1"/>
    <col min="21" max="21" width="17.7109375" bestFit="1" customWidth="1"/>
    <col min="23" max="23" width="13.5703125" customWidth="1"/>
    <col min="24" max="26" width="13.42578125" customWidth="1"/>
    <col min="27" max="27" width="10.140625" customWidth="1"/>
    <col min="28" max="28" width="13.7109375" bestFit="1" customWidth="1"/>
    <col min="29" max="29" width="12.5703125" bestFit="1" customWidth="1"/>
    <col min="33" max="33" width="10.140625" bestFit="1" customWidth="1"/>
    <col min="34" max="34" width="9.85546875" bestFit="1" customWidth="1"/>
  </cols>
  <sheetData>
    <row r="1" spans="1:34" ht="16.5">
      <c r="E1" s="1"/>
      <c r="F1" s="116" t="s">
        <v>227</v>
      </c>
      <c r="G1" s="1"/>
      <c r="H1" s="1"/>
      <c r="I1" s="1"/>
      <c r="J1" s="1"/>
      <c r="K1" s="1"/>
      <c r="L1" s="1"/>
      <c r="O1" s="1" t="s">
        <v>910</v>
      </c>
    </row>
    <row r="2" spans="1:34">
      <c r="E2" s="1" t="s">
        <v>295</v>
      </c>
      <c r="F2" s="134">
        <f ca="1">TODAY()</f>
        <v>42654</v>
      </c>
    </row>
    <row r="4" spans="1:34">
      <c r="AB4" s="85"/>
      <c r="AC4" s="85"/>
      <c r="AG4" s="85"/>
    </row>
    <row r="5" spans="1:34" ht="38.25">
      <c r="A5" s="10"/>
      <c r="B5" s="10"/>
      <c r="C5" s="10"/>
      <c r="D5" s="10"/>
      <c r="E5" s="8" t="s">
        <v>296</v>
      </c>
      <c r="F5" s="8" t="s">
        <v>293</v>
      </c>
      <c r="G5" s="8" t="s">
        <v>300</v>
      </c>
      <c r="H5" s="8"/>
      <c r="I5" s="8"/>
      <c r="J5" s="8"/>
      <c r="K5" s="8" t="s">
        <v>294</v>
      </c>
      <c r="L5" s="9" t="s">
        <v>302</v>
      </c>
      <c r="M5" s="7" t="s">
        <v>301</v>
      </c>
      <c r="N5" s="7" t="s">
        <v>304</v>
      </c>
      <c r="O5" s="7" t="s">
        <v>305</v>
      </c>
      <c r="P5" s="8" t="s">
        <v>297</v>
      </c>
      <c r="Q5" s="8" t="s">
        <v>303</v>
      </c>
      <c r="R5" s="8" t="s">
        <v>312</v>
      </c>
      <c r="S5" s="639" t="s">
        <v>298</v>
      </c>
      <c r="T5" s="639" t="s">
        <v>299</v>
      </c>
      <c r="U5" s="228" t="s">
        <v>752</v>
      </c>
      <c r="V5" s="10"/>
      <c r="W5" s="10" t="s">
        <v>436</v>
      </c>
      <c r="X5" s="10"/>
      <c r="Y5" s="84"/>
      <c r="Z5" s="84"/>
      <c r="AA5" s="10"/>
      <c r="AB5" s="10"/>
      <c r="AC5" s="10"/>
      <c r="AF5" s="29"/>
      <c r="AG5" s="29"/>
      <c r="AH5" s="29"/>
    </row>
    <row r="6" spans="1:34" s="74" customFormat="1" ht="38.25">
      <c r="A6" s="73"/>
      <c r="B6" s="73"/>
      <c r="C6" s="73"/>
      <c r="D6" s="73"/>
      <c r="E6" s="91"/>
      <c r="F6" s="55" t="s">
        <v>815</v>
      </c>
      <c r="G6" s="53" t="s">
        <v>816</v>
      </c>
      <c r="H6" s="17" t="s">
        <v>817</v>
      </c>
      <c r="I6" s="17" t="s">
        <v>818</v>
      </c>
      <c r="J6" s="204">
        <f>(AB6-S6)/365</f>
        <v>-111.15342465753425</v>
      </c>
      <c r="K6" s="46" t="s">
        <v>465</v>
      </c>
      <c r="L6" s="24">
        <v>1600000</v>
      </c>
      <c r="M6" s="167" t="s">
        <v>466</v>
      </c>
      <c r="N6" s="114">
        <v>107.9</v>
      </c>
      <c r="O6" s="91">
        <v>7.1413970999999998</v>
      </c>
      <c r="P6" s="32" t="s">
        <v>355</v>
      </c>
      <c r="Q6" s="20" t="s">
        <v>648</v>
      </c>
      <c r="R6" s="14" t="s">
        <v>649</v>
      </c>
      <c r="S6" s="642">
        <v>40571</v>
      </c>
      <c r="T6" s="642">
        <v>40576</v>
      </c>
      <c r="U6" s="229" t="s">
        <v>760</v>
      </c>
      <c r="W6" s="143">
        <v>1730300</v>
      </c>
      <c r="X6" s="143"/>
      <c r="Y6" s="117"/>
      <c r="Z6" s="70"/>
      <c r="AA6" s="86"/>
      <c r="AB6" s="275"/>
      <c r="AC6" s="104"/>
      <c r="AF6" s="214"/>
      <c r="AG6" s="215"/>
      <c r="AH6" s="117"/>
    </row>
    <row r="7" spans="1:34" s="74" customFormat="1" ht="38.25">
      <c r="A7" s="73"/>
      <c r="B7" s="73"/>
      <c r="C7" s="73"/>
      <c r="D7" s="86"/>
      <c r="E7" s="91" t="s">
        <v>1424</v>
      </c>
      <c r="F7" s="55" t="s">
        <v>1421</v>
      </c>
      <c r="G7" s="53" t="s">
        <v>1422</v>
      </c>
      <c r="H7" s="112" t="s">
        <v>79</v>
      </c>
      <c r="I7" s="112" t="s">
        <v>1221</v>
      </c>
      <c r="J7" s="204">
        <f>(AB7-S7)/365</f>
        <v>-115.93698630136986</v>
      </c>
      <c r="K7" s="46" t="s">
        <v>465</v>
      </c>
      <c r="L7" s="24">
        <v>500000</v>
      </c>
      <c r="M7" s="167" t="s">
        <v>466</v>
      </c>
      <c r="N7" s="114">
        <v>104.95</v>
      </c>
      <c r="O7" s="91">
        <v>4.9353999999999996</v>
      </c>
      <c r="P7" s="1689" t="s">
        <v>1063</v>
      </c>
      <c r="Q7" s="32" t="s">
        <v>819</v>
      </c>
      <c r="R7" s="14" t="s">
        <v>1423</v>
      </c>
      <c r="S7" s="642">
        <v>42317</v>
      </c>
      <c r="T7" s="642">
        <v>42320</v>
      </c>
      <c r="U7" s="229" t="s">
        <v>760</v>
      </c>
      <c r="W7" s="143">
        <v>525453.13</v>
      </c>
      <c r="Y7" s="117"/>
      <c r="Z7" s="117"/>
      <c r="AA7" s="86"/>
      <c r="AB7" s="275"/>
      <c r="AC7" s="104"/>
      <c r="AD7" s="104"/>
      <c r="AF7" s="214"/>
      <c r="AG7" s="215"/>
      <c r="AH7" s="117"/>
    </row>
    <row r="8" spans="1:34" s="74" customFormat="1" ht="38.25">
      <c r="A8" s="73"/>
      <c r="B8" s="73"/>
      <c r="C8" s="73"/>
      <c r="D8" s="86"/>
      <c r="E8" s="91" t="s">
        <v>1424</v>
      </c>
      <c r="F8" s="55" t="s">
        <v>1421</v>
      </c>
      <c r="G8" s="53" t="s">
        <v>1422</v>
      </c>
      <c r="H8" s="112" t="s">
        <v>79</v>
      </c>
      <c r="I8" s="112" t="s">
        <v>1221</v>
      </c>
      <c r="J8" s="204">
        <f>(AB8-S8)/365</f>
        <v>-115.93972602739726</v>
      </c>
      <c r="K8" s="46" t="s">
        <v>465</v>
      </c>
      <c r="L8" s="24">
        <v>1000000</v>
      </c>
      <c r="M8" s="167" t="s">
        <v>466</v>
      </c>
      <c r="N8" s="114">
        <v>105.36199999999999</v>
      </c>
      <c r="O8" s="91">
        <v>4.8795999999999999</v>
      </c>
      <c r="P8" s="1689" t="s">
        <v>1063</v>
      </c>
      <c r="Q8" s="32" t="s">
        <v>819</v>
      </c>
      <c r="R8" s="14" t="s">
        <v>1423</v>
      </c>
      <c r="S8" s="642">
        <v>42318</v>
      </c>
      <c r="T8" s="642">
        <v>42321</v>
      </c>
      <c r="U8" s="229" t="s">
        <v>599</v>
      </c>
      <c r="W8" s="143">
        <v>1055182.5</v>
      </c>
      <c r="Y8" s="117"/>
      <c r="Z8" s="117"/>
      <c r="AA8" s="86"/>
      <c r="AB8" s="275"/>
      <c r="AC8" s="104"/>
      <c r="AD8" s="104"/>
      <c r="AF8" s="214"/>
      <c r="AG8" s="215"/>
      <c r="AH8" s="117"/>
    </row>
    <row r="9" spans="1:34" s="74" customFormat="1" ht="38.25">
      <c r="A9" s="73"/>
      <c r="B9" s="73"/>
      <c r="C9" s="73"/>
      <c r="D9" s="86"/>
      <c r="E9" s="91" t="s">
        <v>1424</v>
      </c>
      <c r="F9" s="55" t="s">
        <v>1421</v>
      </c>
      <c r="G9" s="53" t="s">
        <v>1422</v>
      </c>
      <c r="H9" s="112" t="s">
        <v>79</v>
      </c>
      <c r="I9" s="112" t="s">
        <v>1221</v>
      </c>
      <c r="J9" s="204">
        <f>(AB9-S9)/365</f>
        <v>-116.0054794520548</v>
      </c>
      <c r="K9" s="46" t="s">
        <v>465</v>
      </c>
      <c r="L9" s="24">
        <v>1000000</v>
      </c>
      <c r="M9" s="167" t="s">
        <v>466</v>
      </c>
      <c r="N9" s="114">
        <v>105.432</v>
      </c>
      <c r="O9" s="91">
        <v>4.8651999999999997</v>
      </c>
      <c r="P9" s="1689" t="s">
        <v>775</v>
      </c>
      <c r="Q9" s="32" t="s">
        <v>941</v>
      </c>
      <c r="R9" s="14" t="s">
        <v>942</v>
      </c>
      <c r="S9" s="642">
        <v>42342</v>
      </c>
      <c r="T9" s="642">
        <v>42346</v>
      </c>
      <c r="U9" s="229" t="s">
        <v>599</v>
      </c>
      <c r="W9" s="143">
        <v>1059788.75</v>
      </c>
      <c r="Y9" s="117"/>
      <c r="Z9" s="117"/>
      <c r="AA9" s="86"/>
      <c r="AB9" s="275"/>
      <c r="AC9" s="104"/>
      <c r="AD9" s="104"/>
      <c r="AF9" s="214"/>
      <c r="AG9" s="215"/>
      <c r="AH9" s="117"/>
    </row>
    <row r="10" spans="1:34" s="74" customFormat="1" ht="38.25">
      <c r="A10" s="73"/>
      <c r="B10" s="73"/>
      <c r="C10" s="73"/>
      <c r="D10" s="86"/>
      <c r="E10" s="91" t="s">
        <v>1471</v>
      </c>
      <c r="F10" s="55" t="s">
        <v>1465</v>
      </c>
      <c r="G10" s="53" t="s">
        <v>1466</v>
      </c>
      <c r="H10" s="112"/>
      <c r="I10" s="112"/>
      <c r="J10" s="204" t="s">
        <v>466</v>
      </c>
      <c r="K10" s="46" t="s">
        <v>465</v>
      </c>
      <c r="L10" s="24">
        <v>43104000</v>
      </c>
      <c r="M10" s="46" t="s">
        <v>466</v>
      </c>
      <c r="N10" s="114">
        <v>100</v>
      </c>
      <c r="O10" s="91">
        <v>4.6500000000000004</v>
      </c>
      <c r="P10" s="32" t="s">
        <v>1073</v>
      </c>
      <c r="Q10" s="32" t="s">
        <v>1074</v>
      </c>
      <c r="R10" s="14" t="s">
        <v>1075</v>
      </c>
      <c r="S10" s="642">
        <v>42347</v>
      </c>
      <c r="T10" s="642">
        <v>42354</v>
      </c>
      <c r="U10" s="229" t="s">
        <v>1467</v>
      </c>
      <c r="W10" s="143">
        <v>43104000</v>
      </c>
      <c r="Y10" s="117"/>
      <c r="Z10" s="117"/>
      <c r="AA10" s="86"/>
      <c r="AB10" s="87"/>
      <c r="AC10" s="104"/>
      <c r="AD10" s="104"/>
      <c r="AF10" s="214"/>
      <c r="AG10" s="215"/>
      <c r="AH10" s="117"/>
    </row>
    <row r="11" spans="1:34" s="74" customFormat="1" ht="38.25">
      <c r="A11" s="73"/>
      <c r="B11" s="73"/>
      <c r="C11" s="73"/>
      <c r="D11" s="86"/>
      <c r="E11" s="91" t="s">
        <v>1471</v>
      </c>
      <c r="F11" s="55" t="s">
        <v>1465</v>
      </c>
      <c r="G11" s="53" t="s">
        <v>1466</v>
      </c>
      <c r="H11" s="112"/>
      <c r="I11" s="112"/>
      <c r="J11" s="204" t="s">
        <v>466</v>
      </c>
      <c r="K11" s="46" t="s">
        <v>465</v>
      </c>
      <c r="L11" s="24">
        <v>43104000</v>
      </c>
      <c r="M11" s="46" t="s">
        <v>466</v>
      </c>
      <c r="N11" s="114">
        <v>100</v>
      </c>
      <c r="O11" s="91">
        <v>4.6500000000000004</v>
      </c>
      <c r="P11" s="32" t="s">
        <v>1073</v>
      </c>
      <c r="Q11" s="32" t="s">
        <v>1074</v>
      </c>
      <c r="R11" s="14" t="s">
        <v>1075</v>
      </c>
      <c r="S11" s="642">
        <v>42347</v>
      </c>
      <c r="T11" s="642">
        <v>42354</v>
      </c>
      <c r="U11" s="229" t="s">
        <v>1468</v>
      </c>
      <c r="W11" s="143">
        <v>43104000</v>
      </c>
      <c r="Y11" s="117"/>
      <c r="Z11" s="117"/>
      <c r="AA11" s="86"/>
      <c r="AB11" s="87"/>
      <c r="AC11" s="104"/>
      <c r="AD11" s="104"/>
      <c r="AF11" s="214"/>
      <c r="AG11" s="215"/>
      <c r="AH11" s="117"/>
    </row>
    <row r="12" spans="1:34" s="74" customFormat="1" ht="38.25">
      <c r="A12" s="73"/>
      <c r="B12" s="73"/>
      <c r="C12" s="73"/>
      <c r="D12" s="86"/>
      <c r="E12" s="91" t="s">
        <v>1471</v>
      </c>
      <c r="F12" s="55" t="s">
        <v>1465</v>
      </c>
      <c r="G12" s="53" t="s">
        <v>1466</v>
      </c>
      <c r="H12" s="112"/>
      <c r="I12" s="112"/>
      <c r="J12" s="204" t="s">
        <v>466</v>
      </c>
      <c r="K12" s="46" t="s">
        <v>465</v>
      </c>
      <c r="L12" s="24">
        <v>8621000</v>
      </c>
      <c r="M12" s="46" t="s">
        <v>466</v>
      </c>
      <c r="N12" s="114">
        <v>100</v>
      </c>
      <c r="O12" s="91">
        <v>4.6500000000000004</v>
      </c>
      <c r="P12" s="32" t="s">
        <v>1073</v>
      </c>
      <c r="Q12" s="32" t="s">
        <v>1074</v>
      </c>
      <c r="R12" s="14" t="s">
        <v>1075</v>
      </c>
      <c r="S12" s="642">
        <v>42347</v>
      </c>
      <c r="T12" s="642">
        <v>42354</v>
      </c>
      <c r="U12" s="229" t="s">
        <v>1469</v>
      </c>
      <c r="W12" s="143">
        <v>8621000</v>
      </c>
      <c r="Y12" s="117"/>
      <c r="Z12" s="117"/>
      <c r="AA12" s="86"/>
      <c r="AB12" s="87"/>
      <c r="AC12" s="104"/>
      <c r="AD12" s="104"/>
      <c r="AF12" s="214"/>
      <c r="AG12" s="215"/>
      <c r="AH12" s="117"/>
    </row>
    <row r="13" spans="1:34" s="74" customFormat="1" ht="38.25">
      <c r="A13" s="73"/>
      <c r="B13" s="73"/>
      <c r="C13" s="73"/>
      <c r="D13" s="86"/>
      <c r="E13" s="91" t="s">
        <v>1471</v>
      </c>
      <c r="F13" s="55" t="s">
        <v>1465</v>
      </c>
      <c r="G13" s="53" t="s">
        <v>1466</v>
      </c>
      <c r="H13" s="112"/>
      <c r="I13" s="112"/>
      <c r="J13" s="204" t="s">
        <v>466</v>
      </c>
      <c r="K13" s="46" t="s">
        <v>465</v>
      </c>
      <c r="L13" s="24">
        <v>1724000</v>
      </c>
      <c r="M13" s="46" t="s">
        <v>466</v>
      </c>
      <c r="N13" s="114">
        <v>100</v>
      </c>
      <c r="O13" s="91">
        <v>4.6500000000000004</v>
      </c>
      <c r="P13" s="32" t="s">
        <v>1073</v>
      </c>
      <c r="Q13" s="32" t="s">
        <v>1074</v>
      </c>
      <c r="R13" s="14" t="s">
        <v>1075</v>
      </c>
      <c r="S13" s="642">
        <v>42347</v>
      </c>
      <c r="T13" s="642">
        <v>42354</v>
      </c>
      <c r="U13" s="229" t="s">
        <v>1470</v>
      </c>
      <c r="W13" s="143">
        <v>1724000</v>
      </c>
      <c r="Y13" s="117"/>
      <c r="Z13" s="117"/>
      <c r="AA13" s="86"/>
      <c r="AB13" s="87"/>
      <c r="AC13" s="104"/>
      <c r="AD13" s="104"/>
      <c r="AF13" s="214"/>
      <c r="AG13" s="215"/>
      <c r="AH13" s="117"/>
    </row>
    <row r="14" spans="1:34" s="74" customFormat="1" ht="25.5">
      <c r="A14" s="73"/>
      <c r="B14" s="73"/>
      <c r="C14" s="73"/>
      <c r="D14" s="86"/>
      <c r="E14" s="91" t="s">
        <v>1471</v>
      </c>
      <c r="F14" s="55" t="s">
        <v>1465</v>
      </c>
      <c r="G14" s="53" t="s">
        <v>1466</v>
      </c>
      <c r="H14" s="112"/>
      <c r="I14" s="112"/>
      <c r="J14" s="204" t="s">
        <v>466</v>
      </c>
      <c r="K14" s="46" t="s">
        <v>465</v>
      </c>
      <c r="L14" s="24">
        <v>6896000</v>
      </c>
      <c r="M14" s="46" t="s">
        <v>466</v>
      </c>
      <c r="N14" s="114">
        <v>100.4</v>
      </c>
      <c r="O14" s="91">
        <v>4.55</v>
      </c>
      <c r="P14" s="32" t="s">
        <v>1412</v>
      </c>
      <c r="Q14" s="32" t="s">
        <v>1257</v>
      </c>
      <c r="R14" s="14" t="s">
        <v>1258</v>
      </c>
      <c r="S14" s="642">
        <v>42348</v>
      </c>
      <c r="T14" s="642">
        <v>42354</v>
      </c>
      <c r="U14" s="229" t="s">
        <v>1467</v>
      </c>
      <c r="W14" s="143">
        <v>6923584</v>
      </c>
      <c r="Y14" s="117"/>
      <c r="Z14" s="117"/>
      <c r="AA14" s="86"/>
      <c r="AB14" s="87"/>
      <c r="AC14" s="104"/>
      <c r="AD14" s="104"/>
      <c r="AF14" s="214"/>
      <c r="AG14" s="215"/>
      <c r="AH14" s="117"/>
    </row>
    <row r="15" spans="1:34" s="74" customFormat="1" ht="38.25">
      <c r="A15" s="73"/>
      <c r="B15" s="73"/>
      <c r="C15" s="73"/>
      <c r="D15" s="86"/>
      <c r="E15" s="91" t="s">
        <v>1471</v>
      </c>
      <c r="F15" s="55" t="s">
        <v>1465</v>
      </c>
      <c r="G15" s="53" t="s">
        <v>1466</v>
      </c>
      <c r="H15" s="112"/>
      <c r="I15" s="112"/>
      <c r="J15" s="204" t="s">
        <v>466</v>
      </c>
      <c r="K15" s="46" t="s">
        <v>465</v>
      </c>
      <c r="L15" s="24">
        <v>1379000</v>
      </c>
      <c r="M15" s="46" t="s">
        <v>466</v>
      </c>
      <c r="N15" s="114">
        <v>100.39</v>
      </c>
      <c r="O15" s="91">
        <v>4.5599999999999996</v>
      </c>
      <c r="P15" s="32" t="s">
        <v>1472</v>
      </c>
      <c r="Q15" s="32" t="s">
        <v>1473</v>
      </c>
      <c r="R15" s="14" t="s">
        <v>1474</v>
      </c>
      <c r="S15" s="642">
        <v>42348</v>
      </c>
      <c r="T15" s="642">
        <v>42354</v>
      </c>
      <c r="U15" s="229" t="s">
        <v>1469</v>
      </c>
      <c r="W15" s="143">
        <v>1384378.1</v>
      </c>
      <c r="Y15" s="117"/>
      <c r="Z15" s="117"/>
      <c r="AA15" s="86"/>
      <c r="AB15" s="87"/>
      <c r="AC15" s="104"/>
      <c r="AD15" s="104"/>
      <c r="AF15" s="214"/>
      <c r="AG15" s="215"/>
      <c r="AH15" s="117"/>
    </row>
    <row r="16" spans="1:34" s="74" customFormat="1" ht="25.5">
      <c r="A16" s="73"/>
      <c r="B16" s="73"/>
      <c r="C16" s="73"/>
      <c r="D16" s="86"/>
      <c r="E16" s="91" t="s">
        <v>1484</v>
      </c>
      <c r="F16" s="55" t="s">
        <v>1485</v>
      </c>
      <c r="G16" s="53" t="s">
        <v>1486</v>
      </c>
      <c r="H16" s="112" t="s">
        <v>1487</v>
      </c>
      <c r="I16" s="112" t="s">
        <v>1488</v>
      </c>
      <c r="J16" s="204">
        <v>33.869952087611225</v>
      </c>
      <c r="K16" s="46" t="s">
        <v>1238</v>
      </c>
      <c r="L16" s="24">
        <v>60000000</v>
      </c>
      <c r="M16" s="46" t="s">
        <v>1489</v>
      </c>
      <c r="N16" s="114">
        <v>107.65</v>
      </c>
      <c r="O16" s="91">
        <v>4.5328999999999997</v>
      </c>
      <c r="P16" s="32" t="s">
        <v>1311</v>
      </c>
      <c r="Q16" s="32" t="s">
        <v>1312</v>
      </c>
      <c r="R16" s="14" t="s">
        <v>1313</v>
      </c>
      <c r="S16" s="642">
        <v>42354</v>
      </c>
      <c r="T16" s="642">
        <v>42356</v>
      </c>
      <c r="U16" s="229"/>
      <c r="W16" s="143">
        <v>10612021.550000001</v>
      </c>
      <c r="Y16" s="117"/>
      <c r="Z16" s="117"/>
      <c r="AA16" s="86"/>
      <c r="AB16" s="87"/>
      <c r="AC16" s="104"/>
      <c r="AD16" s="104"/>
      <c r="AF16" s="214"/>
      <c r="AG16" s="215"/>
      <c r="AH16" s="117"/>
    </row>
    <row r="17" spans="1:34" s="74" customFormat="1" ht="38.25">
      <c r="A17" s="73"/>
      <c r="B17" s="73"/>
      <c r="C17" s="73"/>
      <c r="D17" s="86"/>
      <c r="E17" s="91" t="s">
        <v>1484</v>
      </c>
      <c r="F17" s="55" t="s">
        <v>1485</v>
      </c>
      <c r="G17" s="53" t="s">
        <v>1486</v>
      </c>
      <c r="H17" s="112" t="s">
        <v>1487</v>
      </c>
      <c r="I17" s="112" t="s">
        <v>1488</v>
      </c>
      <c r="J17" s="204">
        <v>33.869952087611225</v>
      </c>
      <c r="K17" s="46" t="s">
        <v>1238</v>
      </c>
      <c r="L17" s="24">
        <v>50000000</v>
      </c>
      <c r="M17" s="46" t="s">
        <v>1489</v>
      </c>
      <c r="N17" s="114">
        <v>107.75</v>
      </c>
      <c r="O17" s="91">
        <v>4.5054999999999996</v>
      </c>
      <c r="P17" s="32" t="s">
        <v>1073</v>
      </c>
      <c r="Q17" s="32" t="s">
        <v>1074</v>
      </c>
      <c r="R17" s="14" t="s">
        <v>1075</v>
      </c>
      <c r="S17" s="642">
        <v>42354</v>
      </c>
      <c r="T17" s="642">
        <v>42356</v>
      </c>
      <c r="U17" s="229"/>
      <c r="W17" s="143">
        <v>8851488.25</v>
      </c>
      <c r="Y17" s="117"/>
      <c r="Z17" s="117"/>
      <c r="AA17" s="86"/>
      <c r="AB17" s="87"/>
      <c r="AC17" s="104"/>
      <c r="AD17" s="104"/>
      <c r="AF17" s="214"/>
      <c r="AG17" s="215"/>
      <c r="AH17" s="117"/>
    </row>
    <row r="18" spans="1:34" s="74" customFormat="1" ht="25.5">
      <c r="A18" s="73"/>
      <c r="B18" s="73"/>
      <c r="C18" s="73"/>
      <c r="D18" s="86"/>
      <c r="E18" s="91" t="s">
        <v>1484</v>
      </c>
      <c r="F18" s="55" t="s">
        <v>1485</v>
      </c>
      <c r="G18" s="53" t="s">
        <v>1486</v>
      </c>
      <c r="H18" s="112" t="s">
        <v>1487</v>
      </c>
      <c r="I18" s="112" t="s">
        <v>1488</v>
      </c>
      <c r="J18" s="204">
        <v>33.869952087611225</v>
      </c>
      <c r="K18" s="46" t="s">
        <v>1238</v>
      </c>
      <c r="L18" s="24">
        <v>95000000</v>
      </c>
      <c r="M18" s="46" t="s">
        <v>1489</v>
      </c>
      <c r="N18" s="114">
        <v>108</v>
      </c>
      <c r="O18" s="91">
        <v>4.4368999999999996</v>
      </c>
      <c r="P18" s="32" t="s">
        <v>610</v>
      </c>
      <c r="Q18" s="32" t="s">
        <v>1490</v>
      </c>
      <c r="R18" s="14" t="s">
        <v>1491</v>
      </c>
      <c r="S18" s="642">
        <v>42354</v>
      </c>
      <c r="T18" s="642">
        <v>42356</v>
      </c>
      <c r="U18" s="229"/>
      <c r="W18" s="143">
        <v>16856478.25</v>
      </c>
      <c r="Y18" s="117"/>
      <c r="Z18" s="117"/>
      <c r="AA18" s="86"/>
      <c r="AB18" s="87"/>
      <c r="AC18" s="104"/>
      <c r="AD18" s="104"/>
      <c r="AF18" s="214"/>
      <c r="AG18" s="215"/>
      <c r="AH18" s="117"/>
    </row>
    <row r="19" spans="1:34" s="74" customFormat="1" ht="25.5">
      <c r="A19" s="73"/>
      <c r="B19" s="73"/>
      <c r="C19" s="73"/>
      <c r="D19" s="86"/>
      <c r="E19" s="91" t="s">
        <v>1492</v>
      </c>
      <c r="F19" s="55" t="s">
        <v>1485</v>
      </c>
      <c r="G19" s="53" t="s">
        <v>1486</v>
      </c>
      <c r="H19" s="112" t="s">
        <v>1487</v>
      </c>
      <c r="I19" s="112" t="s">
        <v>1488</v>
      </c>
      <c r="J19" s="204">
        <v>33.861738535249827</v>
      </c>
      <c r="K19" s="46" t="s">
        <v>1238</v>
      </c>
      <c r="L19" s="24">
        <v>20000000</v>
      </c>
      <c r="M19" s="46" t="s">
        <v>1489</v>
      </c>
      <c r="N19" s="114">
        <v>108</v>
      </c>
      <c r="O19" s="91">
        <v>4.4322999999999997</v>
      </c>
      <c r="P19" s="32" t="s">
        <v>1311</v>
      </c>
      <c r="Q19" s="32" t="s">
        <v>1312</v>
      </c>
      <c r="R19" s="14" t="s">
        <v>1313</v>
      </c>
      <c r="S19" s="642">
        <v>42355</v>
      </c>
      <c r="T19" s="642">
        <v>42359</v>
      </c>
      <c r="U19" s="229"/>
      <c r="W19" s="143">
        <v>3550563.08</v>
      </c>
      <c r="Y19" s="117"/>
      <c r="Z19" s="117"/>
      <c r="AA19" s="86"/>
      <c r="AB19" s="87"/>
      <c r="AC19" s="104"/>
      <c r="AD19" s="104"/>
      <c r="AF19" s="214"/>
      <c r="AG19" s="215"/>
      <c r="AH19" s="117"/>
    </row>
    <row r="20" spans="1:34" s="74" customFormat="1" ht="25.5">
      <c r="A20" s="73"/>
      <c r="B20" s="73"/>
      <c r="C20" s="73"/>
      <c r="D20" s="86"/>
      <c r="E20" s="91" t="s">
        <v>1492</v>
      </c>
      <c r="F20" s="55" t="s">
        <v>1485</v>
      </c>
      <c r="G20" s="53" t="s">
        <v>1486</v>
      </c>
      <c r="H20" s="112" t="s">
        <v>1487</v>
      </c>
      <c r="I20" s="112" t="s">
        <v>1488</v>
      </c>
      <c r="J20" s="204">
        <v>33.861738535249827</v>
      </c>
      <c r="K20" s="46" t="s">
        <v>1238</v>
      </c>
      <c r="L20" s="24">
        <v>50000000</v>
      </c>
      <c r="M20" s="46" t="s">
        <v>1489</v>
      </c>
      <c r="N20" s="114">
        <v>108.1</v>
      </c>
      <c r="O20" s="91">
        <v>4.4048999999999996</v>
      </c>
      <c r="P20" s="32" t="s">
        <v>946</v>
      </c>
      <c r="Q20" s="32" t="s">
        <v>1493</v>
      </c>
      <c r="R20" s="14" t="s">
        <v>1494</v>
      </c>
      <c r="S20" s="642">
        <v>42355</v>
      </c>
      <c r="T20" s="642">
        <v>42359</v>
      </c>
      <c r="U20" s="229"/>
      <c r="W20" s="143">
        <v>8884544.6500000004</v>
      </c>
      <c r="Y20" s="117"/>
      <c r="Z20" s="117"/>
      <c r="AA20" s="86"/>
      <c r="AB20" s="87"/>
      <c r="AC20" s="104"/>
      <c r="AD20" s="104"/>
      <c r="AF20" s="214"/>
      <c r="AG20" s="215"/>
      <c r="AH20" s="117"/>
    </row>
    <row r="21" spans="1:34" s="74" customFormat="1" ht="25.5">
      <c r="A21" s="73"/>
      <c r="B21" s="73"/>
      <c r="C21" s="73"/>
      <c r="D21" s="86"/>
      <c r="E21" s="91" t="s">
        <v>1492</v>
      </c>
      <c r="F21" s="55" t="s">
        <v>1485</v>
      </c>
      <c r="G21" s="53" t="s">
        <v>1486</v>
      </c>
      <c r="H21" s="112" t="s">
        <v>1487</v>
      </c>
      <c r="I21" s="112" t="s">
        <v>1488</v>
      </c>
      <c r="J21" s="204">
        <v>33.861738535249827</v>
      </c>
      <c r="K21" s="46" t="s">
        <v>1238</v>
      </c>
      <c r="L21" s="24">
        <v>30000000</v>
      </c>
      <c r="M21" s="46" t="s">
        <v>1489</v>
      </c>
      <c r="N21" s="114">
        <v>107.875</v>
      </c>
      <c r="O21" s="91">
        <v>4.4665999999999997</v>
      </c>
      <c r="P21" s="32" t="s">
        <v>610</v>
      </c>
      <c r="Q21" s="32" t="s">
        <v>1490</v>
      </c>
      <c r="R21" s="14" t="s">
        <v>1491</v>
      </c>
      <c r="S21" s="642">
        <v>42355</v>
      </c>
      <c r="T21" s="642">
        <v>42359</v>
      </c>
      <c r="U21" s="229"/>
      <c r="W21" s="143">
        <v>5319741.8899999997</v>
      </c>
      <c r="Y21" s="117"/>
      <c r="Z21" s="117"/>
      <c r="AA21" s="86"/>
      <c r="AB21" s="87"/>
      <c r="AC21" s="104"/>
      <c r="AD21" s="104"/>
      <c r="AF21" s="214"/>
      <c r="AG21" s="215"/>
      <c r="AH21" s="117"/>
    </row>
    <row r="22" spans="1:34" s="74" customFormat="1" ht="38.25">
      <c r="A22" s="73"/>
      <c r="B22" s="73"/>
      <c r="C22" s="73"/>
      <c r="D22" s="86"/>
      <c r="E22" s="91" t="s">
        <v>1492</v>
      </c>
      <c r="F22" s="55" t="s">
        <v>1485</v>
      </c>
      <c r="G22" s="53" t="s">
        <v>1486</v>
      </c>
      <c r="H22" s="112" t="s">
        <v>1487</v>
      </c>
      <c r="I22" s="112" t="s">
        <v>1488</v>
      </c>
      <c r="J22" s="204">
        <v>33.861738535249827</v>
      </c>
      <c r="K22" s="46" t="s">
        <v>1238</v>
      </c>
      <c r="L22" s="24">
        <v>69000000</v>
      </c>
      <c r="M22" s="46" t="s">
        <v>1489</v>
      </c>
      <c r="N22" s="114">
        <v>107.85</v>
      </c>
      <c r="O22" s="91">
        <v>4.4734999999999996</v>
      </c>
      <c r="P22" s="32" t="s">
        <v>1073</v>
      </c>
      <c r="Q22" s="32" t="s">
        <v>1074</v>
      </c>
      <c r="R22" s="14" t="s">
        <v>1075</v>
      </c>
      <c r="S22" s="642">
        <v>42355</v>
      </c>
      <c r="T22" s="642">
        <v>42359</v>
      </c>
      <c r="U22" s="229"/>
      <c r="W22" s="143">
        <v>12232599.109999999</v>
      </c>
      <c r="Y22" s="117"/>
      <c r="Z22" s="117"/>
      <c r="AA22" s="86"/>
      <c r="AB22" s="87"/>
      <c r="AC22" s="104"/>
      <c r="AD22" s="104"/>
      <c r="AF22" s="214"/>
      <c r="AG22" s="215"/>
      <c r="AH22" s="117"/>
    </row>
    <row r="23" spans="1:34" s="74" customFormat="1" ht="38.25">
      <c r="A23" s="73"/>
      <c r="B23" s="73"/>
      <c r="C23" s="73"/>
      <c r="D23" s="86"/>
      <c r="E23" s="91" t="s">
        <v>1495</v>
      </c>
      <c r="F23" s="55" t="s">
        <v>1485</v>
      </c>
      <c r="G23" s="53" t="s">
        <v>1486</v>
      </c>
      <c r="H23" s="112" t="s">
        <v>1487</v>
      </c>
      <c r="I23" s="112" t="s">
        <v>1488</v>
      </c>
      <c r="J23" s="204">
        <v>33.861738535249827</v>
      </c>
      <c r="K23" s="46" t="s">
        <v>1238</v>
      </c>
      <c r="L23" s="24">
        <v>31000000</v>
      </c>
      <c r="M23" s="46" t="s">
        <v>1489</v>
      </c>
      <c r="N23" s="114">
        <v>107.85</v>
      </c>
      <c r="O23" s="91">
        <v>4.4734999999999996</v>
      </c>
      <c r="P23" s="32" t="s">
        <v>1073</v>
      </c>
      <c r="Q23" s="32" t="s">
        <v>1074</v>
      </c>
      <c r="R23" s="14" t="s">
        <v>1075</v>
      </c>
      <c r="S23" s="642">
        <v>42355</v>
      </c>
      <c r="T23" s="642">
        <v>42359</v>
      </c>
      <c r="U23" s="229"/>
      <c r="W23" s="143">
        <v>5495805.4000000004</v>
      </c>
      <c r="Y23" s="117"/>
      <c r="Z23" s="117"/>
      <c r="AA23" s="86"/>
      <c r="AB23" s="87"/>
      <c r="AC23" s="104"/>
      <c r="AD23" s="104"/>
      <c r="AF23" s="214"/>
      <c r="AG23" s="215"/>
      <c r="AH23" s="117"/>
    </row>
    <row r="24" spans="1:34" s="74" customFormat="1" ht="25.5">
      <c r="A24" s="73"/>
      <c r="B24" s="73"/>
      <c r="C24" s="73"/>
      <c r="D24" s="86"/>
      <c r="E24" s="91" t="s">
        <v>1496</v>
      </c>
      <c r="F24" s="55" t="s">
        <v>1485</v>
      </c>
      <c r="G24" s="53" t="s">
        <v>1486</v>
      </c>
      <c r="H24" s="112" t="s">
        <v>1487</v>
      </c>
      <c r="I24" s="112" t="s">
        <v>1488</v>
      </c>
      <c r="J24" s="204">
        <v>33.8590006844627</v>
      </c>
      <c r="K24" s="46" t="s">
        <v>1238</v>
      </c>
      <c r="L24" s="24">
        <v>61000000</v>
      </c>
      <c r="M24" s="46" t="s">
        <v>1489</v>
      </c>
      <c r="N24" s="114">
        <v>108.08</v>
      </c>
      <c r="O24" s="91">
        <v>4.4088000000000003</v>
      </c>
      <c r="P24" s="32" t="s">
        <v>1311</v>
      </c>
      <c r="Q24" s="32" t="s">
        <v>1312</v>
      </c>
      <c r="R24" s="14" t="s">
        <v>1313</v>
      </c>
      <c r="S24" s="642">
        <v>42356</v>
      </c>
      <c r="T24" s="642">
        <v>42360</v>
      </c>
      <c r="U24" s="229"/>
      <c r="W24" s="143">
        <v>10839020.390000001</v>
      </c>
      <c r="Y24" s="117"/>
      <c r="Z24" s="117"/>
      <c r="AA24" s="86"/>
      <c r="AB24" s="87"/>
      <c r="AC24" s="104"/>
      <c r="AD24" s="104"/>
      <c r="AF24" s="214"/>
      <c r="AG24" s="215"/>
      <c r="AH24" s="117"/>
    </row>
    <row r="25" spans="1:34" s="74" customFormat="1" ht="25.5">
      <c r="A25" s="73"/>
      <c r="B25" s="73"/>
      <c r="C25" s="73"/>
      <c r="D25" s="86"/>
      <c r="E25" s="91" t="s">
        <v>1492</v>
      </c>
      <c r="F25" s="55" t="s">
        <v>1485</v>
      </c>
      <c r="G25" s="53" t="s">
        <v>1486</v>
      </c>
      <c r="H25" s="112" t="s">
        <v>1487</v>
      </c>
      <c r="I25" s="112" t="s">
        <v>1488</v>
      </c>
      <c r="J25" s="204">
        <v>33.8590006844627</v>
      </c>
      <c r="K25" s="46" t="s">
        <v>1238</v>
      </c>
      <c r="L25" s="24">
        <v>48000000</v>
      </c>
      <c r="M25" s="46" t="s">
        <v>1489</v>
      </c>
      <c r="N25" s="114">
        <v>108.08</v>
      </c>
      <c r="O25" s="91">
        <v>4.4088000000000003</v>
      </c>
      <c r="P25" s="32" t="s">
        <v>1311</v>
      </c>
      <c r="Q25" s="32" t="s">
        <v>1312</v>
      </c>
      <c r="R25" s="14" t="s">
        <v>1313</v>
      </c>
      <c r="S25" s="642">
        <v>42356</v>
      </c>
      <c r="T25" s="642">
        <v>42360</v>
      </c>
      <c r="U25" s="229"/>
      <c r="W25" s="143">
        <v>8529065.2300000004</v>
      </c>
      <c r="Y25" s="117"/>
      <c r="Z25" s="117"/>
      <c r="AA25" s="86"/>
      <c r="AB25" s="87"/>
      <c r="AC25" s="104"/>
      <c r="AD25" s="104"/>
      <c r="AF25" s="214"/>
      <c r="AG25" s="215"/>
      <c r="AH25" s="117"/>
    </row>
    <row r="26" spans="1:34" s="74" customFormat="1" ht="25.5">
      <c r="A26" s="73"/>
      <c r="B26" s="73"/>
      <c r="C26" s="73"/>
      <c r="D26" s="86"/>
      <c r="E26" s="91" t="s">
        <v>1492</v>
      </c>
      <c r="F26" s="55" t="s">
        <v>1485</v>
      </c>
      <c r="G26" s="53" t="s">
        <v>1486</v>
      </c>
      <c r="H26" s="112" t="s">
        <v>1487</v>
      </c>
      <c r="I26" s="112" t="s">
        <v>1488</v>
      </c>
      <c r="J26" s="204">
        <v>33.8590006844627</v>
      </c>
      <c r="K26" s="46" t="s">
        <v>1238</v>
      </c>
      <c r="L26" s="24">
        <v>100000000</v>
      </c>
      <c r="M26" s="46" t="s">
        <v>1489</v>
      </c>
      <c r="N26" s="114">
        <v>108.05</v>
      </c>
      <c r="O26" s="91">
        <v>4.4170999999999996</v>
      </c>
      <c r="P26" s="32" t="s">
        <v>946</v>
      </c>
      <c r="Q26" s="32" t="s">
        <v>1493</v>
      </c>
      <c r="R26" s="14" t="s">
        <v>1494</v>
      </c>
      <c r="S26" s="642">
        <v>42356</v>
      </c>
      <c r="T26" s="642">
        <v>42360</v>
      </c>
      <c r="U26" s="229"/>
      <c r="W26" s="143">
        <v>17764003.710000001</v>
      </c>
      <c r="Y26" s="117"/>
      <c r="Z26" s="117"/>
      <c r="AA26" s="86"/>
      <c r="AB26" s="87"/>
      <c r="AC26" s="104"/>
      <c r="AD26" s="104"/>
      <c r="AF26" s="214"/>
      <c r="AG26" s="215"/>
      <c r="AH26" s="117"/>
    </row>
    <row r="27" spans="1:34">
      <c r="E27" t="s">
        <v>1424</v>
      </c>
      <c r="F27" t="s">
        <v>1531</v>
      </c>
      <c r="G27" t="s">
        <v>1532</v>
      </c>
      <c r="H27" t="s">
        <v>192</v>
      </c>
      <c r="I27" t="s">
        <v>421</v>
      </c>
      <c r="J27">
        <v>8.7200547570157418</v>
      </c>
      <c r="K27" t="s">
        <v>465</v>
      </c>
      <c r="L27">
        <v>2000000</v>
      </c>
      <c r="M27" t="s">
        <v>466</v>
      </c>
      <c r="N27">
        <v>106.2</v>
      </c>
      <c r="O27">
        <v>4.6269999999999998</v>
      </c>
      <c r="P27" t="s">
        <v>1073</v>
      </c>
      <c r="Q27" t="s">
        <v>1074</v>
      </c>
      <c r="R27" t="s">
        <v>1075</v>
      </c>
      <c r="S27" s="637">
        <v>42486</v>
      </c>
      <c r="T27" s="637">
        <v>42488</v>
      </c>
      <c r="W27">
        <v>2155166.67</v>
      </c>
    </row>
  </sheetData>
  <phoneticPr fontId="4" type="noConversion"/>
  <hyperlinks>
    <hyperlink ref="R15" r:id="rId1" display="bernardina.suen@sgcib.com;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4">
    <tabColor rgb="FFFF0000"/>
    <pageSetUpPr fitToPage="1"/>
  </sheetPr>
  <dimension ref="A3:U1667"/>
  <sheetViews>
    <sheetView topLeftCell="C1641" zoomScale="85" zoomScaleNormal="85" workbookViewId="0">
      <selection activeCell="J1658" sqref="J1658"/>
    </sheetView>
  </sheetViews>
  <sheetFormatPr defaultRowHeight="12.75" outlineLevelCol="1"/>
  <cols>
    <col min="1" max="1" width="17.7109375" customWidth="1"/>
    <col min="2" max="2" width="13.42578125" customWidth="1"/>
    <col min="3" max="3" width="8" customWidth="1"/>
    <col min="4" max="4" width="53" customWidth="1"/>
    <col min="5" max="5" width="7.42578125" customWidth="1"/>
    <col min="6" max="6" width="17" bestFit="1" customWidth="1"/>
    <col min="7" max="7" width="11.5703125" customWidth="1"/>
    <col min="8" max="8" width="12.42578125" customWidth="1"/>
    <col min="9" max="9" width="18.42578125" customWidth="1" outlineLevel="1"/>
    <col min="10" max="10" width="18.42578125" customWidth="1"/>
    <col min="11" max="11" width="16.7109375" customWidth="1"/>
    <col min="12" max="12" width="12" customWidth="1"/>
    <col min="13" max="13" width="16.28515625" style="1142" customWidth="1"/>
    <col min="14" max="14" width="16.42578125" customWidth="1"/>
    <col min="15" max="16" width="25.7109375" customWidth="1"/>
    <col min="21" max="21" width="9.28515625" bestFit="1" customWidth="1"/>
  </cols>
  <sheetData>
    <row r="3" spans="2:11" ht="14.25">
      <c r="B3" s="235"/>
      <c r="D3" s="236" t="s">
        <v>869</v>
      </c>
      <c r="E3" s="235"/>
      <c r="F3" s="235"/>
      <c r="G3" s="235"/>
      <c r="H3" s="235"/>
      <c r="I3" s="235"/>
    </row>
    <row r="5" spans="2:11" ht="14.25">
      <c r="B5" s="237" t="s">
        <v>770</v>
      </c>
      <c r="C5" s="218"/>
      <c r="D5" s="219" t="s">
        <v>566</v>
      </c>
      <c r="E5" s="238" t="s">
        <v>567</v>
      </c>
      <c r="F5" s="239" t="s">
        <v>568</v>
      </c>
      <c r="G5" s="240" t="s">
        <v>701</v>
      </c>
      <c r="H5" s="241" t="s">
        <v>569</v>
      </c>
      <c r="I5" s="1131"/>
    </row>
    <row r="6" spans="2:11" ht="14.25">
      <c r="B6" s="242" t="s">
        <v>771</v>
      </c>
      <c r="C6" s="243" t="s">
        <v>565</v>
      </c>
      <c r="D6" s="48" t="s">
        <v>870</v>
      </c>
      <c r="E6" s="273" t="s">
        <v>834</v>
      </c>
      <c r="F6" s="24">
        <v>3000000</v>
      </c>
      <c r="G6" s="216">
        <v>99.92</v>
      </c>
      <c r="H6" s="210">
        <v>6.01</v>
      </c>
      <c r="I6" s="46"/>
    </row>
    <row r="7" spans="2:11" ht="14.25">
      <c r="B7" s="242" t="s">
        <v>562</v>
      </c>
      <c r="C7" s="243" t="s">
        <v>565</v>
      </c>
      <c r="D7" s="48" t="s">
        <v>871</v>
      </c>
      <c r="E7" s="273" t="s">
        <v>563</v>
      </c>
      <c r="F7" s="24">
        <v>2000000</v>
      </c>
      <c r="G7" s="216">
        <v>99.47</v>
      </c>
      <c r="H7" s="210">
        <v>6.07</v>
      </c>
      <c r="I7" s="46"/>
    </row>
    <row r="8" spans="2:11" ht="14.25">
      <c r="B8" s="242" t="s">
        <v>562</v>
      </c>
      <c r="C8" s="243" t="s">
        <v>565</v>
      </c>
      <c r="D8" s="48" t="s">
        <v>741</v>
      </c>
      <c r="E8" s="273" t="s">
        <v>563</v>
      </c>
      <c r="F8" s="24">
        <v>4000000</v>
      </c>
      <c r="G8" s="216">
        <v>109.893</v>
      </c>
      <c r="H8" s="210">
        <v>6.13</v>
      </c>
      <c r="I8" s="46"/>
    </row>
    <row r="9" spans="2:11" ht="14.25">
      <c r="B9" s="242" t="s">
        <v>562</v>
      </c>
      <c r="C9" s="243" t="s">
        <v>565</v>
      </c>
      <c r="D9" s="48" t="s">
        <v>872</v>
      </c>
      <c r="E9" s="273" t="s">
        <v>563</v>
      </c>
      <c r="F9" s="24">
        <v>5000000</v>
      </c>
      <c r="G9" s="216">
        <v>99.05</v>
      </c>
      <c r="H9" s="210">
        <v>6.14</v>
      </c>
      <c r="I9" s="46"/>
    </row>
    <row r="10" spans="2:11" ht="14.25">
      <c r="B10" s="242" t="s">
        <v>562</v>
      </c>
      <c r="C10" s="243" t="s">
        <v>565</v>
      </c>
      <c r="D10" s="48" t="s">
        <v>741</v>
      </c>
      <c r="E10" s="273" t="s">
        <v>563</v>
      </c>
      <c r="F10" s="24">
        <v>6000000</v>
      </c>
      <c r="G10" s="216">
        <v>110.15</v>
      </c>
      <c r="H10" s="210">
        <v>6.1</v>
      </c>
      <c r="I10" s="46"/>
    </row>
    <row r="11" spans="2:11" ht="14.25">
      <c r="B11" s="242" t="s">
        <v>562</v>
      </c>
      <c r="C11" s="243" t="s">
        <v>565</v>
      </c>
      <c r="D11" s="48" t="s">
        <v>872</v>
      </c>
      <c r="E11" s="273" t="s">
        <v>563</v>
      </c>
      <c r="F11" s="24">
        <v>3000000</v>
      </c>
      <c r="G11" s="216">
        <v>98.84</v>
      </c>
      <c r="H11" s="210">
        <v>6.17</v>
      </c>
      <c r="I11" s="46"/>
    </row>
    <row r="12" spans="2:11" ht="14.25">
      <c r="B12" s="242" t="s">
        <v>562</v>
      </c>
      <c r="C12" s="243" t="s">
        <v>565</v>
      </c>
      <c r="D12" s="48" t="s">
        <v>872</v>
      </c>
      <c r="E12" s="273" t="s">
        <v>563</v>
      </c>
      <c r="F12" s="24">
        <v>2000000</v>
      </c>
      <c r="G12" s="216">
        <v>98.344999999999999</v>
      </c>
      <c r="H12" s="210">
        <v>6.24</v>
      </c>
      <c r="I12" s="46"/>
    </row>
    <row r="13" spans="2:11" ht="14.25">
      <c r="B13" s="242" t="s">
        <v>562</v>
      </c>
      <c r="C13" s="243" t="s">
        <v>565</v>
      </c>
      <c r="D13" s="48" t="s">
        <v>871</v>
      </c>
      <c r="E13" s="273" t="s">
        <v>563</v>
      </c>
      <c r="F13" s="24">
        <v>3000000</v>
      </c>
      <c r="G13" s="216">
        <v>99.62</v>
      </c>
      <c r="H13" s="210">
        <v>6.05</v>
      </c>
      <c r="I13" s="46"/>
    </row>
    <row r="14" spans="2:11" ht="14.25">
      <c r="B14" s="242" t="s">
        <v>562</v>
      </c>
      <c r="C14" s="243" t="s">
        <v>565</v>
      </c>
      <c r="D14" s="48" t="s">
        <v>871</v>
      </c>
      <c r="E14" s="273" t="s">
        <v>563</v>
      </c>
      <c r="F14" s="24">
        <v>1000000</v>
      </c>
      <c r="G14" s="216">
        <v>99.62</v>
      </c>
      <c r="H14" s="210">
        <v>6.05</v>
      </c>
      <c r="I14" s="46"/>
    </row>
    <row r="15" spans="2:11" ht="14.25">
      <c r="B15" s="242" t="s">
        <v>562</v>
      </c>
      <c r="C15" s="243" t="s">
        <v>565</v>
      </c>
      <c r="D15" s="48" t="s">
        <v>816</v>
      </c>
      <c r="E15" s="273" t="s">
        <v>563</v>
      </c>
      <c r="F15" s="24">
        <v>500000</v>
      </c>
      <c r="G15" s="216">
        <v>108.5</v>
      </c>
      <c r="H15" s="210">
        <v>7.02</v>
      </c>
      <c r="I15" s="46"/>
      <c r="J15" t="s">
        <v>893</v>
      </c>
      <c r="K15" s="31">
        <f>SUM(F8:F12)+F18+F20+F23</f>
        <v>27000000</v>
      </c>
    </row>
    <row r="16" spans="2:11" ht="14.25">
      <c r="B16" s="242" t="s">
        <v>562</v>
      </c>
      <c r="C16" s="243" t="s">
        <v>565</v>
      </c>
      <c r="D16" s="53" t="s">
        <v>825</v>
      </c>
      <c r="E16" s="273" t="s">
        <v>563</v>
      </c>
      <c r="F16" s="24">
        <v>500000</v>
      </c>
      <c r="G16" s="216">
        <v>100.5</v>
      </c>
      <c r="H16" s="210">
        <v>6.76</v>
      </c>
      <c r="I16" s="46"/>
      <c r="J16" t="s">
        <v>970</v>
      </c>
      <c r="K16" s="31">
        <f>F6+F7+F13+F14+F21+F22</f>
        <v>13000000</v>
      </c>
    </row>
    <row r="17" spans="2:13" ht="14.25">
      <c r="B17" s="242" t="s">
        <v>562</v>
      </c>
      <c r="C17" s="243" t="s">
        <v>565</v>
      </c>
      <c r="D17" s="53" t="s">
        <v>825</v>
      </c>
      <c r="E17" s="273" t="s">
        <v>563</v>
      </c>
      <c r="F17" s="24">
        <v>1500000</v>
      </c>
      <c r="G17" s="216">
        <v>99.75</v>
      </c>
      <c r="H17" s="210">
        <v>6.82</v>
      </c>
      <c r="I17" s="46"/>
    </row>
    <row r="18" spans="2:13" ht="14.25">
      <c r="B18" s="242" t="s">
        <v>562</v>
      </c>
      <c r="C18" s="243" t="s">
        <v>565</v>
      </c>
      <c r="D18" s="48" t="s">
        <v>872</v>
      </c>
      <c r="E18" s="273" t="s">
        <v>563</v>
      </c>
      <c r="F18" s="24">
        <v>1000000</v>
      </c>
      <c r="G18" s="216">
        <v>100</v>
      </c>
      <c r="H18" s="210">
        <v>6</v>
      </c>
      <c r="I18" s="46"/>
    </row>
    <row r="19" spans="2:13" ht="14.25">
      <c r="B19" s="242" t="s">
        <v>953</v>
      </c>
      <c r="C19" s="243" t="s">
        <v>565</v>
      </c>
      <c r="D19" s="53" t="s">
        <v>825</v>
      </c>
      <c r="E19" s="273" t="s">
        <v>563</v>
      </c>
      <c r="F19" s="24">
        <v>1000000</v>
      </c>
      <c r="G19" s="216">
        <v>100</v>
      </c>
      <c r="H19" s="210">
        <v>6.8</v>
      </c>
      <c r="I19" s="46"/>
    </row>
    <row r="20" spans="2:13" ht="14.25">
      <c r="B20" s="242" t="s">
        <v>772</v>
      </c>
      <c r="C20" s="243" t="s">
        <v>565</v>
      </c>
      <c r="D20" s="48" t="s">
        <v>741</v>
      </c>
      <c r="E20" s="273" t="s">
        <v>563</v>
      </c>
      <c r="F20" s="24">
        <v>4000000</v>
      </c>
      <c r="G20" s="216">
        <v>109.893</v>
      </c>
      <c r="H20" s="210">
        <v>6.13</v>
      </c>
      <c r="I20" s="46"/>
    </row>
    <row r="21" spans="2:13" ht="14.25">
      <c r="B21" s="242" t="s">
        <v>772</v>
      </c>
      <c r="C21" s="243" t="s">
        <v>565</v>
      </c>
      <c r="D21" s="48" t="s">
        <v>871</v>
      </c>
      <c r="E21" s="273" t="s">
        <v>563</v>
      </c>
      <c r="F21" s="24">
        <v>2000000</v>
      </c>
      <c r="G21" s="216">
        <v>99.62</v>
      </c>
      <c r="H21" s="210">
        <v>6.05</v>
      </c>
      <c r="I21" s="46"/>
    </row>
    <row r="22" spans="2:13" ht="14.25">
      <c r="B22" s="242" t="s">
        <v>772</v>
      </c>
      <c r="C22" s="243" t="s">
        <v>565</v>
      </c>
      <c r="D22" s="48" t="s">
        <v>871</v>
      </c>
      <c r="E22" s="273" t="s">
        <v>563</v>
      </c>
      <c r="F22" s="24">
        <v>2000000</v>
      </c>
      <c r="G22" s="216">
        <v>99.62</v>
      </c>
      <c r="H22" s="210">
        <v>6.05</v>
      </c>
      <c r="I22" s="46"/>
    </row>
    <row r="23" spans="2:13" ht="14.25">
      <c r="B23" s="242" t="s">
        <v>875</v>
      </c>
      <c r="C23" s="243" t="s">
        <v>565</v>
      </c>
      <c r="D23" s="48" t="s">
        <v>741</v>
      </c>
      <c r="E23" s="273" t="s">
        <v>563</v>
      </c>
      <c r="F23" s="24">
        <v>2000000</v>
      </c>
      <c r="G23" s="216">
        <v>109.893</v>
      </c>
      <c r="H23" s="210">
        <v>6.13</v>
      </c>
      <c r="I23" s="46"/>
    </row>
    <row r="24" spans="2:13" ht="14.25">
      <c r="B24" s="220"/>
      <c r="C24" s="221"/>
      <c r="D24" s="222" t="s">
        <v>702</v>
      </c>
      <c r="E24" s="244"/>
      <c r="F24" s="276">
        <f>SUM(F6:F23)</f>
        <v>43500000</v>
      </c>
      <c r="G24" s="223"/>
      <c r="H24" s="224">
        <f>SUMPRODUCT(F6:F23,H6:H23)/F24</f>
        <v>6.1627586206896554</v>
      </c>
      <c r="I24" s="1132"/>
    </row>
    <row r="26" spans="2:13" ht="14.25">
      <c r="B26" s="237" t="s">
        <v>835</v>
      </c>
      <c r="C26" s="218"/>
      <c r="D26" s="219" t="s">
        <v>566</v>
      </c>
      <c r="E26" s="238" t="s">
        <v>567</v>
      </c>
      <c r="F26" s="239" t="s">
        <v>568</v>
      </c>
      <c r="G26" s="240" t="s">
        <v>701</v>
      </c>
      <c r="H26" s="241" t="s">
        <v>569</v>
      </c>
      <c r="I26" s="1131"/>
    </row>
    <row r="27" spans="2:13" ht="14.25">
      <c r="B27" s="242" t="s">
        <v>562</v>
      </c>
      <c r="C27" s="243" t="s">
        <v>565</v>
      </c>
      <c r="D27" s="48" t="s">
        <v>873</v>
      </c>
      <c r="E27" s="273" t="s">
        <v>874</v>
      </c>
      <c r="F27" s="24">
        <v>250000000</v>
      </c>
      <c r="G27" s="216">
        <v>100</v>
      </c>
      <c r="H27" s="210">
        <v>6.8784700000000001</v>
      </c>
      <c r="I27" s="46"/>
    </row>
    <row r="28" spans="2:13" ht="14.25">
      <c r="B28" s="220"/>
      <c r="C28" s="221"/>
      <c r="D28" s="222" t="s">
        <v>702</v>
      </c>
      <c r="E28" s="244"/>
      <c r="F28" s="276">
        <f>SUM(F27:F27)</f>
        <v>250000000</v>
      </c>
      <c r="G28" s="223"/>
      <c r="H28" s="224">
        <f>SUMPRODUCT(F27:F27,H27:H27)/F28</f>
        <v>6.8784700000000001</v>
      </c>
      <c r="I28" s="1132"/>
    </row>
    <row r="30" spans="2:13" s="61" customFormat="1">
      <c r="M30" s="1227"/>
    </row>
    <row r="31" spans="2:13" ht="14.25">
      <c r="B31" s="235"/>
      <c r="D31" s="304" t="s">
        <v>911</v>
      </c>
      <c r="E31" s="235"/>
      <c r="F31" s="235"/>
      <c r="G31" s="235"/>
      <c r="H31" s="235"/>
      <c r="I31" s="235"/>
    </row>
    <row r="33" spans="2:9" ht="14.25">
      <c r="B33" s="237" t="s">
        <v>770</v>
      </c>
      <c r="C33" s="218"/>
      <c r="D33" s="219" t="s">
        <v>566</v>
      </c>
      <c r="E33" s="238" t="s">
        <v>567</v>
      </c>
      <c r="F33" s="239" t="s">
        <v>568</v>
      </c>
      <c r="G33" s="240" t="s">
        <v>701</v>
      </c>
      <c r="H33" s="241" t="s">
        <v>569</v>
      </c>
      <c r="I33" s="1131"/>
    </row>
    <row r="34" spans="2:9" ht="14.25">
      <c r="B34" s="242" t="s">
        <v>771</v>
      </c>
      <c r="C34" s="243" t="s">
        <v>565</v>
      </c>
      <c r="D34" s="48" t="s">
        <v>913</v>
      </c>
      <c r="E34" s="273" t="s">
        <v>834</v>
      </c>
      <c r="F34" s="24">
        <v>12000000</v>
      </c>
      <c r="G34" s="216">
        <v>98.941000000000003</v>
      </c>
      <c r="H34" s="210">
        <v>6.39</v>
      </c>
      <c r="I34" s="46"/>
    </row>
    <row r="35" spans="2:9" ht="14.25">
      <c r="B35" s="242" t="s">
        <v>562</v>
      </c>
      <c r="C35" s="243" t="s">
        <v>565</v>
      </c>
      <c r="D35" s="48" t="s">
        <v>871</v>
      </c>
      <c r="E35" s="273" t="s">
        <v>563</v>
      </c>
      <c r="F35" s="24">
        <v>1500000</v>
      </c>
      <c r="G35" s="216">
        <v>98.78</v>
      </c>
      <c r="H35" s="210">
        <v>6.17</v>
      </c>
      <c r="I35" s="46"/>
    </row>
    <row r="36" spans="2:9" ht="14.25">
      <c r="B36" s="242" t="s">
        <v>562</v>
      </c>
      <c r="C36" s="243" t="s">
        <v>565</v>
      </c>
      <c r="D36" s="48" t="s">
        <v>914</v>
      </c>
      <c r="E36" s="273" t="s">
        <v>563</v>
      </c>
      <c r="F36" s="24">
        <v>3000000</v>
      </c>
      <c r="G36" s="216">
        <v>99.2</v>
      </c>
      <c r="H36" s="210">
        <v>6.11</v>
      </c>
      <c r="I36" s="46"/>
    </row>
    <row r="37" spans="2:9" ht="14.25">
      <c r="B37" s="242" t="s">
        <v>562</v>
      </c>
      <c r="C37" s="243" t="s">
        <v>565</v>
      </c>
      <c r="D37" s="48" t="s">
        <v>816</v>
      </c>
      <c r="E37" s="273" t="s">
        <v>563</v>
      </c>
      <c r="F37" s="24">
        <v>2000000</v>
      </c>
      <c r="G37" s="216">
        <v>108</v>
      </c>
      <c r="H37" s="210">
        <v>7.11</v>
      </c>
      <c r="I37" s="46"/>
    </row>
    <row r="38" spans="2:9" ht="14.25">
      <c r="B38" s="242" t="s">
        <v>562</v>
      </c>
      <c r="C38" s="243" t="s">
        <v>565</v>
      </c>
      <c r="D38" s="48" t="s">
        <v>914</v>
      </c>
      <c r="E38" s="273" t="s">
        <v>563</v>
      </c>
      <c r="F38" s="24">
        <v>4000000</v>
      </c>
      <c r="G38" s="216">
        <v>99.7</v>
      </c>
      <c r="H38" s="210">
        <v>6.04</v>
      </c>
      <c r="I38" s="46"/>
    </row>
    <row r="39" spans="2:9" ht="14.25">
      <c r="B39" s="242" t="s">
        <v>562</v>
      </c>
      <c r="C39" s="243" t="s">
        <v>565</v>
      </c>
      <c r="D39" s="48" t="s">
        <v>914</v>
      </c>
      <c r="E39" s="273" t="s">
        <v>563</v>
      </c>
      <c r="F39" s="24">
        <v>2500000</v>
      </c>
      <c r="G39" s="216">
        <v>99.57</v>
      </c>
      <c r="H39" s="210">
        <v>6.06</v>
      </c>
      <c r="I39" s="46"/>
    </row>
    <row r="40" spans="2:9" ht="14.25">
      <c r="B40" s="242" t="s">
        <v>772</v>
      </c>
      <c r="C40" s="243" t="s">
        <v>565</v>
      </c>
      <c r="D40" s="48" t="s">
        <v>913</v>
      </c>
      <c r="E40" s="273" t="s">
        <v>563</v>
      </c>
      <c r="F40" s="24">
        <v>1000000</v>
      </c>
      <c r="G40" s="216">
        <v>98.941000000000003</v>
      </c>
      <c r="H40" s="210">
        <v>6.39</v>
      </c>
      <c r="I40" s="46"/>
    </row>
    <row r="41" spans="2:9" ht="14.25">
      <c r="B41" s="242" t="s">
        <v>772</v>
      </c>
      <c r="C41" s="243" t="s">
        <v>565</v>
      </c>
      <c r="D41" s="48" t="s">
        <v>871</v>
      </c>
      <c r="E41" s="273" t="s">
        <v>563</v>
      </c>
      <c r="F41" s="24">
        <v>1500000</v>
      </c>
      <c r="G41" s="216">
        <v>98.78</v>
      </c>
      <c r="H41" s="210">
        <v>6.17</v>
      </c>
      <c r="I41" s="46"/>
    </row>
    <row r="42" spans="2:9" ht="14.25">
      <c r="B42" s="242" t="s">
        <v>915</v>
      </c>
      <c r="C42" s="243" t="s">
        <v>565</v>
      </c>
      <c r="D42" s="48" t="s">
        <v>913</v>
      </c>
      <c r="E42" s="273" t="s">
        <v>563</v>
      </c>
      <c r="F42" s="24">
        <v>500000</v>
      </c>
      <c r="G42" s="216">
        <v>98.941000000000003</v>
      </c>
      <c r="H42" s="210">
        <v>6.39</v>
      </c>
      <c r="I42" s="46"/>
    </row>
    <row r="43" spans="2:9" ht="14.25">
      <c r="B43" s="242" t="s">
        <v>875</v>
      </c>
      <c r="C43" s="243" t="s">
        <v>565</v>
      </c>
      <c r="D43" s="48" t="s">
        <v>913</v>
      </c>
      <c r="E43" s="273" t="s">
        <v>563</v>
      </c>
      <c r="F43" s="24">
        <v>1500000</v>
      </c>
      <c r="G43" s="216">
        <v>98.941000000000003</v>
      </c>
      <c r="H43" s="210">
        <v>6.39</v>
      </c>
      <c r="I43" s="46"/>
    </row>
    <row r="44" spans="2:9" ht="14.25">
      <c r="B44" s="242" t="s">
        <v>916</v>
      </c>
      <c r="C44" s="243" t="s">
        <v>565</v>
      </c>
      <c r="D44" s="48" t="s">
        <v>816</v>
      </c>
      <c r="E44" s="273" t="s">
        <v>563</v>
      </c>
      <c r="F44" s="24">
        <v>2400000</v>
      </c>
      <c r="G44" s="216">
        <v>107.9</v>
      </c>
      <c r="H44" s="210">
        <v>7.14</v>
      </c>
      <c r="I44" s="46"/>
    </row>
    <row r="45" spans="2:9" ht="14.25">
      <c r="B45" s="242" t="s">
        <v>917</v>
      </c>
      <c r="C45" s="243" t="s">
        <v>565</v>
      </c>
      <c r="D45" s="48" t="s">
        <v>816</v>
      </c>
      <c r="E45" s="273" t="s">
        <v>563</v>
      </c>
      <c r="F45" s="24">
        <v>1600000</v>
      </c>
      <c r="G45" s="216">
        <v>107.9</v>
      </c>
      <c r="H45" s="210">
        <v>7.14</v>
      </c>
      <c r="I45" s="46"/>
    </row>
    <row r="46" spans="2:9" ht="14.25">
      <c r="B46" s="220"/>
      <c r="C46" s="221"/>
      <c r="D46" s="222" t="s">
        <v>702</v>
      </c>
      <c r="E46" s="244"/>
      <c r="F46" s="276">
        <f>SUM(F34:F45)</f>
        <v>33500000</v>
      </c>
      <c r="G46" s="223"/>
      <c r="H46" s="224">
        <f>SUMPRODUCT(F34:F45,H34:H45)/F46</f>
        <v>6.4113432835820898</v>
      </c>
      <c r="I46" s="1132"/>
    </row>
    <row r="48" spans="2:9" ht="14.25">
      <c r="B48" s="237" t="s">
        <v>835</v>
      </c>
      <c r="C48" s="218"/>
      <c r="D48" s="219" t="s">
        <v>566</v>
      </c>
      <c r="E48" s="238" t="s">
        <v>567</v>
      </c>
      <c r="F48" s="239" t="s">
        <v>568</v>
      </c>
      <c r="G48" s="240" t="s">
        <v>701</v>
      </c>
      <c r="H48" s="241" t="s">
        <v>569</v>
      </c>
      <c r="I48" s="1131"/>
    </row>
    <row r="49" spans="2:11" ht="14.25">
      <c r="B49" s="242" t="s">
        <v>562</v>
      </c>
      <c r="C49" s="243" t="s">
        <v>565</v>
      </c>
      <c r="D49" s="48" t="s">
        <v>912</v>
      </c>
      <c r="E49" s="273" t="s">
        <v>874</v>
      </c>
      <c r="F49" s="24">
        <v>100000000</v>
      </c>
      <c r="G49" s="216">
        <v>100</v>
      </c>
      <c r="H49" s="210">
        <v>7.625</v>
      </c>
      <c r="I49" s="46"/>
    </row>
    <row r="50" spans="2:11" ht="14.25">
      <c r="B50" s="220"/>
      <c r="C50" s="221"/>
      <c r="D50" s="222" t="s">
        <v>702</v>
      </c>
      <c r="E50" s="244"/>
      <c r="F50" s="276">
        <f>SUM(F49:F49)</f>
        <v>100000000</v>
      </c>
      <c r="G50" s="223"/>
      <c r="H50" s="224">
        <f>SUMPRODUCT(F49:F49,H49:H49)/F50</f>
        <v>7.625</v>
      </c>
      <c r="I50" s="1132"/>
    </row>
    <row r="53" spans="2:11" ht="14.25">
      <c r="B53" s="235"/>
      <c r="D53" s="304" t="s">
        <v>954</v>
      </c>
      <c r="E53" s="235"/>
      <c r="F53" s="235"/>
      <c r="G53" s="235"/>
      <c r="H53" s="235"/>
      <c r="I53" s="235"/>
    </row>
    <row r="54" spans="2:11">
      <c r="J54" t="s">
        <v>930</v>
      </c>
    </row>
    <row r="55" spans="2:11" ht="14.25">
      <c r="B55" s="237" t="s">
        <v>770</v>
      </c>
      <c r="C55" s="218"/>
      <c r="D55" s="219" t="s">
        <v>566</v>
      </c>
      <c r="E55" s="238" t="s">
        <v>567</v>
      </c>
      <c r="F55" s="239" t="s">
        <v>568</v>
      </c>
      <c r="G55" s="240" t="s">
        <v>701</v>
      </c>
      <c r="H55" s="241" t="s">
        <v>569</v>
      </c>
      <c r="I55" s="1131"/>
      <c r="J55" t="s">
        <v>929</v>
      </c>
      <c r="K55" s="31">
        <v>2000000</v>
      </c>
    </row>
    <row r="56" spans="2:11" ht="14.25">
      <c r="B56" s="242" t="s">
        <v>771</v>
      </c>
      <c r="C56" s="243" t="s">
        <v>565</v>
      </c>
      <c r="D56" s="48" t="s">
        <v>932</v>
      </c>
      <c r="E56" s="273" t="s">
        <v>834</v>
      </c>
      <c r="F56" s="24">
        <v>2000000</v>
      </c>
      <c r="G56" s="216">
        <v>96.3</v>
      </c>
      <c r="H56" s="210">
        <v>6.01</v>
      </c>
      <c r="I56" s="46"/>
    </row>
    <row r="57" spans="2:11" ht="14.25">
      <c r="B57" s="242" t="s">
        <v>562</v>
      </c>
      <c r="C57" s="243" t="s">
        <v>565</v>
      </c>
      <c r="D57" s="48" t="s">
        <v>816</v>
      </c>
      <c r="E57" s="273" t="s">
        <v>563</v>
      </c>
      <c r="F57" s="24">
        <v>2000000</v>
      </c>
      <c r="G57" s="216">
        <v>107.5</v>
      </c>
      <c r="H57" s="210">
        <v>7.24</v>
      </c>
      <c r="I57" s="46"/>
      <c r="K57" s="31"/>
    </row>
    <row r="58" spans="2:11" ht="14.25">
      <c r="B58" s="242" t="s">
        <v>772</v>
      </c>
      <c r="C58" s="243" t="s">
        <v>565</v>
      </c>
      <c r="D58" s="48" t="s">
        <v>932</v>
      </c>
      <c r="E58" s="273" t="s">
        <v>563</v>
      </c>
      <c r="F58" s="24">
        <v>500000</v>
      </c>
      <c r="G58" s="216">
        <v>96.3</v>
      </c>
      <c r="H58" s="210">
        <v>6.01</v>
      </c>
      <c r="I58" s="46"/>
    </row>
    <row r="59" spans="2:11" ht="14.25">
      <c r="B59" s="242" t="s">
        <v>915</v>
      </c>
      <c r="C59" s="243" t="s">
        <v>565</v>
      </c>
      <c r="D59" s="48" t="s">
        <v>951</v>
      </c>
      <c r="E59" s="273" t="s">
        <v>563</v>
      </c>
      <c r="F59" s="24">
        <v>1000000</v>
      </c>
      <c r="G59" s="216">
        <v>96.3</v>
      </c>
      <c r="H59" s="210">
        <v>6.01</v>
      </c>
      <c r="I59" s="46"/>
    </row>
    <row r="60" spans="2:11" ht="14.25">
      <c r="B60" s="242" t="s">
        <v>875</v>
      </c>
      <c r="C60" s="243" t="s">
        <v>565</v>
      </c>
      <c r="D60" s="48" t="s">
        <v>951</v>
      </c>
      <c r="E60" s="273" t="s">
        <v>563</v>
      </c>
      <c r="F60" s="24">
        <v>500000</v>
      </c>
      <c r="G60" s="216">
        <v>96.3</v>
      </c>
      <c r="H60" s="210">
        <v>6.01</v>
      </c>
      <c r="I60" s="46"/>
    </row>
    <row r="61" spans="2:11" ht="14.25">
      <c r="B61" s="242" t="s">
        <v>953</v>
      </c>
      <c r="C61" s="243" t="s">
        <v>565</v>
      </c>
      <c r="D61" s="53" t="s">
        <v>825</v>
      </c>
      <c r="E61" s="273" t="s">
        <v>563</v>
      </c>
      <c r="F61" s="24">
        <v>1000000</v>
      </c>
      <c r="G61" s="216">
        <v>97.5</v>
      </c>
      <c r="H61" s="210">
        <v>6.99</v>
      </c>
      <c r="I61" s="46"/>
    </row>
    <row r="62" spans="2:11" ht="14.25">
      <c r="B62" s="220"/>
      <c r="C62" s="221"/>
      <c r="D62" s="222" t="s">
        <v>702</v>
      </c>
      <c r="E62" s="244"/>
      <c r="F62" s="276">
        <f>SUM(F56:F61)</f>
        <v>7000000</v>
      </c>
      <c r="G62" s="223"/>
      <c r="H62" s="224">
        <f>SUMPRODUCT(F56:F61,H56:H61)/F62</f>
        <v>6.5014285714285718</v>
      </c>
      <c r="I62" s="1132"/>
      <c r="K62" s="83">
        <f>F62*7.77</f>
        <v>54390000</v>
      </c>
    </row>
    <row r="64" spans="2:11" ht="14.25">
      <c r="B64" s="237" t="s">
        <v>835</v>
      </c>
      <c r="C64" s="218"/>
      <c r="D64" s="219" t="s">
        <v>566</v>
      </c>
      <c r="E64" s="238" t="s">
        <v>567</v>
      </c>
      <c r="F64" s="239" t="s">
        <v>568</v>
      </c>
      <c r="G64" s="240" t="s">
        <v>701</v>
      </c>
      <c r="H64" s="241" t="s">
        <v>569</v>
      </c>
      <c r="I64" s="1131"/>
    </row>
    <row r="65" spans="2:14" ht="14.25">
      <c r="B65" s="242" t="s">
        <v>562</v>
      </c>
      <c r="C65" s="243" t="s">
        <v>565</v>
      </c>
      <c r="D65" s="48" t="s">
        <v>950</v>
      </c>
      <c r="E65" s="273" t="s">
        <v>874</v>
      </c>
      <c r="F65" s="24">
        <v>130000000</v>
      </c>
      <c r="G65" s="216">
        <v>100</v>
      </c>
      <c r="H65" s="210">
        <v>4.75</v>
      </c>
      <c r="I65" s="46"/>
    </row>
    <row r="66" spans="2:14" ht="14.25">
      <c r="B66" s="242" t="s">
        <v>952</v>
      </c>
      <c r="C66" s="243" t="s">
        <v>565</v>
      </c>
      <c r="D66" s="48" t="s">
        <v>950</v>
      </c>
      <c r="E66" s="273" t="s">
        <v>874</v>
      </c>
      <c r="F66" s="24">
        <v>30000000</v>
      </c>
      <c r="G66" s="216">
        <v>100</v>
      </c>
      <c r="H66" s="210">
        <v>4.75</v>
      </c>
      <c r="I66" s="46"/>
    </row>
    <row r="67" spans="2:14" ht="14.25">
      <c r="B67" s="220"/>
      <c r="C67" s="221"/>
      <c r="D67" s="222" t="s">
        <v>702</v>
      </c>
      <c r="E67" s="244"/>
      <c r="F67" s="276">
        <f>SUM(F65:F66)</f>
        <v>160000000</v>
      </c>
      <c r="G67" s="223"/>
      <c r="H67" s="224">
        <f>SUMPRODUCT(F65:F65,H65:H65)/F67</f>
        <v>3.859375</v>
      </c>
      <c r="I67" s="1132"/>
      <c r="K67" s="83">
        <f>F67*1.18</f>
        <v>188800000</v>
      </c>
    </row>
    <row r="70" spans="2:14" ht="14.25">
      <c r="B70" s="235"/>
      <c r="D70" s="304" t="s">
        <v>968</v>
      </c>
      <c r="E70" s="235"/>
      <c r="F70" s="235"/>
      <c r="G70" s="235"/>
      <c r="H70" s="235"/>
      <c r="I70" s="235"/>
    </row>
    <row r="72" spans="2:14" ht="14.25">
      <c r="B72" s="237" t="s">
        <v>770</v>
      </c>
      <c r="C72" s="218"/>
      <c r="D72" s="219" t="s">
        <v>566</v>
      </c>
      <c r="E72" s="238" t="s">
        <v>567</v>
      </c>
      <c r="F72" s="239" t="s">
        <v>568</v>
      </c>
      <c r="G72" s="240" t="s">
        <v>701</v>
      </c>
      <c r="H72" s="241" t="s">
        <v>569</v>
      </c>
      <c r="I72" s="1131"/>
    </row>
    <row r="73" spans="2:14" ht="14.25">
      <c r="B73" s="242" t="s">
        <v>562</v>
      </c>
      <c r="C73" s="243" t="s">
        <v>565</v>
      </c>
      <c r="D73" s="48" t="s">
        <v>816</v>
      </c>
      <c r="E73" s="273" t="s">
        <v>563</v>
      </c>
      <c r="F73" s="24">
        <v>3000000</v>
      </c>
      <c r="G73" s="216">
        <v>107.41</v>
      </c>
      <c r="H73" s="210">
        <v>7.21</v>
      </c>
      <c r="I73" s="46"/>
    </row>
    <row r="74" spans="2:14" ht="14.25">
      <c r="B74" s="242" t="s">
        <v>953</v>
      </c>
      <c r="C74" s="243" t="s">
        <v>565</v>
      </c>
      <c r="D74" s="53" t="s">
        <v>969</v>
      </c>
      <c r="E74" s="273" t="s">
        <v>563</v>
      </c>
      <c r="F74" s="24">
        <v>1000000</v>
      </c>
      <c r="G74" s="216">
        <v>97</v>
      </c>
      <c r="H74" s="210">
        <v>7.03</v>
      </c>
      <c r="I74" s="46"/>
    </row>
    <row r="75" spans="2:14" ht="14.25">
      <c r="B75" s="242" t="s">
        <v>953</v>
      </c>
      <c r="C75" s="243" t="s">
        <v>565</v>
      </c>
      <c r="D75" s="53" t="s">
        <v>825</v>
      </c>
      <c r="E75" s="273" t="s">
        <v>563</v>
      </c>
      <c r="F75" s="24">
        <v>1000000</v>
      </c>
      <c r="G75" s="216">
        <v>96</v>
      </c>
      <c r="H75" s="210">
        <v>7.1</v>
      </c>
      <c r="I75" s="46"/>
    </row>
    <row r="76" spans="2:14" ht="14.25">
      <c r="B76" s="220"/>
      <c r="C76" s="221"/>
      <c r="D76" s="222" t="s">
        <v>702</v>
      </c>
      <c r="E76" s="244"/>
      <c r="F76" s="276">
        <f>SUM(F73:F75)</f>
        <v>5000000</v>
      </c>
      <c r="G76" s="223"/>
      <c r="H76" s="224">
        <f>SUMPRODUCT(F73:F75,H73:H75)/F76</f>
        <v>7.1520000000000001</v>
      </c>
      <c r="I76" s="1132"/>
      <c r="K76" s="83">
        <f>F76*7.77</f>
        <v>38850000</v>
      </c>
    </row>
    <row r="78" spans="2:14">
      <c r="N78">
        <v>7.8</v>
      </c>
    </row>
    <row r="79" spans="2:14" ht="14.25">
      <c r="B79" s="235"/>
      <c r="D79" s="304" t="s">
        <v>985</v>
      </c>
      <c r="E79" s="235"/>
      <c r="F79" s="235"/>
      <c r="G79" s="235"/>
      <c r="H79" s="235"/>
      <c r="I79" s="235"/>
      <c r="J79" s="1" t="s">
        <v>977</v>
      </c>
      <c r="L79" t="s">
        <v>976</v>
      </c>
      <c r="M79" s="1142" t="s">
        <v>982</v>
      </c>
      <c r="N79" t="s">
        <v>983</v>
      </c>
    </row>
    <row r="80" spans="2:14">
      <c r="J80" t="s">
        <v>928</v>
      </c>
      <c r="K80" s="118" t="e">
        <f>F34+F40+F42+F43+#REF!</f>
        <v>#REF!</v>
      </c>
      <c r="L80" s="33">
        <v>1</v>
      </c>
      <c r="M80" s="1228" t="e">
        <f t="shared" ref="M80:M87" si="0">K80/L80</f>
        <v>#REF!</v>
      </c>
      <c r="N80" s="118" t="e">
        <f>M80*$N$78</f>
        <v>#REF!</v>
      </c>
    </row>
    <row r="81" spans="2:14" ht="14.25">
      <c r="B81" s="237" t="s">
        <v>770</v>
      </c>
      <c r="C81" s="218"/>
      <c r="D81" s="219" t="s">
        <v>566</v>
      </c>
      <c r="E81" s="238" t="s">
        <v>567</v>
      </c>
      <c r="F81" s="239" t="s">
        <v>568</v>
      </c>
      <c r="G81" s="240" t="s">
        <v>701</v>
      </c>
      <c r="H81" s="241" t="s">
        <v>569</v>
      </c>
      <c r="I81" s="1131"/>
      <c r="J81" t="s">
        <v>978</v>
      </c>
      <c r="K81" s="118">
        <f>F49</f>
        <v>100000000</v>
      </c>
      <c r="L81" s="33">
        <v>6.5885999999999996</v>
      </c>
      <c r="M81" s="1228">
        <f t="shared" si="0"/>
        <v>15177731.232735332</v>
      </c>
      <c r="N81" s="118">
        <f t="shared" ref="N81:N88" si="1">M81*$N$78</f>
        <v>118386303.61533558</v>
      </c>
    </row>
    <row r="82" spans="2:14" ht="14.25">
      <c r="B82" s="242" t="s">
        <v>562</v>
      </c>
      <c r="C82" s="243" t="s">
        <v>565</v>
      </c>
      <c r="D82" s="53" t="s">
        <v>972</v>
      </c>
      <c r="E82" s="273" t="s">
        <v>563</v>
      </c>
      <c r="F82" s="24">
        <v>25000000</v>
      </c>
      <c r="G82" s="216">
        <v>100</v>
      </c>
      <c r="H82" s="210">
        <v>6.75</v>
      </c>
      <c r="I82" s="46"/>
      <c r="J82" t="s">
        <v>931</v>
      </c>
      <c r="K82" s="118">
        <f>160000000</f>
        <v>160000000</v>
      </c>
      <c r="L82" s="311">
        <v>6.58</v>
      </c>
      <c r="M82" s="1228">
        <f t="shared" si="0"/>
        <v>24316109.4224924</v>
      </c>
      <c r="N82" s="118">
        <f t="shared" si="1"/>
        <v>189665653.49544072</v>
      </c>
    </row>
    <row r="83" spans="2:14" ht="14.25">
      <c r="B83" s="242" t="s">
        <v>562</v>
      </c>
      <c r="C83" s="243" t="s">
        <v>565</v>
      </c>
      <c r="D83" s="53" t="s">
        <v>972</v>
      </c>
      <c r="E83" s="273" t="s">
        <v>563</v>
      </c>
      <c r="F83" s="24">
        <v>7000000</v>
      </c>
      <c r="G83" s="216">
        <v>99</v>
      </c>
      <c r="H83" s="210">
        <v>6.89</v>
      </c>
      <c r="I83" s="46"/>
      <c r="J83" t="s">
        <v>980</v>
      </c>
      <c r="K83" s="118">
        <f>F61+F74+F75</f>
        <v>3000000</v>
      </c>
      <c r="L83" s="33">
        <v>1</v>
      </c>
      <c r="M83" s="1228">
        <f t="shared" si="0"/>
        <v>3000000</v>
      </c>
      <c r="N83" s="118">
        <f t="shared" si="1"/>
        <v>23400000</v>
      </c>
    </row>
    <row r="84" spans="2:14" ht="14.25">
      <c r="B84" s="242" t="s">
        <v>952</v>
      </c>
      <c r="C84" s="243" t="s">
        <v>565</v>
      </c>
      <c r="D84" s="53" t="s">
        <v>972</v>
      </c>
      <c r="E84" s="273" t="s">
        <v>563</v>
      </c>
      <c r="F84" s="24">
        <v>4000000</v>
      </c>
      <c r="G84" s="216">
        <v>100</v>
      </c>
      <c r="H84" s="210">
        <v>6.75</v>
      </c>
      <c r="I84" s="46"/>
      <c r="J84" t="s">
        <v>979</v>
      </c>
      <c r="K84" s="118">
        <v>40000000</v>
      </c>
      <c r="L84" s="33">
        <v>1</v>
      </c>
      <c r="M84" s="1228">
        <f t="shared" si="0"/>
        <v>40000000</v>
      </c>
      <c r="N84" s="118">
        <f t="shared" si="1"/>
        <v>312000000</v>
      </c>
    </row>
    <row r="85" spans="2:14" ht="14.25">
      <c r="B85" s="242" t="s">
        <v>952</v>
      </c>
      <c r="C85" s="243" t="s">
        <v>565</v>
      </c>
      <c r="D85" s="53" t="s">
        <v>972</v>
      </c>
      <c r="E85" s="273" t="s">
        <v>563</v>
      </c>
      <c r="F85" s="24">
        <v>1000000</v>
      </c>
      <c r="G85" s="216">
        <v>99.75</v>
      </c>
      <c r="H85" s="210">
        <v>6.78</v>
      </c>
      <c r="I85" s="46"/>
      <c r="J85" t="s">
        <v>930</v>
      </c>
      <c r="K85" s="118">
        <f>F58+F59+F60+F56+F116+20000000+F158+SUM(F163:F164)</f>
        <v>96500000</v>
      </c>
      <c r="L85" s="33">
        <v>1</v>
      </c>
      <c r="M85" s="1228">
        <f t="shared" si="0"/>
        <v>96500000</v>
      </c>
      <c r="N85" s="118">
        <f t="shared" si="1"/>
        <v>752700000</v>
      </c>
    </row>
    <row r="86" spans="2:14" ht="14.25">
      <c r="B86" s="220"/>
      <c r="C86" s="221"/>
      <c r="D86" s="222" t="s">
        <v>702</v>
      </c>
      <c r="E86" s="244"/>
      <c r="F86" s="276">
        <f>SUM(F82:F85)</f>
        <v>37000000</v>
      </c>
      <c r="G86" s="223"/>
      <c r="H86" s="224">
        <f>SUMPRODUCT(F82:F85,H82:H85)/F86</f>
        <v>6.7772972972972969</v>
      </c>
      <c r="I86" s="1132"/>
      <c r="J86" t="s">
        <v>1023</v>
      </c>
      <c r="K86" s="118">
        <v>200000000</v>
      </c>
      <c r="L86" s="33">
        <v>6.4749999999999996</v>
      </c>
      <c r="M86" s="1228">
        <f t="shared" si="0"/>
        <v>30888030.88803089</v>
      </c>
      <c r="N86" s="118">
        <f t="shared" si="1"/>
        <v>240926640.92664093</v>
      </c>
    </row>
    <row r="87" spans="2:14">
      <c r="J87" t="s">
        <v>981</v>
      </c>
      <c r="K87" s="118">
        <f>F35+F36+F38+F39+F41</f>
        <v>12500000</v>
      </c>
      <c r="L87" s="33">
        <v>1</v>
      </c>
      <c r="M87" s="1228">
        <f t="shared" si="0"/>
        <v>12500000</v>
      </c>
      <c r="N87" s="118">
        <f t="shared" si="1"/>
        <v>97500000</v>
      </c>
    </row>
    <row r="88" spans="2:14">
      <c r="B88" s="235"/>
      <c r="D88" s="304"/>
      <c r="E88" s="235"/>
      <c r="F88" s="235"/>
      <c r="G88" s="235"/>
      <c r="H88" s="235"/>
      <c r="I88" s="235"/>
      <c r="J88" t="s">
        <v>929</v>
      </c>
      <c r="K88" s="118">
        <f>F37+F44+F45+F57+F73+22500000+F142</f>
        <v>43500000</v>
      </c>
      <c r="L88" s="33">
        <v>1</v>
      </c>
      <c r="M88" s="1228">
        <f>K88/L88</f>
        <v>43500000</v>
      </c>
      <c r="N88" s="118">
        <f t="shared" si="1"/>
        <v>339300000</v>
      </c>
    </row>
    <row r="89" spans="2:14" ht="14.25">
      <c r="B89" s="235"/>
      <c r="D89" s="304" t="s">
        <v>993</v>
      </c>
      <c r="E89" s="235"/>
      <c r="F89" s="235"/>
      <c r="G89" s="235"/>
      <c r="H89" s="235"/>
      <c r="I89" s="235"/>
      <c r="J89" t="s">
        <v>1065</v>
      </c>
      <c r="K89" s="118">
        <v>1000000000</v>
      </c>
      <c r="L89" s="33">
        <v>1</v>
      </c>
      <c r="M89" s="1228"/>
      <c r="N89" s="118">
        <v>1000000000</v>
      </c>
    </row>
    <row r="90" spans="2:14">
      <c r="J90" t="s">
        <v>1094</v>
      </c>
      <c r="K90" s="118">
        <f>F165+F166+F167</f>
        <v>3000000</v>
      </c>
      <c r="L90" s="33">
        <v>1</v>
      </c>
      <c r="M90" s="1228">
        <f>K90/L90</f>
        <v>3000000</v>
      </c>
      <c r="N90" s="118">
        <f>M90*$N$78</f>
        <v>23400000</v>
      </c>
    </row>
    <row r="91" spans="2:14" ht="14.25">
      <c r="B91" s="237" t="s">
        <v>770</v>
      </c>
      <c r="C91" s="218"/>
      <c r="D91" s="219" t="s">
        <v>566</v>
      </c>
      <c r="E91" s="238" t="s">
        <v>567</v>
      </c>
      <c r="F91" s="239" t="s">
        <v>568</v>
      </c>
      <c r="G91" s="240" t="s">
        <v>701</v>
      </c>
      <c r="H91" s="241" t="s">
        <v>569</v>
      </c>
      <c r="I91" s="1131"/>
      <c r="J91" t="s">
        <v>1098</v>
      </c>
      <c r="K91" s="118">
        <v>50000000</v>
      </c>
      <c r="L91" s="33">
        <v>1</v>
      </c>
      <c r="M91" s="1228">
        <f>K91/L91</f>
        <v>50000000</v>
      </c>
      <c r="N91" s="118">
        <f>M91*$N$78</f>
        <v>390000000</v>
      </c>
    </row>
    <row r="92" spans="2:14" ht="14.25">
      <c r="B92" s="242" t="s">
        <v>562</v>
      </c>
      <c r="C92" s="243" t="s">
        <v>565</v>
      </c>
      <c r="D92" s="53" t="s">
        <v>972</v>
      </c>
      <c r="E92" s="273" t="s">
        <v>563</v>
      </c>
      <c r="F92" s="24">
        <v>3000000</v>
      </c>
      <c r="G92" s="216">
        <v>98</v>
      </c>
      <c r="H92" s="210">
        <v>7.03</v>
      </c>
      <c r="I92" s="46"/>
      <c r="J92" t="s">
        <v>1099</v>
      </c>
      <c r="K92" s="118">
        <v>220000000</v>
      </c>
      <c r="L92" s="33">
        <v>6.4</v>
      </c>
      <c r="M92" s="1228">
        <f>K92/L92</f>
        <v>34375000</v>
      </c>
      <c r="N92" s="118">
        <f>M92*$N$78</f>
        <v>268125000</v>
      </c>
    </row>
    <row r="93" spans="2:14" ht="14.25">
      <c r="B93" s="220"/>
      <c r="C93" s="221"/>
      <c r="D93" s="222" t="s">
        <v>702</v>
      </c>
      <c r="E93" s="244"/>
      <c r="F93" s="276">
        <f>SUM(F92:F92)</f>
        <v>3000000</v>
      </c>
      <c r="G93" s="223"/>
      <c r="H93" s="224">
        <f>SUMPRODUCT(F92:F92,H92:H92)/F93</f>
        <v>7.03</v>
      </c>
      <c r="I93" s="1132"/>
      <c r="L93" s="33"/>
      <c r="M93" s="1229" t="e">
        <f>SUM(M80:M90)</f>
        <v>#REF!</v>
      </c>
      <c r="N93" s="312" t="e">
        <f>SUM(N80:N92)</f>
        <v>#REF!</v>
      </c>
    </row>
    <row r="95" spans="2:14" ht="14.25">
      <c r="B95" s="237" t="s">
        <v>770</v>
      </c>
      <c r="C95" s="218"/>
      <c r="D95" s="316" t="s">
        <v>995</v>
      </c>
      <c r="E95" s="238" t="s">
        <v>567</v>
      </c>
      <c r="F95" s="317" t="s">
        <v>996</v>
      </c>
      <c r="G95" s="240" t="s">
        <v>701</v>
      </c>
      <c r="H95" s="241" t="s">
        <v>664</v>
      </c>
      <c r="I95" s="1131"/>
    </row>
    <row r="96" spans="2:14" ht="14.25">
      <c r="B96" s="242" t="s">
        <v>562</v>
      </c>
      <c r="C96" s="243" t="s">
        <v>994</v>
      </c>
      <c r="D96" s="318" t="s">
        <v>990</v>
      </c>
      <c r="E96" s="273" t="s">
        <v>563</v>
      </c>
      <c r="F96" s="315">
        <v>174358</v>
      </c>
      <c r="G96" s="216">
        <v>43.039000000000001</v>
      </c>
      <c r="H96" s="210" t="s">
        <v>664</v>
      </c>
      <c r="I96" s="46"/>
    </row>
    <row r="97" spans="2:12" ht="14.25">
      <c r="B97" s="242" t="s">
        <v>772</v>
      </c>
      <c r="C97" s="243" t="s">
        <v>994</v>
      </c>
      <c r="D97" s="318" t="s">
        <v>990</v>
      </c>
      <c r="E97" s="273" t="s">
        <v>563</v>
      </c>
      <c r="F97" s="315">
        <v>2136</v>
      </c>
      <c r="G97" s="216">
        <v>43.039000000000001</v>
      </c>
      <c r="H97" s="210"/>
      <c r="I97" s="46"/>
      <c r="K97">
        <v>20.2</v>
      </c>
      <c r="L97">
        <v>6.26</v>
      </c>
    </row>
    <row r="98" spans="2:12" ht="14.25">
      <c r="B98" s="242" t="s">
        <v>952</v>
      </c>
      <c r="C98" s="243" t="s">
        <v>994</v>
      </c>
      <c r="D98" s="318" t="s">
        <v>990</v>
      </c>
      <c r="E98" s="273" t="s">
        <v>563</v>
      </c>
      <c r="F98" s="315">
        <v>5923</v>
      </c>
      <c r="G98" s="216">
        <v>43.039000000000001</v>
      </c>
      <c r="H98" s="210"/>
      <c r="I98" s="46"/>
      <c r="K98">
        <v>10</v>
      </c>
      <c r="L98">
        <v>14.03</v>
      </c>
    </row>
    <row r="99" spans="2:12" ht="14.25">
      <c r="B99" s="242" t="s">
        <v>998</v>
      </c>
      <c r="C99" s="243" t="s">
        <v>994</v>
      </c>
      <c r="D99" s="318" t="s">
        <v>990</v>
      </c>
      <c r="E99" s="273" t="s">
        <v>563</v>
      </c>
      <c r="F99" s="315">
        <v>4886</v>
      </c>
      <c r="G99" s="216">
        <v>43.039000000000001</v>
      </c>
      <c r="H99" s="210"/>
      <c r="I99" s="46"/>
      <c r="K99">
        <f>0.205*N78</f>
        <v>1.599</v>
      </c>
      <c r="L99">
        <v>6.21</v>
      </c>
    </row>
    <row r="100" spans="2:12" ht="14.25">
      <c r="B100" s="220"/>
      <c r="C100" s="221"/>
      <c r="D100" s="222" t="s">
        <v>702</v>
      </c>
      <c r="E100" s="244"/>
      <c r="F100" s="276">
        <f>SUM(F96:F99)</f>
        <v>187303</v>
      </c>
      <c r="G100" s="223"/>
      <c r="H100" s="224" t="s">
        <v>997</v>
      </c>
      <c r="I100" s="1132"/>
      <c r="K100">
        <f>0.05*N78</f>
        <v>0.39</v>
      </c>
      <c r="L100">
        <v>7.15</v>
      </c>
    </row>
    <row r="101" spans="2:12">
      <c r="K101">
        <f>0.03*N78</f>
        <v>0.23399999999999999</v>
      </c>
      <c r="L101">
        <v>6.97</v>
      </c>
    </row>
    <row r="102" spans="2:12" ht="14.25">
      <c r="B102" s="235"/>
      <c r="D102" s="304" t="s">
        <v>1019</v>
      </c>
      <c r="E102" s="235"/>
      <c r="F102" s="235"/>
      <c r="G102" s="235"/>
      <c r="H102" s="235"/>
      <c r="I102" s="235"/>
    </row>
    <row r="103" spans="2:12">
      <c r="K103" s="262">
        <f>(K99*L99+K98*L98+K97*L97+K100*L100+K101*L101)/(32.37678598*100)</f>
        <v>8.6821857541277789E-2</v>
      </c>
    </row>
    <row r="104" spans="2:12" ht="14.25">
      <c r="B104" s="237" t="s">
        <v>770</v>
      </c>
      <c r="C104" s="218"/>
      <c r="D104" s="219" t="s">
        <v>566</v>
      </c>
      <c r="E104" s="238" t="s">
        <v>567</v>
      </c>
      <c r="F104" s="239" t="s">
        <v>568</v>
      </c>
      <c r="G104" s="240" t="s">
        <v>701</v>
      </c>
      <c r="H104" s="241" t="s">
        <v>569</v>
      </c>
      <c r="I104" s="1131"/>
    </row>
    <row r="105" spans="2:12" ht="14.25">
      <c r="B105" s="242" t="s">
        <v>562</v>
      </c>
      <c r="C105" s="243" t="s">
        <v>565</v>
      </c>
      <c r="D105" s="48" t="s">
        <v>932</v>
      </c>
      <c r="E105" s="273" t="s">
        <v>563</v>
      </c>
      <c r="F105" s="24">
        <v>10000000</v>
      </c>
      <c r="G105" s="216">
        <v>95.733999999999995</v>
      </c>
      <c r="H105" s="210">
        <v>6.1</v>
      </c>
      <c r="I105" s="46"/>
    </row>
    <row r="106" spans="2:12" ht="14.25">
      <c r="B106" s="242" t="s">
        <v>562</v>
      </c>
      <c r="C106" s="243" t="s">
        <v>565</v>
      </c>
      <c r="D106" s="48" t="s">
        <v>932</v>
      </c>
      <c r="E106" s="273" t="s">
        <v>563</v>
      </c>
      <c r="F106" s="24">
        <v>5000000</v>
      </c>
      <c r="G106" s="216">
        <v>95.45</v>
      </c>
      <c r="H106" s="210">
        <v>6.14</v>
      </c>
      <c r="I106" s="46"/>
    </row>
    <row r="107" spans="2:12" ht="14.25">
      <c r="B107" s="242" t="s">
        <v>562</v>
      </c>
      <c r="C107" s="243" t="s">
        <v>565</v>
      </c>
      <c r="D107" s="48" t="s">
        <v>932</v>
      </c>
      <c r="E107" s="273" t="s">
        <v>563</v>
      </c>
      <c r="F107" s="24">
        <v>4600000</v>
      </c>
      <c r="G107" s="216">
        <v>95.29</v>
      </c>
      <c r="H107" s="210">
        <v>6.17</v>
      </c>
      <c r="I107" s="46"/>
    </row>
    <row r="108" spans="2:12" ht="14.25">
      <c r="B108" s="242" t="s">
        <v>562</v>
      </c>
      <c r="C108" s="243" t="s">
        <v>565</v>
      </c>
      <c r="D108" s="48" t="s">
        <v>932</v>
      </c>
      <c r="E108" s="273" t="s">
        <v>563</v>
      </c>
      <c r="F108" s="24">
        <v>5000000</v>
      </c>
      <c r="G108" s="216">
        <v>95.27</v>
      </c>
      <c r="H108" s="210">
        <v>6.17</v>
      </c>
      <c r="I108" s="46"/>
    </row>
    <row r="109" spans="2:12" ht="14.25">
      <c r="B109" s="242" t="s">
        <v>562</v>
      </c>
      <c r="C109" s="243" t="s">
        <v>565</v>
      </c>
      <c r="D109" s="48" t="s">
        <v>932</v>
      </c>
      <c r="E109" s="273" t="s">
        <v>563</v>
      </c>
      <c r="F109" s="24">
        <v>4000000</v>
      </c>
      <c r="G109" s="216">
        <v>95.25</v>
      </c>
      <c r="H109" s="210">
        <v>6.17</v>
      </c>
      <c r="I109" s="46"/>
    </row>
    <row r="110" spans="2:12" ht="14.25">
      <c r="B110" s="242" t="s">
        <v>562</v>
      </c>
      <c r="C110" s="243" t="s">
        <v>565</v>
      </c>
      <c r="D110" s="48" t="s">
        <v>932</v>
      </c>
      <c r="E110" s="273" t="s">
        <v>563</v>
      </c>
      <c r="F110" s="24">
        <v>10000000</v>
      </c>
      <c r="G110" s="216">
        <v>95.61</v>
      </c>
      <c r="H110" s="210">
        <v>6.12</v>
      </c>
      <c r="I110" s="46"/>
    </row>
    <row r="111" spans="2:12" ht="14.25">
      <c r="B111" s="242" t="s">
        <v>772</v>
      </c>
      <c r="C111" s="243" t="s">
        <v>565</v>
      </c>
      <c r="D111" s="48" t="s">
        <v>932</v>
      </c>
      <c r="E111" s="273" t="s">
        <v>563</v>
      </c>
      <c r="F111" s="24">
        <v>2000000</v>
      </c>
      <c r="G111" s="216">
        <v>95.45</v>
      </c>
      <c r="H111" s="210">
        <v>6.14</v>
      </c>
      <c r="I111" s="46"/>
    </row>
    <row r="112" spans="2:12" ht="14.25">
      <c r="B112" s="242" t="s">
        <v>772</v>
      </c>
      <c r="C112" s="243" t="s">
        <v>565</v>
      </c>
      <c r="D112" s="48" t="s">
        <v>932</v>
      </c>
      <c r="E112" s="273" t="s">
        <v>563</v>
      </c>
      <c r="F112" s="24">
        <v>1000000</v>
      </c>
      <c r="G112" s="216">
        <v>95.25</v>
      </c>
      <c r="H112" s="210">
        <v>6.17</v>
      </c>
      <c r="I112" s="46"/>
    </row>
    <row r="113" spans="2:9" ht="14.25">
      <c r="B113" s="242" t="s">
        <v>952</v>
      </c>
      <c r="C113" s="243" t="s">
        <v>565</v>
      </c>
      <c r="D113" s="48" t="s">
        <v>932</v>
      </c>
      <c r="E113" s="273" t="s">
        <v>563</v>
      </c>
      <c r="F113" s="24">
        <v>5000000</v>
      </c>
      <c r="G113" s="216">
        <v>95.7</v>
      </c>
      <c r="H113" s="210">
        <v>6.11</v>
      </c>
      <c r="I113" s="46"/>
    </row>
    <row r="114" spans="2:9" ht="14.25">
      <c r="B114" s="242" t="s">
        <v>1021</v>
      </c>
      <c r="C114" s="243" t="s">
        <v>565</v>
      </c>
      <c r="D114" s="48" t="s">
        <v>932</v>
      </c>
      <c r="E114" s="273" t="s">
        <v>563</v>
      </c>
      <c r="F114" s="24">
        <v>3000000</v>
      </c>
      <c r="G114" s="216">
        <v>95.45</v>
      </c>
      <c r="H114" s="210">
        <v>6.14</v>
      </c>
      <c r="I114" s="46"/>
    </row>
    <row r="115" spans="2:9" ht="14.25">
      <c r="B115" s="242" t="s">
        <v>1022</v>
      </c>
      <c r="C115" s="243" t="s">
        <v>565</v>
      </c>
      <c r="D115" s="48" t="s">
        <v>932</v>
      </c>
      <c r="E115" s="273" t="s">
        <v>563</v>
      </c>
      <c r="F115" s="24">
        <v>400000</v>
      </c>
      <c r="G115" s="216">
        <v>95.29</v>
      </c>
      <c r="H115" s="210">
        <v>6.17</v>
      </c>
      <c r="I115" s="46"/>
    </row>
    <row r="116" spans="2:9" ht="14.25">
      <c r="B116" s="220"/>
      <c r="C116" s="221"/>
      <c r="D116" s="222" t="s">
        <v>702</v>
      </c>
      <c r="E116" s="244"/>
      <c r="F116" s="276">
        <f>SUM(F105:F115)</f>
        <v>50000000</v>
      </c>
      <c r="G116" s="223"/>
      <c r="H116" s="224">
        <f>SUMPRODUCT(F105:F115,H105:H115)/F116</f>
        <v>6.1340000000000003</v>
      </c>
      <c r="I116" s="1132"/>
    </row>
    <row r="118" spans="2:9" ht="14.25">
      <c r="B118" s="237" t="s">
        <v>770</v>
      </c>
      <c r="C118" s="218"/>
      <c r="D118" s="316" t="s">
        <v>995</v>
      </c>
      <c r="E118" s="238" t="s">
        <v>567</v>
      </c>
      <c r="F118" s="239" t="s">
        <v>568</v>
      </c>
      <c r="G118" s="240" t="s">
        <v>701</v>
      </c>
      <c r="H118" s="241" t="s">
        <v>569</v>
      </c>
      <c r="I118" s="1131"/>
    </row>
    <row r="119" spans="2:9" ht="14.25">
      <c r="B119" s="242" t="s">
        <v>562</v>
      </c>
      <c r="C119" s="243" t="s">
        <v>565</v>
      </c>
      <c r="D119" s="318" t="s">
        <v>1020</v>
      </c>
      <c r="E119" s="273" t="s">
        <v>874</v>
      </c>
      <c r="F119" s="315">
        <v>200000000</v>
      </c>
      <c r="G119" s="216">
        <v>100</v>
      </c>
      <c r="H119" s="210">
        <v>5</v>
      </c>
      <c r="I119" s="46"/>
    </row>
    <row r="120" spans="2:9" ht="14.25">
      <c r="B120" s="220"/>
      <c r="C120" s="221"/>
      <c r="D120" s="222"/>
      <c r="E120" s="244"/>
      <c r="F120" s="276">
        <f>SUM(F119:F119)</f>
        <v>200000000</v>
      </c>
      <c r="G120" s="223"/>
      <c r="H120" s="224" t="s">
        <v>997</v>
      </c>
      <c r="I120" s="1132"/>
    </row>
    <row r="122" spans="2:9" ht="14.25">
      <c r="B122" s="235"/>
      <c r="D122" s="304" t="s">
        <v>1031</v>
      </c>
      <c r="E122" s="235"/>
      <c r="F122" s="235"/>
      <c r="G122" s="235"/>
      <c r="H122" s="235"/>
      <c r="I122" s="235"/>
    </row>
    <row r="124" spans="2:9" ht="15">
      <c r="B124" s="320" t="s">
        <v>1033</v>
      </c>
      <c r="C124" s="321"/>
      <c r="D124" s="322" t="s">
        <v>566</v>
      </c>
      <c r="E124" s="323" t="s">
        <v>567</v>
      </c>
      <c r="F124" s="324" t="s">
        <v>568</v>
      </c>
      <c r="G124" s="324" t="s">
        <v>701</v>
      </c>
      <c r="H124" s="325" t="s">
        <v>569</v>
      </c>
      <c r="I124" s="1133"/>
    </row>
    <row r="125" spans="2:9" ht="15">
      <c r="B125" s="326" t="s">
        <v>1034</v>
      </c>
      <c r="C125" s="327" t="s">
        <v>565</v>
      </c>
      <c r="D125" s="328" t="s">
        <v>932</v>
      </c>
      <c r="E125" s="329" t="s">
        <v>1035</v>
      </c>
      <c r="F125" s="330">
        <v>5000000</v>
      </c>
      <c r="G125" s="331">
        <v>96.11</v>
      </c>
      <c r="H125" s="332">
        <v>6.0505326999999998</v>
      </c>
      <c r="I125" s="572"/>
    </row>
    <row r="126" spans="2:9" ht="15">
      <c r="B126" s="326" t="s">
        <v>1034</v>
      </c>
      <c r="C126" s="327" t="s">
        <v>565</v>
      </c>
      <c r="D126" s="328" t="s">
        <v>932</v>
      </c>
      <c r="E126" s="329" t="s">
        <v>1035</v>
      </c>
      <c r="F126" s="330">
        <v>5000000</v>
      </c>
      <c r="G126" s="331">
        <v>96.1</v>
      </c>
      <c r="H126" s="332">
        <v>6.0521016999999997</v>
      </c>
      <c r="I126" s="572"/>
    </row>
    <row r="127" spans="2:9" ht="15">
      <c r="B127" s="326" t="s">
        <v>1034</v>
      </c>
      <c r="C127" s="327" t="s">
        <v>565</v>
      </c>
      <c r="D127" s="328" t="s">
        <v>932</v>
      </c>
      <c r="E127" s="329" t="s">
        <v>1035</v>
      </c>
      <c r="F127" s="330">
        <v>10000000</v>
      </c>
      <c r="G127" s="331">
        <v>96.1</v>
      </c>
      <c r="H127" s="332">
        <v>6.0522178999999996</v>
      </c>
      <c r="I127" s="572"/>
    </row>
    <row r="128" spans="2:9" ht="15">
      <c r="B128" s="326" t="s">
        <v>1034</v>
      </c>
      <c r="C128" s="327" t="s">
        <v>565</v>
      </c>
      <c r="D128" s="333" t="s">
        <v>1036</v>
      </c>
      <c r="E128" s="329" t="s">
        <v>1035</v>
      </c>
      <c r="F128" s="330">
        <v>10000000</v>
      </c>
      <c r="G128" s="331">
        <v>107.75</v>
      </c>
      <c r="H128" s="332">
        <v>6.8591046000000002</v>
      </c>
      <c r="I128" s="572"/>
    </row>
    <row r="129" spans="2:11" ht="15">
      <c r="B129" s="326" t="s">
        <v>1034</v>
      </c>
      <c r="C129" s="327" t="s">
        <v>565</v>
      </c>
      <c r="D129" s="333" t="s">
        <v>1036</v>
      </c>
      <c r="E129" s="329" t="s">
        <v>1035</v>
      </c>
      <c r="F129" s="330">
        <v>7500000</v>
      </c>
      <c r="G129" s="331">
        <v>107.85</v>
      </c>
      <c r="H129" s="332">
        <v>6.8148460000000002</v>
      </c>
      <c r="I129" s="572"/>
    </row>
    <row r="130" spans="2:11" ht="15">
      <c r="B130" s="326" t="s">
        <v>1037</v>
      </c>
      <c r="C130" s="327" t="s">
        <v>565</v>
      </c>
      <c r="D130" s="328" t="s">
        <v>1032</v>
      </c>
      <c r="E130" s="329" t="s">
        <v>1035</v>
      </c>
      <c r="F130" s="330">
        <v>3000000</v>
      </c>
      <c r="G130" s="331">
        <v>107.95</v>
      </c>
      <c r="H130" s="332">
        <v>6.785812</v>
      </c>
      <c r="I130" s="572"/>
    </row>
    <row r="131" spans="2:11" ht="15">
      <c r="B131" s="326" t="s">
        <v>952</v>
      </c>
      <c r="C131" s="327" t="s">
        <v>565</v>
      </c>
      <c r="D131" s="328" t="s">
        <v>1032</v>
      </c>
      <c r="E131" s="329" t="s">
        <v>1035</v>
      </c>
      <c r="F131" s="330">
        <v>2000000</v>
      </c>
      <c r="G131" s="331">
        <v>107.75</v>
      </c>
      <c r="H131" s="332">
        <v>6.8505311999999998</v>
      </c>
      <c r="I131" s="572"/>
    </row>
    <row r="132" spans="2:11" ht="15">
      <c r="B132" s="334"/>
      <c r="C132" s="334"/>
      <c r="D132" s="335" t="s">
        <v>702</v>
      </c>
      <c r="E132" s="336"/>
      <c r="F132" s="337">
        <f>SUM(F125:F131)</f>
        <v>42500000</v>
      </c>
      <c r="G132" s="338"/>
      <c r="H132" s="339">
        <f>SUMPRODUCT(F125:F131,H125:H131)/F132</f>
        <v>6.4657938917647053</v>
      </c>
      <c r="I132" s="1134"/>
    </row>
    <row r="134" spans="2:11" ht="14.25">
      <c r="B134" s="235"/>
      <c r="D134" s="304" t="s">
        <v>1038</v>
      </c>
      <c r="E134" s="235"/>
      <c r="F134" s="235"/>
      <c r="G134" s="235"/>
      <c r="H134" s="235"/>
      <c r="I134" s="235"/>
    </row>
    <row r="136" spans="2:11" ht="15">
      <c r="B136" s="320" t="s">
        <v>1033</v>
      </c>
      <c r="C136" s="321"/>
      <c r="D136" s="322" t="s">
        <v>566</v>
      </c>
      <c r="E136" s="323" t="s">
        <v>567</v>
      </c>
      <c r="F136" s="324" t="s">
        <v>568</v>
      </c>
      <c r="G136" s="324" t="s">
        <v>701</v>
      </c>
      <c r="H136" s="325" t="s">
        <v>569</v>
      </c>
      <c r="I136" s="1133"/>
      <c r="K136">
        <f>SUMPRODUCT(F128:F131,H128:H131)/SUM(F128:F131)</f>
        <v>6.833817306666667</v>
      </c>
    </row>
    <row r="137" spans="2:11" ht="15">
      <c r="B137" s="326" t="s">
        <v>1034</v>
      </c>
      <c r="C137" s="327" t="s">
        <v>565</v>
      </c>
      <c r="D137" s="333" t="s">
        <v>1036</v>
      </c>
      <c r="E137" s="329" t="s">
        <v>1035</v>
      </c>
      <c r="F137" s="330">
        <v>4500000</v>
      </c>
      <c r="G137" s="331">
        <v>105</v>
      </c>
      <c r="H137" s="332">
        <v>7.8144530999999997</v>
      </c>
      <c r="I137" s="572"/>
    </row>
    <row r="138" spans="2:11" ht="15">
      <c r="B138" s="326" t="s">
        <v>1034</v>
      </c>
      <c r="C138" s="327" t="s">
        <v>565</v>
      </c>
      <c r="D138" s="333" t="s">
        <v>1036</v>
      </c>
      <c r="E138" s="329" t="s">
        <v>1035</v>
      </c>
      <c r="F138" s="330">
        <v>500000</v>
      </c>
      <c r="G138" s="331">
        <v>105</v>
      </c>
      <c r="H138" s="332">
        <v>7.8144530999999997</v>
      </c>
      <c r="I138" s="572"/>
    </row>
    <row r="139" spans="2:11" ht="15">
      <c r="B139" s="326" t="s">
        <v>1034</v>
      </c>
      <c r="C139" s="327" t="s">
        <v>565</v>
      </c>
      <c r="D139" s="328" t="s">
        <v>1032</v>
      </c>
      <c r="E139" s="329" t="s">
        <v>1035</v>
      </c>
      <c r="F139" s="330">
        <v>2700000</v>
      </c>
      <c r="G139" s="331">
        <v>104</v>
      </c>
      <c r="H139" s="332">
        <v>8.1855989000000005</v>
      </c>
      <c r="I139" s="572"/>
    </row>
    <row r="140" spans="2:11" ht="15">
      <c r="B140" s="326" t="s">
        <v>1034</v>
      </c>
      <c r="C140" s="327" t="s">
        <v>565</v>
      </c>
      <c r="D140" s="328" t="s">
        <v>1032</v>
      </c>
      <c r="E140" s="329" t="s">
        <v>1035</v>
      </c>
      <c r="F140" s="330">
        <v>300000</v>
      </c>
      <c r="G140" s="331">
        <v>104</v>
      </c>
      <c r="H140" s="332">
        <v>8.1855989000000005</v>
      </c>
      <c r="I140" s="572"/>
    </row>
    <row r="141" spans="2:11" ht="15">
      <c r="B141" s="326" t="s">
        <v>952</v>
      </c>
      <c r="C141" s="327" t="s">
        <v>565</v>
      </c>
      <c r="D141" s="333" t="s">
        <v>1036</v>
      </c>
      <c r="E141" s="329" t="s">
        <v>1035</v>
      </c>
      <c r="F141" s="330">
        <v>2000000</v>
      </c>
      <c r="G141" s="331">
        <v>105</v>
      </c>
      <c r="H141" s="332">
        <v>7.8144530999999997</v>
      </c>
      <c r="I141" s="572"/>
    </row>
    <row r="142" spans="2:11" ht="15">
      <c r="B142" s="334"/>
      <c r="C142" s="334"/>
      <c r="D142" s="335" t="s">
        <v>702</v>
      </c>
      <c r="E142" s="336"/>
      <c r="F142" s="337">
        <f>SUM(F137:F141)</f>
        <v>10000000</v>
      </c>
      <c r="G142" s="338"/>
      <c r="H142" s="339">
        <f>SUMPRODUCT(F137:F141,H137:H141)/F142</f>
        <v>7.9257968399999994</v>
      </c>
      <c r="I142" s="1134"/>
    </row>
    <row r="144" spans="2:11" ht="14.25">
      <c r="D144" s="304" t="s">
        <v>1055</v>
      </c>
    </row>
    <row r="145" spans="2:11" ht="15">
      <c r="B145" s="320" t="s">
        <v>1033</v>
      </c>
      <c r="C145" s="321"/>
      <c r="D145" s="322" t="s">
        <v>566</v>
      </c>
      <c r="E145" s="323" t="s">
        <v>567</v>
      </c>
      <c r="F145" s="324" t="s">
        <v>568</v>
      </c>
      <c r="G145" s="324" t="s">
        <v>701</v>
      </c>
      <c r="H145" s="325" t="s">
        <v>569</v>
      </c>
      <c r="I145" s="1133"/>
    </row>
    <row r="146" spans="2:11" ht="15">
      <c r="B146" s="326" t="s">
        <v>1034</v>
      </c>
      <c r="C146" s="327" t="s">
        <v>565</v>
      </c>
      <c r="D146" s="333" t="s">
        <v>1056</v>
      </c>
      <c r="E146" s="329" t="s">
        <v>1057</v>
      </c>
      <c r="F146" s="330">
        <v>765000000</v>
      </c>
      <c r="G146" s="331">
        <v>99.45</v>
      </c>
      <c r="H146" s="332">
        <v>14.03</v>
      </c>
      <c r="I146" s="572"/>
    </row>
    <row r="147" spans="2:11" ht="15">
      <c r="B147" s="326" t="s">
        <v>1034</v>
      </c>
      <c r="C147" s="327" t="s">
        <v>565</v>
      </c>
      <c r="D147" s="333" t="s">
        <v>1056</v>
      </c>
      <c r="E147" s="329" t="s">
        <v>1057</v>
      </c>
      <c r="F147" s="330">
        <v>85000000</v>
      </c>
      <c r="G147" s="331">
        <v>99.45</v>
      </c>
      <c r="H147" s="332">
        <v>14.03</v>
      </c>
      <c r="I147" s="572"/>
    </row>
    <row r="148" spans="2:11" ht="15">
      <c r="B148" s="326" t="s">
        <v>1058</v>
      </c>
      <c r="C148" s="327" t="s">
        <v>565</v>
      </c>
      <c r="D148" s="333" t="s">
        <v>1056</v>
      </c>
      <c r="E148" s="329" t="s">
        <v>1057</v>
      </c>
      <c r="F148" s="330">
        <v>50000000</v>
      </c>
      <c r="G148" s="331">
        <v>99.45</v>
      </c>
      <c r="H148" s="332">
        <v>14.03</v>
      </c>
      <c r="I148" s="572"/>
    </row>
    <row r="149" spans="2:11" ht="15">
      <c r="B149" s="326" t="s">
        <v>952</v>
      </c>
      <c r="C149" s="327" t="s">
        <v>565</v>
      </c>
      <c r="D149" s="333" t="s">
        <v>1056</v>
      </c>
      <c r="E149" s="329" t="s">
        <v>1057</v>
      </c>
      <c r="F149" s="330">
        <v>100000000</v>
      </c>
      <c r="G149" s="331">
        <v>99.45</v>
      </c>
      <c r="H149" s="332">
        <v>14.03</v>
      </c>
      <c r="I149" s="572"/>
    </row>
    <row r="150" spans="2:11" ht="15">
      <c r="B150" s="334"/>
      <c r="C150" s="334"/>
      <c r="D150" s="335" t="s">
        <v>702</v>
      </c>
      <c r="E150" s="336"/>
      <c r="F150" s="337">
        <f>SUM(F145:F149)</f>
        <v>1000000000</v>
      </c>
      <c r="G150" s="338"/>
      <c r="H150" s="339">
        <f>SUMPRODUCT(F145:F149,H145:H149)/F150</f>
        <v>14.03</v>
      </c>
      <c r="I150" s="1134"/>
    </row>
    <row r="151" spans="2:11">
      <c r="K151" s="31">
        <f>F146+F147</f>
        <v>850000000</v>
      </c>
    </row>
    <row r="153" spans="2:11" ht="15">
      <c r="B153" s="320" t="s">
        <v>1033</v>
      </c>
      <c r="C153" s="321"/>
      <c r="D153" s="322" t="s">
        <v>566</v>
      </c>
      <c r="E153" s="323" t="s">
        <v>567</v>
      </c>
      <c r="F153" s="324" t="s">
        <v>568</v>
      </c>
      <c r="G153" s="324" t="s">
        <v>701</v>
      </c>
      <c r="H153" s="325" t="s">
        <v>569</v>
      </c>
      <c r="I153" s="1133"/>
    </row>
    <row r="154" spans="2:11" ht="15">
      <c r="B154" s="326" t="s">
        <v>1034</v>
      </c>
      <c r="C154" s="327" t="s">
        <v>565</v>
      </c>
      <c r="D154" s="328" t="s">
        <v>932</v>
      </c>
      <c r="E154" s="329" t="s">
        <v>1035</v>
      </c>
      <c r="F154" s="330">
        <v>4500000</v>
      </c>
      <c r="G154" s="331">
        <v>95.74</v>
      </c>
      <c r="H154" s="332">
        <v>6.1152682</v>
      </c>
      <c r="I154" s="572"/>
    </row>
    <row r="155" spans="2:11" ht="15">
      <c r="B155" s="326" t="s">
        <v>1034</v>
      </c>
      <c r="C155" s="327" t="s">
        <v>565</v>
      </c>
      <c r="D155" s="328" t="s">
        <v>932</v>
      </c>
      <c r="E155" s="329" t="s">
        <v>1035</v>
      </c>
      <c r="F155" s="330">
        <v>500000</v>
      </c>
      <c r="G155" s="331">
        <v>95.74</v>
      </c>
      <c r="H155" s="332">
        <v>6.1152682</v>
      </c>
      <c r="I155" s="572"/>
    </row>
    <row r="156" spans="2:11" ht="15">
      <c r="B156" s="326" t="s">
        <v>1059</v>
      </c>
      <c r="C156" s="327" t="s">
        <v>565</v>
      </c>
      <c r="D156" s="328" t="s">
        <v>932</v>
      </c>
      <c r="E156" s="329" t="s">
        <v>1035</v>
      </c>
      <c r="F156" s="330">
        <v>1500000</v>
      </c>
      <c r="G156" s="331">
        <v>95.74</v>
      </c>
      <c r="H156" s="332">
        <v>6.1152682</v>
      </c>
      <c r="I156" s="572"/>
    </row>
    <row r="157" spans="2:11" ht="15">
      <c r="B157" s="326" t="s">
        <v>1054</v>
      </c>
      <c r="C157" s="327" t="s">
        <v>565</v>
      </c>
      <c r="D157" s="328" t="s">
        <v>932</v>
      </c>
      <c r="E157" s="329" t="s">
        <v>1035</v>
      </c>
      <c r="F157" s="330">
        <v>14000000</v>
      </c>
      <c r="G157" s="331">
        <v>94.78</v>
      </c>
      <c r="H157" s="332">
        <v>6.2589608999999999</v>
      </c>
      <c r="I157" s="572"/>
    </row>
    <row r="158" spans="2:11" ht="15">
      <c r="B158" s="334"/>
      <c r="C158" s="334"/>
      <c r="D158" s="335" t="s">
        <v>702</v>
      </c>
      <c r="E158" s="336"/>
      <c r="F158" s="337">
        <f>SUM(F154:F157)</f>
        <v>20500000</v>
      </c>
      <c r="G158" s="338"/>
      <c r="H158" s="339">
        <f>SUMPRODUCT(F154:F157,H154:H157)/F158</f>
        <v>6.2133997999999995</v>
      </c>
      <c r="I158" s="1134"/>
    </row>
    <row r="159" spans="2:11">
      <c r="K159" s="31"/>
    </row>
    <row r="161" spans="2:11" ht="14.25">
      <c r="D161" s="304" t="s">
        <v>1068</v>
      </c>
    </row>
    <row r="162" spans="2:11" ht="15">
      <c r="B162" s="320" t="s">
        <v>1033</v>
      </c>
      <c r="C162" s="321"/>
      <c r="D162" s="322" t="s">
        <v>566</v>
      </c>
      <c r="E162" s="323" t="s">
        <v>567</v>
      </c>
      <c r="F162" s="324" t="s">
        <v>568</v>
      </c>
      <c r="G162" s="324" t="s">
        <v>701</v>
      </c>
      <c r="H162" s="325" t="s">
        <v>569</v>
      </c>
      <c r="I162" s="1133"/>
    </row>
    <row r="163" spans="2:11" ht="15">
      <c r="B163" s="326" t="s">
        <v>1034</v>
      </c>
      <c r="C163" s="327" t="s">
        <v>565</v>
      </c>
      <c r="D163" s="328" t="s">
        <v>932</v>
      </c>
      <c r="E163" s="329" t="s">
        <v>1035</v>
      </c>
      <c r="F163" s="330">
        <v>1800000</v>
      </c>
      <c r="G163" s="331">
        <v>88.1</v>
      </c>
      <c r="H163" s="332">
        <v>7.3164832999999998</v>
      </c>
      <c r="I163" s="572"/>
    </row>
    <row r="164" spans="2:11" ht="15">
      <c r="B164" s="326" t="s">
        <v>1034</v>
      </c>
      <c r="C164" s="327" t="s">
        <v>565</v>
      </c>
      <c r="D164" s="328" t="s">
        <v>932</v>
      </c>
      <c r="E164" s="329" t="s">
        <v>1035</v>
      </c>
      <c r="F164" s="330">
        <v>200000</v>
      </c>
      <c r="G164" s="331">
        <v>88.1</v>
      </c>
      <c r="H164" s="332">
        <v>7.3164832999999998</v>
      </c>
      <c r="I164" s="572"/>
      <c r="J164">
        <f>H164</f>
        <v>7.3164832999999998</v>
      </c>
    </row>
    <row r="165" spans="2:11" ht="15">
      <c r="B165" s="326" t="s">
        <v>1034</v>
      </c>
      <c r="C165" s="327" t="s">
        <v>565</v>
      </c>
      <c r="D165" s="328" t="s">
        <v>1069</v>
      </c>
      <c r="E165" s="329" t="s">
        <v>1035</v>
      </c>
      <c r="F165" s="330">
        <v>1800000</v>
      </c>
      <c r="G165" s="331">
        <v>90.66</v>
      </c>
      <c r="H165" s="332">
        <v>7.0338690000000001</v>
      </c>
      <c r="I165" s="572"/>
    </row>
    <row r="166" spans="2:11" ht="15">
      <c r="B166" s="326" t="s">
        <v>1034</v>
      </c>
      <c r="C166" s="327" t="s">
        <v>565</v>
      </c>
      <c r="D166" s="328" t="s">
        <v>1069</v>
      </c>
      <c r="E166" s="329" t="s">
        <v>1035</v>
      </c>
      <c r="F166" s="330">
        <v>200000</v>
      </c>
      <c r="G166" s="331">
        <v>90.66</v>
      </c>
      <c r="H166" s="332">
        <v>7.0338690000000001</v>
      </c>
      <c r="I166" s="572"/>
    </row>
    <row r="167" spans="2:11" ht="15">
      <c r="B167" s="326" t="s">
        <v>1059</v>
      </c>
      <c r="C167" s="327" t="s">
        <v>565</v>
      </c>
      <c r="D167" s="328" t="s">
        <v>1069</v>
      </c>
      <c r="E167" s="329" t="s">
        <v>1035</v>
      </c>
      <c r="F167" s="330">
        <v>1000000</v>
      </c>
      <c r="G167" s="331">
        <v>90.66</v>
      </c>
      <c r="H167" s="332">
        <v>7.0338690000000001</v>
      </c>
      <c r="I167" s="572"/>
      <c r="J167">
        <f>H167</f>
        <v>7.0338690000000001</v>
      </c>
    </row>
    <row r="168" spans="2:11" ht="15">
      <c r="B168" s="326" t="s">
        <v>1034</v>
      </c>
      <c r="C168" s="327" t="s">
        <v>565</v>
      </c>
      <c r="D168" s="328" t="s">
        <v>1085</v>
      </c>
      <c r="E168" s="329" t="s">
        <v>1035</v>
      </c>
      <c r="F168" s="330">
        <v>1800000</v>
      </c>
      <c r="G168" s="331">
        <v>95.19</v>
      </c>
      <c r="H168" s="332">
        <v>6.9626356999999999</v>
      </c>
      <c r="I168" s="572"/>
    </row>
    <row r="169" spans="2:11" ht="15">
      <c r="B169" s="326" t="s">
        <v>1034</v>
      </c>
      <c r="C169" s="327" t="s">
        <v>565</v>
      </c>
      <c r="D169" s="328" t="s">
        <v>1085</v>
      </c>
      <c r="E169" s="329" t="s">
        <v>1035</v>
      </c>
      <c r="F169" s="330">
        <v>200000</v>
      </c>
      <c r="G169" s="331">
        <v>95.19</v>
      </c>
      <c r="H169" s="332">
        <v>6.9626356999999999</v>
      </c>
      <c r="I169" s="572"/>
    </row>
    <row r="170" spans="2:11" ht="15">
      <c r="B170" s="326" t="s">
        <v>1034</v>
      </c>
      <c r="C170" s="327" t="s">
        <v>565</v>
      </c>
      <c r="D170" s="328" t="s">
        <v>1085</v>
      </c>
      <c r="E170" s="329" t="s">
        <v>1035</v>
      </c>
      <c r="F170" s="330">
        <v>900000</v>
      </c>
      <c r="G170" s="331">
        <v>95.113</v>
      </c>
      <c r="H170" s="332">
        <v>6.9745980000000003</v>
      </c>
      <c r="I170" s="572"/>
    </row>
    <row r="171" spans="2:11" ht="15">
      <c r="B171" s="326" t="s">
        <v>1034</v>
      </c>
      <c r="C171" s="327" t="s">
        <v>565</v>
      </c>
      <c r="D171" s="328" t="s">
        <v>1085</v>
      </c>
      <c r="E171" s="329" t="s">
        <v>1035</v>
      </c>
      <c r="F171" s="330">
        <v>100000</v>
      </c>
      <c r="G171" s="331">
        <v>95.113</v>
      </c>
      <c r="H171" s="332">
        <v>6.9745980000000003</v>
      </c>
      <c r="I171" s="572"/>
      <c r="J171">
        <f>SUMPRODUCT(H168:H171,F168:F171)/SUM(F168:F171)</f>
        <v>6.9666231333333339</v>
      </c>
    </row>
    <row r="172" spans="2:11" ht="15">
      <c r="B172" s="326" t="s">
        <v>1034</v>
      </c>
      <c r="C172" s="327" t="s">
        <v>565</v>
      </c>
      <c r="D172" s="328" t="s">
        <v>1095</v>
      </c>
      <c r="E172" s="329" t="s">
        <v>1035</v>
      </c>
      <c r="F172" s="330">
        <v>30150000</v>
      </c>
      <c r="G172" s="331">
        <v>99.849000000000004</v>
      </c>
      <c r="H172" s="332">
        <v>6.3949999999999996</v>
      </c>
      <c r="I172" s="572"/>
    </row>
    <row r="173" spans="2:11" ht="30.75" customHeight="1">
      <c r="B173" s="326" t="s">
        <v>1034</v>
      </c>
      <c r="C173" s="327" t="s">
        <v>565</v>
      </c>
      <c r="D173" s="328" t="s">
        <v>1095</v>
      </c>
      <c r="E173" s="329" t="s">
        <v>1035</v>
      </c>
      <c r="F173" s="330">
        <v>3350000</v>
      </c>
      <c r="G173" s="331">
        <v>99.849000000000004</v>
      </c>
      <c r="H173" s="332">
        <v>6.3949999999999996</v>
      </c>
      <c r="I173" s="572"/>
    </row>
    <row r="174" spans="2:11" ht="15">
      <c r="B174" s="326" t="s">
        <v>1059</v>
      </c>
      <c r="C174" s="327" t="s">
        <v>565</v>
      </c>
      <c r="D174" s="328" t="s">
        <v>1100</v>
      </c>
      <c r="E174" s="329" t="s">
        <v>1035</v>
      </c>
      <c r="F174" s="330">
        <v>14000000</v>
      </c>
      <c r="G174" s="331">
        <v>99.849000000000004</v>
      </c>
      <c r="H174" s="332">
        <v>6.3949999999999996</v>
      </c>
      <c r="I174" s="572"/>
    </row>
    <row r="175" spans="2:11" ht="15">
      <c r="B175" s="326" t="s">
        <v>13</v>
      </c>
      <c r="C175" s="327" t="s">
        <v>565</v>
      </c>
      <c r="D175" s="328" t="s">
        <v>1100</v>
      </c>
      <c r="E175" s="329" t="s">
        <v>1035</v>
      </c>
      <c r="F175" s="330">
        <v>2500000</v>
      </c>
      <c r="G175" s="331">
        <v>99.849000000000004</v>
      </c>
      <c r="H175" s="332">
        <v>6.3949999999999996</v>
      </c>
      <c r="I175" s="572"/>
      <c r="J175">
        <f>H175</f>
        <v>6.3949999999999996</v>
      </c>
    </row>
    <row r="176" spans="2:11" ht="15">
      <c r="B176" s="334"/>
      <c r="C176" s="334"/>
      <c r="D176" s="335" t="s">
        <v>702</v>
      </c>
      <c r="E176" s="336"/>
      <c r="F176" s="337">
        <f>SUM(F163:F175)</f>
        <v>58000000</v>
      </c>
      <c r="G176" s="338"/>
      <c r="H176" s="339">
        <f>SUMPRODUCT(F163:F175,H163:H175)/F176</f>
        <v>6.4893869482758619</v>
      </c>
      <c r="I176" s="1134"/>
      <c r="K176" s="31"/>
    </row>
    <row r="177" spans="2:11">
      <c r="K177" s="31"/>
    </row>
    <row r="179" spans="2:11" ht="15">
      <c r="B179" s="320" t="s">
        <v>1033</v>
      </c>
      <c r="C179" s="321"/>
      <c r="D179" s="322" t="s">
        <v>566</v>
      </c>
      <c r="E179" s="323" t="s">
        <v>567</v>
      </c>
      <c r="F179" s="324" t="s">
        <v>568</v>
      </c>
      <c r="G179" s="324" t="s">
        <v>701</v>
      </c>
      <c r="H179" s="325" t="s">
        <v>569</v>
      </c>
      <c r="I179" s="1133"/>
    </row>
    <row r="180" spans="2:11" ht="15">
      <c r="B180" s="326" t="s">
        <v>1034</v>
      </c>
      <c r="C180" s="327" t="s">
        <v>565</v>
      </c>
      <c r="D180" s="328" t="s">
        <v>1096</v>
      </c>
      <c r="E180" s="273" t="s">
        <v>874</v>
      </c>
      <c r="F180" s="330">
        <v>198000000</v>
      </c>
      <c r="G180" s="331">
        <v>100</v>
      </c>
      <c r="H180" s="332">
        <v>6</v>
      </c>
      <c r="I180" s="572"/>
    </row>
    <row r="181" spans="2:11" ht="15">
      <c r="B181" s="326" t="s">
        <v>1034</v>
      </c>
      <c r="C181" s="327" t="s">
        <v>565</v>
      </c>
      <c r="D181" s="328" t="s">
        <v>1096</v>
      </c>
      <c r="E181" s="273" t="s">
        <v>874</v>
      </c>
      <c r="F181" s="330">
        <v>22000000</v>
      </c>
      <c r="G181" s="331">
        <v>100</v>
      </c>
      <c r="H181" s="332">
        <v>6</v>
      </c>
      <c r="I181" s="572"/>
    </row>
    <row r="182" spans="2:11" ht="15">
      <c r="B182" s="334"/>
      <c r="C182" s="334"/>
      <c r="D182" s="335" t="s">
        <v>702</v>
      </c>
      <c r="E182" s="336"/>
      <c r="F182" s="337">
        <f>SUM(F180:F181)</f>
        <v>220000000</v>
      </c>
      <c r="G182" s="338"/>
      <c r="H182" s="339">
        <f>SUMPRODUCT(F180:F181,H180:H181)/F182</f>
        <v>6</v>
      </c>
      <c r="I182" s="1134"/>
      <c r="J182" t="s">
        <v>1097</v>
      </c>
    </row>
    <row r="185" spans="2:11" ht="14.25">
      <c r="D185" s="304" t="s">
        <v>10</v>
      </c>
    </row>
    <row r="186" spans="2:11" ht="15">
      <c r="B186" s="320" t="s">
        <v>1033</v>
      </c>
      <c r="C186" s="321"/>
      <c r="D186" s="322" t="s">
        <v>566</v>
      </c>
      <c r="E186" s="323" t="s">
        <v>567</v>
      </c>
      <c r="F186" s="324" t="s">
        <v>568</v>
      </c>
      <c r="G186" s="324" t="s">
        <v>701</v>
      </c>
      <c r="H186" s="325" t="s">
        <v>569</v>
      </c>
      <c r="I186" s="1133"/>
    </row>
    <row r="187" spans="2:11" ht="15">
      <c r="B187" s="326" t="s">
        <v>1034</v>
      </c>
      <c r="C187" s="327" t="s">
        <v>565</v>
      </c>
      <c r="D187" s="328" t="s">
        <v>11</v>
      </c>
      <c r="E187" s="273" t="s">
        <v>874</v>
      </c>
      <c r="F187" s="330">
        <v>652500000</v>
      </c>
      <c r="G187" s="331">
        <v>99.584000000000003</v>
      </c>
      <c r="H187" s="332">
        <v>7.05</v>
      </c>
      <c r="I187" s="572"/>
    </row>
    <row r="188" spans="2:11" ht="15">
      <c r="B188" s="326" t="s">
        <v>1034</v>
      </c>
      <c r="C188" s="327" t="s">
        <v>565</v>
      </c>
      <c r="D188" s="328" t="s">
        <v>11</v>
      </c>
      <c r="E188" s="273" t="s">
        <v>874</v>
      </c>
      <c r="F188" s="330">
        <v>72500000</v>
      </c>
      <c r="G188" s="331">
        <v>99.584000000000003</v>
      </c>
      <c r="H188" s="332">
        <v>7.05</v>
      </c>
      <c r="I188" s="572"/>
    </row>
    <row r="189" spans="2:11" ht="15">
      <c r="B189" s="326" t="s">
        <v>14</v>
      </c>
      <c r="C189" s="327" t="s">
        <v>565</v>
      </c>
      <c r="D189" s="328" t="s">
        <v>11</v>
      </c>
      <c r="E189" s="273" t="s">
        <v>874</v>
      </c>
      <c r="F189" s="330">
        <v>25000000</v>
      </c>
      <c r="G189" s="331">
        <v>99.584000000000003</v>
      </c>
      <c r="H189" s="332">
        <v>7.05</v>
      </c>
      <c r="I189" s="572"/>
    </row>
    <row r="190" spans="2:11" ht="15">
      <c r="B190" s="326" t="s">
        <v>1034</v>
      </c>
      <c r="C190" s="327" t="s">
        <v>565</v>
      </c>
      <c r="D190" s="328" t="s">
        <v>12</v>
      </c>
      <c r="E190" s="273" t="s">
        <v>874</v>
      </c>
      <c r="F190" s="330">
        <v>9900000</v>
      </c>
      <c r="G190" s="331">
        <v>94</v>
      </c>
      <c r="H190" s="332">
        <v>6.5945390000000002</v>
      </c>
      <c r="I190" s="572"/>
    </row>
    <row r="191" spans="2:11" ht="15">
      <c r="B191" s="326" t="s">
        <v>1034</v>
      </c>
      <c r="C191" s="327" t="s">
        <v>565</v>
      </c>
      <c r="D191" s="328" t="s">
        <v>12</v>
      </c>
      <c r="E191" s="273" t="s">
        <v>874</v>
      </c>
      <c r="F191" s="330">
        <v>1100000</v>
      </c>
      <c r="G191" s="331">
        <v>94</v>
      </c>
      <c r="H191" s="332">
        <v>6.5945390000000002</v>
      </c>
      <c r="I191" s="572"/>
    </row>
    <row r="192" spans="2:11" ht="30">
      <c r="B192" s="326" t="s">
        <v>1034</v>
      </c>
      <c r="C192" s="327" t="s">
        <v>565</v>
      </c>
      <c r="D192" s="328" t="s">
        <v>213</v>
      </c>
      <c r="E192" s="273" t="s">
        <v>874</v>
      </c>
      <c r="F192" s="330">
        <v>720000000</v>
      </c>
      <c r="G192" s="331">
        <v>100</v>
      </c>
      <c r="H192" s="332">
        <v>6.5</v>
      </c>
      <c r="I192" s="572"/>
    </row>
    <row r="193" spans="2:13" ht="30">
      <c r="B193" s="326" t="s">
        <v>1034</v>
      </c>
      <c r="C193" s="327" t="s">
        <v>565</v>
      </c>
      <c r="D193" s="328" t="s">
        <v>214</v>
      </c>
      <c r="E193" s="273" t="s">
        <v>874</v>
      </c>
      <c r="F193" s="330">
        <v>80000000</v>
      </c>
      <c r="G193" s="331">
        <v>100</v>
      </c>
      <c r="H193" s="332">
        <v>6.5</v>
      </c>
      <c r="I193" s="572"/>
    </row>
    <row r="194" spans="2:13" ht="15">
      <c r="B194" s="334"/>
      <c r="C194" s="334"/>
      <c r="D194" s="335" t="s">
        <v>702</v>
      </c>
      <c r="E194" s="336"/>
      <c r="F194" s="337">
        <f>SUM(F187:F193)</f>
        <v>1561000000</v>
      </c>
      <c r="G194" s="338"/>
      <c r="H194" s="339">
        <f>SUMPRODUCT(F187:F193,H187:H193)/F194</f>
        <v>6.7649198776425372</v>
      </c>
      <c r="I194" s="1134"/>
    </row>
    <row r="197" spans="2:13" ht="15">
      <c r="B197" s="320" t="s">
        <v>1033</v>
      </c>
      <c r="C197" s="321"/>
      <c r="D197" s="322" t="s">
        <v>566</v>
      </c>
      <c r="E197" s="323" t="s">
        <v>567</v>
      </c>
      <c r="F197" s="324" t="s">
        <v>568</v>
      </c>
      <c r="G197" s="324" t="s">
        <v>701</v>
      </c>
      <c r="H197" s="325" t="s">
        <v>569</v>
      </c>
      <c r="I197" s="1133"/>
    </row>
    <row r="198" spans="2:13" ht="15">
      <c r="B198" s="326" t="s">
        <v>1034</v>
      </c>
      <c r="C198" s="327" t="s">
        <v>565</v>
      </c>
      <c r="D198" s="328" t="s">
        <v>9</v>
      </c>
      <c r="E198" s="329" t="s">
        <v>1057</v>
      </c>
      <c r="F198" s="330">
        <v>900000000</v>
      </c>
      <c r="G198" s="331">
        <v>100</v>
      </c>
      <c r="H198" s="332">
        <v>6.4</v>
      </c>
      <c r="I198" s="572"/>
    </row>
    <row r="199" spans="2:13" ht="15">
      <c r="B199" s="326" t="s">
        <v>1034</v>
      </c>
      <c r="C199" s="327" t="s">
        <v>565</v>
      </c>
      <c r="D199" s="328" t="s">
        <v>9</v>
      </c>
      <c r="E199" s="329" t="s">
        <v>1057</v>
      </c>
      <c r="F199" s="330">
        <v>100000000</v>
      </c>
      <c r="G199" s="331">
        <v>100</v>
      </c>
      <c r="H199" s="332">
        <v>6.4</v>
      </c>
      <c r="I199" s="572"/>
    </row>
    <row r="200" spans="2:13" ht="15">
      <c r="B200" s="334"/>
      <c r="C200" s="334"/>
      <c r="D200" s="335" t="s">
        <v>702</v>
      </c>
      <c r="E200" s="336"/>
      <c r="F200" s="337">
        <f>SUM(F198:F199)</f>
        <v>1000000000</v>
      </c>
      <c r="G200" s="338"/>
      <c r="H200" s="339">
        <f>SUMPRODUCT(F198:F199,H198:H199)/F200</f>
        <v>6.4</v>
      </c>
      <c r="I200" s="1134"/>
    </row>
    <row r="202" spans="2:13" s="200" customFormat="1">
      <c r="M202" s="1230"/>
    </row>
    <row r="203" spans="2:13" ht="14.25">
      <c r="D203" s="304" t="s">
        <v>219</v>
      </c>
    </row>
    <row r="204" spans="2:13" ht="15">
      <c r="B204" s="320" t="s">
        <v>1033</v>
      </c>
      <c r="C204" s="321"/>
      <c r="D204" s="322" t="s">
        <v>566</v>
      </c>
      <c r="E204" s="323" t="s">
        <v>567</v>
      </c>
      <c r="F204" s="324" t="s">
        <v>568</v>
      </c>
      <c r="G204" s="324" t="s">
        <v>701</v>
      </c>
      <c r="H204" s="325" t="s">
        <v>569</v>
      </c>
      <c r="I204" s="1133"/>
    </row>
    <row r="205" spans="2:13" ht="30">
      <c r="B205" s="326" t="s">
        <v>1034</v>
      </c>
      <c r="C205" s="327" t="s">
        <v>565</v>
      </c>
      <c r="D205" s="328" t="s">
        <v>216</v>
      </c>
      <c r="E205" s="329" t="s">
        <v>1057</v>
      </c>
      <c r="F205" s="330">
        <v>774000000</v>
      </c>
      <c r="G205" s="331">
        <v>100</v>
      </c>
      <c r="H205" s="332">
        <v>6</v>
      </c>
      <c r="I205" s="572"/>
    </row>
    <row r="206" spans="2:13" ht="30">
      <c r="B206" s="326" t="s">
        <v>1034</v>
      </c>
      <c r="C206" s="327" t="s">
        <v>565</v>
      </c>
      <c r="D206" s="328" t="s">
        <v>216</v>
      </c>
      <c r="E206" s="329" t="s">
        <v>1057</v>
      </c>
      <c r="F206" s="330">
        <v>86000000</v>
      </c>
      <c r="G206" s="331">
        <v>100</v>
      </c>
      <c r="H206" s="332">
        <v>6</v>
      </c>
      <c r="I206" s="572"/>
    </row>
    <row r="207" spans="2:13" ht="30">
      <c r="B207" s="347" t="s">
        <v>14</v>
      </c>
      <c r="C207" s="348" t="s">
        <v>565</v>
      </c>
      <c r="D207" s="349" t="s">
        <v>216</v>
      </c>
      <c r="E207" s="329" t="s">
        <v>1057</v>
      </c>
      <c r="F207" s="350">
        <v>140000000</v>
      </c>
      <c r="G207" s="351">
        <v>100</v>
      </c>
      <c r="H207" s="352">
        <v>6</v>
      </c>
      <c r="I207" s="572"/>
    </row>
    <row r="208" spans="2:13" ht="15">
      <c r="B208" s="334"/>
      <c r="C208" s="334"/>
      <c r="D208" s="335" t="s">
        <v>702</v>
      </c>
      <c r="E208" s="336"/>
      <c r="F208" s="337">
        <f>SUM(F205:F207)</f>
        <v>1000000000</v>
      </c>
      <c r="G208" s="338"/>
      <c r="H208" s="339">
        <f>SUMPRODUCT(F205:F207,H205:H207)/F208</f>
        <v>6</v>
      </c>
      <c r="I208" s="1134"/>
    </row>
    <row r="211" spans="2:9" ht="18.75" customHeight="1">
      <c r="B211" s="320" t="s">
        <v>1033</v>
      </c>
      <c r="C211" s="321"/>
      <c r="D211" s="322" t="s">
        <v>566</v>
      </c>
      <c r="E211" s="323" t="s">
        <v>567</v>
      </c>
      <c r="F211" s="324" t="s">
        <v>568</v>
      </c>
      <c r="G211" s="324" t="s">
        <v>701</v>
      </c>
      <c r="H211" s="325" t="s">
        <v>569</v>
      </c>
      <c r="I211" s="1133"/>
    </row>
    <row r="212" spans="2:9" ht="18.75" customHeight="1">
      <c r="B212" s="326" t="s">
        <v>1034</v>
      </c>
      <c r="C212" s="327" t="s">
        <v>565</v>
      </c>
      <c r="D212" s="328" t="s">
        <v>291</v>
      </c>
      <c r="E212" s="329" t="s">
        <v>1035</v>
      </c>
      <c r="F212" s="330">
        <v>172800000</v>
      </c>
      <c r="G212" s="331">
        <v>99.48</v>
      </c>
      <c r="H212" s="332">
        <v>7</v>
      </c>
      <c r="I212" s="572"/>
    </row>
    <row r="213" spans="2:9" ht="18.75" customHeight="1">
      <c r="B213" s="326" t="s">
        <v>1034</v>
      </c>
      <c r="C213" s="327" t="s">
        <v>565</v>
      </c>
      <c r="D213" s="328" t="s">
        <v>291</v>
      </c>
      <c r="E213" s="329" t="s">
        <v>1035</v>
      </c>
      <c r="F213" s="330">
        <v>19200000</v>
      </c>
      <c r="G213" s="331">
        <v>99.48</v>
      </c>
      <c r="H213" s="332">
        <v>7</v>
      </c>
      <c r="I213" s="572"/>
    </row>
    <row r="214" spans="2:9" ht="18.75" customHeight="1">
      <c r="B214" s="326" t="s">
        <v>1059</v>
      </c>
      <c r="C214" s="327" t="s">
        <v>565</v>
      </c>
      <c r="D214" s="328" t="s">
        <v>291</v>
      </c>
      <c r="E214" s="329" t="s">
        <v>1035</v>
      </c>
      <c r="F214" s="330">
        <v>7000000</v>
      </c>
      <c r="G214" s="331">
        <v>99.48</v>
      </c>
      <c r="H214" s="332">
        <v>7</v>
      </c>
      <c r="I214" s="572"/>
    </row>
    <row r="215" spans="2:9" ht="18.75" customHeight="1">
      <c r="B215" s="347" t="s">
        <v>14</v>
      </c>
      <c r="C215" s="348" t="s">
        <v>565</v>
      </c>
      <c r="D215" s="328" t="s">
        <v>291</v>
      </c>
      <c r="E215" s="329" t="s">
        <v>1035</v>
      </c>
      <c r="F215" s="330">
        <v>1000000</v>
      </c>
      <c r="G215" s="331">
        <v>99.48</v>
      </c>
      <c r="H215" s="352">
        <v>7</v>
      </c>
      <c r="I215" s="572"/>
    </row>
    <row r="216" spans="2:9" ht="18.75" customHeight="1">
      <c r="B216" s="334"/>
      <c r="C216" s="334"/>
      <c r="D216" s="335" t="s">
        <v>702</v>
      </c>
      <c r="E216" s="336"/>
      <c r="F216" s="337">
        <f>SUM(F212:F215)</f>
        <v>200000000</v>
      </c>
      <c r="G216" s="338"/>
      <c r="H216" s="339">
        <f>SUMPRODUCT(F212:F215,H212:H215)/F216</f>
        <v>7</v>
      </c>
      <c r="I216" s="1134"/>
    </row>
    <row r="217" spans="2:9" ht="15">
      <c r="B217" s="353" t="s">
        <v>292</v>
      </c>
    </row>
    <row r="220" spans="2:9" ht="14.25">
      <c r="D220" s="304" t="s">
        <v>237</v>
      </c>
    </row>
    <row r="221" spans="2:9" ht="15">
      <c r="B221" s="320" t="s">
        <v>1033</v>
      </c>
      <c r="C221" s="321"/>
      <c r="D221" s="322" t="s">
        <v>566</v>
      </c>
      <c r="E221" s="323" t="s">
        <v>567</v>
      </c>
      <c r="F221" s="324" t="s">
        <v>568</v>
      </c>
      <c r="G221" s="324" t="s">
        <v>701</v>
      </c>
      <c r="H221" s="325" t="s">
        <v>569</v>
      </c>
      <c r="I221" s="1133"/>
    </row>
    <row r="222" spans="2:9" ht="15">
      <c r="B222" s="326" t="s">
        <v>1034</v>
      </c>
      <c r="C222" s="327" t="s">
        <v>565</v>
      </c>
      <c r="D222" s="328" t="s">
        <v>236</v>
      </c>
      <c r="E222" s="329" t="s">
        <v>1057</v>
      </c>
      <c r="F222" s="330">
        <v>894600000</v>
      </c>
      <c r="G222" s="331">
        <v>100</v>
      </c>
      <c r="H222" s="332">
        <v>6.4</v>
      </c>
      <c r="I222" s="572"/>
    </row>
    <row r="223" spans="2:9" ht="15">
      <c r="B223" s="326" t="s">
        <v>1034</v>
      </c>
      <c r="C223" s="327" t="s">
        <v>565</v>
      </c>
      <c r="D223" s="328" t="s">
        <v>236</v>
      </c>
      <c r="E223" s="329" t="s">
        <v>1057</v>
      </c>
      <c r="F223" s="330">
        <v>99400000</v>
      </c>
      <c r="G223" s="331">
        <v>100</v>
      </c>
      <c r="H223" s="332">
        <v>6.4</v>
      </c>
      <c r="I223" s="572"/>
    </row>
    <row r="224" spans="2:9" ht="15">
      <c r="B224" s="347" t="s">
        <v>14</v>
      </c>
      <c r="C224" s="348" t="s">
        <v>565</v>
      </c>
      <c r="D224" s="328" t="s">
        <v>236</v>
      </c>
      <c r="E224" s="329" t="s">
        <v>1057</v>
      </c>
      <c r="F224" s="350">
        <v>6000000</v>
      </c>
      <c r="G224" s="351">
        <v>100</v>
      </c>
      <c r="H224" s="332">
        <v>6.4</v>
      </c>
      <c r="I224" s="572"/>
    </row>
    <row r="225" spans="2:11" ht="15">
      <c r="B225" s="334"/>
      <c r="C225" s="334"/>
      <c r="D225" s="335" t="s">
        <v>702</v>
      </c>
      <c r="E225" s="336"/>
      <c r="F225" s="337">
        <f>SUM(F222:F224)</f>
        <v>1000000000</v>
      </c>
      <c r="G225" s="338"/>
      <c r="H225" s="339">
        <f>SUMPRODUCT(F222:F224,H222:H224)/F225</f>
        <v>6.4</v>
      </c>
      <c r="I225" s="1134"/>
    </row>
    <row r="229" spans="2:11" ht="14.25">
      <c r="D229" s="304" t="s">
        <v>285</v>
      </c>
    </row>
    <row r="230" spans="2:11" ht="18" customHeight="1">
      <c r="B230" s="320" t="s">
        <v>770</v>
      </c>
      <c r="C230" s="321"/>
      <c r="D230" s="322" t="s">
        <v>566</v>
      </c>
      <c r="E230" s="323" t="s">
        <v>567</v>
      </c>
      <c r="F230" s="324" t="s">
        <v>568</v>
      </c>
      <c r="G230" s="324" t="s">
        <v>701</v>
      </c>
      <c r="H230" s="325" t="s">
        <v>569</v>
      </c>
      <c r="I230" s="1133"/>
    </row>
    <row r="231" spans="2:11" ht="18" customHeight="1">
      <c r="B231" s="326" t="s">
        <v>562</v>
      </c>
      <c r="C231" s="327" t="s">
        <v>565</v>
      </c>
      <c r="D231" s="328" t="s">
        <v>239</v>
      </c>
      <c r="E231" s="329" t="s">
        <v>563</v>
      </c>
      <c r="F231" s="330">
        <v>117000000</v>
      </c>
      <c r="G231" s="331">
        <v>99.926000000000002</v>
      </c>
      <c r="H231" s="332">
        <v>6</v>
      </c>
      <c r="I231" s="572"/>
    </row>
    <row r="232" spans="2:11" ht="18" customHeight="1">
      <c r="B232" s="326" t="s">
        <v>562</v>
      </c>
      <c r="C232" s="327" t="s">
        <v>565</v>
      </c>
      <c r="D232" s="328" t="s">
        <v>239</v>
      </c>
      <c r="E232" s="329" t="s">
        <v>563</v>
      </c>
      <c r="F232" s="330">
        <v>13000000</v>
      </c>
      <c r="G232" s="331">
        <v>99.926000000000002</v>
      </c>
      <c r="H232" s="332">
        <v>6</v>
      </c>
      <c r="I232" s="572"/>
    </row>
    <row r="233" spans="2:11" ht="18" customHeight="1">
      <c r="B233" s="326" t="s">
        <v>287</v>
      </c>
      <c r="C233" s="327" t="s">
        <v>565</v>
      </c>
      <c r="D233" s="328" t="s">
        <v>239</v>
      </c>
      <c r="E233" s="329" t="s">
        <v>563</v>
      </c>
      <c r="F233" s="330">
        <v>7000000</v>
      </c>
      <c r="G233" s="331">
        <v>99.926000000000002</v>
      </c>
      <c r="H233" s="332">
        <v>6</v>
      </c>
      <c r="I233" s="572"/>
    </row>
    <row r="234" spans="2:11" ht="18" customHeight="1">
      <c r="B234" s="326" t="s">
        <v>915</v>
      </c>
      <c r="C234" s="327" t="s">
        <v>565</v>
      </c>
      <c r="D234" s="328" t="s">
        <v>239</v>
      </c>
      <c r="E234" s="329" t="s">
        <v>563</v>
      </c>
      <c r="F234" s="330">
        <v>5000000</v>
      </c>
      <c r="G234" s="331">
        <v>99.926000000000002</v>
      </c>
      <c r="H234" s="332">
        <v>6</v>
      </c>
      <c r="I234" s="572"/>
      <c r="J234" s="355">
        <f>F236*7.8</f>
        <v>1170000000</v>
      </c>
    </row>
    <row r="235" spans="2:11" ht="18" customHeight="1">
      <c r="B235" s="347" t="s">
        <v>286</v>
      </c>
      <c r="C235" s="348" t="s">
        <v>565</v>
      </c>
      <c r="D235" s="349" t="s">
        <v>239</v>
      </c>
      <c r="E235" s="329" t="s">
        <v>563</v>
      </c>
      <c r="F235" s="350">
        <v>8000000</v>
      </c>
      <c r="G235" s="331">
        <v>99.926000000000002</v>
      </c>
      <c r="H235" s="332">
        <v>6</v>
      </c>
      <c r="I235" s="572"/>
      <c r="J235" s="355">
        <v>30321891189.095707</v>
      </c>
    </row>
    <row r="236" spans="2:11" ht="18" customHeight="1">
      <c r="B236" s="334"/>
      <c r="C236" s="334"/>
      <c r="D236" s="335" t="s">
        <v>702</v>
      </c>
      <c r="E236" s="336"/>
      <c r="F236" s="337">
        <f>SUM(F231:F235)</f>
        <v>150000000</v>
      </c>
      <c r="G236" s="338"/>
      <c r="H236" s="339">
        <f>SUMPRODUCT(F231:F235,H231:H235)/F236</f>
        <v>6</v>
      </c>
      <c r="I236" s="1134"/>
      <c r="K236">
        <f>J234/J235*100</f>
        <v>3.8585983727187601</v>
      </c>
    </row>
    <row r="239" spans="2:11" ht="14.25">
      <c r="D239" s="304" t="s">
        <v>270</v>
      </c>
    </row>
    <row r="240" spans="2:11" ht="15">
      <c r="B240" s="320" t="s">
        <v>770</v>
      </c>
      <c r="C240" s="321"/>
      <c r="D240" s="322" t="s">
        <v>566</v>
      </c>
      <c r="E240" s="323" t="s">
        <v>567</v>
      </c>
      <c r="F240" s="324" t="s">
        <v>568</v>
      </c>
      <c r="G240" s="324" t="s">
        <v>701</v>
      </c>
      <c r="H240" s="325" t="s">
        <v>569</v>
      </c>
      <c r="I240" s="1133"/>
    </row>
    <row r="241" spans="2:9" ht="15">
      <c r="B241" s="326" t="s">
        <v>562</v>
      </c>
      <c r="C241" s="327" t="s">
        <v>565</v>
      </c>
      <c r="D241" s="328" t="s">
        <v>271</v>
      </c>
      <c r="E241" s="329" t="s">
        <v>1057</v>
      </c>
      <c r="F241" s="330">
        <v>1282500000</v>
      </c>
      <c r="G241" s="331">
        <v>100</v>
      </c>
      <c r="H241" s="332">
        <v>6</v>
      </c>
      <c r="I241" s="572"/>
    </row>
    <row r="242" spans="2:9" ht="15">
      <c r="B242" s="326" t="s">
        <v>562</v>
      </c>
      <c r="C242" s="327" t="s">
        <v>565</v>
      </c>
      <c r="D242" s="328" t="s">
        <v>271</v>
      </c>
      <c r="E242" s="329" t="s">
        <v>1057</v>
      </c>
      <c r="F242" s="330">
        <v>142500000</v>
      </c>
      <c r="G242" s="331">
        <v>100</v>
      </c>
      <c r="H242" s="332">
        <v>6</v>
      </c>
      <c r="I242" s="572"/>
    </row>
    <row r="243" spans="2:9" ht="15">
      <c r="B243" s="326" t="s">
        <v>287</v>
      </c>
      <c r="C243" s="327" t="s">
        <v>565</v>
      </c>
      <c r="D243" s="328" t="s">
        <v>271</v>
      </c>
      <c r="E243" s="329" t="s">
        <v>1057</v>
      </c>
      <c r="F243" s="330">
        <v>25000000</v>
      </c>
      <c r="G243" s="331">
        <v>100</v>
      </c>
      <c r="H243" s="332">
        <v>6</v>
      </c>
      <c r="I243" s="572"/>
    </row>
    <row r="244" spans="2:9" ht="15">
      <c r="B244" s="347" t="s">
        <v>915</v>
      </c>
      <c r="C244" s="327" t="s">
        <v>565</v>
      </c>
      <c r="D244" s="328" t="s">
        <v>271</v>
      </c>
      <c r="E244" s="329" t="s">
        <v>1057</v>
      </c>
      <c r="F244" s="350">
        <v>50000000</v>
      </c>
      <c r="G244" s="351">
        <v>100</v>
      </c>
      <c r="H244" s="332">
        <v>6</v>
      </c>
      <c r="I244" s="572"/>
    </row>
    <row r="245" spans="2:9" ht="15">
      <c r="B245" s="334"/>
      <c r="C245" s="334"/>
      <c r="D245" s="335" t="s">
        <v>702</v>
      </c>
      <c r="E245" s="336"/>
      <c r="F245" s="337">
        <f>SUM(F241:F244)</f>
        <v>1500000000</v>
      </c>
      <c r="G245" s="338"/>
      <c r="H245" s="339">
        <f>SUMPRODUCT(F241:F244,H241:H244)/F245</f>
        <v>6</v>
      </c>
      <c r="I245" s="1134"/>
    </row>
    <row r="249" spans="2:9" ht="14.25">
      <c r="D249" s="304" t="s">
        <v>265</v>
      </c>
    </row>
    <row r="250" spans="2:9" ht="15">
      <c r="B250" s="320" t="s">
        <v>770</v>
      </c>
      <c r="C250" s="321"/>
      <c r="D250" s="322" t="s">
        <v>566</v>
      </c>
      <c r="E250" s="323" t="s">
        <v>567</v>
      </c>
      <c r="F250" s="324" t="s">
        <v>568</v>
      </c>
      <c r="G250" s="324" t="s">
        <v>701</v>
      </c>
      <c r="H250" s="325" t="s">
        <v>569</v>
      </c>
      <c r="I250" s="1133"/>
    </row>
    <row r="251" spans="2:9" ht="15">
      <c r="B251" s="326" t="s">
        <v>562</v>
      </c>
      <c r="C251" s="327" t="s">
        <v>565</v>
      </c>
      <c r="D251" s="328" t="s">
        <v>272</v>
      </c>
      <c r="E251" s="329" t="s">
        <v>267</v>
      </c>
      <c r="F251" s="330">
        <v>1023300000</v>
      </c>
      <c r="G251" s="331">
        <v>100</v>
      </c>
      <c r="H251" s="332">
        <v>6.15</v>
      </c>
      <c r="I251" s="572"/>
    </row>
    <row r="252" spans="2:9" ht="15">
      <c r="B252" s="326" t="s">
        <v>562</v>
      </c>
      <c r="C252" s="327" t="s">
        <v>565</v>
      </c>
      <c r="D252" s="328" t="s">
        <v>276</v>
      </c>
      <c r="E252" s="329" t="s">
        <v>267</v>
      </c>
      <c r="F252" s="330">
        <v>113700000</v>
      </c>
      <c r="G252" s="331">
        <v>100</v>
      </c>
      <c r="H252" s="332">
        <v>6.15</v>
      </c>
      <c r="I252" s="572"/>
    </row>
    <row r="253" spans="2:9" ht="15">
      <c r="B253" s="347" t="s">
        <v>915</v>
      </c>
      <c r="C253" s="327" t="s">
        <v>565</v>
      </c>
      <c r="D253" s="328" t="s">
        <v>266</v>
      </c>
      <c r="E253" s="329" t="s">
        <v>267</v>
      </c>
      <c r="F253" s="350">
        <v>63000000</v>
      </c>
      <c r="G253" s="351">
        <v>100</v>
      </c>
      <c r="H253" s="332">
        <v>6.15</v>
      </c>
      <c r="I253" s="572"/>
    </row>
    <row r="254" spans="2:9" ht="15">
      <c r="B254" s="334"/>
      <c r="C254" s="334"/>
      <c r="D254" s="335" t="s">
        <v>702</v>
      </c>
      <c r="E254" s="336"/>
      <c r="F254" s="337">
        <f>SUM(F251:F253)</f>
        <v>1200000000</v>
      </c>
      <c r="G254" s="338"/>
      <c r="H254" s="339">
        <f>SUMPRODUCT(F251:F253,H251:H253)/F254</f>
        <v>6.15</v>
      </c>
      <c r="I254" s="1134"/>
    </row>
    <row r="257" spans="2:9" ht="15">
      <c r="B257" s="320" t="s">
        <v>770</v>
      </c>
      <c r="C257" s="321"/>
      <c r="D257" s="322" t="s">
        <v>566</v>
      </c>
      <c r="E257" s="323" t="s">
        <v>567</v>
      </c>
      <c r="F257" s="324" t="s">
        <v>568</v>
      </c>
      <c r="G257" s="324" t="s">
        <v>701</v>
      </c>
      <c r="H257" s="325" t="s">
        <v>569</v>
      </c>
      <c r="I257" s="1133"/>
    </row>
    <row r="258" spans="2:9" ht="15">
      <c r="B258" s="326" t="s">
        <v>268</v>
      </c>
      <c r="C258" s="327" t="s">
        <v>565</v>
      </c>
      <c r="D258" s="328" t="s">
        <v>277</v>
      </c>
      <c r="E258" s="329" t="s">
        <v>269</v>
      </c>
      <c r="F258" s="330">
        <v>5000000</v>
      </c>
      <c r="G258" s="331">
        <v>101.943</v>
      </c>
      <c r="H258" s="332">
        <v>5.2240000000000002</v>
      </c>
      <c r="I258" s="572"/>
    </row>
    <row r="259" spans="2:9" ht="15">
      <c r="B259" s="334"/>
      <c r="C259" s="334"/>
      <c r="D259" s="335" t="s">
        <v>702</v>
      </c>
      <c r="E259" s="336"/>
      <c r="F259" s="337">
        <f>SUM(F258:F258)</f>
        <v>5000000</v>
      </c>
      <c r="G259" s="338"/>
      <c r="H259" s="356">
        <f>SUMPRODUCT(F258:F258,H258:H258)/F259</f>
        <v>5.2240000000000002</v>
      </c>
      <c r="I259" s="1135"/>
    </row>
    <row r="263" spans="2:9" ht="14.25">
      <c r="D263" s="304" t="s">
        <v>224</v>
      </c>
    </row>
    <row r="264" spans="2:9" ht="15">
      <c r="B264" s="320" t="s">
        <v>770</v>
      </c>
      <c r="C264" s="321"/>
      <c r="D264" s="322" t="s">
        <v>566</v>
      </c>
      <c r="E264" s="323" t="s">
        <v>567</v>
      </c>
      <c r="F264" s="324" t="s">
        <v>568</v>
      </c>
      <c r="G264" s="324" t="s">
        <v>701</v>
      </c>
      <c r="H264" s="325" t="s">
        <v>569</v>
      </c>
      <c r="I264" s="1133"/>
    </row>
    <row r="265" spans="2:9" ht="14.25">
      <c r="B265" s="357" t="s">
        <v>513</v>
      </c>
      <c r="C265" s="358" t="s">
        <v>994</v>
      </c>
      <c r="D265" s="359" t="s">
        <v>813</v>
      </c>
      <c r="E265" s="360" t="s">
        <v>563</v>
      </c>
      <c r="F265" s="361">
        <v>500000</v>
      </c>
      <c r="G265" s="362">
        <v>100.5</v>
      </c>
      <c r="H265" s="363">
        <v>6.762524</v>
      </c>
      <c r="I265" s="46"/>
    </row>
    <row r="266" spans="2:9" ht="14.25">
      <c r="B266" s="364" t="s">
        <v>953</v>
      </c>
      <c r="C266" s="365" t="s">
        <v>994</v>
      </c>
      <c r="D266" s="366" t="s">
        <v>813</v>
      </c>
      <c r="E266" s="367" t="s">
        <v>563</v>
      </c>
      <c r="F266" s="368">
        <v>500000</v>
      </c>
      <c r="G266" s="369">
        <v>106.8</v>
      </c>
      <c r="H266" s="370">
        <v>6.3213400000000002</v>
      </c>
      <c r="I266" s="46"/>
    </row>
    <row r="267" spans="2:9" ht="15">
      <c r="B267" s="334"/>
      <c r="C267" s="334"/>
      <c r="D267" s="335" t="s">
        <v>702</v>
      </c>
      <c r="E267" s="336"/>
      <c r="F267" s="337">
        <f>SUM(F265:F266)</f>
        <v>1000000</v>
      </c>
      <c r="G267" s="338"/>
      <c r="H267" s="356">
        <f>SUMPRODUCT(F265:F266,H265:H266)/F267</f>
        <v>6.5419320000000001</v>
      </c>
      <c r="I267" s="1135"/>
    </row>
    <row r="269" spans="2:9" ht="15">
      <c r="B269" s="320" t="s">
        <v>770</v>
      </c>
      <c r="C269" s="321"/>
      <c r="D269" s="322" t="s">
        <v>566</v>
      </c>
      <c r="E269" s="323" t="s">
        <v>567</v>
      </c>
      <c r="F269" s="324" t="s">
        <v>568</v>
      </c>
      <c r="G269" s="324" t="s">
        <v>701</v>
      </c>
      <c r="H269" s="325" t="s">
        <v>569</v>
      </c>
      <c r="I269" s="1133"/>
    </row>
    <row r="270" spans="2:9" ht="15">
      <c r="B270" s="326" t="s">
        <v>562</v>
      </c>
      <c r="C270" s="327" t="s">
        <v>565</v>
      </c>
      <c r="D270" s="328" t="s">
        <v>225</v>
      </c>
      <c r="E270" s="329" t="s">
        <v>267</v>
      </c>
      <c r="F270" s="330">
        <v>234000000</v>
      </c>
      <c r="G270" s="331">
        <v>99.457999999999998</v>
      </c>
      <c r="H270" s="332">
        <v>6</v>
      </c>
      <c r="I270" s="572"/>
    </row>
    <row r="271" spans="2:9" ht="15">
      <c r="B271" s="326" t="s">
        <v>562</v>
      </c>
      <c r="C271" s="327" t="s">
        <v>565</v>
      </c>
      <c r="D271" s="328" t="s">
        <v>225</v>
      </c>
      <c r="E271" s="329" t="s">
        <v>267</v>
      </c>
      <c r="F271" s="330">
        <v>26000000</v>
      </c>
      <c r="G271" s="331">
        <v>99.457999999999998</v>
      </c>
      <c r="H271" s="332">
        <v>6</v>
      </c>
      <c r="I271" s="572"/>
    </row>
    <row r="272" spans="2:9" ht="15">
      <c r="B272" s="347" t="s">
        <v>915</v>
      </c>
      <c r="C272" s="327" t="s">
        <v>565</v>
      </c>
      <c r="D272" s="328" t="s">
        <v>225</v>
      </c>
      <c r="E272" s="329" t="s">
        <v>267</v>
      </c>
      <c r="F272" s="350">
        <v>156000000</v>
      </c>
      <c r="G272" s="351">
        <v>99.457999999999998</v>
      </c>
      <c r="H272" s="332">
        <v>6</v>
      </c>
      <c r="I272" s="572"/>
    </row>
    <row r="273" spans="2:9" ht="15">
      <c r="B273" s="334"/>
      <c r="C273" s="334"/>
      <c r="D273" s="335" t="s">
        <v>702</v>
      </c>
      <c r="E273" s="336"/>
      <c r="F273" s="337">
        <f>SUM(F270:F272)</f>
        <v>416000000</v>
      </c>
      <c r="G273" s="338"/>
      <c r="H273" s="339">
        <f>SUMPRODUCT(F270:F272,H270:H272)/F273</f>
        <v>6</v>
      </c>
      <c r="I273" s="1134"/>
    </row>
    <row r="277" spans="2:9" ht="14.25">
      <c r="D277" s="304" t="s">
        <v>226</v>
      </c>
    </row>
    <row r="278" spans="2:9" ht="15">
      <c r="B278" s="320" t="s">
        <v>770</v>
      </c>
      <c r="C278" s="321"/>
      <c r="D278" s="322" t="s">
        <v>566</v>
      </c>
      <c r="E278" s="323" t="s">
        <v>567</v>
      </c>
      <c r="F278" s="324" t="s">
        <v>568</v>
      </c>
      <c r="G278" s="324" t="s">
        <v>701</v>
      </c>
      <c r="H278" s="325" t="s">
        <v>569</v>
      </c>
      <c r="I278" s="1133"/>
    </row>
    <row r="279" spans="2:9" ht="15">
      <c r="B279" s="371" t="s">
        <v>953</v>
      </c>
      <c r="C279" s="327" t="s">
        <v>565</v>
      </c>
      <c r="D279" s="328" t="s">
        <v>225</v>
      </c>
      <c r="E279" s="329" t="s">
        <v>267</v>
      </c>
      <c r="F279" s="330">
        <v>10000000</v>
      </c>
      <c r="G279" s="331">
        <v>101.15</v>
      </c>
      <c r="H279" s="332">
        <v>5.3750669999999996</v>
      </c>
      <c r="I279" s="572"/>
    </row>
    <row r="280" spans="2:9" ht="15">
      <c r="B280" s="372" t="s">
        <v>953</v>
      </c>
      <c r="C280" s="327" t="s">
        <v>565</v>
      </c>
      <c r="D280" s="328" t="s">
        <v>225</v>
      </c>
      <c r="E280" s="329" t="s">
        <v>267</v>
      </c>
      <c r="F280" s="330">
        <v>4000000</v>
      </c>
      <c r="G280" s="331">
        <v>101.29</v>
      </c>
      <c r="H280" s="332">
        <v>5.3229069999999998</v>
      </c>
      <c r="I280" s="572"/>
    </row>
    <row r="281" spans="2:9" ht="15">
      <c r="B281" s="372" t="s">
        <v>953</v>
      </c>
      <c r="C281" s="327" t="s">
        <v>565</v>
      </c>
      <c r="D281" s="328" t="s">
        <v>225</v>
      </c>
      <c r="E281" s="329" t="s">
        <v>267</v>
      </c>
      <c r="F281" s="330">
        <v>5000000</v>
      </c>
      <c r="G281" s="331">
        <v>101.4</v>
      </c>
      <c r="H281" s="332">
        <v>5.2826550000000001</v>
      </c>
      <c r="I281" s="572"/>
    </row>
    <row r="282" spans="2:9" ht="15">
      <c r="B282" s="372" t="s">
        <v>953</v>
      </c>
      <c r="C282" s="327" t="s">
        <v>565</v>
      </c>
      <c r="D282" s="328" t="s">
        <v>225</v>
      </c>
      <c r="E282" s="329" t="s">
        <v>267</v>
      </c>
      <c r="F282" s="330">
        <v>5000000</v>
      </c>
      <c r="G282" s="331">
        <v>101.45</v>
      </c>
      <c r="H282" s="332">
        <v>5.2623030000000002</v>
      </c>
      <c r="I282" s="572"/>
    </row>
    <row r="283" spans="2:9" ht="15">
      <c r="B283" s="373" t="s">
        <v>953</v>
      </c>
      <c r="C283" s="327" t="s">
        <v>565</v>
      </c>
      <c r="D283" s="328" t="s">
        <v>225</v>
      </c>
      <c r="E283" s="329" t="s">
        <v>267</v>
      </c>
      <c r="F283" s="330">
        <v>1000000</v>
      </c>
      <c r="G283" s="331">
        <v>101.55</v>
      </c>
      <c r="H283" s="332">
        <v>5.2207049999999997</v>
      </c>
      <c r="I283" s="572"/>
    </row>
    <row r="284" spans="2:9" ht="15">
      <c r="B284" s="334"/>
      <c r="C284" s="334"/>
      <c r="D284" s="335" t="s">
        <v>702</v>
      </c>
      <c r="E284" s="336"/>
      <c r="F284" s="337">
        <f>SUM(F279:F283)</f>
        <v>25000000</v>
      </c>
      <c r="G284" s="356">
        <f>SUMPRODUCT(F279:F283,G279:G283)/F284</f>
        <v>101.2984</v>
      </c>
      <c r="H284" s="356">
        <f>SUMPRODUCT(F279:F283,H279:H283)/F284</f>
        <v>5.3195117200000004</v>
      </c>
      <c r="I284" s="1135"/>
    </row>
    <row r="287" spans="2:9" ht="15">
      <c r="B287" s="320" t="s">
        <v>770</v>
      </c>
      <c r="C287" s="321"/>
      <c r="D287" s="322" t="s">
        <v>566</v>
      </c>
      <c r="E287" s="323" t="s">
        <v>567</v>
      </c>
      <c r="F287" s="324" t="s">
        <v>568</v>
      </c>
      <c r="G287" s="324" t="s">
        <v>701</v>
      </c>
      <c r="H287" s="325" t="s">
        <v>569</v>
      </c>
      <c r="I287" s="1133"/>
    </row>
    <row r="288" spans="2:9" ht="15">
      <c r="B288" s="326" t="s">
        <v>562</v>
      </c>
      <c r="C288" s="327" t="s">
        <v>565</v>
      </c>
      <c r="D288" s="328" t="s">
        <v>211</v>
      </c>
      <c r="E288" s="329" t="s">
        <v>212</v>
      </c>
      <c r="F288" s="330">
        <v>135000000</v>
      </c>
      <c r="G288" s="331">
        <v>99.08</v>
      </c>
      <c r="H288" s="332">
        <v>6.2501100000000003</v>
      </c>
      <c r="I288" s="572"/>
    </row>
    <row r="289" spans="2:15" ht="15">
      <c r="B289" s="326" t="s">
        <v>562</v>
      </c>
      <c r="C289" s="327" t="s">
        <v>565</v>
      </c>
      <c r="D289" s="328" t="s">
        <v>211</v>
      </c>
      <c r="E289" s="329" t="s">
        <v>212</v>
      </c>
      <c r="F289" s="330">
        <v>15000000</v>
      </c>
      <c r="G289" s="331">
        <v>99.08</v>
      </c>
      <c r="H289" s="332">
        <v>6.2501100000000003</v>
      </c>
      <c r="I289" s="572"/>
    </row>
    <row r="290" spans="2:15" ht="15">
      <c r="B290" s="373" t="s">
        <v>953</v>
      </c>
      <c r="C290" s="327" t="s">
        <v>565</v>
      </c>
      <c r="D290" s="328" t="s">
        <v>211</v>
      </c>
      <c r="E290" s="329" t="s">
        <v>212</v>
      </c>
      <c r="F290" s="350">
        <v>30000000</v>
      </c>
      <c r="G290" s="331">
        <v>99.08</v>
      </c>
      <c r="H290" s="332">
        <v>6.2501100000000003</v>
      </c>
      <c r="I290" s="572"/>
    </row>
    <row r="291" spans="2:15" ht="15">
      <c r="B291" s="334"/>
      <c r="C291" s="334"/>
      <c r="D291" s="335" t="s">
        <v>702</v>
      </c>
      <c r="E291" s="336"/>
      <c r="F291" s="337">
        <f>SUM(F288:F290)</f>
        <v>180000000</v>
      </c>
      <c r="G291" s="338"/>
      <c r="H291" s="339">
        <f>SUMPRODUCT(F288:F290,H288:H290)/F291</f>
        <v>6.2501100000000003</v>
      </c>
      <c r="I291" s="1134"/>
    </row>
    <row r="294" spans="2:15" ht="15">
      <c r="B294" s="320" t="s">
        <v>770</v>
      </c>
      <c r="C294" s="321"/>
      <c r="D294" s="322" t="s">
        <v>566</v>
      </c>
      <c r="E294" s="323" t="s">
        <v>567</v>
      </c>
      <c r="F294" s="324" t="s">
        <v>568</v>
      </c>
      <c r="G294" s="324" t="s">
        <v>701</v>
      </c>
      <c r="H294" s="325" t="s">
        <v>569</v>
      </c>
      <c r="I294" s="1133"/>
    </row>
    <row r="295" spans="2:15" ht="15">
      <c r="B295" s="326" t="s">
        <v>562</v>
      </c>
      <c r="C295" s="327" t="s">
        <v>565</v>
      </c>
      <c r="D295" s="328" t="s">
        <v>1108</v>
      </c>
      <c r="E295" s="329" t="s">
        <v>1109</v>
      </c>
      <c r="F295" s="330">
        <v>900000000</v>
      </c>
      <c r="G295" s="331">
        <v>98.989000000000004</v>
      </c>
      <c r="H295" s="332">
        <v>5.999943</v>
      </c>
      <c r="I295" s="572"/>
    </row>
    <row r="296" spans="2:15" ht="15">
      <c r="B296" s="326" t="s">
        <v>562</v>
      </c>
      <c r="C296" s="327" t="s">
        <v>565</v>
      </c>
      <c r="D296" s="328" t="s">
        <v>1108</v>
      </c>
      <c r="E296" s="329" t="s">
        <v>1109</v>
      </c>
      <c r="F296" s="330">
        <v>100000000</v>
      </c>
      <c r="G296" s="331">
        <v>98.989000000000004</v>
      </c>
      <c r="H296" s="332">
        <v>5.999943</v>
      </c>
      <c r="I296" s="572"/>
    </row>
    <row r="297" spans="2:15" ht="15">
      <c r="B297" s="334"/>
      <c r="C297" s="334"/>
      <c r="D297" s="335" t="s">
        <v>702</v>
      </c>
      <c r="E297" s="336"/>
      <c r="F297" s="337">
        <f>SUM(F295:F296)</f>
        <v>1000000000</v>
      </c>
      <c r="G297" s="338"/>
      <c r="H297" s="339">
        <f>SUMPRODUCT(F295:F296,H295:H296)/F297</f>
        <v>5.999943</v>
      </c>
      <c r="I297" s="1134"/>
    </row>
    <row r="298" spans="2:15" ht="14.25">
      <c r="K298" s="304" t="s">
        <v>804</v>
      </c>
    </row>
    <row r="299" spans="2:15" s="451" customFormat="1" ht="14.25">
      <c r="D299" s="452" t="s">
        <v>804</v>
      </c>
      <c r="J299" s="451" t="s">
        <v>196</v>
      </c>
      <c r="K299" s="451" t="s">
        <v>264</v>
      </c>
      <c r="M299" s="1231"/>
    </row>
    <row r="300" spans="2:15" ht="15">
      <c r="B300" s="320" t="s">
        <v>835</v>
      </c>
      <c r="C300" s="321"/>
      <c r="D300" s="322" t="s">
        <v>566</v>
      </c>
      <c r="E300" s="323" t="s">
        <v>567</v>
      </c>
      <c r="F300" s="324" t="s">
        <v>568</v>
      </c>
      <c r="G300" s="324" t="s">
        <v>701</v>
      </c>
      <c r="H300" s="325" t="s">
        <v>569</v>
      </c>
      <c r="I300" s="1133"/>
      <c r="O300" t="s">
        <v>1342</v>
      </c>
    </row>
    <row r="301" spans="2:15" ht="15">
      <c r="B301" s="373" t="s">
        <v>953</v>
      </c>
      <c r="C301" s="365" t="s">
        <v>994</v>
      </c>
      <c r="D301" s="328" t="s">
        <v>211</v>
      </c>
      <c r="E301" s="329" t="s">
        <v>212</v>
      </c>
      <c r="F301" s="350">
        <v>2000000</v>
      </c>
      <c r="G301" s="331">
        <v>100.25</v>
      </c>
      <c r="H301" s="332">
        <v>6.0900600000000003</v>
      </c>
      <c r="I301" s="572"/>
      <c r="J301" s="355">
        <f>(G301-G290)*F301/100</f>
        <v>23400.000000000033</v>
      </c>
      <c r="K301" s="355">
        <f>J301*$K$335</f>
        <v>182520.00000000026</v>
      </c>
      <c r="O301" s="355"/>
    </row>
    <row r="302" spans="2:15" ht="15">
      <c r="B302" s="334"/>
      <c r="C302" s="334"/>
      <c r="D302" s="335" t="s">
        <v>702</v>
      </c>
      <c r="E302" s="336"/>
      <c r="F302" s="337">
        <f>SUM(F301:F301)</f>
        <v>2000000</v>
      </c>
      <c r="G302" s="338"/>
      <c r="H302" s="339">
        <f>SUMPRODUCT(F301:F301,H301:H301)/F302</f>
        <v>6.0900600000000003</v>
      </c>
      <c r="I302" s="1134"/>
    </row>
    <row r="304" spans="2:15" ht="15">
      <c r="B304" s="320" t="s">
        <v>770</v>
      </c>
      <c r="C304" s="321"/>
      <c r="D304" s="322" t="s">
        <v>566</v>
      </c>
      <c r="E304" s="323" t="s">
        <v>567</v>
      </c>
      <c r="F304" s="324" t="s">
        <v>568</v>
      </c>
      <c r="G304" s="324" t="s">
        <v>701</v>
      </c>
      <c r="H304" s="325" t="s">
        <v>569</v>
      </c>
      <c r="I304" s="1133"/>
      <c r="J304">
        <v>1.22</v>
      </c>
    </row>
    <row r="305" spans="2:11" ht="15">
      <c r="B305" s="371" t="s">
        <v>953</v>
      </c>
      <c r="C305" s="365" t="s">
        <v>994</v>
      </c>
      <c r="D305" s="328" t="s">
        <v>248</v>
      </c>
      <c r="E305" s="329" t="s">
        <v>267</v>
      </c>
      <c r="F305" s="330">
        <v>2000000</v>
      </c>
      <c r="G305" s="331">
        <v>101.6</v>
      </c>
      <c r="H305" s="332">
        <v>5.1834300000000004</v>
      </c>
      <c r="I305" s="572"/>
      <c r="J305" s="355">
        <f>(G305-101.3)*F305/100</f>
        <v>5999.9999999999427</v>
      </c>
      <c r="K305" s="355">
        <f>J305*J304</f>
        <v>7319.99999999993</v>
      </c>
    </row>
    <row r="306" spans="2:11" ht="15">
      <c r="B306" s="334"/>
      <c r="C306" s="334"/>
      <c r="D306" s="335" t="s">
        <v>702</v>
      </c>
      <c r="E306" s="336"/>
      <c r="F306" s="337">
        <f>SUM(F305:F305)</f>
        <v>2000000</v>
      </c>
      <c r="G306" s="338"/>
      <c r="H306" s="356">
        <f>SUMPRODUCT(F305:F305,H305:H305)/F306</f>
        <v>5.1834300000000004</v>
      </c>
      <c r="I306" s="1135"/>
      <c r="K306" s="408">
        <f>K305+K301</f>
        <v>189840.0000000002</v>
      </c>
    </row>
    <row r="309" spans="2:11" ht="14.25">
      <c r="D309" s="304" t="s">
        <v>483</v>
      </c>
      <c r="J309" t="s">
        <v>63</v>
      </c>
      <c r="K309" s="304" t="s">
        <v>483</v>
      </c>
    </row>
    <row r="310" spans="2:11" ht="15">
      <c r="B310" s="320" t="s">
        <v>770</v>
      </c>
      <c r="C310" s="321"/>
      <c r="D310" s="322" t="s">
        <v>566</v>
      </c>
      <c r="E310" s="323" t="s">
        <v>567</v>
      </c>
      <c r="F310" s="324" t="s">
        <v>568</v>
      </c>
      <c r="G310" s="324" t="s">
        <v>701</v>
      </c>
      <c r="H310" s="325" t="s">
        <v>569</v>
      </c>
      <c r="I310" s="1133"/>
    </row>
    <row r="311" spans="2:11" ht="15">
      <c r="B311" s="371" t="s">
        <v>953</v>
      </c>
      <c r="C311" s="327" t="s">
        <v>565</v>
      </c>
      <c r="D311" s="328" t="s">
        <v>211</v>
      </c>
      <c r="E311" s="329" t="s">
        <v>212</v>
      </c>
      <c r="F311" s="330">
        <v>2000000</v>
      </c>
      <c r="G311" s="331">
        <v>95</v>
      </c>
      <c r="H311" s="332">
        <v>6.8282400000000001</v>
      </c>
      <c r="I311" s="572"/>
    </row>
    <row r="312" spans="2:11" ht="15">
      <c r="B312" s="373" t="s">
        <v>953</v>
      </c>
      <c r="C312" s="327" t="s">
        <v>565</v>
      </c>
      <c r="D312" s="328" t="s">
        <v>211</v>
      </c>
      <c r="E312" s="329" t="s">
        <v>212</v>
      </c>
      <c r="F312" s="350">
        <v>1000000</v>
      </c>
      <c r="G312" s="331">
        <v>94.5</v>
      </c>
      <c r="H312" s="332">
        <v>6.90123</v>
      </c>
      <c r="I312" s="572"/>
    </row>
    <row r="313" spans="2:11" ht="15">
      <c r="B313" s="334"/>
      <c r="C313" s="334"/>
      <c r="D313" s="335" t="s">
        <v>702</v>
      </c>
      <c r="E313" s="336"/>
      <c r="F313" s="337">
        <f>SUM(F311:F312)</f>
        <v>3000000</v>
      </c>
      <c r="G313" s="339">
        <f>SUMPRODUCT(F311:F312,G311:G312)/F313</f>
        <v>94.833333333333329</v>
      </c>
      <c r="H313" s="339">
        <f>SUMPRODUCT(F311:F312,H311:H312)/F313</f>
        <v>6.8525700000000001</v>
      </c>
      <c r="I313" s="1134"/>
    </row>
    <row r="315" spans="2:11" ht="15">
      <c r="B315" s="320" t="s">
        <v>770</v>
      </c>
      <c r="C315" s="321"/>
      <c r="D315" s="322" t="s">
        <v>566</v>
      </c>
      <c r="E315" s="323" t="s">
        <v>567</v>
      </c>
      <c r="F315" s="324" t="s">
        <v>568</v>
      </c>
      <c r="G315" s="324" t="s">
        <v>701</v>
      </c>
      <c r="H315" s="325" t="s">
        <v>569</v>
      </c>
      <c r="I315" s="1133"/>
      <c r="J315">
        <v>1.22</v>
      </c>
      <c r="K315" t="s">
        <v>264</v>
      </c>
    </row>
    <row r="316" spans="2:11" ht="15">
      <c r="B316" s="371" t="s">
        <v>953</v>
      </c>
      <c r="C316" s="358" t="s">
        <v>994</v>
      </c>
      <c r="D316" s="328" t="s">
        <v>248</v>
      </c>
      <c r="E316" s="329" t="s">
        <v>267</v>
      </c>
      <c r="F316" s="330">
        <v>3000000</v>
      </c>
      <c r="G316" s="331">
        <v>102</v>
      </c>
      <c r="H316" s="332">
        <v>5.019183</v>
      </c>
      <c r="I316" s="572"/>
      <c r="J316" s="355">
        <f>(G316-101.3)*F316/100</f>
        <v>21000.000000000084</v>
      </c>
      <c r="K316" s="355">
        <f>J316*J315</f>
        <v>25620.000000000102</v>
      </c>
    </row>
    <row r="317" spans="2:11" ht="15">
      <c r="B317" s="372" t="s">
        <v>953</v>
      </c>
      <c r="C317" s="365" t="s">
        <v>994</v>
      </c>
      <c r="D317" s="328" t="s">
        <v>248</v>
      </c>
      <c r="E317" s="329" t="s">
        <v>267</v>
      </c>
      <c r="F317" s="330">
        <v>3000000</v>
      </c>
      <c r="G317" s="331">
        <v>102.3</v>
      </c>
      <c r="H317" s="332">
        <v>4.9009799999999997</v>
      </c>
      <c r="I317" s="572"/>
      <c r="J317" s="355">
        <f>(G317-101.3)*F317/100</f>
        <v>30000</v>
      </c>
      <c r="K317" s="355">
        <f>J317*J315</f>
        <v>36600</v>
      </c>
    </row>
    <row r="318" spans="2:11" ht="15">
      <c r="B318" s="334"/>
      <c r="C318" s="334"/>
      <c r="D318" s="335" t="s">
        <v>702</v>
      </c>
      <c r="E318" s="336"/>
      <c r="F318" s="337">
        <f>SUM(F316:F317)</f>
        <v>6000000</v>
      </c>
      <c r="G318" s="338"/>
      <c r="H318" s="356">
        <f>SUMPRODUCT(F316:F317,H316:H317)/F318</f>
        <v>4.9600815000000003</v>
      </c>
      <c r="I318" s="1135"/>
      <c r="K318" s="407">
        <f>SUM(K317+K316)</f>
        <v>62220.000000000102</v>
      </c>
    </row>
    <row r="320" spans="2:11" ht="15">
      <c r="B320" s="320" t="s">
        <v>770</v>
      </c>
      <c r="C320" s="321"/>
      <c r="D320" s="322" t="s">
        <v>566</v>
      </c>
      <c r="E320" s="323" t="s">
        <v>567</v>
      </c>
      <c r="F320" s="324" t="s">
        <v>568</v>
      </c>
      <c r="G320" s="324" t="s">
        <v>701</v>
      </c>
      <c r="H320" s="325" t="s">
        <v>569</v>
      </c>
      <c r="I320" s="1133"/>
    </row>
    <row r="321" spans="2:11" ht="15">
      <c r="B321" s="326" t="s">
        <v>562</v>
      </c>
      <c r="C321" s="327" t="s">
        <v>565</v>
      </c>
      <c r="D321" s="328" t="s">
        <v>42</v>
      </c>
      <c r="E321" s="329" t="s">
        <v>212</v>
      </c>
      <c r="F321" s="330">
        <v>356400000</v>
      </c>
      <c r="G321" s="331">
        <v>100</v>
      </c>
      <c r="H321" s="332">
        <v>6.1</v>
      </c>
      <c r="I321" s="572"/>
    </row>
    <row r="322" spans="2:11" ht="15">
      <c r="B322" s="326" t="s">
        <v>562</v>
      </c>
      <c r="C322" s="327" t="s">
        <v>565</v>
      </c>
      <c r="D322" s="328" t="s">
        <v>42</v>
      </c>
      <c r="E322" s="329" t="s">
        <v>212</v>
      </c>
      <c r="F322" s="330">
        <v>39600000</v>
      </c>
      <c r="G322" s="331">
        <v>100</v>
      </c>
      <c r="H322" s="332">
        <v>6.1</v>
      </c>
      <c r="I322" s="572"/>
    </row>
    <row r="323" spans="2:11" ht="15">
      <c r="B323" s="326" t="s">
        <v>49</v>
      </c>
      <c r="C323" s="327" t="s">
        <v>565</v>
      </c>
      <c r="D323" s="328" t="s">
        <v>42</v>
      </c>
      <c r="E323" s="329" t="s">
        <v>212</v>
      </c>
      <c r="F323" s="350">
        <v>4000000</v>
      </c>
      <c r="G323" s="331">
        <v>100</v>
      </c>
      <c r="H323" s="332">
        <v>6.1</v>
      </c>
      <c r="I323" s="572"/>
    </row>
    <row r="324" spans="2:11" ht="15">
      <c r="B324" s="334"/>
      <c r="C324" s="334"/>
      <c r="D324" s="335" t="s">
        <v>702</v>
      </c>
      <c r="E324" s="336"/>
      <c r="F324" s="337">
        <f>SUM(F321:F323)</f>
        <v>400000000</v>
      </c>
      <c r="G324" s="338"/>
      <c r="H324" s="339">
        <f>SUMPRODUCT(F321:F323,H321:H323)/F324</f>
        <v>6.1</v>
      </c>
      <c r="I324" s="1134"/>
    </row>
    <row r="326" spans="2:11" ht="15">
      <c r="B326" s="320" t="s">
        <v>770</v>
      </c>
      <c r="C326" s="321"/>
      <c r="D326" s="322" t="s">
        <v>566</v>
      </c>
      <c r="E326" s="323" t="s">
        <v>567</v>
      </c>
      <c r="F326" s="324" t="s">
        <v>568</v>
      </c>
      <c r="G326" s="324" t="s">
        <v>701</v>
      </c>
      <c r="H326" s="325" t="s">
        <v>569</v>
      </c>
      <c r="I326" s="1133"/>
    </row>
    <row r="327" spans="2:11" ht="15">
      <c r="B327" s="373" t="s">
        <v>953</v>
      </c>
      <c r="C327" s="327" t="s">
        <v>565</v>
      </c>
      <c r="D327" s="328" t="s">
        <v>46</v>
      </c>
      <c r="E327" s="329" t="s">
        <v>212</v>
      </c>
      <c r="F327" s="350">
        <v>30000000</v>
      </c>
      <c r="G327" s="331">
        <v>100</v>
      </c>
      <c r="H327" s="332">
        <v>5.7</v>
      </c>
      <c r="I327" s="572"/>
      <c r="J327" s="355"/>
    </row>
    <row r="328" spans="2:11" ht="15">
      <c r="B328" s="334"/>
      <c r="C328" s="334"/>
      <c r="D328" s="335" t="s">
        <v>702</v>
      </c>
      <c r="E328" s="336"/>
      <c r="F328" s="337">
        <f>SUM(F327:F327)</f>
        <v>30000000</v>
      </c>
      <c r="G328" s="338"/>
      <c r="H328" s="339">
        <f>SUMPRODUCT(F327:F327,H327:H327)/F328</f>
        <v>5.7</v>
      </c>
      <c r="I328" s="1134"/>
    </row>
    <row r="330" spans="2:11" ht="14.25">
      <c r="D330" s="304" t="s">
        <v>59</v>
      </c>
      <c r="J330" t="s">
        <v>63</v>
      </c>
      <c r="K330" s="304" t="s">
        <v>59</v>
      </c>
    </row>
    <row r="331" spans="2:11" ht="15">
      <c r="B331" s="320" t="s">
        <v>1033</v>
      </c>
      <c r="C331" s="321"/>
      <c r="D331" s="322" t="s">
        <v>566</v>
      </c>
      <c r="E331" s="323" t="s">
        <v>567</v>
      </c>
      <c r="F331" s="324" t="s">
        <v>568</v>
      </c>
      <c r="G331" s="324" t="s">
        <v>701</v>
      </c>
      <c r="H331" s="325" t="s">
        <v>569</v>
      </c>
      <c r="I331" s="1133"/>
    </row>
    <row r="332" spans="2:11" ht="15">
      <c r="B332" s="373" t="s">
        <v>953</v>
      </c>
      <c r="C332" s="327" t="s">
        <v>565</v>
      </c>
      <c r="D332" s="328" t="s">
        <v>51</v>
      </c>
      <c r="E332" s="329" t="s">
        <v>212</v>
      </c>
      <c r="F332" s="350">
        <v>10000000</v>
      </c>
      <c r="G332" s="331">
        <v>100</v>
      </c>
      <c r="H332" s="332">
        <v>5.125</v>
      </c>
      <c r="I332" s="572"/>
      <c r="J332" s="355"/>
    </row>
    <row r="333" spans="2:11" ht="15">
      <c r="B333" s="334"/>
      <c r="C333" s="334"/>
      <c r="D333" s="335" t="s">
        <v>702</v>
      </c>
      <c r="E333" s="336"/>
      <c r="F333" s="337">
        <f>SUM(F332:F332)</f>
        <v>10000000</v>
      </c>
      <c r="G333" s="338"/>
      <c r="H333" s="339">
        <f>SUMPRODUCT(F332:F332,H332:H332)/F333</f>
        <v>5.125</v>
      </c>
      <c r="I333" s="1134"/>
      <c r="K333" t="s">
        <v>264</v>
      </c>
    </row>
    <row r="335" spans="2:11" ht="15">
      <c r="B335" s="320" t="s">
        <v>770</v>
      </c>
      <c r="C335" s="321"/>
      <c r="D335" s="322" t="s">
        <v>566</v>
      </c>
      <c r="E335" s="323" t="s">
        <v>567</v>
      </c>
      <c r="F335" s="324" t="s">
        <v>568</v>
      </c>
      <c r="G335" s="324" t="s">
        <v>701</v>
      </c>
      <c r="H335" s="325" t="s">
        <v>569</v>
      </c>
      <c r="I335" s="1133"/>
      <c r="K335">
        <v>7.8</v>
      </c>
    </row>
    <row r="336" spans="2:11" ht="15">
      <c r="B336" s="371" t="s">
        <v>953</v>
      </c>
      <c r="C336" s="358" t="s">
        <v>994</v>
      </c>
      <c r="D336" s="402" t="s">
        <v>46</v>
      </c>
      <c r="E336" s="403" t="s">
        <v>212</v>
      </c>
      <c r="F336" s="404">
        <v>2000000</v>
      </c>
      <c r="G336" s="331">
        <v>102.05</v>
      </c>
      <c r="H336" s="332">
        <v>5.3444950000000002</v>
      </c>
      <c r="I336" s="572"/>
      <c r="J336" s="355">
        <f>(G336-100)*F336/100</f>
        <v>40999.999999999942</v>
      </c>
      <c r="K336" s="355">
        <f>J336*$K$335</f>
        <v>319799.99999999953</v>
      </c>
    </row>
    <row r="337" spans="1:12" ht="15">
      <c r="B337" s="372" t="s">
        <v>953</v>
      </c>
      <c r="C337" s="405" t="s">
        <v>994</v>
      </c>
      <c r="D337" s="328" t="s">
        <v>46</v>
      </c>
      <c r="E337" s="329" t="s">
        <v>212</v>
      </c>
      <c r="F337" s="330">
        <v>2000000</v>
      </c>
      <c r="G337" s="331">
        <v>102.6</v>
      </c>
      <c r="H337" s="332">
        <v>5.250432</v>
      </c>
      <c r="I337" s="572"/>
      <c r="J337" s="355">
        <f>(G337-100)*F337/100</f>
        <v>51999.999999999891</v>
      </c>
      <c r="K337" s="355">
        <f>J337*$K$335</f>
        <v>405599.99999999913</v>
      </c>
    </row>
    <row r="338" spans="1:12" ht="15">
      <c r="B338" s="372" t="s">
        <v>953</v>
      </c>
      <c r="C338" s="405" t="s">
        <v>994</v>
      </c>
      <c r="D338" s="328" t="s">
        <v>47</v>
      </c>
      <c r="E338" s="329" t="s">
        <v>212</v>
      </c>
      <c r="F338" s="330">
        <v>1000000</v>
      </c>
      <c r="G338" s="331">
        <v>103</v>
      </c>
      <c r="H338" s="332">
        <v>5.1821080000000004</v>
      </c>
      <c r="I338" s="572"/>
      <c r="J338" s="355">
        <f>(G338-100)*F338/100</f>
        <v>30000</v>
      </c>
      <c r="K338" s="355">
        <f>J338*$K$335</f>
        <v>234000</v>
      </c>
    </row>
    <row r="339" spans="1:12" ht="15">
      <c r="A339" t="s">
        <v>1111</v>
      </c>
      <c r="B339" s="373" t="s">
        <v>953</v>
      </c>
      <c r="C339" s="365" t="s">
        <v>994</v>
      </c>
      <c r="D339" s="349" t="s">
        <v>47</v>
      </c>
      <c r="E339" s="406" t="s">
        <v>212</v>
      </c>
      <c r="F339" s="350">
        <v>2000000</v>
      </c>
      <c r="G339" s="351">
        <v>102.05</v>
      </c>
      <c r="H339" s="332">
        <v>5.3424300000000002</v>
      </c>
      <c r="I339" s="572"/>
      <c r="J339" s="355">
        <f>(G339-100)*F339/100</f>
        <v>40999.999999999942</v>
      </c>
      <c r="K339" s="355">
        <f>J339*$K$335</f>
        <v>319799.99999999953</v>
      </c>
    </row>
    <row r="340" spans="1:12" ht="15">
      <c r="B340" s="334"/>
      <c r="C340" s="334"/>
      <c r="D340" s="335" t="s">
        <v>702</v>
      </c>
      <c r="E340" s="336"/>
      <c r="F340" s="337">
        <f>SUM(F336:F339)</f>
        <v>7000000</v>
      </c>
      <c r="G340" s="339">
        <f>SUMPRODUCT(F336:F339,G336:G339)/F340</f>
        <v>102.34285714285714</v>
      </c>
      <c r="H340" s="339">
        <f>SUMPRODUCT(F336:F339,H336:H339)/F340</f>
        <v>5.2938317142857141</v>
      </c>
      <c r="I340" s="1134"/>
      <c r="K340" s="355"/>
    </row>
    <row r="341" spans="1:12">
      <c r="K341" s="355"/>
    </row>
    <row r="342" spans="1:12" ht="15">
      <c r="B342" s="320" t="s">
        <v>770</v>
      </c>
      <c r="C342" s="321"/>
      <c r="D342" s="322" t="s">
        <v>566</v>
      </c>
      <c r="E342" s="323" t="s">
        <v>567</v>
      </c>
      <c r="F342" s="324" t="s">
        <v>568</v>
      </c>
      <c r="G342" s="324" t="s">
        <v>701</v>
      </c>
      <c r="H342" s="325" t="s">
        <v>569</v>
      </c>
      <c r="I342" s="1133"/>
      <c r="J342">
        <v>1.22</v>
      </c>
      <c r="K342" s="355"/>
    </row>
    <row r="343" spans="1:12" ht="15">
      <c r="B343" s="371" t="s">
        <v>953</v>
      </c>
      <c r="C343" s="358" t="s">
        <v>994</v>
      </c>
      <c r="D343" s="328" t="s">
        <v>248</v>
      </c>
      <c r="E343" s="329" t="s">
        <v>267</v>
      </c>
      <c r="F343" s="330">
        <v>2000000</v>
      </c>
      <c r="G343" s="331">
        <v>103.15</v>
      </c>
      <c r="H343" s="332">
        <v>4.5572460000000001</v>
      </c>
      <c r="I343" s="572"/>
      <c r="J343" s="355">
        <f>(G343-101.3)*F343/100</f>
        <v>37000.000000000175</v>
      </c>
      <c r="K343" s="355">
        <f>J343*J342</f>
        <v>45140.000000000211</v>
      </c>
    </row>
    <row r="344" spans="1:12" ht="15">
      <c r="B344" s="334"/>
      <c r="C344" s="334"/>
      <c r="D344" s="335" t="s">
        <v>702</v>
      </c>
      <c r="E344" s="336"/>
      <c r="F344" s="337">
        <f>SUM(F343:F343)</f>
        <v>2000000</v>
      </c>
      <c r="G344" s="338"/>
      <c r="H344" s="356">
        <f>SUMPRODUCT(F343:F343,H343:H343)/F344</f>
        <v>4.5572460000000001</v>
      </c>
      <c r="I344" s="1135"/>
      <c r="K344" s="355"/>
    </row>
    <row r="345" spans="1:12">
      <c r="K345" s="355"/>
    </row>
    <row r="346" spans="1:12" ht="15">
      <c r="B346" s="320" t="s">
        <v>770</v>
      </c>
      <c r="C346" s="321"/>
      <c r="D346" s="322" t="s">
        <v>566</v>
      </c>
      <c r="E346" s="323" t="s">
        <v>567</v>
      </c>
      <c r="F346" s="324" t="s">
        <v>568</v>
      </c>
      <c r="G346" s="324" t="s">
        <v>701</v>
      </c>
      <c r="H346" s="325" t="s">
        <v>569</v>
      </c>
      <c r="I346" s="1133"/>
    </row>
    <row r="347" spans="1:12" ht="15">
      <c r="B347" s="371" t="s">
        <v>953</v>
      </c>
      <c r="C347" s="358" t="s">
        <v>994</v>
      </c>
      <c r="D347" s="328" t="s">
        <v>186</v>
      </c>
      <c r="E347" s="329" t="s">
        <v>212</v>
      </c>
      <c r="F347" s="404">
        <v>2000000</v>
      </c>
      <c r="G347" s="331">
        <v>101.25</v>
      </c>
      <c r="H347" s="332">
        <v>4.9644550000000001</v>
      </c>
      <c r="I347" s="572"/>
      <c r="J347" s="355">
        <f>(G347-G332)*F347/100</f>
        <v>25000</v>
      </c>
      <c r="K347" s="355">
        <f>J347*$K$335</f>
        <v>195000</v>
      </c>
    </row>
    <row r="348" spans="1:12" ht="15">
      <c r="B348" s="372" t="s">
        <v>953</v>
      </c>
      <c r="C348" s="405" t="s">
        <v>994</v>
      </c>
      <c r="D348" s="328" t="s">
        <v>186</v>
      </c>
      <c r="E348" s="329" t="s">
        <v>212</v>
      </c>
      <c r="F348" s="330">
        <v>2000000</v>
      </c>
      <c r="G348" s="331">
        <v>100.8</v>
      </c>
      <c r="H348" s="332">
        <v>5.02182</v>
      </c>
      <c r="I348" s="572"/>
      <c r="J348" s="355">
        <f>(G348-100)*F348/100</f>
        <v>15999.999999999944</v>
      </c>
      <c r="K348" s="355">
        <f>J348*$K$335</f>
        <v>124799.99999999956</v>
      </c>
    </row>
    <row r="349" spans="1:12" ht="15">
      <c r="B349" s="372" t="s">
        <v>953</v>
      </c>
      <c r="C349" s="405" t="s">
        <v>994</v>
      </c>
      <c r="D349" s="328" t="s">
        <v>51</v>
      </c>
      <c r="E349" s="329" t="s">
        <v>212</v>
      </c>
      <c r="F349" s="330">
        <v>2000000</v>
      </c>
      <c r="G349" s="331">
        <v>100.75</v>
      </c>
      <c r="H349" s="332">
        <v>5.0282299999999998</v>
      </c>
      <c r="I349" s="572"/>
      <c r="J349" s="355">
        <f>(G349-100)*F349/100</f>
        <v>15000</v>
      </c>
      <c r="K349" s="355">
        <f>J349*$K$335</f>
        <v>117000</v>
      </c>
    </row>
    <row r="350" spans="1:12" ht="15">
      <c r="B350" s="372" t="s">
        <v>953</v>
      </c>
      <c r="C350" s="405" t="s">
        <v>994</v>
      </c>
      <c r="D350" s="328" t="s">
        <v>51</v>
      </c>
      <c r="E350" s="329" t="s">
        <v>212</v>
      </c>
      <c r="F350" s="330">
        <v>2000000</v>
      </c>
      <c r="G350" s="331">
        <v>100.625</v>
      </c>
      <c r="H350" s="332">
        <v>5.0442600000000004</v>
      </c>
      <c r="I350" s="572"/>
      <c r="J350" s="355">
        <f>(G350-100)*F350/100</f>
        <v>12500</v>
      </c>
      <c r="K350" s="355">
        <f>J350*$K$335</f>
        <v>97500</v>
      </c>
    </row>
    <row r="351" spans="1:12" ht="15">
      <c r="B351" s="373" t="s">
        <v>953</v>
      </c>
      <c r="C351" s="365" t="s">
        <v>994</v>
      </c>
      <c r="D351" s="328" t="s">
        <v>186</v>
      </c>
      <c r="E351" s="329" t="s">
        <v>212</v>
      </c>
      <c r="F351" s="350">
        <v>2000000</v>
      </c>
      <c r="G351" s="331">
        <v>101</v>
      </c>
      <c r="H351" s="332">
        <v>4.9961900000000004</v>
      </c>
      <c r="I351" s="572"/>
      <c r="J351" s="355">
        <f>(G351-100)*F351/100</f>
        <v>20000</v>
      </c>
      <c r="K351" s="355">
        <f>J351*$K$335</f>
        <v>156000</v>
      </c>
      <c r="L351" s="139">
        <v>43525</v>
      </c>
    </row>
    <row r="352" spans="1:12" ht="15">
      <c r="B352" s="334"/>
      <c r="C352" s="334"/>
      <c r="D352" s="335" t="s">
        <v>702</v>
      </c>
      <c r="E352" s="336"/>
      <c r="F352" s="337">
        <f>SUM(F347:F351)</f>
        <v>10000000</v>
      </c>
      <c r="G352" s="338"/>
      <c r="H352" s="339">
        <f>SUMPRODUCT(F347:F351,H347:H351)/F352</f>
        <v>5.0109909999999998</v>
      </c>
      <c r="I352" s="1134"/>
      <c r="K352" s="355"/>
    </row>
    <row r="353" spans="2:15">
      <c r="K353" s="355"/>
    </row>
    <row r="354" spans="2:15" ht="15">
      <c r="B354" s="320" t="s">
        <v>770</v>
      </c>
      <c r="C354" s="321"/>
      <c r="D354" s="322" t="s">
        <v>566</v>
      </c>
      <c r="E354" s="323" t="s">
        <v>567</v>
      </c>
      <c r="F354" s="324" t="s">
        <v>568</v>
      </c>
      <c r="G354" s="324" t="s">
        <v>701</v>
      </c>
      <c r="H354" s="325" t="s">
        <v>569</v>
      </c>
      <c r="I354" s="1133"/>
      <c r="K354" s="355"/>
      <c r="M354" s="1142" t="s">
        <v>723</v>
      </c>
    </row>
    <row r="355" spans="2:15" ht="15">
      <c r="B355" s="371" t="s">
        <v>953</v>
      </c>
      <c r="C355" s="358" t="s">
        <v>994</v>
      </c>
      <c r="D355" s="328" t="s">
        <v>191</v>
      </c>
      <c r="E355" s="329" t="s">
        <v>212</v>
      </c>
      <c r="F355" s="330">
        <v>500000</v>
      </c>
      <c r="G355" s="331">
        <v>116.37</v>
      </c>
      <c r="H355" s="332">
        <v>2.3031160000000002</v>
      </c>
      <c r="I355" s="572"/>
      <c r="J355" s="355">
        <f>(G355-91.03)*F355/100</f>
        <v>126700.00000000001</v>
      </c>
      <c r="K355" s="355">
        <f>J355*$K$335</f>
        <v>988260.00000000012</v>
      </c>
      <c r="L355" s="139">
        <v>43525</v>
      </c>
      <c r="M355" s="1142" t="s">
        <v>197</v>
      </c>
      <c r="O355" s="106"/>
    </row>
    <row r="356" spans="2:15" ht="15">
      <c r="B356" s="334"/>
      <c r="C356" s="334"/>
      <c r="D356" s="335" t="s">
        <v>702</v>
      </c>
      <c r="E356" s="336"/>
      <c r="F356" s="337">
        <f>SUM(F355:F355)</f>
        <v>500000</v>
      </c>
      <c r="G356" s="338"/>
      <c r="H356" s="356">
        <f>SUMPRODUCT(F355:F355,H355:H355)/F356</f>
        <v>2.3031160000000002</v>
      </c>
      <c r="I356" s="1135"/>
      <c r="K356" s="355"/>
      <c r="M356" s="1142" t="s">
        <v>199</v>
      </c>
      <c r="N356" t="s">
        <v>198</v>
      </c>
      <c r="O356" t="s">
        <v>204</v>
      </c>
    </row>
    <row r="357" spans="2:15">
      <c r="K357" s="407">
        <f>SUM(K336:K356)</f>
        <v>3002899.9999999981</v>
      </c>
      <c r="M357" s="1232">
        <f>K357+K318+K306</f>
        <v>3254959.9999999981</v>
      </c>
      <c r="N357" s="355">
        <f>M357-K355-K351</f>
        <v>2110699.9999999981</v>
      </c>
      <c r="O357" s="106">
        <v>1784212.48</v>
      </c>
    </row>
    <row r="358" spans="2:15" ht="14.25">
      <c r="D358" s="304" t="s">
        <v>716</v>
      </c>
      <c r="K358" s="355"/>
      <c r="O358" t="s">
        <v>200</v>
      </c>
    </row>
    <row r="359" spans="2:15" ht="15">
      <c r="B359" s="320" t="s">
        <v>770</v>
      </c>
      <c r="C359" s="321"/>
      <c r="D359" s="322" t="s">
        <v>566</v>
      </c>
      <c r="E359" s="323" t="s">
        <v>567</v>
      </c>
      <c r="F359" s="324" t="s">
        <v>568</v>
      </c>
      <c r="G359" s="324" t="s">
        <v>701</v>
      </c>
      <c r="H359" s="325" t="s">
        <v>569</v>
      </c>
      <c r="I359" s="1133"/>
      <c r="O359" s="106">
        <v>77439.23</v>
      </c>
    </row>
    <row r="360" spans="2:15" ht="15">
      <c r="B360" s="326" t="s">
        <v>771</v>
      </c>
      <c r="C360" s="365" t="s">
        <v>994</v>
      </c>
      <c r="D360" s="328" t="s">
        <v>705</v>
      </c>
      <c r="E360" s="329" t="s">
        <v>212</v>
      </c>
      <c r="F360" s="350">
        <v>7000000</v>
      </c>
      <c r="G360" s="331">
        <v>23.34</v>
      </c>
      <c r="H360" s="332">
        <v>18.209083</v>
      </c>
      <c r="I360" s="572"/>
      <c r="J360" s="355" t="s">
        <v>722</v>
      </c>
      <c r="K360" s="355"/>
    </row>
    <row r="361" spans="2:15" ht="15">
      <c r="B361" s="334"/>
      <c r="C361" s="334"/>
      <c r="D361" s="335" t="s">
        <v>702</v>
      </c>
      <c r="E361" s="336"/>
      <c r="F361" s="337">
        <f>SUM(F360:F360)</f>
        <v>7000000</v>
      </c>
      <c r="G361" s="338"/>
      <c r="H361" s="339">
        <f>SUMPRODUCT(F360:F360,H360:H360)/F361</f>
        <v>18.209083</v>
      </c>
      <c r="I361" s="1134"/>
      <c r="K361" s="355"/>
    </row>
    <row r="362" spans="2:15">
      <c r="K362" s="355"/>
    </row>
    <row r="363" spans="2:15" ht="15">
      <c r="B363" s="320" t="s">
        <v>770</v>
      </c>
      <c r="C363" s="321"/>
      <c r="D363" s="322" t="s">
        <v>566</v>
      </c>
      <c r="E363" s="323" t="s">
        <v>567</v>
      </c>
      <c r="F363" s="324" t="s">
        <v>568</v>
      </c>
      <c r="G363" s="324" t="s">
        <v>701</v>
      </c>
      <c r="H363" s="325" t="s">
        <v>569</v>
      </c>
      <c r="I363" s="1133"/>
      <c r="K363" s="355"/>
      <c r="O363" s="106">
        <v>77439.23</v>
      </c>
    </row>
    <row r="364" spans="2:15" ht="15">
      <c r="B364" s="326" t="s">
        <v>513</v>
      </c>
      <c r="C364" s="327" t="s">
        <v>565</v>
      </c>
      <c r="D364" s="328" t="s">
        <v>719</v>
      </c>
      <c r="E364" s="329" t="s">
        <v>212</v>
      </c>
      <c r="F364" s="350">
        <v>100000000</v>
      </c>
      <c r="G364" s="331">
        <v>99.206999999999994</v>
      </c>
      <c r="H364" s="332">
        <v>4.5</v>
      </c>
      <c r="I364" s="572"/>
      <c r="K364" s="355"/>
    </row>
    <row r="365" spans="2:15" ht="15">
      <c r="B365" s="326" t="s">
        <v>513</v>
      </c>
      <c r="C365" s="327" t="s">
        <v>565</v>
      </c>
      <c r="D365" s="328" t="s">
        <v>719</v>
      </c>
      <c r="E365" s="329" t="s">
        <v>212</v>
      </c>
      <c r="F365" s="350">
        <v>50000000</v>
      </c>
      <c r="G365" s="331">
        <v>99.206999999999994</v>
      </c>
      <c r="H365" s="332">
        <v>4.50014</v>
      </c>
      <c r="I365" s="572"/>
      <c r="K365" s="355"/>
    </row>
    <row r="366" spans="2:15" ht="15">
      <c r="B366" s="334"/>
      <c r="C366" s="334"/>
      <c r="D366" s="335" t="s">
        <v>702</v>
      </c>
      <c r="E366" s="336"/>
      <c r="F366" s="337">
        <f>SUM(F364:F365)</f>
        <v>150000000</v>
      </c>
      <c r="G366" s="338"/>
      <c r="H366" s="339">
        <f>SUMPRODUCT(F364:F365,H364:H365)/F366</f>
        <v>4.500046666666667</v>
      </c>
      <c r="I366" s="1134"/>
      <c r="K366" s="355"/>
    </row>
    <row r="367" spans="2:15">
      <c r="K367" s="355"/>
    </row>
    <row r="368" spans="2:15" ht="15">
      <c r="B368" s="320" t="s">
        <v>770</v>
      </c>
      <c r="C368" s="321"/>
      <c r="D368" s="322" t="s">
        <v>566</v>
      </c>
      <c r="E368" s="323" t="s">
        <v>567</v>
      </c>
      <c r="F368" s="324" t="s">
        <v>568</v>
      </c>
      <c r="G368" s="324" t="s">
        <v>701</v>
      </c>
      <c r="H368" s="325" t="s">
        <v>569</v>
      </c>
      <c r="I368" s="1133"/>
      <c r="K368">
        <v>7.8</v>
      </c>
    </row>
    <row r="369" spans="2:15" ht="15">
      <c r="B369" s="371" t="s">
        <v>953</v>
      </c>
      <c r="C369" s="358" t="s">
        <v>994</v>
      </c>
      <c r="D369" s="402" t="s">
        <v>46</v>
      </c>
      <c r="E369" s="403" t="s">
        <v>212</v>
      </c>
      <c r="F369" s="404">
        <v>1000000</v>
      </c>
      <c r="G369" s="331">
        <v>104.5</v>
      </c>
      <c r="H369" s="332">
        <v>4.9203000000000001</v>
      </c>
      <c r="I369" s="572"/>
      <c r="J369" s="355">
        <f>(G369-100)*F369/100</f>
        <v>45000</v>
      </c>
      <c r="K369" s="355">
        <f>J369*$K$335</f>
        <v>351000</v>
      </c>
    </row>
    <row r="370" spans="2:15" ht="15">
      <c r="B370" s="371" t="s">
        <v>953</v>
      </c>
      <c r="C370" s="358" t="s">
        <v>994</v>
      </c>
      <c r="D370" s="402" t="s">
        <v>46</v>
      </c>
      <c r="E370" s="403" t="s">
        <v>212</v>
      </c>
      <c r="F370" s="404">
        <v>1000000</v>
      </c>
      <c r="G370" s="331">
        <v>105.11</v>
      </c>
      <c r="H370" s="332">
        <v>4.8169430000000002</v>
      </c>
      <c r="I370" s="572"/>
      <c r="J370" s="355">
        <f>(G370-100)*F370/100</f>
        <v>51099.999999999993</v>
      </c>
      <c r="K370" s="355">
        <f>J370*$K$335</f>
        <v>398579.99999999994</v>
      </c>
    </row>
    <row r="371" spans="2:15" ht="15">
      <c r="B371" s="371" t="s">
        <v>953</v>
      </c>
      <c r="C371" s="358" t="s">
        <v>994</v>
      </c>
      <c r="D371" s="402" t="s">
        <v>46</v>
      </c>
      <c r="E371" s="403" t="s">
        <v>212</v>
      </c>
      <c r="F371" s="404">
        <v>2000000</v>
      </c>
      <c r="G371" s="331">
        <v>107</v>
      </c>
      <c r="H371" s="332">
        <v>4.4991969999999997</v>
      </c>
      <c r="I371" s="572"/>
      <c r="J371" s="355">
        <f>(G371-100)*F371/100</f>
        <v>140000</v>
      </c>
      <c r="K371" s="355">
        <f>J371*$K$335</f>
        <v>1092000</v>
      </c>
      <c r="M371" s="1142" t="s">
        <v>196</v>
      </c>
    </row>
    <row r="372" spans="2:15" ht="15">
      <c r="B372" s="334"/>
      <c r="C372" s="334"/>
      <c r="D372" s="335" t="s">
        <v>702</v>
      </c>
      <c r="E372" s="336"/>
      <c r="F372" s="337">
        <f>SUM(F369:F371)</f>
        <v>4000000</v>
      </c>
      <c r="G372" s="338"/>
      <c r="H372" s="339">
        <f>SUMPRODUCT(F369:F371,H369:H371)/F372</f>
        <v>4.6839092500000001</v>
      </c>
      <c r="I372" s="1134"/>
      <c r="K372" s="407">
        <f>K370+K369+K371</f>
        <v>1841580</v>
      </c>
      <c r="M372" s="1232">
        <f>M357+K370+K369+K371</f>
        <v>5096539.9999999981</v>
      </c>
    </row>
    <row r="374" spans="2:15" ht="15">
      <c r="B374" s="320" t="s">
        <v>770</v>
      </c>
      <c r="C374" s="321"/>
      <c r="D374" s="322" t="s">
        <v>566</v>
      </c>
      <c r="E374" s="323" t="s">
        <v>567</v>
      </c>
      <c r="F374" s="324" t="s">
        <v>568</v>
      </c>
      <c r="G374" s="324" t="s">
        <v>701</v>
      </c>
      <c r="H374" s="325" t="s">
        <v>569</v>
      </c>
      <c r="I374" s="1133"/>
      <c r="K374" s="355"/>
      <c r="O374" s="106">
        <v>77439.23</v>
      </c>
    </row>
    <row r="375" spans="2:15" ht="15">
      <c r="B375" s="326" t="s">
        <v>915</v>
      </c>
      <c r="C375" s="327" t="s">
        <v>565</v>
      </c>
      <c r="D375" s="328" t="s">
        <v>515</v>
      </c>
      <c r="E375" s="329" t="s">
        <v>212</v>
      </c>
      <c r="F375" s="350">
        <v>125000000</v>
      </c>
      <c r="G375" s="331">
        <v>100</v>
      </c>
      <c r="H375" s="332">
        <v>6.5</v>
      </c>
      <c r="I375" s="572"/>
      <c r="K375" s="355"/>
    </row>
    <row r="376" spans="2:15" ht="15">
      <c r="B376" s="334"/>
      <c r="C376" s="334"/>
      <c r="D376" s="335" t="s">
        <v>702</v>
      </c>
      <c r="E376" s="336"/>
      <c r="F376" s="337">
        <f>SUM(F375:F375)</f>
        <v>125000000</v>
      </c>
      <c r="G376" s="338"/>
      <c r="H376" s="339">
        <f>SUMPRODUCT(F375:F375,H375:H375)/F376</f>
        <v>6.5</v>
      </c>
      <c r="I376" s="1134"/>
    </row>
    <row r="378" spans="2:15" ht="15">
      <c r="B378" s="320" t="s">
        <v>770</v>
      </c>
      <c r="C378" s="321"/>
      <c r="D378" s="322" t="s">
        <v>566</v>
      </c>
      <c r="E378" s="323" t="s">
        <v>567</v>
      </c>
      <c r="F378" s="324" t="s">
        <v>568</v>
      </c>
      <c r="G378" s="324" t="s">
        <v>701</v>
      </c>
      <c r="H378" s="325" t="s">
        <v>569</v>
      </c>
      <c r="I378" s="1133"/>
      <c r="K378" s="355"/>
      <c r="O378" s="106">
        <v>77439.23</v>
      </c>
    </row>
    <row r="379" spans="2:15" ht="15">
      <c r="B379" s="326" t="s">
        <v>513</v>
      </c>
      <c r="C379" s="327" t="s">
        <v>565</v>
      </c>
      <c r="D379" s="328" t="s">
        <v>251</v>
      </c>
      <c r="E379" s="329" t="s">
        <v>212</v>
      </c>
      <c r="F379" s="350">
        <v>15000000</v>
      </c>
      <c r="G379" s="331">
        <v>100</v>
      </c>
      <c r="H379" s="332">
        <v>4.625</v>
      </c>
      <c r="I379" s="572"/>
      <c r="K379" s="355"/>
    </row>
    <row r="380" spans="2:15" ht="15">
      <c r="B380" s="334"/>
      <c r="C380" s="334"/>
      <c r="D380" s="335" t="s">
        <v>702</v>
      </c>
      <c r="E380" s="336"/>
      <c r="F380" s="337">
        <f>SUM(F379:F379)</f>
        <v>15000000</v>
      </c>
      <c r="G380" s="338"/>
      <c r="H380" s="339">
        <f>SUMPRODUCT(F379:F379,H379:H379)/F380</f>
        <v>4.625</v>
      </c>
      <c r="I380" s="1134"/>
    </row>
    <row r="382" spans="2:15" ht="14.25">
      <c r="D382" s="304" t="s">
        <v>18</v>
      </c>
      <c r="K382" s="355"/>
      <c r="O382" t="s">
        <v>200</v>
      </c>
    </row>
    <row r="383" spans="2:15" ht="15">
      <c r="B383" s="320" t="s">
        <v>770</v>
      </c>
      <c r="C383" s="321"/>
      <c r="D383" s="322" t="s">
        <v>566</v>
      </c>
      <c r="E383" s="323" t="s">
        <v>567</v>
      </c>
      <c r="F383" s="324" t="s">
        <v>568</v>
      </c>
      <c r="G383" s="324" t="s">
        <v>701</v>
      </c>
      <c r="H383" s="325" t="s">
        <v>569</v>
      </c>
      <c r="I383" s="1133"/>
      <c r="K383">
        <v>7.8</v>
      </c>
      <c r="O383" s="106">
        <v>77439.23</v>
      </c>
    </row>
    <row r="384" spans="2:15" ht="15">
      <c r="B384" s="326" t="s">
        <v>513</v>
      </c>
      <c r="C384" s="412" t="s">
        <v>19</v>
      </c>
      <c r="D384" s="328" t="s">
        <v>251</v>
      </c>
      <c r="E384" s="329" t="s">
        <v>212</v>
      </c>
      <c r="F384" s="330">
        <v>1000000</v>
      </c>
      <c r="G384" s="331">
        <v>102.27</v>
      </c>
      <c r="H384" s="332">
        <v>4.1157810000000001</v>
      </c>
      <c r="I384" s="572"/>
      <c r="J384" s="355">
        <f>(G384-100)*F384/100</f>
        <v>22699.999999999956</v>
      </c>
      <c r="K384" s="355">
        <f>J384*$K$335</f>
        <v>177059.99999999965</v>
      </c>
      <c r="M384" s="1142">
        <f>K384+K385+K371</f>
        <v>1449239.9999999998</v>
      </c>
    </row>
    <row r="385" spans="2:15" ht="15">
      <c r="B385" s="326" t="s">
        <v>513</v>
      </c>
      <c r="C385" s="412" t="s">
        <v>19</v>
      </c>
      <c r="D385" s="328" t="s">
        <v>251</v>
      </c>
      <c r="E385" s="329" t="s">
        <v>212</v>
      </c>
      <c r="F385" s="330">
        <v>1000000</v>
      </c>
      <c r="G385" s="331">
        <v>102.31</v>
      </c>
      <c r="H385" s="332">
        <v>4.106649</v>
      </c>
      <c r="I385" s="572"/>
      <c r="J385" s="355">
        <f>(G385-100)*F385/100</f>
        <v>23100.000000000022</v>
      </c>
      <c r="K385" s="355">
        <f>J385*$K$335</f>
        <v>180180.00000000017</v>
      </c>
    </row>
    <row r="386" spans="2:15" ht="15">
      <c r="B386" s="326" t="s">
        <v>513</v>
      </c>
      <c r="C386" s="412" t="s">
        <v>19</v>
      </c>
      <c r="D386" s="328" t="s">
        <v>251</v>
      </c>
      <c r="E386" s="329" t="s">
        <v>212</v>
      </c>
      <c r="F386" s="350">
        <v>1000000</v>
      </c>
      <c r="G386" s="331">
        <v>102.2</v>
      </c>
      <c r="H386" s="332">
        <v>4.1293759999999997</v>
      </c>
      <c r="I386" s="572"/>
      <c r="J386" s="355">
        <f>(G386-100)*F386/100</f>
        <v>22000.000000000029</v>
      </c>
      <c r="K386" s="355">
        <f>J386*$K$335</f>
        <v>171600.00000000023</v>
      </c>
      <c r="M386" s="1142" t="s">
        <v>196</v>
      </c>
    </row>
    <row r="387" spans="2:15" ht="15">
      <c r="B387" s="334"/>
      <c r="C387" s="334"/>
      <c r="D387" s="335" t="s">
        <v>702</v>
      </c>
      <c r="E387" s="336"/>
      <c r="F387" s="337">
        <f>SUM(F384:F386)</f>
        <v>3000000</v>
      </c>
      <c r="G387" s="338"/>
      <c r="H387" s="339">
        <f>SUMPRODUCT(F384:F386,H384:H386)/F387</f>
        <v>4.1172686666666669</v>
      </c>
      <c r="I387" s="1134"/>
      <c r="K387" s="408">
        <f>K385+K384+K386</f>
        <v>528840</v>
      </c>
      <c r="M387" s="1232">
        <f>K387+M372</f>
        <v>5625379.9999999981</v>
      </c>
    </row>
    <row r="389" spans="2:15" ht="15">
      <c r="B389" s="320" t="s">
        <v>770</v>
      </c>
      <c r="C389" s="321"/>
      <c r="D389" s="322" t="s">
        <v>566</v>
      </c>
      <c r="E389" s="323" t="s">
        <v>567</v>
      </c>
      <c r="F389" s="324" t="s">
        <v>568</v>
      </c>
      <c r="G389" s="324" t="s">
        <v>701</v>
      </c>
      <c r="H389" s="325" t="s">
        <v>569</v>
      </c>
      <c r="I389" s="1133"/>
      <c r="K389" s="355"/>
      <c r="O389" s="106">
        <v>77439.23</v>
      </c>
    </row>
    <row r="390" spans="2:15" ht="15">
      <c r="B390" s="326" t="s">
        <v>513</v>
      </c>
      <c r="C390" s="327" t="s">
        <v>565</v>
      </c>
      <c r="D390" s="328" t="s">
        <v>960</v>
      </c>
      <c r="E390" s="329" t="s">
        <v>212</v>
      </c>
      <c r="F390" s="350">
        <v>10000000</v>
      </c>
      <c r="G390" s="331">
        <v>98.828000000000003</v>
      </c>
      <c r="H390" s="332">
        <v>4.5219870000000002</v>
      </c>
      <c r="I390" s="572"/>
      <c r="K390" s="355"/>
    </row>
    <row r="391" spans="2:15" ht="15">
      <c r="B391" s="334"/>
      <c r="C391" s="334"/>
      <c r="D391" s="335" t="s">
        <v>702</v>
      </c>
      <c r="E391" s="336"/>
      <c r="F391" s="337">
        <f>SUM(F390:F390)</f>
        <v>10000000</v>
      </c>
      <c r="G391" s="338"/>
      <c r="H391" s="339">
        <f>SUMPRODUCT(F390:F390,H390:H390)/F391</f>
        <v>4.5219870000000002</v>
      </c>
      <c r="I391" s="1134"/>
    </row>
    <row r="393" spans="2:15" ht="15">
      <c r="B393" s="320" t="s">
        <v>1033</v>
      </c>
      <c r="C393" s="321"/>
      <c r="D393" s="322" t="s">
        <v>566</v>
      </c>
      <c r="E393" s="323" t="s">
        <v>567</v>
      </c>
      <c r="F393" s="324" t="s">
        <v>568</v>
      </c>
      <c r="G393" s="324" t="s">
        <v>701</v>
      </c>
      <c r="H393" s="325" t="s">
        <v>569</v>
      </c>
      <c r="I393" s="1133"/>
      <c r="K393">
        <v>7.8</v>
      </c>
    </row>
    <row r="394" spans="2:15" ht="15">
      <c r="B394" s="326" t="s">
        <v>513</v>
      </c>
      <c r="C394" s="412" t="s">
        <v>19</v>
      </c>
      <c r="D394" s="328" t="s">
        <v>20</v>
      </c>
      <c r="E394" s="329" t="s">
        <v>212</v>
      </c>
      <c r="F394" s="350">
        <v>2000000</v>
      </c>
      <c r="G394" s="331">
        <v>100.01</v>
      </c>
      <c r="H394" s="332">
        <v>4.3736899999999999</v>
      </c>
      <c r="I394" s="572"/>
      <c r="J394" s="355">
        <f>(G394-G390)*F394/100</f>
        <v>23640.000000000044</v>
      </c>
      <c r="K394" s="355">
        <f>J394*$K$335</f>
        <v>184392.00000000035</v>
      </c>
      <c r="M394" s="1142" t="s">
        <v>196</v>
      </c>
    </row>
    <row r="395" spans="2:15" ht="15">
      <c r="B395" s="334"/>
      <c r="C395" s="334"/>
      <c r="D395" s="335" t="s">
        <v>702</v>
      </c>
      <c r="E395" s="336"/>
      <c r="F395" s="337">
        <f>SUM(F394:F394)</f>
        <v>2000000</v>
      </c>
      <c r="G395" s="338"/>
      <c r="H395" s="339">
        <f>SUMPRODUCT(F394:F394,H394:H394)/F395</f>
        <v>4.3736899999999999</v>
      </c>
      <c r="I395" s="1134"/>
      <c r="K395" s="407">
        <f>K394+K387</f>
        <v>713232.00000000035</v>
      </c>
      <c r="M395" s="1232">
        <f>M387+K394</f>
        <v>5809771.9999999981</v>
      </c>
    </row>
    <row r="397" spans="2:15" ht="15">
      <c r="B397" s="320" t="s">
        <v>1033</v>
      </c>
      <c r="C397" s="321"/>
      <c r="D397" s="322" t="s">
        <v>566</v>
      </c>
      <c r="E397" s="323" t="s">
        <v>567</v>
      </c>
      <c r="F397" s="324" t="s">
        <v>568</v>
      </c>
      <c r="G397" s="324" t="s">
        <v>701</v>
      </c>
      <c r="H397" s="325" t="s">
        <v>569</v>
      </c>
      <c r="I397" s="1133"/>
      <c r="K397">
        <v>7.8</v>
      </c>
    </row>
    <row r="398" spans="2:15" ht="14.25">
      <c r="B398" s="357" t="s">
        <v>953</v>
      </c>
      <c r="C398" s="358" t="s">
        <v>994</v>
      </c>
      <c r="D398" s="1443" t="s">
        <v>1379</v>
      </c>
      <c r="E398" s="360" t="s">
        <v>1035</v>
      </c>
      <c r="F398" s="361">
        <v>500000</v>
      </c>
      <c r="G398" s="362">
        <v>114.6</v>
      </c>
      <c r="H398" s="363">
        <v>6.762524</v>
      </c>
      <c r="I398" s="46"/>
      <c r="J398" s="355">
        <f>(G398-97.63)*F398/100</f>
        <v>84850</v>
      </c>
      <c r="K398" s="355">
        <f>J398*$K$335</f>
        <v>661830</v>
      </c>
      <c r="M398" s="1142" t="s">
        <v>196</v>
      </c>
    </row>
    <row r="399" spans="2:15" ht="15">
      <c r="B399" s="334"/>
      <c r="C399" s="334"/>
      <c r="D399" s="335" t="s">
        <v>702</v>
      </c>
      <c r="E399" s="336"/>
      <c r="F399" s="337">
        <f>SUM(F398:F398)</f>
        <v>500000</v>
      </c>
      <c r="G399" s="338"/>
      <c r="H399" s="356">
        <f>SUMPRODUCT(F398:F398,H398:H398)/F399</f>
        <v>6.762524</v>
      </c>
      <c r="I399" s="1135"/>
      <c r="K399" s="407">
        <f>K395+K398</f>
        <v>1375062.0000000005</v>
      </c>
      <c r="M399" s="1232">
        <f>M395+K398</f>
        <v>6471601.9999999981</v>
      </c>
    </row>
    <row r="400" spans="2:15">
      <c r="K400" s="355"/>
    </row>
    <row r="401" spans="2:15" s="424" customFormat="1">
      <c r="M401" s="1233"/>
    </row>
    <row r="402" spans="2:15" ht="14.25">
      <c r="D402" s="304" t="s">
        <v>339</v>
      </c>
    </row>
    <row r="403" spans="2:15" ht="15">
      <c r="B403" s="320" t="s">
        <v>1033</v>
      </c>
      <c r="C403" s="321"/>
      <c r="D403" s="322" t="s">
        <v>566</v>
      </c>
      <c r="E403" s="323" t="s">
        <v>567</v>
      </c>
      <c r="F403" s="324" t="s">
        <v>568</v>
      </c>
      <c r="G403" s="324" t="s">
        <v>701</v>
      </c>
      <c r="H403" s="325" t="s">
        <v>569</v>
      </c>
      <c r="I403" s="1133"/>
      <c r="K403">
        <v>7.8</v>
      </c>
      <c r="O403" s="106">
        <v>77439.23</v>
      </c>
    </row>
    <row r="404" spans="2:15" ht="20.25" customHeight="1">
      <c r="B404" s="326" t="s">
        <v>513</v>
      </c>
      <c r="C404" s="358" t="s">
        <v>994</v>
      </c>
      <c r="D404" s="328" t="s">
        <v>251</v>
      </c>
      <c r="E404" s="329" t="s">
        <v>212</v>
      </c>
      <c r="F404" s="404">
        <v>5000000</v>
      </c>
      <c r="G404" s="421">
        <v>101</v>
      </c>
      <c r="H404" s="332">
        <v>4.3939339999999998</v>
      </c>
      <c r="I404" s="572"/>
      <c r="J404" s="355">
        <f>(G404-$G$379)*F404/100</f>
        <v>50000</v>
      </c>
      <c r="K404" s="355">
        <f>J404*$K$335</f>
        <v>390000</v>
      </c>
      <c r="M404" s="1142" t="s">
        <v>196</v>
      </c>
    </row>
    <row r="405" spans="2:15" ht="20.25" customHeight="1">
      <c r="B405" s="326" t="s">
        <v>513</v>
      </c>
      <c r="C405" s="405" t="s">
        <v>994</v>
      </c>
      <c r="D405" s="328" t="s">
        <v>251</v>
      </c>
      <c r="E405" s="329" t="s">
        <v>212</v>
      </c>
      <c r="F405" s="330">
        <v>2000000</v>
      </c>
      <c r="G405" s="331">
        <v>101.26</v>
      </c>
      <c r="H405" s="332">
        <v>4.3345880000000001</v>
      </c>
      <c r="I405" s="572"/>
      <c r="J405" s="355">
        <f>(G405-$G$379)*F405/100</f>
        <v>25200.000000000102</v>
      </c>
      <c r="K405" s="355">
        <f>J405*$K$335</f>
        <v>196560.00000000079</v>
      </c>
    </row>
    <row r="406" spans="2:15" ht="20.25" customHeight="1">
      <c r="B406" s="326" t="s">
        <v>513</v>
      </c>
      <c r="C406" s="365" t="s">
        <v>994</v>
      </c>
      <c r="D406" s="328" t="s">
        <v>666</v>
      </c>
      <c r="E406" s="329" t="s">
        <v>212</v>
      </c>
      <c r="F406" s="350">
        <v>5000000</v>
      </c>
      <c r="G406" s="351">
        <v>100.01</v>
      </c>
      <c r="H406" s="332">
        <v>4.6214519999999997</v>
      </c>
      <c r="I406" s="572"/>
      <c r="J406" s="355">
        <f>(G406-$G$379)*F406/100</f>
        <v>500.0000000002558</v>
      </c>
      <c r="K406" s="355">
        <f>J406*$K$335</f>
        <v>3900.000000001995</v>
      </c>
    </row>
    <row r="407" spans="2:15" ht="15">
      <c r="B407" s="334"/>
      <c r="C407" s="334"/>
      <c r="D407" s="335" t="s">
        <v>702</v>
      </c>
      <c r="E407" s="336"/>
      <c r="F407" s="337">
        <f>SUM(F404:F406)</f>
        <v>12000000</v>
      </c>
      <c r="G407" s="338"/>
      <c r="H407" s="339">
        <f>SUMPRODUCT(F404:F406,H404:H406)/F407</f>
        <v>4.4788421666666665</v>
      </c>
      <c r="I407" s="1134"/>
      <c r="K407" s="407">
        <f>SUM(K404:K406)</f>
        <v>590460.00000000279</v>
      </c>
      <c r="M407" s="1232">
        <f>M399+K404+K406+K405</f>
        <v>7062062.0000000009</v>
      </c>
    </row>
    <row r="410" spans="2:15" ht="15">
      <c r="B410" s="320" t="s">
        <v>770</v>
      </c>
      <c r="C410" s="321"/>
      <c r="D410" s="322" t="s">
        <v>566</v>
      </c>
      <c r="E410" s="323" t="s">
        <v>567</v>
      </c>
      <c r="F410" s="324" t="s">
        <v>568</v>
      </c>
      <c r="G410" s="324" t="s">
        <v>701</v>
      </c>
      <c r="H410" s="325" t="s">
        <v>569</v>
      </c>
      <c r="I410" s="1133"/>
      <c r="K410" s="355"/>
      <c r="O410" s="106">
        <v>77439.23</v>
      </c>
    </row>
    <row r="411" spans="2:15" ht="15">
      <c r="B411" s="326" t="s">
        <v>513</v>
      </c>
      <c r="C411" s="327" t="s">
        <v>565</v>
      </c>
      <c r="D411" s="328" t="s">
        <v>77</v>
      </c>
      <c r="E411" s="329" t="s">
        <v>212</v>
      </c>
      <c r="F411" s="404">
        <v>2000000</v>
      </c>
      <c r="G411" s="331">
        <v>92.4</v>
      </c>
      <c r="H411" s="332">
        <v>6.3431300000000004</v>
      </c>
      <c r="I411" s="572"/>
      <c r="K411" s="355"/>
    </row>
    <row r="412" spans="2:15" ht="15">
      <c r="B412" s="326" t="s">
        <v>513</v>
      </c>
      <c r="C412" s="327" t="s">
        <v>565</v>
      </c>
      <c r="D412" s="328" t="s">
        <v>77</v>
      </c>
      <c r="E412" s="329" t="s">
        <v>212</v>
      </c>
      <c r="F412" s="330">
        <v>3000000</v>
      </c>
      <c r="G412" s="331">
        <v>92.4</v>
      </c>
      <c r="H412" s="332">
        <v>6.3440599999999998</v>
      </c>
      <c r="I412" s="572"/>
      <c r="K412" s="355"/>
    </row>
    <row r="413" spans="2:15" ht="15">
      <c r="B413" s="334"/>
      <c r="C413" s="334"/>
      <c r="D413" s="335" t="s">
        <v>702</v>
      </c>
      <c r="E413" s="336"/>
      <c r="F413" s="337">
        <f>SUM(F411:F412)</f>
        <v>5000000</v>
      </c>
      <c r="G413" s="338"/>
      <c r="H413" s="339">
        <f>SUMPRODUCT(F411:F412,H411:H412)/F413</f>
        <v>6.3436880000000002</v>
      </c>
      <c r="I413" s="1134"/>
    </row>
    <row r="416" spans="2:15" ht="15">
      <c r="B416" s="320" t="s">
        <v>770</v>
      </c>
      <c r="C416" s="321"/>
      <c r="D416" s="322" t="s">
        <v>566</v>
      </c>
      <c r="E416" s="323" t="s">
        <v>567</v>
      </c>
      <c r="F416" s="324" t="s">
        <v>568</v>
      </c>
      <c r="G416" s="324" t="s">
        <v>701</v>
      </c>
      <c r="H416" s="325" t="s">
        <v>569</v>
      </c>
      <c r="I416" s="1133"/>
      <c r="K416" s="355"/>
      <c r="O416" s="106">
        <v>77439.23</v>
      </c>
    </row>
    <row r="417" spans="2:15" ht="15">
      <c r="B417" s="326" t="s">
        <v>513</v>
      </c>
      <c r="C417" s="327" t="s">
        <v>565</v>
      </c>
      <c r="D417" s="328" t="s">
        <v>211</v>
      </c>
      <c r="E417" s="329" t="s">
        <v>212</v>
      </c>
      <c r="F417" s="330">
        <v>1000000</v>
      </c>
      <c r="G417" s="331">
        <v>89</v>
      </c>
      <c r="H417" s="332">
        <v>7.7866059999999999</v>
      </c>
      <c r="I417" s="572"/>
      <c r="K417" s="355"/>
    </row>
    <row r="418" spans="2:15" ht="15">
      <c r="B418" s="326" t="s">
        <v>513</v>
      </c>
      <c r="C418" s="327" t="s">
        <v>565</v>
      </c>
      <c r="D418" s="328" t="s">
        <v>211</v>
      </c>
      <c r="E418" s="329" t="s">
        <v>212</v>
      </c>
      <c r="F418" s="330">
        <v>2000000</v>
      </c>
      <c r="G418" s="331">
        <v>88.5</v>
      </c>
      <c r="H418" s="332">
        <v>7.8685099999999997</v>
      </c>
      <c r="I418" s="572"/>
      <c r="K418" s="355"/>
    </row>
    <row r="419" spans="2:15" ht="15">
      <c r="B419" s="326" t="s">
        <v>513</v>
      </c>
      <c r="C419" s="327" t="s">
        <v>565</v>
      </c>
      <c r="D419" s="328" t="s">
        <v>211</v>
      </c>
      <c r="E419" s="329" t="s">
        <v>212</v>
      </c>
      <c r="F419" s="330">
        <v>1000000</v>
      </c>
      <c r="G419" s="331">
        <v>87.7</v>
      </c>
      <c r="H419" s="332">
        <v>8.0002800000000001</v>
      </c>
      <c r="I419" s="572"/>
      <c r="K419" s="355"/>
    </row>
    <row r="420" spans="2:15" ht="15">
      <c r="B420" s="326" t="s">
        <v>513</v>
      </c>
      <c r="C420" s="327" t="s">
        <v>565</v>
      </c>
      <c r="D420" s="328" t="s">
        <v>211</v>
      </c>
      <c r="E420" s="329" t="s">
        <v>212</v>
      </c>
      <c r="F420" s="330">
        <v>1000000</v>
      </c>
      <c r="G420" s="331">
        <v>87.7</v>
      </c>
      <c r="H420" s="332">
        <v>8.0002800000000001</v>
      </c>
      <c r="I420" s="572"/>
      <c r="K420" s="355"/>
    </row>
    <row r="421" spans="2:15" ht="15">
      <c r="B421" s="326" t="s">
        <v>513</v>
      </c>
      <c r="C421" s="327" t="s">
        <v>565</v>
      </c>
      <c r="D421" s="328" t="s">
        <v>211</v>
      </c>
      <c r="E421" s="329" t="s">
        <v>212</v>
      </c>
      <c r="F421" s="330">
        <v>1000000</v>
      </c>
      <c r="G421" s="331">
        <v>88.4</v>
      </c>
      <c r="H421" s="332">
        <v>7.8852279999999997</v>
      </c>
      <c r="I421" s="572"/>
      <c r="K421" s="355"/>
    </row>
    <row r="422" spans="2:15" ht="15">
      <c r="B422" s="326" t="s">
        <v>513</v>
      </c>
      <c r="C422" s="327" t="s">
        <v>565</v>
      </c>
      <c r="D422" s="328" t="s">
        <v>211</v>
      </c>
      <c r="E422" s="329" t="s">
        <v>212</v>
      </c>
      <c r="F422" s="330">
        <v>1000000</v>
      </c>
      <c r="G422" s="331">
        <v>87.9</v>
      </c>
      <c r="H422" s="332">
        <v>7.9675399999999996</v>
      </c>
      <c r="I422" s="572"/>
      <c r="K422" s="355"/>
    </row>
    <row r="423" spans="2:15" ht="15">
      <c r="B423" s="326" t="s">
        <v>513</v>
      </c>
      <c r="C423" s="327" t="s">
        <v>565</v>
      </c>
      <c r="D423" s="328" t="s">
        <v>211</v>
      </c>
      <c r="E423" s="329" t="s">
        <v>212</v>
      </c>
      <c r="F423" s="350">
        <v>1000000</v>
      </c>
      <c r="G423" s="331">
        <v>87.75</v>
      </c>
      <c r="H423" s="332">
        <v>7.99376</v>
      </c>
      <c r="I423" s="572"/>
      <c r="K423" s="355"/>
    </row>
    <row r="424" spans="2:15" ht="15">
      <c r="B424" s="334"/>
      <c r="C424" s="334"/>
      <c r="D424" s="335" t="s">
        <v>702</v>
      </c>
      <c r="E424" s="336"/>
      <c r="F424" s="337">
        <f>SUM(F417:F423)</f>
        <v>8000000</v>
      </c>
      <c r="G424" s="338"/>
      <c r="H424" s="339">
        <f>SUMPRODUCT(F417:F423,H417:H423)/F424</f>
        <v>7.9213392499999999</v>
      </c>
      <c r="I424" s="1134"/>
    </row>
    <row r="425" spans="2:15" ht="15">
      <c r="B425" s="425"/>
      <c r="C425" s="425"/>
      <c r="D425" s="425"/>
      <c r="E425" s="426"/>
      <c r="F425" s="427"/>
      <c r="G425" s="428"/>
      <c r="H425" s="428"/>
      <c r="I425" s="428"/>
    </row>
    <row r="426" spans="2:15" ht="15">
      <c r="B426" s="320" t="s">
        <v>770</v>
      </c>
      <c r="C426" s="321"/>
      <c r="D426" s="322" t="s">
        <v>566</v>
      </c>
      <c r="E426" s="323" t="s">
        <v>567</v>
      </c>
      <c r="F426" s="324" t="s">
        <v>568</v>
      </c>
      <c r="G426" s="324" t="s">
        <v>701</v>
      </c>
      <c r="H426" s="325" t="s">
        <v>569</v>
      </c>
      <c r="I426" s="1133"/>
      <c r="K426" s="355"/>
      <c r="O426" s="106">
        <v>77439.23</v>
      </c>
    </row>
    <row r="427" spans="2:15" ht="15">
      <c r="B427" s="326" t="s">
        <v>513</v>
      </c>
      <c r="C427" s="327" t="s">
        <v>565</v>
      </c>
      <c r="D427" s="328" t="s">
        <v>78</v>
      </c>
      <c r="E427" s="329" t="s">
        <v>212</v>
      </c>
      <c r="F427" s="330">
        <v>2000000</v>
      </c>
      <c r="G427" s="331">
        <v>86.2</v>
      </c>
      <c r="H427" s="332">
        <v>6.4539200000000001</v>
      </c>
      <c r="I427" s="572"/>
      <c r="K427" s="355"/>
    </row>
    <row r="428" spans="2:15" ht="15">
      <c r="B428" s="326" t="s">
        <v>513</v>
      </c>
      <c r="C428" s="327" t="s">
        <v>565</v>
      </c>
      <c r="D428" s="328" t="s">
        <v>78</v>
      </c>
      <c r="E428" s="329" t="s">
        <v>212</v>
      </c>
      <c r="F428" s="330">
        <v>2000000</v>
      </c>
      <c r="G428" s="331">
        <v>86.6</v>
      </c>
      <c r="H428" s="332">
        <v>6.3925599999999996</v>
      </c>
      <c r="I428" s="572"/>
      <c r="K428" s="355"/>
    </row>
    <row r="429" spans="2:15" ht="15">
      <c r="B429" s="326" t="s">
        <v>513</v>
      </c>
      <c r="C429" s="327" t="s">
        <v>565</v>
      </c>
      <c r="D429" s="328" t="s">
        <v>78</v>
      </c>
      <c r="E429" s="329" t="s">
        <v>212</v>
      </c>
      <c r="F429" s="330">
        <v>1000000</v>
      </c>
      <c r="G429" s="331">
        <v>86.25</v>
      </c>
      <c r="H429" s="332">
        <v>6.4466469999999996</v>
      </c>
      <c r="I429" s="572"/>
      <c r="K429" s="355"/>
    </row>
    <row r="430" spans="2:15" ht="15">
      <c r="B430" s="326" t="s">
        <v>513</v>
      </c>
      <c r="C430" s="327" t="s">
        <v>565</v>
      </c>
      <c r="D430" s="328" t="s">
        <v>78</v>
      </c>
      <c r="E430" s="329" t="s">
        <v>212</v>
      </c>
      <c r="F430" s="330">
        <v>2000000</v>
      </c>
      <c r="G430" s="331">
        <v>86.55</v>
      </c>
      <c r="H430" s="332">
        <v>6.4002699999999999</v>
      </c>
      <c r="I430" s="572"/>
      <c r="K430" s="355"/>
    </row>
    <row r="431" spans="2:15" ht="15">
      <c r="B431" s="326" t="s">
        <v>513</v>
      </c>
      <c r="C431" s="327" t="s">
        <v>565</v>
      </c>
      <c r="D431" s="328" t="s">
        <v>78</v>
      </c>
      <c r="E431" s="329" t="s">
        <v>212</v>
      </c>
      <c r="F431" s="330">
        <v>2000000</v>
      </c>
      <c r="G431" s="331">
        <v>86.35</v>
      </c>
      <c r="H431" s="332">
        <v>6.4311699999999998</v>
      </c>
      <c r="I431" s="572"/>
      <c r="K431" s="355"/>
    </row>
    <row r="432" spans="2:15" ht="15">
      <c r="B432" s="326" t="s">
        <v>513</v>
      </c>
      <c r="C432" s="327" t="s">
        <v>565</v>
      </c>
      <c r="D432" s="328" t="s">
        <v>78</v>
      </c>
      <c r="E432" s="329" t="s">
        <v>212</v>
      </c>
      <c r="F432" s="330">
        <v>3000000</v>
      </c>
      <c r="G432" s="331">
        <v>87</v>
      </c>
      <c r="H432" s="332">
        <v>6.3328499999999996</v>
      </c>
      <c r="I432" s="572"/>
      <c r="K432" s="355"/>
    </row>
    <row r="433" spans="2:15" ht="15">
      <c r="B433" s="326" t="s">
        <v>513</v>
      </c>
      <c r="C433" s="327" t="s">
        <v>565</v>
      </c>
      <c r="D433" s="328" t="s">
        <v>78</v>
      </c>
      <c r="E433" s="329" t="s">
        <v>212</v>
      </c>
      <c r="F433" s="330">
        <v>1000000</v>
      </c>
      <c r="G433" s="331">
        <v>87</v>
      </c>
      <c r="H433" s="332">
        <v>6.3328499999999996</v>
      </c>
      <c r="I433" s="572"/>
      <c r="K433" s="355"/>
    </row>
    <row r="434" spans="2:15" ht="15">
      <c r="B434" s="326" t="s">
        <v>513</v>
      </c>
      <c r="C434" s="327" t="s">
        <v>565</v>
      </c>
      <c r="D434" s="328" t="s">
        <v>78</v>
      </c>
      <c r="E434" s="329" t="s">
        <v>212</v>
      </c>
      <c r="F434" s="330">
        <v>1000000</v>
      </c>
      <c r="G434" s="331">
        <v>87.8</v>
      </c>
      <c r="H434" s="332">
        <v>6.2111900000000002</v>
      </c>
      <c r="I434" s="572"/>
      <c r="K434" s="355"/>
    </row>
    <row r="435" spans="2:15" ht="15">
      <c r="B435" s="326" t="s">
        <v>513</v>
      </c>
      <c r="C435" s="327" t="s">
        <v>565</v>
      </c>
      <c r="D435" s="328" t="s">
        <v>78</v>
      </c>
      <c r="E435" s="329" t="s">
        <v>212</v>
      </c>
      <c r="F435" s="330">
        <v>1000000</v>
      </c>
      <c r="G435" s="331">
        <v>87.87</v>
      </c>
      <c r="H435" s="332">
        <v>6.2005600000000003</v>
      </c>
      <c r="I435" s="572"/>
      <c r="K435" s="355"/>
    </row>
    <row r="436" spans="2:15" ht="15">
      <c r="B436" s="326"/>
      <c r="C436" s="327"/>
      <c r="D436" s="328"/>
      <c r="E436" s="329"/>
      <c r="F436" s="330"/>
      <c r="G436" s="331"/>
      <c r="H436" s="332"/>
      <c r="I436" s="572"/>
      <c r="K436" s="355"/>
    </row>
    <row r="437" spans="2:15" ht="15">
      <c r="B437" s="326"/>
      <c r="C437" s="327"/>
      <c r="D437" s="328"/>
      <c r="E437" s="329"/>
      <c r="F437" s="330"/>
      <c r="G437" s="331"/>
      <c r="H437" s="332"/>
      <c r="I437" s="572"/>
      <c r="K437" s="355"/>
    </row>
    <row r="438" spans="2:15" ht="15">
      <c r="B438" s="326"/>
      <c r="C438" s="327"/>
      <c r="D438" s="328"/>
      <c r="E438" s="329"/>
      <c r="F438" s="330"/>
      <c r="G438" s="331"/>
      <c r="H438" s="332"/>
      <c r="I438" s="572"/>
      <c r="K438" s="355"/>
    </row>
    <row r="439" spans="2:15" ht="15">
      <c r="B439" s="326"/>
      <c r="C439" s="327"/>
      <c r="D439" s="328"/>
      <c r="E439" s="329"/>
      <c r="F439" s="350"/>
      <c r="G439" s="331"/>
      <c r="H439" s="332"/>
      <c r="I439" s="572"/>
      <c r="K439" s="355"/>
    </row>
    <row r="440" spans="2:15" ht="15">
      <c r="B440" s="334"/>
      <c r="C440" s="334"/>
      <c r="D440" s="335" t="s">
        <v>702</v>
      </c>
      <c r="E440" s="336"/>
      <c r="F440" s="337">
        <f>SUM(F427:F439)</f>
        <v>15000000</v>
      </c>
      <c r="G440" s="338"/>
      <c r="H440" s="339">
        <f>SUMPRODUCT(F427:F439,H427:H439)/F440</f>
        <v>6.3697091333333331</v>
      </c>
      <c r="I440" s="1134"/>
    </row>
    <row r="443" spans="2:15" ht="15">
      <c r="B443" s="320" t="s">
        <v>770</v>
      </c>
      <c r="C443" s="321"/>
      <c r="D443" s="322" t="s">
        <v>566</v>
      </c>
      <c r="E443" s="323" t="s">
        <v>567</v>
      </c>
      <c r="F443" s="324" t="s">
        <v>568</v>
      </c>
      <c r="G443" s="324" t="s">
        <v>701</v>
      </c>
      <c r="H443" s="325" t="s">
        <v>569</v>
      </c>
      <c r="I443" s="1133"/>
      <c r="K443" s="355"/>
      <c r="O443" s="106">
        <v>77439.23</v>
      </c>
    </row>
    <row r="444" spans="2:15" ht="15">
      <c r="B444" s="326" t="s">
        <v>513</v>
      </c>
      <c r="C444" s="327" t="s">
        <v>565</v>
      </c>
      <c r="D444" s="328" t="s">
        <v>667</v>
      </c>
      <c r="E444" s="329" t="s">
        <v>212</v>
      </c>
      <c r="F444" s="330">
        <v>4000000</v>
      </c>
      <c r="G444" s="331">
        <v>87.8</v>
      </c>
      <c r="H444" s="332">
        <v>6.0290400000000002</v>
      </c>
      <c r="I444" s="572"/>
      <c r="K444" s="355"/>
    </row>
    <row r="445" spans="2:15" ht="15">
      <c r="B445" s="326"/>
      <c r="C445" s="327"/>
      <c r="D445" s="328"/>
      <c r="E445" s="329"/>
      <c r="F445" s="330"/>
      <c r="G445" s="331"/>
      <c r="H445" s="332"/>
      <c r="I445" s="572"/>
      <c r="K445" s="355"/>
    </row>
    <row r="446" spans="2:15" ht="15">
      <c r="B446" s="334"/>
      <c r="C446" s="334"/>
      <c r="D446" s="335" t="s">
        <v>702</v>
      </c>
      <c r="E446" s="336"/>
      <c r="F446" s="337">
        <f>SUM(F444:F445)</f>
        <v>4000000</v>
      </c>
      <c r="G446" s="338"/>
      <c r="H446" s="339">
        <f>SUMPRODUCT(F444:F445,H444:H445)/F446</f>
        <v>6.0290400000000002</v>
      </c>
      <c r="I446" s="1134"/>
    </row>
    <row r="448" spans="2:15" ht="15">
      <c r="B448" s="320" t="s">
        <v>770</v>
      </c>
      <c r="C448" s="321"/>
      <c r="D448" s="322" t="s">
        <v>566</v>
      </c>
      <c r="E448" s="323" t="s">
        <v>567</v>
      </c>
      <c r="F448" s="324" t="s">
        <v>568</v>
      </c>
      <c r="G448" s="324" t="s">
        <v>701</v>
      </c>
      <c r="H448" s="325" t="s">
        <v>569</v>
      </c>
      <c r="I448" s="1133"/>
    </row>
    <row r="449" spans="2:9" ht="15">
      <c r="B449" s="326" t="s">
        <v>203</v>
      </c>
      <c r="C449" s="327" t="s">
        <v>565</v>
      </c>
      <c r="D449" s="328" t="s">
        <v>1078</v>
      </c>
      <c r="E449" s="329" t="s">
        <v>212</v>
      </c>
      <c r="F449" s="404">
        <v>24300000</v>
      </c>
      <c r="G449" s="421">
        <v>92.972999999999999</v>
      </c>
      <c r="H449" s="422">
        <v>6.7946400000000002</v>
      </c>
      <c r="I449" s="572"/>
    </row>
    <row r="450" spans="2:9" ht="15">
      <c r="B450" s="326" t="s">
        <v>771</v>
      </c>
      <c r="C450" s="327" t="s">
        <v>565</v>
      </c>
      <c r="D450" s="328" t="s">
        <v>1078</v>
      </c>
      <c r="E450" s="329" t="s">
        <v>212</v>
      </c>
      <c r="F450" s="330">
        <v>2700000</v>
      </c>
      <c r="G450" s="331">
        <v>92.972999999999999</v>
      </c>
      <c r="H450" s="332">
        <v>6.7946400000000002</v>
      </c>
      <c r="I450" s="572"/>
    </row>
    <row r="451" spans="2:9" ht="15">
      <c r="B451" s="326" t="s">
        <v>771</v>
      </c>
      <c r="C451" s="327" t="s">
        <v>565</v>
      </c>
      <c r="D451" s="328" t="s">
        <v>1078</v>
      </c>
      <c r="E451" s="329" t="s">
        <v>212</v>
      </c>
      <c r="F451" s="330">
        <v>18000000</v>
      </c>
      <c r="G451" s="331">
        <v>92.248999999999995</v>
      </c>
      <c r="H451" s="332">
        <v>6.9100299999999999</v>
      </c>
      <c r="I451" s="572"/>
    </row>
    <row r="452" spans="2:9" ht="15">
      <c r="B452" s="326" t="s">
        <v>771</v>
      </c>
      <c r="C452" s="327" t="s">
        <v>565</v>
      </c>
      <c r="D452" s="328" t="s">
        <v>1078</v>
      </c>
      <c r="E452" s="329" t="s">
        <v>212</v>
      </c>
      <c r="F452" s="330">
        <v>2000000</v>
      </c>
      <c r="G452" s="331">
        <v>92.248999999999995</v>
      </c>
      <c r="H452" s="332">
        <v>6.9100299999999999</v>
      </c>
      <c r="I452" s="572"/>
    </row>
    <row r="453" spans="2:9" ht="15">
      <c r="B453" s="326" t="s">
        <v>771</v>
      </c>
      <c r="C453" s="327" t="s">
        <v>565</v>
      </c>
      <c r="D453" s="328" t="s">
        <v>1078</v>
      </c>
      <c r="E453" s="329" t="s">
        <v>212</v>
      </c>
      <c r="F453" s="330">
        <v>2700000</v>
      </c>
      <c r="G453" s="331">
        <v>92.941999999999993</v>
      </c>
      <c r="H453" s="332">
        <v>6.7997899999999998</v>
      </c>
      <c r="I453" s="572"/>
    </row>
    <row r="454" spans="2:9" ht="15">
      <c r="B454" s="326" t="s">
        <v>771</v>
      </c>
      <c r="C454" s="327" t="s">
        <v>565</v>
      </c>
      <c r="D454" s="328" t="s">
        <v>1078</v>
      </c>
      <c r="E454" s="329" t="s">
        <v>212</v>
      </c>
      <c r="F454" s="330">
        <v>300000</v>
      </c>
      <c r="G454" s="331">
        <v>92.941999999999993</v>
      </c>
      <c r="H454" s="332">
        <v>6.7997899999999998</v>
      </c>
      <c r="I454" s="572"/>
    </row>
    <row r="455" spans="2:9" ht="15">
      <c r="B455" s="326" t="s">
        <v>771</v>
      </c>
      <c r="C455" s="327" t="s">
        <v>565</v>
      </c>
      <c r="D455" s="328" t="s">
        <v>1078</v>
      </c>
      <c r="E455" s="329" t="s">
        <v>212</v>
      </c>
      <c r="F455" s="330">
        <v>1800000</v>
      </c>
      <c r="G455" s="331">
        <v>91.385000000000005</v>
      </c>
      <c r="H455" s="332">
        <v>7.0500699999999998</v>
      </c>
      <c r="I455" s="572"/>
    </row>
    <row r="456" spans="2:9" ht="15">
      <c r="B456" s="326" t="s">
        <v>771</v>
      </c>
      <c r="C456" s="327" t="s">
        <v>565</v>
      </c>
      <c r="D456" s="328" t="s">
        <v>1078</v>
      </c>
      <c r="E456" s="329" t="s">
        <v>212</v>
      </c>
      <c r="F456" s="330">
        <v>200000</v>
      </c>
      <c r="G456" s="331">
        <v>91.385000000000005</v>
      </c>
      <c r="H456" s="332">
        <v>7.0500699999999998</v>
      </c>
      <c r="I456" s="572"/>
    </row>
    <row r="457" spans="2:9" ht="15">
      <c r="B457" s="326" t="s">
        <v>562</v>
      </c>
      <c r="C457" s="327" t="s">
        <v>565</v>
      </c>
      <c r="D457" s="328" t="s">
        <v>1078</v>
      </c>
      <c r="E457" s="329" t="s">
        <v>212</v>
      </c>
      <c r="F457" s="330">
        <v>1000000</v>
      </c>
      <c r="G457" s="331">
        <v>91.7</v>
      </c>
      <c r="H457" s="332">
        <v>7.0002300000000002</v>
      </c>
      <c r="I457" s="572"/>
    </row>
    <row r="458" spans="2:9" ht="15">
      <c r="B458" s="326"/>
      <c r="C458" s="327"/>
      <c r="D458" s="328"/>
      <c r="E458" s="329"/>
      <c r="F458" s="350"/>
      <c r="G458" s="351"/>
      <c r="H458" s="352"/>
      <c r="I458" s="572"/>
    </row>
    <row r="459" spans="2:9" ht="15">
      <c r="B459" s="334"/>
      <c r="C459" s="334"/>
      <c r="D459" s="335" t="s">
        <v>702</v>
      </c>
      <c r="E459" s="336"/>
      <c r="F459" s="337">
        <f>SUM(F449:F458)</f>
        <v>53000000</v>
      </c>
      <c r="G459" s="338"/>
      <c r="H459" s="339">
        <f>SUMPRODUCT(F449:F458,H449:H458)/F459</f>
        <v>6.8519928301886797</v>
      </c>
      <c r="I459" s="1134"/>
    </row>
    <row r="461" spans="2:9" ht="15">
      <c r="B461" s="320" t="s">
        <v>770</v>
      </c>
      <c r="C461" s="321"/>
      <c r="D461" s="322" t="s">
        <v>566</v>
      </c>
      <c r="E461" s="323" t="s">
        <v>567</v>
      </c>
      <c r="F461" s="324" t="s">
        <v>568</v>
      </c>
      <c r="G461" s="324" t="s">
        <v>701</v>
      </c>
      <c r="H461" s="325" t="s">
        <v>569</v>
      </c>
      <c r="I461" s="1133"/>
    </row>
    <row r="462" spans="2:9" ht="15">
      <c r="B462" s="326" t="s">
        <v>953</v>
      </c>
      <c r="C462" s="327" t="s">
        <v>565</v>
      </c>
      <c r="D462" s="328" t="s">
        <v>711</v>
      </c>
      <c r="E462" s="329" t="s">
        <v>212</v>
      </c>
      <c r="F462" s="404">
        <v>2000000</v>
      </c>
      <c r="G462" s="421">
        <v>102.25</v>
      </c>
      <c r="H462" s="422">
        <v>6.3780799999999997</v>
      </c>
      <c r="I462" s="572"/>
    </row>
    <row r="463" spans="2:9" ht="15">
      <c r="B463" s="326" t="s">
        <v>953</v>
      </c>
      <c r="C463" s="327" t="s">
        <v>565</v>
      </c>
      <c r="D463" s="328" t="s">
        <v>711</v>
      </c>
      <c r="E463" s="329" t="s">
        <v>212</v>
      </c>
      <c r="F463" s="330">
        <v>3000000</v>
      </c>
      <c r="G463" s="331">
        <v>98</v>
      </c>
      <c r="H463" s="332">
        <v>7.0857099999999997</v>
      </c>
      <c r="I463" s="572"/>
    </row>
    <row r="464" spans="2:9" ht="15">
      <c r="B464" s="326" t="s">
        <v>953</v>
      </c>
      <c r="C464" s="327" t="s">
        <v>565</v>
      </c>
      <c r="D464" s="328" t="s">
        <v>711</v>
      </c>
      <c r="E464" s="329" t="s">
        <v>212</v>
      </c>
      <c r="F464" s="330">
        <v>1500000</v>
      </c>
      <c r="G464" s="331">
        <v>98.5</v>
      </c>
      <c r="H464" s="332">
        <v>7.0004299999999997</v>
      </c>
      <c r="I464" s="572"/>
    </row>
    <row r="465" spans="2:9" ht="15">
      <c r="B465" s="326" t="s">
        <v>771</v>
      </c>
      <c r="C465" s="327" t="s">
        <v>565</v>
      </c>
      <c r="D465" s="328" t="s">
        <v>711</v>
      </c>
      <c r="E465" s="329" t="s">
        <v>212</v>
      </c>
      <c r="F465" s="330">
        <v>9000000</v>
      </c>
      <c r="G465" s="331">
        <v>98.25</v>
      </c>
      <c r="H465" s="332">
        <v>7.0430700000000002</v>
      </c>
      <c r="I465" s="572"/>
    </row>
    <row r="466" spans="2:9" ht="15">
      <c r="B466" s="326" t="s">
        <v>771</v>
      </c>
      <c r="C466" s="327" t="s">
        <v>565</v>
      </c>
      <c r="D466" s="328" t="s">
        <v>711</v>
      </c>
      <c r="E466" s="329" t="s">
        <v>212</v>
      </c>
      <c r="F466" s="330">
        <v>1000000</v>
      </c>
      <c r="G466" s="331">
        <v>98.25</v>
      </c>
      <c r="H466" s="332">
        <v>7.0430700000000002</v>
      </c>
      <c r="I466" s="572"/>
    </row>
    <row r="467" spans="2:9" ht="15">
      <c r="B467" s="326" t="s">
        <v>771</v>
      </c>
      <c r="C467" s="327" t="s">
        <v>565</v>
      </c>
      <c r="D467" s="328" t="s">
        <v>711</v>
      </c>
      <c r="E467" s="329" t="s">
        <v>212</v>
      </c>
      <c r="F467" s="330">
        <v>1800000</v>
      </c>
      <c r="G467" s="331">
        <v>98</v>
      </c>
      <c r="H467" s="332">
        <v>7.0857900000000003</v>
      </c>
      <c r="I467" s="572"/>
    </row>
    <row r="468" spans="2:9" ht="15">
      <c r="B468" s="326" t="s">
        <v>771</v>
      </c>
      <c r="C468" s="327" t="s">
        <v>565</v>
      </c>
      <c r="D468" s="328" t="s">
        <v>711</v>
      </c>
      <c r="E468" s="329" t="s">
        <v>212</v>
      </c>
      <c r="F468" s="330">
        <v>200000</v>
      </c>
      <c r="G468" s="331">
        <v>98</v>
      </c>
      <c r="H468" s="332">
        <v>7.0857900000000003</v>
      </c>
      <c r="I468" s="572"/>
    </row>
    <row r="469" spans="2:9" ht="15">
      <c r="B469" s="326" t="s">
        <v>771</v>
      </c>
      <c r="C469" s="327" t="s">
        <v>565</v>
      </c>
      <c r="D469" s="328" t="s">
        <v>711</v>
      </c>
      <c r="E469" s="329" t="s">
        <v>212</v>
      </c>
      <c r="F469" s="330">
        <v>900000</v>
      </c>
      <c r="G469" s="331">
        <v>97.5</v>
      </c>
      <c r="H469" s="332">
        <v>7.1716199999999999</v>
      </c>
      <c r="I469" s="572"/>
    </row>
    <row r="470" spans="2:9" ht="15">
      <c r="B470" s="326" t="s">
        <v>771</v>
      </c>
      <c r="C470" s="327" t="s">
        <v>565</v>
      </c>
      <c r="D470" s="328" t="s">
        <v>711</v>
      </c>
      <c r="E470" s="329" t="s">
        <v>212</v>
      </c>
      <c r="F470" s="330">
        <v>100000</v>
      </c>
      <c r="G470" s="331">
        <v>97.5</v>
      </c>
      <c r="H470" s="332">
        <v>7.1716199999999999</v>
      </c>
      <c r="I470" s="572"/>
    </row>
    <row r="471" spans="2:9" ht="15">
      <c r="B471" s="326" t="s">
        <v>771</v>
      </c>
      <c r="C471" s="327" t="s">
        <v>565</v>
      </c>
      <c r="D471" s="328" t="s">
        <v>711</v>
      </c>
      <c r="E471" s="329" t="s">
        <v>212</v>
      </c>
      <c r="F471" s="330">
        <v>2700000</v>
      </c>
      <c r="G471" s="331">
        <v>97.33</v>
      </c>
      <c r="H471" s="332">
        <v>7.2009299999999996</v>
      </c>
      <c r="I471" s="572"/>
    </row>
    <row r="472" spans="2:9" ht="15">
      <c r="B472" s="326" t="s">
        <v>771</v>
      </c>
      <c r="C472" s="327" t="s">
        <v>565</v>
      </c>
      <c r="D472" s="328" t="s">
        <v>711</v>
      </c>
      <c r="E472" s="329" t="s">
        <v>212</v>
      </c>
      <c r="F472" s="330">
        <v>300000</v>
      </c>
      <c r="G472" s="331">
        <v>97.33</v>
      </c>
      <c r="H472" s="332">
        <v>7.2009299999999996</v>
      </c>
      <c r="I472" s="572"/>
    </row>
    <row r="473" spans="2:9" ht="15">
      <c r="B473" s="326" t="s">
        <v>771</v>
      </c>
      <c r="C473" s="327" t="s">
        <v>565</v>
      </c>
      <c r="D473" s="328" t="s">
        <v>711</v>
      </c>
      <c r="E473" s="329" t="s">
        <v>212</v>
      </c>
      <c r="F473" s="330">
        <v>7200000</v>
      </c>
      <c r="G473" s="331">
        <v>96.9</v>
      </c>
      <c r="H473" s="332">
        <v>7.2753500000000004</v>
      </c>
      <c r="I473" s="572"/>
    </row>
    <row r="474" spans="2:9" ht="15">
      <c r="B474" s="326" t="s">
        <v>771</v>
      </c>
      <c r="C474" s="327" t="s">
        <v>565</v>
      </c>
      <c r="D474" s="328" t="s">
        <v>711</v>
      </c>
      <c r="E474" s="329" t="s">
        <v>212</v>
      </c>
      <c r="F474" s="330">
        <v>800000</v>
      </c>
      <c r="G474" s="331">
        <v>96.9</v>
      </c>
      <c r="H474" s="332">
        <v>7.2753500000000004</v>
      </c>
      <c r="I474" s="572"/>
    </row>
    <row r="475" spans="2:9" ht="15">
      <c r="B475" s="326" t="s">
        <v>771</v>
      </c>
      <c r="C475" s="327" t="s">
        <v>565</v>
      </c>
      <c r="D475" s="328" t="s">
        <v>711</v>
      </c>
      <c r="E475" s="329" t="s">
        <v>212</v>
      </c>
      <c r="F475" s="330">
        <v>1800000</v>
      </c>
      <c r="G475" s="331">
        <v>96.9</v>
      </c>
      <c r="H475" s="332">
        <v>7.2753500000000004</v>
      </c>
      <c r="I475" s="572"/>
    </row>
    <row r="476" spans="2:9" ht="15">
      <c r="B476" s="326" t="s">
        <v>771</v>
      </c>
      <c r="C476" s="327" t="s">
        <v>565</v>
      </c>
      <c r="D476" s="328" t="s">
        <v>711</v>
      </c>
      <c r="E476" s="329" t="s">
        <v>212</v>
      </c>
      <c r="F476" s="330">
        <v>200000</v>
      </c>
      <c r="G476" s="331">
        <v>96.9</v>
      </c>
      <c r="H476" s="332">
        <v>7.2753500000000004</v>
      </c>
      <c r="I476" s="572"/>
    </row>
    <row r="477" spans="2:9" ht="15">
      <c r="B477" s="326" t="s">
        <v>771</v>
      </c>
      <c r="C477" s="327" t="s">
        <v>565</v>
      </c>
      <c r="D477" s="328" t="s">
        <v>711</v>
      </c>
      <c r="E477" s="329" t="s">
        <v>212</v>
      </c>
      <c r="F477" s="330">
        <v>5400000</v>
      </c>
      <c r="G477" s="331">
        <v>97.6</v>
      </c>
      <c r="H477" s="332">
        <v>7.1544100000000004</v>
      </c>
      <c r="I477" s="572"/>
    </row>
    <row r="478" spans="2:9" ht="15">
      <c r="B478" s="326" t="s">
        <v>771</v>
      </c>
      <c r="C478" s="327" t="s">
        <v>565</v>
      </c>
      <c r="D478" s="328" t="s">
        <v>711</v>
      </c>
      <c r="E478" s="329" t="s">
        <v>212</v>
      </c>
      <c r="F478" s="330">
        <v>600000</v>
      </c>
      <c r="G478" s="331">
        <v>97.6</v>
      </c>
      <c r="H478" s="332">
        <v>7.1544100000000004</v>
      </c>
      <c r="I478" s="572"/>
    </row>
    <row r="479" spans="2:9" ht="15">
      <c r="B479" s="326" t="s">
        <v>771</v>
      </c>
      <c r="C479" s="327" t="s">
        <v>565</v>
      </c>
      <c r="D479" s="328" t="s">
        <v>711</v>
      </c>
      <c r="E479" s="329" t="s">
        <v>212</v>
      </c>
      <c r="F479" s="330">
        <v>4500000</v>
      </c>
      <c r="G479" s="331">
        <v>97.4</v>
      </c>
      <c r="H479" s="332">
        <v>7.18886</v>
      </c>
      <c r="I479" s="572"/>
    </row>
    <row r="480" spans="2:9" ht="15">
      <c r="B480" s="326" t="s">
        <v>771</v>
      </c>
      <c r="C480" s="327" t="s">
        <v>565</v>
      </c>
      <c r="D480" s="328" t="s">
        <v>711</v>
      </c>
      <c r="E480" s="329" t="s">
        <v>212</v>
      </c>
      <c r="F480" s="330">
        <v>500000</v>
      </c>
      <c r="G480" s="331">
        <v>97.4</v>
      </c>
      <c r="H480" s="332">
        <v>7.18886</v>
      </c>
      <c r="I480" s="572"/>
    </row>
    <row r="481" spans="2:9" ht="15">
      <c r="B481" s="326" t="s">
        <v>771</v>
      </c>
      <c r="C481" s="327" t="s">
        <v>565</v>
      </c>
      <c r="D481" s="328" t="s">
        <v>711</v>
      </c>
      <c r="E481" s="329" t="s">
        <v>212</v>
      </c>
      <c r="F481" s="330">
        <v>1800000</v>
      </c>
      <c r="G481" s="331">
        <v>96.894999999999996</v>
      </c>
      <c r="H481" s="332">
        <v>7.2763499999999999</v>
      </c>
      <c r="I481" s="572"/>
    </row>
    <row r="482" spans="2:9" ht="15">
      <c r="B482" s="326" t="s">
        <v>771</v>
      </c>
      <c r="C482" s="327" t="s">
        <v>565</v>
      </c>
      <c r="D482" s="328" t="s">
        <v>711</v>
      </c>
      <c r="E482" s="329" t="s">
        <v>212</v>
      </c>
      <c r="F482" s="330">
        <v>200000</v>
      </c>
      <c r="G482" s="331">
        <v>96.894999999999996</v>
      </c>
      <c r="H482" s="332">
        <v>7.2763499999999999</v>
      </c>
      <c r="I482" s="572"/>
    </row>
    <row r="483" spans="2:9" ht="15">
      <c r="B483" s="326" t="s">
        <v>771</v>
      </c>
      <c r="C483" s="327" t="s">
        <v>565</v>
      </c>
      <c r="D483" s="328" t="s">
        <v>711</v>
      </c>
      <c r="E483" s="329" t="s">
        <v>212</v>
      </c>
      <c r="F483" s="330">
        <v>1800000</v>
      </c>
      <c r="G483" s="331">
        <v>97.7</v>
      </c>
      <c r="H483" s="332">
        <v>7.1373199999999999</v>
      </c>
      <c r="I483" s="572"/>
    </row>
    <row r="484" spans="2:9" ht="15">
      <c r="B484" s="326" t="s">
        <v>771</v>
      </c>
      <c r="C484" s="327" t="s">
        <v>565</v>
      </c>
      <c r="D484" s="328" t="s">
        <v>711</v>
      </c>
      <c r="E484" s="329" t="s">
        <v>212</v>
      </c>
      <c r="F484" s="330">
        <v>200000</v>
      </c>
      <c r="G484" s="331">
        <v>97.7</v>
      </c>
      <c r="H484" s="332">
        <v>7.1373199999999999</v>
      </c>
      <c r="I484" s="572"/>
    </row>
    <row r="485" spans="2:9" ht="15">
      <c r="B485" s="326" t="s">
        <v>562</v>
      </c>
      <c r="C485" s="327" t="s">
        <v>565</v>
      </c>
      <c r="D485" s="328" t="s">
        <v>711</v>
      </c>
      <c r="E485" s="329" t="s">
        <v>212</v>
      </c>
      <c r="F485" s="330">
        <v>4500000</v>
      </c>
      <c r="G485" s="331">
        <v>97.78</v>
      </c>
      <c r="H485" s="332">
        <v>7.1239499999999998</v>
      </c>
      <c r="I485" s="572"/>
    </row>
    <row r="486" spans="2:9" ht="15">
      <c r="B486" s="326" t="s">
        <v>562</v>
      </c>
      <c r="C486" s="327" t="s">
        <v>565</v>
      </c>
      <c r="D486" s="328" t="s">
        <v>711</v>
      </c>
      <c r="E486" s="329" t="s">
        <v>212</v>
      </c>
      <c r="F486" s="330">
        <v>500000</v>
      </c>
      <c r="G486" s="331">
        <v>97.78</v>
      </c>
      <c r="H486" s="332">
        <v>7.1239499999999998</v>
      </c>
      <c r="I486" s="572"/>
    </row>
    <row r="487" spans="2:9" ht="15">
      <c r="B487" s="326" t="s">
        <v>562</v>
      </c>
      <c r="C487" s="327" t="s">
        <v>565</v>
      </c>
      <c r="D487" s="328" t="s">
        <v>711</v>
      </c>
      <c r="E487" s="329" t="s">
        <v>212</v>
      </c>
      <c r="F487" s="330">
        <v>1800000</v>
      </c>
      <c r="G487" s="331">
        <v>96.7</v>
      </c>
      <c r="H487" s="332">
        <v>7.31081</v>
      </c>
      <c r="I487" s="572"/>
    </row>
    <row r="488" spans="2:9" ht="15">
      <c r="B488" s="326" t="s">
        <v>562</v>
      </c>
      <c r="C488" s="327" t="s">
        <v>565</v>
      </c>
      <c r="D488" s="328" t="s">
        <v>711</v>
      </c>
      <c r="E488" s="329" t="s">
        <v>212</v>
      </c>
      <c r="F488" s="330">
        <v>200000</v>
      </c>
      <c r="G488" s="331">
        <v>96.7</v>
      </c>
      <c r="H488" s="332">
        <v>7.31081</v>
      </c>
      <c r="I488" s="572"/>
    </row>
    <row r="489" spans="2:9" ht="15">
      <c r="B489" s="326" t="s">
        <v>562</v>
      </c>
      <c r="C489" s="327" t="s">
        <v>565</v>
      </c>
      <c r="D489" s="328" t="s">
        <v>711</v>
      </c>
      <c r="E489" s="329" t="s">
        <v>212</v>
      </c>
      <c r="F489" s="330">
        <v>1800000</v>
      </c>
      <c r="G489" s="331">
        <v>97.625</v>
      </c>
      <c r="H489" s="332">
        <v>7.1506100000000004</v>
      </c>
      <c r="I489" s="572"/>
    </row>
    <row r="490" spans="2:9" ht="15">
      <c r="B490" s="326" t="s">
        <v>562</v>
      </c>
      <c r="C490" s="327" t="s">
        <v>565</v>
      </c>
      <c r="D490" s="328" t="s">
        <v>711</v>
      </c>
      <c r="E490" s="329" t="s">
        <v>212</v>
      </c>
      <c r="F490" s="330">
        <v>200000</v>
      </c>
      <c r="G490" s="331">
        <v>97.625</v>
      </c>
      <c r="H490" s="332">
        <v>7.1506100000000004</v>
      </c>
      <c r="I490" s="572"/>
    </row>
    <row r="491" spans="2:9" ht="15">
      <c r="B491" s="326" t="s">
        <v>562</v>
      </c>
      <c r="C491" s="327" t="s">
        <v>565</v>
      </c>
      <c r="D491" s="328" t="s">
        <v>711</v>
      </c>
      <c r="E491" s="329" t="s">
        <v>212</v>
      </c>
      <c r="F491" s="330">
        <v>3000000</v>
      </c>
      <c r="G491" s="331">
        <v>97.95</v>
      </c>
      <c r="H491" s="332">
        <v>7.09476</v>
      </c>
      <c r="I491" s="572"/>
    </row>
    <row r="492" spans="2:9" ht="15">
      <c r="B492" s="326" t="s">
        <v>562</v>
      </c>
      <c r="C492" s="327" t="s">
        <v>565</v>
      </c>
      <c r="D492" s="328" t="s">
        <v>711</v>
      </c>
      <c r="E492" s="329" t="s">
        <v>212</v>
      </c>
      <c r="F492" s="330">
        <v>1000000</v>
      </c>
      <c r="G492" s="331">
        <v>97.85</v>
      </c>
      <c r="H492" s="332">
        <v>7.1119199999999996</v>
      </c>
      <c r="I492" s="572"/>
    </row>
    <row r="493" spans="2:9" ht="15">
      <c r="B493" s="326" t="s">
        <v>562</v>
      </c>
      <c r="C493" s="327" t="s">
        <v>565</v>
      </c>
      <c r="D493" s="328" t="s">
        <v>711</v>
      </c>
      <c r="E493" s="329" t="s">
        <v>212</v>
      </c>
      <c r="F493" s="330">
        <v>1000000</v>
      </c>
      <c r="G493" s="331">
        <v>98.2</v>
      </c>
      <c r="H493" s="332">
        <v>7.0519600000000002</v>
      </c>
      <c r="I493" s="572"/>
    </row>
    <row r="494" spans="2:9" ht="15">
      <c r="B494" s="326"/>
      <c r="C494" s="327"/>
      <c r="D494" s="328"/>
      <c r="E494" s="329"/>
      <c r="F494" s="330"/>
      <c r="G494" s="331"/>
      <c r="H494" s="332"/>
      <c r="I494" s="572"/>
    </row>
    <row r="495" spans="2:9" ht="15">
      <c r="B495" s="326"/>
      <c r="C495" s="327"/>
      <c r="D495" s="328"/>
      <c r="E495" s="329"/>
      <c r="F495" s="350"/>
      <c r="G495" s="351"/>
      <c r="H495" s="352"/>
      <c r="I495" s="572"/>
    </row>
    <row r="496" spans="2:9" ht="15">
      <c r="B496" s="334"/>
      <c r="C496" s="334"/>
      <c r="D496" s="335" t="s">
        <v>702</v>
      </c>
      <c r="E496" s="336"/>
      <c r="F496" s="337">
        <f>SUM(F462:F495)</f>
        <v>61500000</v>
      </c>
      <c r="G496" s="338"/>
      <c r="H496" s="339">
        <f>SUMPRODUCT(F462:F495,H462:H495)/F496</f>
        <v>7.1273654471544718</v>
      </c>
      <c r="I496" s="1134"/>
    </row>
    <row r="498" spans="2:9" ht="15">
      <c r="B498" s="320" t="s">
        <v>770</v>
      </c>
      <c r="C498" s="321"/>
      <c r="D498" s="322" t="s">
        <v>566</v>
      </c>
      <c r="E498" s="323" t="s">
        <v>567</v>
      </c>
      <c r="F498" s="324" t="s">
        <v>568</v>
      </c>
      <c r="G498" s="324" t="s">
        <v>701</v>
      </c>
      <c r="H498" s="325" t="s">
        <v>569</v>
      </c>
      <c r="I498" s="1133"/>
    </row>
    <row r="499" spans="2:9" ht="15">
      <c r="B499" s="326" t="s">
        <v>429</v>
      </c>
      <c r="C499" s="327" t="s">
        <v>565</v>
      </c>
      <c r="D499" s="328" t="s">
        <v>422</v>
      </c>
      <c r="E499" s="329" t="s">
        <v>212</v>
      </c>
      <c r="F499" s="404">
        <v>1800000</v>
      </c>
      <c r="G499" s="421">
        <v>88.051000000000002</v>
      </c>
      <c r="H499" s="422">
        <v>6.0003469999999997</v>
      </c>
      <c r="I499" s="572"/>
    </row>
    <row r="500" spans="2:9" ht="15">
      <c r="B500" s="326" t="s">
        <v>423</v>
      </c>
      <c r="C500" s="327" t="s">
        <v>565</v>
      </c>
      <c r="D500" s="328" t="s">
        <v>422</v>
      </c>
      <c r="E500" s="329" t="s">
        <v>212</v>
      </c>
      <c r="F500" s="330">
        <v>200000</v>
      </c>
      <c r="G500" s="331">
        <v>88.051000000000002</v>
      </c>
      <c r="H500" s="332">
        <v>6.0003469999999997</v>
      </c>
      <c r="I500" s="572"/>
    </row>
    <row r="501" spans="2:9" ht="15">
      <c r="B501" s="326"/>
      <c r="C501" s="327"/>
      <c r="D501" s="328"/>
      <c r="E501" s="329"/>
      <c r="F501" s="330"/>
      <c r="G501" s="331"/>
      <c r="H501" s="332"/>
      <c r="I501" s="572"/>
    </row>
    <row r="502" spans="2:9" ht="15">
      <c r="B502" s="326"/>
      <c r="C502" s="327"/>
      <c r="D502" s="328"/>
      <c r="E502" s="329"/>
      <c r="F502" s="350"/>
      <c r="G502" s="351"/>
      <c r="H502" s="352"/>
      <c r="I502" s="572"/>
    </row>
    <row r="503" spans="2:9" ht="15">
      <c r="B503" s="334"/>
      <c r="C503" s="334"/>
      <c r="D503" s="335" t="s">
        <v>702</v>
      </c>
      <c r="E503" s="336"/>
      <c r="F503" s="337">
        <f>SUM(F499:F502)</f>
        <v>2000000</v>
      </c>
      <c r="G503" s="338"/>
      <c r="H503" s="339">
        <f>SUMPRODUCT(F499:F502,H499:H502)/F503</f>
        <v>6.0003469999999997</v>
      </c>
      <c r="I503" s="1134"/>
    </row>
    <row r="505" spans="2:9" ht="15">
      <c r="B505" s="320" t="s">
        <v>770</v>
      </c>
      <c r="C505" s="321"/>
      <c r="D505" s="322" t="s">
        <v>566</v>
      </c>
      <c r="E505" s="323" t="s">
        <v>567</v>
      </c>
      <c r="F505" s="324" t="s">
        <v>568</v>
      </c>
      <c r="G505" s="324" t="s">
        <v>701</v>
      </c>
      <c r="H505" s="325" t="s">
        <v>569</v>
      </c>
      <c r="I505" s="1133"/>
    </row>
    <row r="506" spans="2:9" ht="15">
      <c r="B506" s="326" t="s">
        <v>424</v>
      </c>
      <c r="C506" s="327" t="s">
        <v>565</v>
      </c>
      <c r="D506" s="328" t="s">
        <v>420</v>
      </c>
      <c r="E506" s="329" t="s">
        <v>212</v>
      </c>
      <c r="F506" s="404">
        <v>9000000</v>
      </c>
      <c r="G506" s="421">
        <v>87</v>
      </c>
      <c r="H506" s="422">
        <v>6.3294639999999998</v>
      </c>
      <c r="I506" s="572"/>
    </row>
    <row r="507" spans="2:9" ht="15">
      <c r="B507" s="326" t="s">
        <v>424</v>
      </c>
      <c r="C507" s="327" t="s">
        <v>565</v>
      </c>
      <c r="D507" s="328" t="s">
        <v>420</v>
      </c>
      <c r="E507" s="329" t="s">
        <v>212</v>
      </c>
      <c r="F507" s="330">
        <v>3000000</v>
      </c>
      <c r="G507" s="331">
        <v>87.832999999999998</v>
      </c>
      <c r="H507" s="332">
        <v>6.2600899999999999</v>
      </c>
      <c r="I507" s="572"/>
    </row>
    <row r="508" spans="2:9" ht="15">
      <c r="B508" s="326" t="s">
        <v>424</v>
      </c>
      <c r="C508" s="327" t="s">
        <v>565</v>
      </c>
      <c r="D508" s="328" t="s">
        <v>420</v>
      </c>
      <c r="E508" s="329" t="s">
        <v>212</v>
      </c>
      <c r="F508" s="330">
        <v>3000000</v>
      </c>
      <c r="G508" s="331">
        <v>88.808999999999997</v>
      </c>
      <c r="H508" s="332">
        <v>6.18011</v>
      </c>
      <c r="I508" s="572"/>
    </row>
    <row r="509" spans="2:9" ht="15">
      <c r="B509" s="326" t="s">
        <v>425</v>
      </c>
      <c r="C509" s="327" t="s">
        <v>565</v>
      </c>
      <c r="D509" s="328" t="s">
        <v>420</v>
      </c>
      <c r="E509" s="329" t="s">
        <v>212</v>
      </c>
      <c r="F509" s="330">
        <v>13000000</v>
      </c>
      <c r="G509" s="331">
        <v>87.016000000000005</v>
      </c>
      <c r="H509" s="332">
        <v>6.3281499999999999</v>
      </c>
      <c r="I509" s="572"/>
    </row>
    <row r="510" spans="2:9" ht="15">
      <c r="B510" s="326" t="s">
        <v>425</v>
      </c>
      <c r="C510" s="327" t="s">
        <v>565</v>
      </c>
      <c r="D510" s="328" t="s">
        <v>420</v>
      </c>
      <c r="E510" s="329" t="s">
        <v>212</v>
      </c>
      <c r="F510" s="330">
        <v>2000000</v>
      </c>
      <c r="G510" s="331">
        <v>87.832999999999998</v>
      </c>
      <c r="H510" s="332">
        <v>6.2600899999999999</v>
      </c>
      <c r="I510" s="572"/>
    </row>
    <row r="511" spans="2:9" ht="15">
      <c r="B511" s="326"/>
      <c r="C511" s="327"/>
      <c r="D511" s="328"/>
      <c r="E511" s="329"/>
      <c r="F511" s="330"/>
      <c r="G511" s="331"/>
      <c r="H511" s="332"/>
      <c r="I511" s="572"/>
    </row>
    <row r="512" spans="2:9" ht="15">
      <c r="B512" s="334"/>
      <c r="C512" s="334"/>
      <c r="D512" s="335" t="s">
        <v>702</v>
      </c>
      <c r="E512" s="336"/>
      <c r="F512" s="337">
        <f>SUM(F506:F511)</f>
        <v>30000000</v>
      </c>
      <c r="G512" s="338"/>
      <c r="H512" s="339">
        <f>SUMPRODUCT(F506:F511,H506:H511)/F512</f>
        <v>6.3023968666666663</v>
      </c>
      <c r="I512" s="1134"/>
    </row>
    <row r="514" spans="2:9" ht="15">
      <c r="B514" s="320" t="s">
        <v>770</v>
      </c>
      <c r="C514" s="321"/>
      <c r="D514" s="322" t="s">
        <v>566</v>
      </c>
      <c r="E514" s="323" t="s">
        <v>567</v>
      </c>
      <c r="F514" s="324" t="s">
        <v>568</v>
      </c>
      <c r="G514" s="324" t="s">
        <v>701</v>
      </c>
      <c r="H514" s="325" t="s">
        <v>569</v>
      </c>
      <c r="I514" s="1133"/>
    </row>
    <row r="515" spans="2:9" ht="15">
      <c r="B515" s="326" t="s">
        <v>513</v>
      </c>
      <c r="C515" s="327" t="s">
        <v>565</v>
      </c>
      <c r="D515" s="328" t="s">
        <v>426</v>
      </c>
      <c r="E515" s="329" t="s">
        <v>212</v>
      </c>
      <c r="F515" s="404">
        <v>2000000</v>
      </c>
      <c r="G515" s="421">
        <v>88.272000000000006</v>
      </c>
      <c r="H515" s="422">
        <v>5.6200900000000003</v>
      </c>
      <c r="I515" s="572"/>
    </row>
    <row r="516" spans="2:9" ht="15">
      <c r="B516" s="326"/>
      <c r="C516" s="327"/>
      <c r="D516" s="328"/>
      <c r="E516" s="329"/>
      <c r="F516" s="350"/>
      <c r="G516" s="351"/>
      <c r="H516" s="352"/>
      <c r="I516" s="572"/>
    </row>
    <row r="517" spans="2:9" ht="15">
      <c r="B517" s="334"/>
      <c r="C517" s="334"/>
      <c r="D517" s="335" t="s">
        <v>702</v>
      </c>
      <c r="E517" s="336"/>
      <c r="F517" s="337">
        <f>SUM(F515:F516)</f>
        <v>2000000</v>
      </c>
      <c r="G517" s="338"/>
      <c r="H517" s="339">
        <f>SUMPRODUCT(F515:F516,H515:H516)/F517</f>
        <v>5.6200900000000003</v>
      </c>
      <c r="I517" s="1134"/>
    </row>
    <row r="519" spans="2:9" ht="15">
      <c r="B519" s="320" t="s">
        <v>770</v>
      </c>
      <c r="C519" s="321"/>
      <c r="D519" s="322" t="s">
        <v>566</v>
      </c>
      <c r="E519" s="323" t="s">
        <v>567</v>
      </c>
      <c r="F519" s="324" t="s">
        <v>568</v>
      </c>
      <c r="G519" s="324" t="s">
        <v>701</v>
      </c>
      <c r="H519" s="325" t="s">
        <v>569</v>
      </c>
      <c r="I519" s="1133"/>
    </row>
    <row r="520" spans="2:9" ht="15">
      <c r="B520" s="326" t="s">
        <v>513</v>
      </c>
      <c r="C520" s="327" t="s">
        <v>565</v>
      </c>
      <c r="D520" s="328" t="s">
        <v>427</v>
      </c>
      <c r="E520" s="329" t="s">
        <v>212</v>
      </c>
      <c r="F520" s="404">
        <v>10000000</v>
      </c>
      <c r="G520" s="421">
        <v>100</v>
      </c>
      <c r="H520" s="422">
        <v>6.125</v>
      </c>
      <c r="I520" s="572"/>
    </row>
    <row r="521" spans="2:9" ht="15">
      <c r="B521" s="334"/>
      <c r="C521" s="334"/>
      <c r="D521" s="335" t="s">
        <v>702</v>
      </c>
      <c r="E521" s="336"/>
      <c r="F521" s="337">
        <f>SUM(F520:F520)</f>
        <v>10000000</v>
      </c>
      <c r="G521" s="338"/>
      <c r="H521" s="339">
        <f>SUMPRODUCT(F520:F520,H520:H520)/F521</f>
        <v>6.125</v>
      </c>
      <c r="I521" s="1134"/>
    </row>
    <row r="523" spans="2:9" ht="15">
      <c r="B523" s="320" t="s">
        <v>770</v>
      </c>
      <c r="C523" s="321"/>
      <c r="D523" s="322" t="s">
        <v>566</v>
      </c>
      <c r="E523" s="323" t="s">
        <v>567</v>
      </c>
      <c r="F523" s="324" t="s">
        <v>568</v>
      </c>
      <c r="G523" s="324" t="s">
        <v>701</v>
      </c>
      <c r="H523" s="325" t="s">
        <v>569</v>
      </c>
      <c r="I523" s="1133"/>
    </row>
    <row r="524" spans="2:9" ht="15">
      <c r="B524" s="326" t="s">
        <v>513</v>
      </c>
      <c r="C524" s="327" t="s">
        <v>565</v>
      </c>
      <c r="D524" s="328" t="s">
        <v>428</v>
      </c>
      <c r="E524" s="329" t="s">
        <v>212</v>
      </c>
      <c r="F524" s="404">
        <v>2000000</v>
      </c>
      <c r="G524" s="421">
        <v>92</v>
      </c>
      <c r="H524" s="422">
        <v>6.7007700000000003</v>
      </c>
      <c r="I524" s="572"/>
    </row>
    <row r="525" spans="2:9" ht="15">
      <c r="B525" s="326"/>
      <c r="C525" s="327"/>
      <c r="D525" s="328"/>
      <c r="E525" s="329"/>
      <c r="F525" s="350"/>
      <c r="G525" s="351"/>
      <c r="H525" s="352"/>
      <c r="I525" s="572"/>
    </row>
    <row r="526" spans="2:9" ht="15">
      <c r="B526" s="334"/>
      <c r="C526" s="334"/>
      <c r="D526" s="335" t="s">
        <v>702</v>
      </c>
      <c r="E526" s="336"/>
      <c r="F526" s="337">
        <f>SUM(F524:F525)</f>
        <v>2000000</v>
      </c>
      <c r="G526" s="338"/>
      <c r="H526" s="339">
        <f>SUMPRODUCT(F524:F525,H524:H525)/F526</f>
        <v>6.7007700000000003</v>
      </c>
      <c r="I526" s="1134"/>
    </row>
    <row r="533" spans="2:15" s="453" customFormat="1">
      <c r="M533" s="1234"/>
    </row>
    <row r="535" spans="2:15" ht="14.25">
      <c r="D535" s="304" t="s">
        <v>1167</v>
      </c>
    </row>
    <row r="536" spans="2:15" ht="15">
      <c r="B536" s="320" t="s">
        <v>770</v>
      </c>
      <c r="C536" s="321"/>
      <c r="D536" s="322" t="s">
        <v>566</v>
      </c>
      <c r="E536" s="323" t="s">
        <v>567</v>
      </c>
      <c r="F536" s="324" t="s">
        <v>568</v>
      </c>
      <c r="G536" s="324" t="s">
        <v>701</v>
      </c>
      <c r="H536" s="325" t="s">
        <v>569</v>
      </c>
      <c r="I536" s="1133"/>
      <c r="O536" s="106"/>
    </row>
    <row r="537" spans="2:15" ht="20.25" customHeight="1">
      <c r="B537" s="326" t="s">
        <v>513</v>
      </c>
      <c r="C537" s="358" t="s">
        <v>565</v>
      </c>
      <c r="D537" s="328" t="s">
        <v>426</v>
      </c>
      <c r="E537" s="329" t="s">
        <v>212</v>
      </c>
      <c r="F537" s="404">
        <v>2000000</v>
      </c>
      <c r="G537" s="421">
        <v>89.1</v>
      </c>
      <c r="H537" s="332">
        <v>5.4999700000000002</v>
      </c>
      <c r="I537" s="572"/>
      <c r="J537" s="355"/>
      <c r="K537" s="355"/>
    </row>
    <row r="538" spans="2:15" ht="20.25" customHeight="1">
      <c r="B538" s="326" t="s">
        <v>513</v>
      </c>
      <c r="C538" s="405" t="s">
        <v>565</v>
      </c>
      <c r="D538" s="328" t="s">
        <v>426</v>
      </c>
      <c r="E538" s="329" t="s">
        <v>212</v>
      </c>
      <c r="F538" s="330">
        <v>1000000</v>
      </c>
      <c r="G538" s="331">
        <v>89.501999999999995</v>
      </c>
      <c r="H538" s="332">
        <v>5.4408500000000002</v>
      </c>
      <c r="I538" s="572"/>
      <c r="J538" s="355"/>
      <c r="K538" s="355"/>
    </row>
    <row r="539" spans="2:15" ht="20.25" customHeight="1">
      <c r="B539" s="326"/>
      <c r="C539" s="405"/>
      <c r="D539" s="328"/>
      <c r="E539" s="329"/>
      <c r="F539" s="330"/>
      <c r="G539" s="331"/>
      <c r="H539" s="332"/>
      <c r="I539" s="572"/>
      <c r="J539" s="355"/>
      <c r="K539" s="355"/>
    </row>
    <row r="540" spans="2:15" ht="20.25" customHeight="1">
      <c r="B540" s="326"/>
      <c r="C540" s="405"/>
      <c r="D540" s="328"/>
      <c r="E540" s="329"/>
      <c r="F540" s="330"/>
      <c r="G540" s="331"/>
      <c r="H540" s="332"/>
      <c r="I540" s="572"/>
      <c r="J540" s="355"/>
      <c r="K540" s="355"/>
    </row>
    <row r="541" spans="2:15" ht="20.25" customHeight="1">
      <c r="B541" s="326"/>
      <c r="C541" s="405"/>
      <c r="D541" s="328"/>
      <c r="E541" s="329"/>
      <c r="F541" s="330"/>
      <c r="G541" s="331"/>
      <c r="H541" s="332"/>
      <c r="I541" s="572"/>
      <c r="J541" s="355"/>
      <c r="K541" s="355"/>
    </row>
    <row r="542" spans="2:15" ht="20.25" customHeight="1">
      <c r="B542" s="326"/>
      <c r="C542" s="365"/>
      <c r="D542" s="328"/>
      <c r="E542" s="329"/>
      <c r="F542" s="350"/>
      <c r="G542" s="351"/>
      <c r="H542" s="332"/>
      <c r="I542" s="572"/>
      <c r="J542" s="355"/>
      <c r="K542" s="355"/>
    </row>
    <row r="543" spans="2:15" ht="15">
      <c r="B543" s="334"/>
      <c r="C543" s="334"/>
      <c r="D543" s="335" t="s">
        <v>702</v>
      </c>
      <c r="E543" s="336"/>
      <c r="F543" s="337">
        <f>SUM(F537:F542)</f>
        <v>3000000</v>
      </c>
      <c r="G543" s="338"/>
      <c r="H543" s="339">
        <f>SUMPRODUCT(F537:F542,H537:H542)/F543</f>
        <v>5.4802633333333333</v>
      </c>
      <c r="I543" s="1134"/>
      <c r="K543" s="407"/>
      <c r="M543" s="1232"/>
    </row>
    <row r="546" spans="2:15" ht="15">
      <c r="B546" s="320" t="s">
        <v>770</v>
      </c>
      <c r="C546" s="321"/>
      <c r="D546" s="322" t="s">
        <v>566</v>
      </c>
      <c r="E546" s="323" t="s">
        <v>567</v>
      </c>
      <c r="F546" s="324" t="s">
        <v>568</v>
      </c>
      <c r="G546" s="324" t="s">
        <v>701</v>
      </c>
      <c r="H546" s="325" t="s">
        <v>569</v>
      </c>
      <c r="I546" s="1133"/>
      <c r="O546" s="106"/>
    </row>
    <row r="547" spans="2:15" ht="20.25" customHeight="1">
      <c r="B547" s="326" t="s">
        <v>513</v>
      </c>
      <c r="C547" s="358" t="s">
        <v>565</v>
      </c>
      <c r="D547" s="328" t="s">
        <v>428</v>
      </c>
      <c r="E547" s="329" t="s">
        <v>212</v>
      </c>
      <c r="F547" s="404">
        <v>1000000</v>
      </c>
      <c r="G547" s="421">
        <v>93.59</v>
      </c>
      <c r="H547" s="332">
        <v>6.3010700000000002</v>
      </c>
      <c r="I547" s="572"/>
      <c r="J547" s="355"/>
      <c r="K547" s="355"/>
    </row>
    <row r="548" spans="2:15" ht="20.25" customHeight="1">
      <c r="B548" s="326" t="s">
        <v>513</v>
      </c>
      <c r="C548" s="405" t="s">
        <v>565</v>
      </c>
      <c r="D548" s="328" t="s">
        <v>428</v>
      </c>
      <c r="E548" s="329" t="s">
        <v>212</v>
      </c>
      <c r="F548" s="330">
        <v>1000000</v>
      </c>
      <c r="G548" s="331">
        <v>93.200999999999993</v>
      </c>
      <c r="H548" s="332">
        <v>6.4001099999999997</v>
      </c>
      <c r="I548" s="572"/>
      <c r="J548" s="355"/>
      <c r="K548" s="355"/>
    </row>
    <row r="549" spans="2:15" ht="20.25" customHeight="1">
      <c r="B549" s="326" t="s">
        <v>513</v>
      </c>
      <c r="C549" s="405" t="s">
        <v>565</v>
      </c>
      <c r="D549" s="328" t="s">
        <v>428</v>
      </c>
      <c r="E549" s="329" t="s">
        <v>212</v>
      </c>
      <c r="F549" s="330">
        <v>1000000</v>
      </c>
      <c r="G549" s="331">
        <v>93.125</v>
      </c>
      <c r="H549" s="332">
        <v>6.4193699999999998</v>
      </c>
      <c r="I549" s="572"/>
      <c r="J549" s="355"/>
      <c r="K549" s="355"/>
    </row>
    <row r="550" spans="2:15" ht="20.25" customHeight="1">
      <c r="B550" s="326" t="s">
        <v>513</v>
      </c>
      <c r="C550" s="405" t="s">
        <v>565</v>
      </c>
      <c r="D550" s="328" t="s">
        <v>428</v>
      </c>
      <c r="E550" s="329" t="s">
        <v>212</v>
      </c>
      <c r="F550" s="330">
        <v>2000000</v>
      </c>
      <c r="G550" s="331">
        <v>92.83</v>
      </c>
      <c r="H550" s="332">
        <v>6.4995200000000004</v>
      </c>
      <c r="I550" s="572"/>
      <c r="J550" s="355"/>
      <c r="K550" s="355"/>
    </row>
    <row r="551" spans="2:15" ht="20.25" customHeight="1">
      <c r="B551" s="326"/>
      <c r="C551" s="405"/>
      <c r="D551" s="328"/>
      <c r="E551" s="329"/>
      <c r="F551" s="330"/>
      <c r="G551" s="331"/>
      <c r="H551" s="332"/>
      <c r="I551" s="572"/>
      <c r="J551" s="355"/>
      <c r="K551" s="355"/>
    </row>
    <row r="552" spans="2:15" ht="20.25" customHeight="1">
      <c r="B552" s="326"/>
      <c r="C552" s="365"/>
      <c r="D552" s="328"/>
      <c r="E552" s="329"/>
      <c r="F552" s="350"/>
      <c r="G552" s="351"/>
      <c r="H552" s="332"/>
      <c r="I552" s="572"/>
      <c r="J552" s="355"/>
      <c r="K552" s="355"/>
    </row>
    <row r="553" spans="2:15" ht="15">
      <c r="B553" s="334"/>
      <c r="C553" s="334"/>
      <c r="D553" s="335" t="s">
        <v>702</v>
      </c>
      <c r="E553" s="336"/>
      <c r="F553" s="337">
        <f>SUM(F547:F552)</f>
        <v>5000000</v>
      </c>
      <c r="G553" s="338"/>
      <c r="H553" s="339">
        <f>SUMPRODUCT(F547:F552,H547:H552)/F553</f>
        <v>6.4239179999999996</v>
      </c>
      <c r="I553" s="1134"/>
      <c r="K553" s="407"/>
      <c r="M553" s="1232"/>
    </row>
    <row r="556" spans="2:15" ht="15">
      <c r="B556" s="320" t="s">
        <v>770</v>
      </c>
      <c r="C556" s="321"/>
      <c r="D556" s="322" t="s">
        <v>566</v>
      </c>
      <c r="E556" s="323" t="s">
        <v>567</v>
      </c>
      <c r="F556" s="324" t="s">
        <v>568</v>
      </c>
      <c r="G556" s="324" t="s">
        <v>701</v>
      </c>
      <c r="H556" s="325" t="s">
        <v>569</v>
      </c>
      <c r="I556" s="1133"/>
      <c r="O556" s="106"/>
    </row>
    <row r="557" spans="2:15" ht="20.25" customHeight="1">
      <c r="B557" s="326" t="s">
        <v>513</v>
      </c>
      <c r="C557" s="358" t="s">
        <v>565</v>
      </c>
      <c r="D557" s="328" t="s">
        <v>78</v>
      </c>
      <c r="E557" s="329" t="s">
        <v>212</v>
      </c>
      <c r="F557" s="404">
        <v>1000000</v>
      </c>
      <c r="G557" s="421">
        <v>87.875</v>
      </c>
      <c r="H557" s="332">
        <v>6.2027299999999999</v>
      </c>
      <c r="I557" s="572"/>
      <c r="J557" s="355"/>
      <c r="K557" s="355"/>
    </row>
    <row r="558" spans="2:15" ht="20.25" customHeight="1">
      <c r="B558" s="326" t="s">
        <v>513</v>
      </c>
      <c r="C558" s="405" t="s">
        <v>565</v>
      </c>
      <c r="D558" s="328" t="s">
        <v>78</v>
      </c>
      <c r="E558" s="329" t="s">
        <v>212</v>
      </c>
      <c r="F558" s="330">
        <v>1000000</v>
      </c>
      <c r="G558" s="331">
        <v>87.25</v>
      </c>
      <c r="H558" s="332">
        <v>6.2989600000000001</v>
      </c>
      <c r="I558" s="572"/>
      <c r="J558" s="355"/>
      <c r="K558" s="355"/>
    </row>
    <row r="559" spans="2:15" ht="20.25" customHeight="1">
      <c r="B559" s="326" t="s">
        <v>513</v>
      </c>
      <c r="C559" s="405" t="s">
        <v>565</v>
      </c>
      <c r="D559" s="328" t="s">
        <v>78</v>
      </c>
      <c r="E559" s="329" t="s">
        <v>212</v>
      </c>
      <c r="F559" s="330">
        <v>1000000</v>
      </c>
      <c r="G559" s="331">
        <v>87.186000000000007</v>
      </c>
      <c r="H559" s="332">
        <v>6.3101099999999999</v>
      </c>
      <c r="I559" s="572"/>
      <c r="J559" s="355"/>
      <c r="K559" s="355"/>
    </row>
    <row r="560" spans="2:15" ht="20.25" customHeight="1">
      <c r="B560" s="326"/>
      <c r="C560" s="405"/>
      <c r="D560" s="328"/>
      <c r="E560" s="329"/>
      <c r="F560" s="330"/>
      <c r="G560" s="331"/>
      <c r="H560" s="332"/>
      <c r="I560" s="572"/>
      <c r="J560" s="355"/>
      <c r="K560" s="355"/>
    </row>
    <row r="561" spans="2:15" ht="20.25" customHeight="1">
      <c r="B561" s="326"/>
      <c r="C561" s="405"/>
      <c r="D561" s="328"/>
      <c r="E561" s="329"/>
      <c r="F561" s="330"/>
      <c r="G561" s="331"/>
      <c r="H561" s="332"/>
      <c r="I561" s="572"/>
      <c r="J561" s="355"/>
      <c r="K561" s="355"/>
    </row>
    <row r="562" spans="2:15" ht="20.25" customHeight="1">
      <c r="B562" s="326"/>
      <c r="C562" s="365"/>
      <c r="D562" s="328"/>
      <c r="E562" s="329"/>
      <c r="F562" s="350"/>
      <c r="G562" s="351"/>
      <c r="H562" s="332"/>
      <c r="I562" s="572"/>
      <c r="J562" s="355"/>
      <c r="K562" s="355"/>
    </row>
    <row r="563" spans="2:15" ht="15">
      <c r="B563" s="334"/>
      <c r="C563" s="334"/>
      <c r="D563" s="335" t="s">
        <v>702</v>
      </c>
      <c r="E563" s="336"/>
      <c r="F563" s="337">
        <f>SUM(F557:F562)</f>
        <v>3000000</v>
      </c>
      <c r="G563" s="338"/>
      <c r="H563" s="339">
        <f>SUMPRODUCT(F557:F562,H557:H562)/F563</f>
        <v>6.2706</v>
      </c>
      <c r="I563" s="1134"/>
      <c r="K563" s="407"/>
      <c r="M563" s="1232"/>
    </row>
    <row r="566" spans="2:15" ht="15">
      <c r="B566" s="320" t="s">
        <v>770</v>
      </c>
      <c r="C566" s="321"/>
      <c r="D566" s="322" t="s">
        <v>566</v>
      </c>
      <c r="E566" s="323" t="s">
        <v>567</v>
      </c>
      <c r="F566" s="324" t="s">
        <v>568</v>
      </c>
      <c r="G566" s="324" t="s">
        <v>701</v>
      </c>
      <c r="H566" s="325" t="s">
        <v>569</v>
      </c>
      <c r="I566" s="1133"/>
      <c r="O566" s="106"/>
    </row>
    <row r="567" spans="2:15" ht="20.25" customHeight="1">
      <c r="B567" s="326" t="s">
        <v>513</v>
      </c>
      <c r="C567" s="358" t="s">
        <v>565</v>
      </c>
      <c r="D567" s="328" t="s">
        <v>211</v>
      </c>
      <c r="E567" s="329" t="s">
        <v>212</v>
      </c>
      <c r="F567" s="404">
        <v>2000000</v>
      </c>
      <c r="G567" s="421">
        <v>90.875</v>
      </c>
      <c r="H567" s="332">
        <v>7.4889999999999999</v>
      </c>
      <c r="I567" s="572"/>
      <c r="J567" s="355"/>
      <c r="K567" s="355"/>
    </row>
    <row r="568" spans="2:15" ht="20.25" customHeight="1">
      <c r="B568" s="326" t="s">
        <v>513</v>
      </c>
      <c r="C568" s="405" t="s">
        <v>565</v>
      </c>
      <c r="D568" s="328" t="s">
        <v>211</v>
      </c>
      <c r="E568" s="329" t="s">
        <v>212</v>
      </c>
      <c r="F568" s="330">
        <v>1000000</v>
      </c>
      <c r="G568" s="331">
        <v>90.95</v>
      </c>
      <c r="H568" s="332">
        <v>7.4771000000000001</v>
      </c>
      <c r="I568" s="572"/>
      <c r="J568" s="355"/>
      <c r="K568" s="355"/>
    </row>
    <row r="569" spans="2:15" ht="20.25" customHeight="1">
      <c r="B569" s="326" t="s">
        <v>513</v>
      </c>
      <c r="C569" s="405" t="s">
        <v>565</v>
      </c>
      <c r="D569" s="328" t="s">
        <v>211</v>
      </c>
      <c r="E569" s="329" t="s">
        <v>338</v>
      </c>
      <c r="F569" s="330">
        <v>1000000</v>
      </c>
      <c r="G569" s="331">
        <v>89.9</v>
      </c>
      <c r="H569" s="332">
        <v>7.6478000000000002</v>
      </c>
      <c r="I569" s="572"/>
      <c r="J569" s="355"/>
      <c r="K569" s="355"/>
    </row>
    <row r="570" spans="2:15" ht="20.25" customHeight="1">
      <c r="B570" s="326" t="s">
        <v>513</v>
      </c>
      <c r="C570" s="405" t="s">
        <v>565</v>
      </c>
      <c r="D570" s="328" t="s">
        <v>211</v>
      </c>
      <c r="E570" s="329" t="s">
        <v>338</v>
      </c>
      <c r="F570" s="330">
        <v>1000000</v>
      </c>
      <c r="G570" s="331">
        <v>88.36</v>
      </c>
      <c r="H570" s="332">
        <v>7.8999499999999996</v>
      </c>
      <c r="I570" s="572"/>
      <c r="J570" s="355"/>
      <c r="K570" s="355"/>
    </row>
    <row r="571" spans="2:15" ht="20.25" customHeight="1">
      <c r="B571" s="326" t="s">
        <v>513</v>
      </c>
      <c r="C571" s="405" t="s">
        <v>565</v>
      </c>
      <c r="D571" s="328" t="s">
        <v>211</v>
      </c>
      <c r="E571" s="329" t="s">
        <v>338</v>
      </c>
      <c r="F571" s="330">
        <v>1000000</v>
      </c>
      <c r="G571" s="331">
        <v>87.5</v>
      </c>
      <c r="H571" s="332">
        <v>8.0453499999999991</v>
      </c>
      <c r="I571" s="572"/>
      <c r="J571" s="355"/>
      <c r="K571" s="355"/>
    </row>
    <row r="572" spans="2:15" ht="20.25" customHeight="1">
      <c r="B572" s="326"/>
      <c r="C572" s="365"/>
      <c r="D572" s="328"/>
      <c r="E572" s="329"/>
      <c r="F572" s="350"/>
      <c r="G572" s="351"/>
      <c r="H572" s="332"/>
      <c r="I572" s="572"/>
      <c r="J572" s="355"/>
      <c r="K572" s="355"/>
    </row>
    <row r="573" spans="2:15" ht="15">
      <c r="B573" s="334"/>
      <c r="C573" s="334"/>
      <c r="D573" s="335" t="s">
        <v>702</v>
      </c>
      <c r="E573" s="336"/>
      <c r="F573" s="337">
        <f>SUM(F567:F572)</f>
        <v>6000000</v>
      </c>
      <c r="G573" s="338"/>
      <c r="H573" s="339">
        <f>SUMPRODUCT(F567:F572,H567:H572)/F573</f>
        <v>7.6746999999999996</v>
      </c>
      <c r="I573" s="1134"/>
      <c r="K573" s="407"/>
      <c r="M573" s="1232"/>
    </row>
    <row r="576" spans="2:15" ht="15">
      <c r="B576" s="320" t="s">
        <v>1033</v>
      </c>
      <c r="C576" s="321"/>
      <c r="D576" s="322" t="s">
        <v>566</v>
      </c>
      <c r="E576" s="323" t="s">
        <v>567</v>
      </c>
      <c r="F576" s="324" t="s">
        <v>568</v>
      </c>
      <c r="G576" s="324" t="s">
        <v>701</v>
      </c>
      <c r="H576" s="325" t="s">
        <v>569</v>
      </c>
      <c r="I576" s="1133"/>
      <c r="K576">
        <v>7.8</v>
      </c>
    </row>
    <row r="577" spans="2:15" ht="15">
      <c r="B577" s="326" t="s">
        <v>513</v>
      </c>
      <c r="C577" s="358" t="s">
        <v>994</v>
      </c>
      <c r="D577" s="328" t="s">
        <v>427</v>
      </c>
      <c r="E577" s="329" t="s">
        <v>212</v>
      </c>
      <c r="F577" s="404">
        <v>5000000</v>
      </c>
      <c r="G577" s="421">
        <v>100.03</v>
      </c>
      <c r="H577" s="422">
        <v>6.8207800000000001</v>
      </c>
      <c r="I577" s="572"/>
      <c r="J577" s="355">
        <f>(G577-100)*F577/100</f>
        <v>1500.0000000000568</v>
      </c>
      <c r="K577" s="355">
        <f>J577*$K$576</f>
        <v>11700.000000000444</v>
      </c>
      <c r="M577" s="1142" t="s">
        <v>196</v>
      </c>
    </row>
    <row r="578" spans="2:15" ht="15">
      <c r="B578" s="326" t="s">
        <v>513</v>
      </c>
      <c r="C578" s="405" t="s">
        <v>19</v>
      </c>
      <c r="D578" s="328" t="s">
        <v>427</v>
      </c>
      <c r="E578" s="329" t="s">
        <v>212</v>
      </c>
      <c r="F578" s="330">
        <v>1000000</v>
      </c>
      <c r="G578" s="331">
        <v>101.1</v>
      </c>
      <c r="H578" s="332">
        <v>5.7891899999999996</v>
      </c>
      <c r="I578" s="572"/>
      <c r="J578" s="355">
        <f>(G578-100)*F578/100</f>
        <v>10999.999999999944</v>
      </c>
      <c r="K578" s="355">
        <f>J578*$K$576</f>
        <v>85799.999999999563</v>
      </c>
    </row>
    <row r="579" spans="2:15" ht="15">
      <c r="B579" s="334"/>
      <c r="C579" s="334"/>
      <c r="D579" s="335" t="s">
        <v>702</v>
      </c>
      <c r="E579" s="336"/>
      <c r="F579" s="337">
        <f>SUM(F577:F577)</f>
        <v>5000000</v>
      </c>
      <c r="G579" s="338"/>
      <c r="H579" s="339">
        <f>SUMPRODUCT(F577:F577,H577:H577)/F579</f>
        <v>6.8207800000000001</v>
      </c>
      <c r="I579" s="1134"/>
      <c r="M579" s="1204">
        <v>7514695.9900000002</v>
      </c>
    </row>
    <row r="582" spans="2:15" ht="15">
      <c r="B582" s="320" t="s">
        <v>770</v>
      </c>
      <c r="C582" s="321"/>
      <c r="D582" s="322" t="s">
        <v>566</v>
      </c>
      <c r="E582" s="323" t="s">
        <v>567</v>
      </c>
      <c r="F582" s="324" t="s">
        <v>568</v>
      </c>
      <c r="G582" s="324" t="s">
        <v>701</v>
      </c>
      <c r="H582" s="325" t="s">
        <v>569</v>
      </c>
      <c r="I582" s="1133"/>
      <c r="O582" s="106"/>
    </row>
    <row r="583" spans="2:15" ht="20.25" customHeight="1">
      <c r="B583" s="326" t="s">
        <v>423</v>
      </c>
      <c r="C583" s="358" t="s">
        <v>565</v>
      </c>
      <c r="D583" s="328" t="s">
        <v>711</v>
      </c>
      <c r="E583" s="329" t="s">
        <v>338</v>
      </c>
      <c r="F583" s="404">
        <v>4000000</v>
      </c>
      <c r="G583" s="421">
        <v>100.7</v>
      </c>
      <c r="H583" s="332">
        <v>6.6309800000000001</v>
      </c>
      <c r="I583" s="572"/>
      <c r="J583" s="355"/>
      <c r="K583" s="355"/>
    </row>
    <row r="584" spans="2:15" ht="20.25" customHeight="1">
      <c r="B584" s="326" t="s">
        <v>423</v>
      </c>
      <c r="C584" s="405" t="s">
        <v>565</v>
      </c>
      <c r="D584" s="328" t="s">
        <v>711</v>
      </c>
      <c r="E584" s="329" t="s">
        <v>338</v>
      </c>
      <c r="F584" s="330">
        <v>1000000</v>
      </c>
      <c r="G584" s="331">
        <v>100.4</v>
      </c>
      <c r="H584" s="332">
        <v>6.6808699999999996</v>
      </c>
      <c r="I584" s="572"/>
      <c r="J584" s="355"/>
      <c r="K584" s="355"/>
    </row>
    <row r="585" spans="2:15" ht="20.25" customHeight="1">
      <c r="B585" s="326" t="s">
        <v>423</v>
      </c>
      <c r="C585" s="405" t="s">
        <v>565</v>
      </c>
      <c r="D585" s="328" t="s">
        <v>711</v>
      </c>
      <c r="E585" s="329" t="s">
        <v>338</v>
      </c>
      <c r="F585" s="330">
        <v>12600000</v>
      </c>
      <c r="G585" s="331">
        <v>100.718</v>
      </c>
      <c r="H585" s="332">
        <v>6.6279500000000002</v>
      </c>
      <c r="I585" s="572"/>
      <c r="J585" s="355"/>
      <c r="K585" s="355"/>
    </row>
    <row r="586" spans="2:15" ht="20.25" customHeight="1">
      <c r="B586" s="326" t="s">
        <v>423</v>
      </c>
      <c r="C586" s="405" t="s">
        <v>565</v>
      </c>
      <c r="D586" s="328" t="s">
        <v>711</v>
      </c>
      <c r="E586" s="329" t="s">
        <v>338</v>
      </c>
      <c r="F586" s="330">
        <v>1400000</v>
      </c>
      <c r="G586" s="331">
        <v>100.718</v>
      </c>
      <c r="H586" s="332">
        <v>6.6279500000000002</v>
      </c>
      <c r="I586" s="572"/>
      <c r="J586" s="355"/>
      <c r="K586" s="355"/>
    </row>
    <row r="587" spans="2:15" ht="20.25" customHeight="1">
      <c r="B587" s="326" t="s">
        <v>423</v>
      </c>
      <c r="C587" s="405" t="s">
        <v>565</v>
      </c>
      <c r="D587" s="328" t="s">
        <v>711</v>
      </c>
      <c r="E587" s="329" t="s">
        <v>338</v>
      </c>
      <c r="F587" s="330">
        <v>6300000</v>
      </c>
      <c r="G587" s="331">
        <v>100.05</v>
      </c>
      <c r="H587" s="332">
        <v>6.7392799999999999</v>
      </c>
      <c r="I587" s="572"/>
      <c r="J587" s="355"/>
      <c r="K587" s="355"/>
    </row>
    <row r="588" spans="2:15" ht="20.25" customHeight="1">
      <c r="B588" s="326" t="s">
        <v>423</v>
      </c>
      <c r="C588" s="405" t="s">
        <v>565</v>
      </c>
      <c r="D588" s="328" t="s">
        <v>711</v>
      </c>
      <c r="E588" s="329" t="s">
        <v>338</v>
      </c>
      <c r="F588" s="330">
        <v>700000</v>
      </c>
      <c r="G588" s="331">
        <v>100.05</v>
      </c>
      <c r="H588" s="332">
        <v>6.7392799999999999</v>
      </c>
      <c r="I588" s="572"/>
      <c r="J588" s="355"/>
      <c r="K588" s="355"/>
    </row>
    <row r="589" spans="2:15" ht="20.25" customHeight="1">
      <c r="B589" s="326" t="s">
        <v>423</v>
      </c>
      <c r="C589" s="405" t="s">
        <v>565</v>
      </c>
      <c r="D589" s="328" t="s">
        <v>711</v>
      </c>
      <c r="E589" s="329" t="s">
        <v>338</v>
      </c>
      <c r="F589" s="330">
        <v>2700000</v>
      </c>
      <c r="G589" s="331">
        <v>100.375</v>
      </c>
      <c r="H589" s="332">
        <v>6.6849689999999997</v>
      </c>
      <c r="I589" s="572"/>
      <c r="J589" s="355"/>
      <c r="K589" s="355"/>
    </row>
    <row r="590" spans="2:15" ht="20.25" customHeight="1">
      <c r="B590" s="326" t="s">
        <v>423</v>
      </c>
      <c r="C590" s="405" t="s">
        <v>565</v>
      </c>
      <c r="D590" s="328" t="s">
        <v>711</v>
      </c>
      <c r="E590" s="329" t="s">
        <v>338</v>
      </c>
      <c r="F590" s="330">
        <v>300000</v>
      </c>
      <c r="G590" s="331">
        <v>100.375</v>
      </c>
      <c r="H590" s="332">
        <v>6.6849689999999997</v>
      </c>
      <c r="I590" s="572"/>
      <c r="J590" s="355"/>
      <c r="K590" s="355"/>
    </row>
    <row r="591" spans="2:15" ht="20.25" customHeight="1">
      <c r="B591" s="326" t="s">
        <v>423</v>
      </c>
      <c r="C591" s="405" t="s">
        <v>565</v>
      </c>
      <c r="D591" s="328" t="s">
        <v>711</v>
      </c>
      <c r="E591" s="329" t="s">
        <v>338</v>
      </c>
      <c r="F591" s="330">
        <v>1000000</v>
      </c>
      <c r="G591" s="331">
        <v>100.7</v>
      </c>
      <c r="H591" s="332">
        <v>6.6308400000000001</v>
      </c>
      <c r="I591" s="572"/>
      <c r="J591" s="355"/>
      <c r="K591" s="355"/>
    </row>
    <row r="592" spans="2:15" ht="20.25" customHeight="1">
      <c r="B592" s="326" t="s">
        <v>423</v>
      </c>
      <c r="C592" s="405" t="s">
        <v>565</v>
      </c>
      <c r="D592" s="328" t="s">
        <v>711</v>
      </c>
      <c r="E592" s="329" t="s">
        <v>338</v>
      </c>
      <c r="F592" s="330">
        <v>1800000</v>
      </c>
      <c r="G592" s="331">
        <v>100.375</v>
      </c>
      <c r="H592" s="332">
        <v>6.6848900000000002</v>
      </c>
      <c r="I592" s="572"/>
      <c r="J592" s="355"/>
      <c r="K592" s="355"/>
    </row>
    <row r="593" spans="2:15" ht="20.25" customHeight="1">
      <c r="B593" s="326" t="s">
        <v>423</v>
      </c>
      <c r="C593" s="405" t="s">
        <v>565</v>
      </c>
      <c r="D593" s="328" t="s">
        <v>711</v>
      </c>
      <c r="E593" s="329" t="s">
        <v>338</v>
      </c>
      <c r="F593" s="330">
        <v>200000</v>
      </c>
      <c r="G593" s="331">
        <v>100.375</v>
      </c>
      <c r="H593" s="332">
        <v>6.6848900000000002</v>
      </c>
      <c r="I593" s="572"/>
      <c r="J593" s="355"/>
      <c r="K593" s="355"/>
    </row>
    <row r="594" spans="2:15" ht="20.25" customHeight="1">
      <c r="B594" s="326" t="s">
        <v>423</v>
      </c>
      <c r="C594" s="405" t="s">
        <v>565</v>
      </c>
      <c r="D594" s="328" t="s">
        <v>711</v>
      </c>
      <c r="E594" s="329" t="s">
        <v>338</v>
      </c>
      <c r="F594" s="330">
        <v>1000000</v>
      </c>
      <c r="G594" s="331">
        <v>100.2</v>
      </c>
      <c r="H594" s="332">
        <v>6.7141400000000004</v>
      </c>
      <c r="I594" s="572"/>
      <c r="J594" s="355"/>
      <c r="K594" s="355"/>
    </row>
    <row r="595" spans="2:15" ht="20.25" customHeight="1">
      <c r="B595" s="326" t="s">
        <v>423</v>
      </c>
      <c r="C595" s="405" t="s">
        <v>565</v>
      </c>
      <c r="D595" s="328" t="s">
        <v>711</v>
      </c>
      <c r="E595" s="329" t="s">
        <v>338</v>
      </c>
      <c r="F595" s="330">
        <v>6300000</v>
      </c>
      <c r="G595" s="331">
        <v>102.646</v>
      </c>
      <c r="H595" s="332">
        <v>6.3100560000000003</v>
      </c>
      <c r="I595" s="572"/>
      <c r="J595" s="355"/>
      <c r="K595" s="355"/>
    </row>
    <row r="596" spans="2:15" ht="20.25" customHeight="1">
      <c r="B596" s="326" t="s">
        <v>423</v>
      </c>
      <c r="C596" s="405" t="s">
        <v>565</v>
      </c>
      <c r="D596" s="328" t="s">
        <v>711</v>
      </c>
      <c r="E596" s="329" t="s">
        <v>338</v>
      </c>
      <c r="F596" s="330">
        <v>700000</v>
      </c>
      <c r="G596" s="331">
        <v>102.646</v>
      </c>
      <c r="H596" s="332">
        <v>6.3100560000000003</v>
      </c>
      <c r="I596" s="572"/>
      <c r="J596" s="355"/>
      <c r="K596" s="355"/>
    </row>
    <row r="597" spans="2:15" ht="20.25" customHeight="1">
      <c r="B597" s="326" t="s">
        <v>423</v>
      </c>
      <c r="C597" s="405" t="s">
        <v>565</v>
      </c>
      <c r="D597" s="328" t="s">
        <v>711</v>
      </c>
      <c r="E597" s="329" t="s">
        <v>338</v>
      </c>
      <c r="F597" s="330">
        <v>1600000</v>
      </c>
      <c r="G597" s="331">
        <v>104.44</v>
      </c>
      <c r="H597" s="332">
        <v>6.0197900000000004</v>
      </c>
      <c r="I597" s="572"/>
      <c r="J597" s="355"/>
      <c r="K597" s="355"/>
    </row>
    <row r="598" spans="2:15" ht="20.25" customHeight="1">
      <c r="B598" s="326" t="s">
        <v>423</v>
      </c>
      <c r="C598" s="405" t="s">
        <v>565</v>
      </c>
      <c r="D598" s="328" t="s">
        <v>711</v>
      </c>
      <c r="E598" s="329" t="s">
        <v>338</v>
      </c>
      <c r="F598" s="330">
        <v>400000</v>
      </c>
      <c r="G598" s="331">
        <v>104.44</v>
      </c>
      <c r="H598" s="332">
        <v>6.0197900000000004</v>
      </c>
      <c r="I598" s="572"/>
      <c r="J598" s="355"/>
      <c r="K598" s="355"/>
    </row>
    <row r="599" spans="2:15" ht="20.25" customHeight="1">
      <c r="B599" s="326" t="s">
        <v>423</v>
      </c>
      <c r="C599" s="405" t="s">
        <v>565</v>
      </c>
      <c r="D599" s="328" t="s">
        <v>711</v>
      </c>
      <c r="E599" s="329" t="s">
        <v>338</v>
      </c>
      <c r="F599" s="330">
        <v>1000000</v>
      </c>
      <c r="G599" s="331">
        <v>104</v>
      </c>
      <c r="H599" s="332">
        <v>6.0898649999999996</v>
      </c>
      <c r="I599" s="572"/>
      <c r="J599" s="355"/>
      <c r="K599" s="355"/>
    </row>
    <row r="600" spans="2:15" ht="20.25" customHeight="1">
      <c r="B600" s="326" t="s">
        <v>423</v>
      </c>
      <c r="C600" s="405" t="s">
        <v>565</v>
      </c>
      <c r="D600" s="328" t="s">
        <v>711</v>
      </c>
      <c r="E600" s="329" t="s">
        <v>338</v>
      </c>
      <c r="F600" s="330">
        <v>13850000</v>
      </c>
      <c r="G600" s="331">
        <v>103.999</v>
      </c>
      <c r="H600" s="332">
        <v>6.0900299999999996</v>
      </c>
      <c r="I600" s="572"/>
      <c r="J600" s="355"/>
      <c r="K600" s="355"/>
    </row>
    <row r="601" spans="2:15" ht="20.25" customHeight="1">
      <c r="B601" s="326" t="s">
        <v>423</v>
      </c>
      <c r="C601" s="405" t="s">
        <v>565</v>
      </c>
      <c r="D601" s="328" t="s">
        <v>711</v>
      </c>
      <c r="E601" s="329" t="s">
        <v>338</v>
      </c>
      <c r="F601" s="330">
        <v>1650000</v>
      </c>
      <c r="G601" s="331">
        <v>103.999</v>
      </c>
      <c r="H601" s="332">
        <v>6.0900299999999996</v>
      </c>
      <c r="I601" s="572"/>
      <c r="J601" s="355"/>
      <c r="K601" s="355"/>
    </row>
    <row r="602" spans="2:15" ht="20.25" customHeight="1">
      <c r="B602" s="326"/>
      <c r="C602" s="405"/>
      <c r="D602" s="328"/>
      <c r="E602" s="329"/>
      <c r="F602" s="330"/>
      <c r="G602" s="331"/>
      <c r="H602" s="332"/>
      <c r="I602" s="572"/>
      <c r="J602" s="355"/>
      <c r="K602" s="355"/>
    </row>
    <row r="603" spans="2:15" ht="15">
      <c r="B603" s="334"/>
      <c r="C603" s="334"/>
      <c r="D603" s="335" t="s">
        <v>702</v>
      </c>
      <c r="E603" s="336"/>
      <c r="F603" s="337">
        <f>SUM(F583:F602)</f>
        <v>58500000</v>
      </c>
      <c r="G603" s="338"/>
      <c r="H603" s="339">
        <f>SUMPRODUCT(F583:F602,H583:H602)/F603</f>
        <v>6.4382225470085466</v>
      </c>
      <c r="I603" s="1134"/>
      <c r="K603" s="407"/>
      <c r="M603" s="1232"/>
    </row>
    <row r="606" spans="2:15" ht="15">
      <c r="B606" s="320" t="s">
        <v>770</v>
      </c>
      <c r="C606" s="321"/>
      <c r="D606" s="322" t="s">
        <v>566</v>
      </c>
      <c r="E606" s="323" t="s">
        <v>567</v>
      </c>
      <c r="F606" s="324" t="s">
        <v>568</v>
      </c>
      <c r="G606" s="324" t="s">
        <v>701</v>
      </c>
      <c r="H606" s="325" t="s">
        <v>569</v>
      </c>
      <c r="I606" s="1133"/>
      <c r="O606" s="106"/>
    </row>
    <row r="607" spans="2:15" ht="20.25" customHeight="1">
      <c r="B607" s="326" t="s">
        <v>423</v>
      </c>
      <c r="C607" s="358" t="s">
        <v>565</v>
      </c>
      <c r="D607" s="328" t="s">
        <v>1078</v>
      </c>
      <c r="E607" s="329" t="s">
        <v>338</v>
      </c>
      <c r="F607" s="404">
        <v>3600000</v>
      </c>
      <c r="G607" s="421">
        <v>93.385499999999993</v>
      </c>
      <c r="H607" s="332">
        <v>6.7324700000000002</v>
      </c>
      <c r="I607" s="572"/>
      <c r="J607" s="355"/>
      <c r="K607" s="355"/>
    </row>
    <row r="608" spans="2:15" ht="20.25" customHeight="1">
      <c r="B608" s="326" t="s">
        <v>423</v>
      </c>
      <c r="C608" s="405" t="s">
        <v>565</v>
      </c>
      <c r="D608" s="328" t="s">
        <v>1078</v>
      </c>
      <c r="E608" s="329" t="s">
        <v>338</v>
      </c>
      <c r="F608" s="330">
        <v>400000</v>
      </c>
      <c r="G608" s="331">
        <v>93.385499999999993</v>
      </c>
      <c r="H608" s="332">
        <v>6.7324700000000002</v>
      </c>
      <c r="I608" s="572"/>
      <c r="J608" s="355"/>
      <c r="K608" s="355"/>
    </row>
    <row r="609" spans="2:11" ht="20.25" customHeight="1">
      <c r="B609" s="326" t="s">
        <v>423</v>
      </c>
      <c r="C609" s="405" t="s">
        <v>565</v>
      </c>
      <c r="D609" s="328" t="s">
        <v>1078</v>
      </c>
      <c r="E609" s="329" t="s">
        <v>338</v>
      </c>
      <c r="F609" s="330">
        <v>1000000</v>
      </c>
      <c r="G609" s="331">
        <v>93.27</v>
      </c>
      <c r="H609" s="332">
        <v>6.7507599999999996</v>
      </c>
      <c r="I609" s="572"/>
      <c r="J609" s="355"/>
      <c r="K609" s="355"/>
    </row>
    <row r="610" spans="2:11" ht="20.25" customHeight="1">
      <c r="B610" s="326" t="s">
        <v>423</v>
      </c>
      <c r="C610" s="405" t="s">
        <v>565</v>
      </c>
      <c r="D610" s="328" t="s">
        <v>1078</v>
      </c>
      <c r="E610" s="329" t="s">
        <v>338</v>
      </c>
      <c r="F610" s="330">
        <v>2700000</v>
      </c>
      <c r="G610" s="331">
        <v>92.4</v>
      </c>
      <c r="H610" s="332">
        <v>6.8899860000000004</v>
      </c>
      <c r="I610" s="572"/>
      <c r="J610" s="355"/>
      <c r="K610" s="355"/>
    </row>
    <row r="611" spans="2:11" ht="20.25" customHeight="1">
      <c r="B611" s="326" t="s">
        <v>423</v>
      </c>
      <c r="C611" s="405" t="s">
        <v>565</v>
      </c>
      <c r="D611" s="328" t="s">
        <v>1078</v>
      </c>
      <c r="E611" s="329" t="s">
        <v>338</v>
      </c>
      <c r="F611" s="330">
        <v>300000</v>
      </c>
      <c r="G611" s="331">
        <v>92.4</v>
      </c>
      <c r="H611" s="332">
        <v>6.8899860000000004</v>
      </c>
      <c r="I611" s="572"/>
      <c r="J611" s="355"/>
      <c r="K611" s="355"/>
    </row>
    <row r="612" spans="2:11" ht="20.25" customHeight="1">
      <c r="B612" s="326" t="s">
        <v>423</v>
      </c>
      <c r="C612" s="405" t="s">
        <v>565</v>
      </c>
      <c r="D612" s="328" t="s">
        <v>1078</v>
      </c>
      <c r="E612" s="329" t="s">
        <v>338</v>
      </c>
      <c r="F612" s="330">
        <v>1000000</v>
      </c>
      <c r="G612" s="331">
        <v>93.92</v>
      </c>
      <c r="H612" s="332">
        <v>6.6500300000000001</v>
      </c>
      <c r="I612" s="572"/>
      <c r="J612" s="355"/>
      <c r="K612" s="355"/>
    </row>
    <row r="613" spans="2:11" ht="20.25" customHeight="1">
      <c r="B613" s="326" t="s">
        <v>423</v>
      </c>
      <c r="C613" s="405" t="s">
        <v>565</v>
      </c>
      <c r="D613" s="328" t="s">
        <v>1078</v>
      </c>
      <c r="E613" s="329" t="s">
        <v>338</v>
      </c>
      <c r="F613" s="330">
        <v>600000</v>
      </c>
      <c r="G613" s="331">
        <v>95.5</v>
      </c>
      <c r="H613" s="332">
        <v>6.4044800000000004</v>
      </c>
      <c r="I613" s="572"/>
      <c r="J613" s="355"/>
      <c r="K613" s="355"/>
    </row>
    <row r="614" spans="2:11" ht="20.25" customHeight="1">
      <c r="B614" s="326" t="s">
        <v>423</v>
      </c>
      <c r="C614" s="405" t="s">
        <v>565</v>
      </c>
      <c r="D614" s="328" t="s">
        <v>1078</v>
      </c>
      <c r="E614" s="329" t="s">
        <v>338</v>
      </c>
      <c r="F614" s="330">
        <v>400000</v>
      </c>
      <c r="G614" s="331">
        <v>95.5</v>
      </c>
      <c r="H614" s="332">
        <v>6.4044800000000004</v>
      </c>
      <c r="I614" s="572"/>
      <c r="J614" s="355"/>
      <c r="K614" s="355"/>
    </row>
    <row r="615" spans="2:11" ht="20.25" customHeight="1">
      <c r="B615" s="326" t="s">
        <v>423</v>
      </c>
      <c r="C615" s="405" t="s">
        <v>565</v>
      </c>
      <c r="D615" s="328" t="s">
        <v>1078</v>
      </c>
      <c r="E615" s="329" t="s">
        <v>338</v>
      </c>
      <c r="F615" s="330">
        <v>2700000</v>
      </c>
      <c r="G615" s="331">
        <v>96.18</v>
      </c>
      <c r="H615" s="332">
        <v>6.2998839999999996</v>
      </c>
      <c r="I615" s="572"/>
      <c r="J615" s="355"/>
      <c r="K615" s="355"/>
    </row>
    <row r="616" spans="2:11" ht="20.25" customHeight="1">
      <c r="B616" s="326" t="s">
        <v>423</v>
      </c>
      <c r="C616" s="405" t="s">
        <v>565</v>
      </c>
      <c r="D616" s="328" t="s">
        <v>1078</v>
      </c>
      <c r="E616" s="329" t="s">
        <v>338</v>
      </c>
      <c r="F616" s="330">
        <v>300000</v>
      </c>
      <c r="G616" s="331">
        <v>96.18</v>
      </c>
      <c r="H616" s="332">
        <v>6.2998839999999996</v>
      </c>
      <c r="I616" s="572"/>
      <c r="J616" s="355"/>
      <c r="K616" s="355"/>
    </row>
    <row r="617" spans="2:11" ht="20.25" customHeight="1">
      <c r="B617" s="326" t="s">
        <v>423</v>
      </c>
      <c r="C617" s="405" t="s">
        <v>565</v>
      </c>
      <c r="D617" s="328" t="s">
        <v>1078</v>
      </c>
      <c r="E617" s="329" t="s">
        <v>338</v>
      </c>
      <c r="F617" s="330">
        <v>500000</v>
      </c>
      <c r="G617" s="331">
        <v>96.180999999999997</v>
      </c>
      <c r="H617" s="332">
        <v>6.3001180000000003</v>
      </c>
      <c r="I617" s="572"/>
      <c r="J617" s="355"/>
      <c r="K617" s="355"/>
    </row>
    <row r="618" spans="2:11" ht="20.25" customHeight="1">
      <c r="B618" s="326" t="s">
        <v>423</v>
      </c>
      <c r="C618" s="405" t="s">
        <v>565</v>
      </c>
      <c r="D618" s="328" t="s">
        <v>1078</v>
      </c>
      <c r="E618" s="329" t="s">
        <v>338</v>
      </c>
      <c r="F618" s="330">
        <v>5350000</v>
      </c>
      <c r="G618" s="331">
        <v>96.77</v>
      </c>
      <c r="H618" s="332">
        <v>6.2101800000000003</v>
      </c>
      <c r="I618" s="572"/>
      <c r="J618" s="355"/>
      <c r="K618" s="355"/>
    </row>
    <row r="619" spans="2:11" ht="20.25" customHeight="1">
      <c r="B619" s="326" t="s">
        <v>423</v>
      </c>
      <c r="C619" s="405" t="s">
        <v>565</v>
      </c>
      <c r="D619" s="328" t="s">
        <v>1078</v>
      </c>
      <c r="E619" s="329" t="s">
        <v>338</v>
      </c>
      <c r="F619" s="330">
        <v>650000</v>
      </c>
      <c r="G619" s="331">
        <v>96.77</v>
      </c>
      <c r="H619" s="332">
        <v>6.2101800000000003</v>
      </c>
      <c r="I619" s="572"/>
      <c r="J619" s="355"/>
      <c r="K619" s="355"/>
    </row>
    <row r="620" spans="2:11" ht="20.25" customHeight="1">
      <c r="B620" s="326" t="s">
        <v>423</v>
      </c>
      <c r="C620" s="405" t="s">
        <v>565</v>
      </c>
      <c r="D620" s="328" t="s">
        <v>1078</v>
      </c>
      <c r="E620" s="329" t="s">
        <v>338</v>
      </c>
      <c r="F620" s="330">
        <v>1800000</v>
      </c>
      <c r="G620" s="331">
        <v>93.588999999999999</v>
      </c>
      <c r="H620" s="332">
        <v>6.7049799999999999</v>
      </c>
      <c r="I620" s="572"/>
      <c r="J620" s="355"/>
      <c r="K620" s="355"/>
    </row>
    <row r="621" spans="2:11" ht="20.25" customHeight="1">
      <c r="B621" s="326" t="s">
        <v>423</v>
      </c>
      <c r="C621" s="405" t="s">
        <v>565</v>
      </c>
      <c r="D621" s="328" t="s">
        <v>1078</v>
      </c>
      <c r="E621" s="329" t="s">
        <v>338</v>
      </c>
      <c r="F621" s="330">
        <v>200000</v>
      </c>
      <c r="G621" s="331">
        <v>93.588999999999999</v>
      </c>
      <c r="H621" s="332">
        <v>6.7049799999999999</v>
      </c>
      <c r="I621" s="572"/>
      <c r="J621" s="355"/>
      <c r="K621" s="355"/>
    </row>
    <row r="622" spans="2:11" ht="20.25" customHeight="1">
      <c r="B622" s="326" t="s">
        <v>423</v>
      </c>
      <c r="C622" s="405" t="s">
        <v>565</v>
      </c>
      <c r="D622" s="328" t="s">
        <v>1078</v>
      </c>
      <c r="E622" s="329" t="s">
        <v>338</v>
      </c>
      <c r="F622" s="330">
        <v>2700000</v>
      </c>
      <c r="G622" s="331">
        <v>93.515000000000001</v>
      </c>
      <c r="H622" s="332">
        <v>6.7167300000000001</v>
      </c>
      <c r="I622" s="572"/>
      <c r="J622" s="355"/>
      <c r="K622" s="355"/>
    </row>
    <row r="623" spans="2:11" ht="20.25" customHeight="1">
      <c r="B623" s="326" t="s">
        <v>423</v>
      </c>
      <c r="C623" s="405" t="s">
        <v>565</v>
      </c>
      <c r="D623" s="328" t="s">
        <v>1078</v>
      </c>
      <c r="E623" s="329" t="s">
        <v>338</v>
      </c>
      <c r="F623" s="330">
        <v>300000</v>
      </c>
      <c r="G623" s="331">
        <v>93.515000000000001</v>
      </c>
      <c r="H623" s="332">
        <v>6.7167300000000001</v>
      </c>
      <c r="I623" s="572"/>
      <c r="J623" s="355"/>
      <c r="K623" s="355"/>
    </row>
    <row r="624" spans="2:11" ht="20.25" customHeight="1">
      <c r="B624" s="326" t="s">
        <v>423</v>
      </c>
      <c r="C624" s="405" t="s">
        <v>565</v>
      </c>
      <c r="D624" s="328" t="s">
        <v>1078</v>
      </c>
      <c r="E624" s="329" t="s">
        <v>338</v>
      </c>
      <c r="F624" s="330">
        <v>2700000</v>
      </c>
      <c r="G624" s="331">
        <v>93.62</v>
      </c>
      <c r="H624" s="332">
        <v>6.7000700000000002</v>
      </c>
      <c r="I624" s="572"/>
      <c r="J624" s="355"/>
      <c r="K624" s="355"/>
    </row>
    <row r="625" spans="2:15" ht="20.25" customHeight="1">
      <c r="B625" s="326" t="s">
        <v>423</v>
      </c>
      <c r="C625" s="405" t="s">
        <v>565</v>
      </c>
      <c r="D625" s="328" t="s">
        <v>1078</v>
      </c>
      <c r="E625" s="329" t="s">
        <v>338</v>
      </c>
      <c r="F625" s="330">
        <v>300000</v>
      </c>
      <c r="G625" s="331">
        <v>93.62</v>
      </c>
      <c r="H625" s="332">
        <v>6.7000700000000002</v>
      </c>
      <c r="I625" s="572"/>
      <c r="J625" s="355"/>
      <c r="K625" s="355"/>
    </row>
    <row r="626" spans="2:15" ht="20.25" customHeight="1">
      <c r="B626" s="326" t="s">
        <v>423</v>
      </c>
      <c r="C626" s="405" t="s">
        <v>565</v>
      </c>
      <c r="D626" s="328" t="s">
        <v>1078</v>
      </c>
      <c r="E626" s="329" t="s">
        <v>338</v>
      </c>
      <c r="F626" s="330">
        <v>1800000</v>
      </c>
      <c r="G626" s="331">
        <v>91.878</v>
      </c>
      <c r="H626" s="332">
        <v>6.9809000000000001</v>
      </c>
      <c r="I626" s="572"/>
      <c r="J626" s="355"/>
      <c r="K626" s="355"/>
    </row>
    <row r="627" spans="2:15" ht="20.25" customHeight="1">
      <c r="B627" s="326" t="s">
        <v>423</v>
      </c>
      <c r="C627" s="405" t="s">
        <v>565</v>
      </c>
      <c r="D627" s="328" t="s">
        <v>1078</v>
      </c>
      <c r="E627" s="329" t="s">
        <v>338</v>
      </c>
      <c r="F627" s="330">
        <v>200000</v>
      </c>
      <c r="G627" s="331">
        <v>91.878</v>
      </c>
      <c r="H627" s="332">
        <v>6.9809000000000001</v>
      </c>
      <c r="I627" s="572"/>
      <c r="J627" s="355"/>
      <c r="K627" s="355"/>
    </row>
    <row r="628" spans="2:15" ht="20.25" customHeight="1">
      <c r="B628" s="326" t="s">
        <v>423</v>
      </c>
      <c r="C628" s="405" t="s">
        <v>565</v>
      </c>
      <c r="D628" s="328" t="s">
        <v>1078</v>
      </c>
      <c r="E628" s="329" t="s">
        <v>338</v>
      </c>
      <c r="F628" s="330">
        <v>1000000</v>
      </c>
      <c r="G628" s="331">
        <v>91.754999999999995</v>
      </c>
      <c r="H628" s="332">
        <v>7.00007</v>
      </c>
      <c r="I628" s="572"/>
      <c r="J628" s="355"/>
      <c r="K628" s="355"/>
    </row>
    <row r="629" spans="2:15" ht="20.25" customHeight="1">
      <c r="B629" s="326" t="s">
        <v>423</v>
      </c>
      <c r="C629" s="405" t="s">
        <v>565</v>
      </c>
      <c r="D629" s="328" t="s">
        <v>1078</v>
      </c>
      <c r="E629" s="329" t="s">
        <v>338</v>
      </c>
      <c r="F629" s="330">
        <v>1700000</v>
      </c>
      <c r="G629" s="331">
        <v>91.754999999999995</v>
      </c>
      <c r="H629" s="332">
        <v>7.00007</v>
      </c>
      <c r="I629" s="572"/>
      <c r="J629" s="355"/>
      <c r="K629" s="355"/>
    </row>
    <row r="630" spans="2:15" ht="20.25" customHeight="1">
      <c r="B630" s="326" t="s">
        <v>423</v>
      </c>
      <c r="C630" s="405" t="s">
        <v>565</v>
      </c>
      <c r="D630" s="328" t="s">
        <v>1078</v>
      </c>
      <c r="E630" s="329" t="s">
        <v>338</v>
      </c>
      <c r="F630" s="330">
        <v>300000</v>
      </c>
      <c r="G630" s="331">
        <v>91.754999999999995</v>
      </c>
      <c r="H630" s="332">
        <v>7.00007</v>
      </c>
      <c r="I630" s="572"/>
      <c r="J630" s="355"/>
      <c r="K630" s="355"/>
    </row>
    <row r="631" spans="2:15" ht="20.25" customHeight="1">
      <c r="B631" s="326" t="s">
        <v>423</v>
      </c>
      <c r="C631" s="405" t="s">
        <v>565</v>
      </c>
      <c r="D631" s="328" t="s">
        <v>1078</v>
      </c>
      <c r="E631" s="329" t="s">
        <v>338</v>
      </c>
      <c r="F631" s="330">
        <v>1000000</v>
      </c>
      <c r="G631" s="331">
        <v>91.754999999999995</v>
      </c>
      <c r="H631" s="332">
        <v>7.00007</v>
      </c>
      <c r="I631" s="572"/>
      <c r="J631" s="355"/>
      <c r="K631" s="355"/>
    </row>
    <row r="632" spans="2:15" ht="20.25" customHeight="1">
      <c r="B632" s="326" t="s">
        <v>423</v>
      </c>
      <c r="C632" s="405" t="s">
        <v>565</v>
      </c>
      <c r="D632" s="328" t="s">
        <v>1078</v>
      </c>
      <c r="E632" s="329" t="s">
        <v>338</v>
      </c>
      <c r="F632" s="330">
        <v>800000</v>
      </c>
      <c r="G632" s="331">
        <v>91.754999999999995</v>
      </c>
      <c r="H632" s="332">
        <v>7.00007</v>
      </c>
      <c r="I632" s="572"/>
      <c r="J632" s="355"/>
      <c r="K632" s="355"/>
    </row>
    <row r="633" spans="2:15" ht="20.25" customHeight="1">
      <c r="B633" s="326" t="s">
        <v>423</v>
      </c>
      <c r="C633" s="405" t="s">
        <v>565</v>
      </c>
      <c r="D633" s="328" t="s">
        <v>1078</v>
      </c>
      <c r="E633" s="329" t="s">
        <v>338</v>
      </c>
      <c r="F633" s="330">
        <v>200000</v>
      </c>
      <c r="G633" s="331">
        <v>91.754999999999995</v>
      </c>
      <c r="H633" s="332">
        <v>7.00007</v>
      </c>
      <c r="I633" s="572"/>
      <c r="J633" s="355"/>
      <c r="K633" s="355"/>
    </row>
    <row r="634" spans="2:15" ht="20.25" customHeight="1">
      <c r="B634" s="326"/>
      <c r="C634" s="405"/>
      <c r="D634" s="328"/>
      <c r="E634" s="329"/>
      <c r="F634" s="330"/>
      <c r="G634" s="331"/>
      <c r="H634" s="332"/>
      <c r="I634" s="572"/>
      <c r="J634" s="355"/>
      <c r="K634" s="355"/>
    </row>
    <row r="635" spans="2:15" ht="20.25" customHeight="1">
      <c r="B635" s="326"/>
      <c r="C635" s="365"/>
      <c r="D635" s="328"/>
      <c r="E635" s="329"/>
      <c r="F635" s="350"/>
      <c r="G635" s="351"/>
      <c r="H635" s="332"/>
      <c r="I635" s="572"/>
      <c r="J635" s="355"/>
      <c r="K635" s="355"/>
    </row>
    <row r="636" spans="2:15" ht="15">
      <c r="B636" s="334"/>
      <c r="C636" s="334"/>
      <c r="D636" s="335" t="s">
        <v>702</v>
      </c>
      <c r="E636" s="336"/>
      <c r="F636" s="337">
        <f>SUM(F607:F635)</f>
        <v>34500000</v>
      </c>
      <c r="G636" s="338"/>
      <c r="H636" s="339">
        <f>SUMPRODUCT(F607:F635,H607:H635)/F636</f>
        <v>6.6474901159420288</v>
      </c>
      <c r="I636" s="1134"/>
      <c r="K636" s="407"/>
      <c r="M636" s="1232"/>
    </row>
    <row r="639" spans="2:15" ht="15">
      <c r="B639" s="320" t="s">
        <v>770</v>
      </c>
      <c r="C639" s="321"/>
      <c r="D639" s="322" t="s">
        <v>566</v>
      </c>
      <c r="E639" s="323" t="s">
        <v>567</v>
      </c>
      <c r="F639" s="324" t="s">
        <v>568</v>
      </c>
      <c r="G639" s="324" t="s">
        <v>701</v>
      </c>
      <c r="H639" s="325" t="s">
        <v>569</v>
      </c>
      <c r="I639" s="1133"/>
      <c r="O639" s="106"/>
    </row>
    <row r="640" spans="2:15" ht="20.25" customHeight="1">
      <c r="B640" s="326" t="s">
        <v>424</v>
      </c>
      <c r="C640" s="358" t="s">
        <v>565</v>
      </c>
      <c r="D640" s="328" t="s">
        <v>420</v>
      </c>
      <c r="E640" s="329" t="s">
        <v>338</v>
      </c>
      <c r="F640" s="404">
        <v>5000000</v>
      </c>
      <c r="G640" s="421">
        <v>90.81</v>
      </c>
      <c r="H640" s="332">
        <v>6.0203530000000001</v>
      </c>
      <c r="I640" s="572"/>
      <c r="J640" s="355"/>
      <c r="K640" s="355"/>
    </row>
    <row r="641" spans="2:13" ht="20.25" customHeight="1">
      <c r="B641" s="326" t="s">
        <v>424</v>
      </c>
      <c r="C641" s="405" t="s">
        <v>565</v>
      </c>
      <c r="D641" s="328" t="s">
        <v>420</v>
      </c>
      <c r="E641" s="329" t="s">
        <v>338</v>
      </c>
      <c r="F641" s="330">
        <v>3000000</v>
      </c>
      <c r="G641" s="331">
        <v>90.941000000000003</v>
      </c>
      <c r="H641" s="332">
        <v>6.0100699999999998</v>
      </c>
      <c r="I641" s="572"/>
      <c r="J641" s="355"/>
      <c r="K641" s="355"/>
    </row>
    <row r="642" spans="2:13" ht="20.25" customHeight="1">
      <c r="B642" s="326" t="s">
        <v>424</v>
      </c>
      <c r="C642" s="405" t="s">
        <v>565</v>
      </c>
      <c r="D642" s="328" t="s">
        <v>420</v>
      </c>
      <c r="E642" s="329" t="s">
        <v>338</v>
      </c>
      <c r="F642" s="330">
        <v>2000000</v>
      </c>
      <c r="G642" s="331">
        <v>87.9</v>
      </c>
      <c r="H642" s="332">
        <v>6.2548430000000002</v>
      </c>
      <c r="I642" s="572"/>
      <c r="J642" s="355"/>
      <c r="K642" s="355"/>
    </row>
    <row r="643" spans="2:13" ht="20.25" customHeight="1">
      <c r="B643" s="326" t="s">
        <v>424</v>
      </c>
      <c r="C643" s="405" t="s">
        <v>565</v>
      </c>
      <c r="D643" s="328" t="s">
        <v>420</v>
      </c>
      <c r="E643" s="329" t="s">
        <v>338</v>
      </c>
      <c r="F643" s="330">
        <v>2000000</v>
      </c>
      <c r="G643" s="331">
        <v>89.93</v>
      </c>
      <c r="H643" s="332">
        <v>6.0901319999999997</v>
      </c>
      <c r="I643" s="572"/>
      <c r="J643" s="355"/>
      <c r="K643" s="355"/>
    </row>
    <row r="644" spans="2:13" ht="20.25" customHeight="1">
      <c r="B644" s="326" t="s">
        <v>424</v>
      </c>
      <c r="C644" s="405" t="s">
        <v>565</v>
      </c>
      <c r="D644" s="328" t="s">
        <v>420</v>
      </c>
      <c r="E644" s="329" t="s">
        <v>338</v>
      </c>
      <c r="F644" s="330">
        <v>2000000</v>
      </c>
      <c r="G644" s="331">
        <v>89.9</v>
      </c>
      <c r="H644" s="332">
        <v>6.09253</v>
      </c>
      <c r="I644" s="572"/>
      <c r="J644" s="355"/>
      <c r="K644" s="355"/>
    </row>
    <row r="645" spans="2:13" ht="20.25" customHeight="1">
      <c r="B645" s="326" t="s">
        <v>424</v>
      </c>
      <c r="C645" s="405" t="s">
        <v>565</v>
      </c>
      <c r="D645" s="328" t="s">
        <v>420</v>
      </c>
      <c r="E645" s="329" t="s">
        <v>338</v>
      </c>
      <c r="F645" s="330">
        <v>1000000</v>
      </c>
      <c r="G645" s="331">
        <v>90.435000000000002</v>
      </c>
      <c r="H645" s="332">
        <v>6.0500499999999997</v>
      </c>
      <c r="I645" s="572"/>
      <c r="J645" s="355"/>
      <c r="K645" s="355"/>
    </row>
    <row r="646" spans="2:13" ht="20.25" customHeight="1">
      <c r="B646" s="326" t="s">
        <v>424</v>
      </c>
      <c r="C646" s="405" t="s">
        <v>565</v>
      </c>
      <c r="D646" s="328" t="s">
        <v>420</v>
      </c>
      <c r="E646" s="329" t="s">
        <v>338</v>
      </c>
      <c r="F646" s="330">
        <v>2500000</v>
      </c>
      <c r="G646" s="331">
        <v>91.07</v>
      </c>
      <c r="H646" s="332">
        <v>6.0001199999999999</v>
      </c>
      <c r="I646" s="572"/>
      <c r="J646" s="355"/>
      <c r="K646" s="355"/>
    </row>
    <row r="647" spans="2:13" ht="20.25" customHeight="1">
      <c r="B647" s="326" t="s">
        <v>424</v>
      </c>
      <c r="C647" s="405" t="s">
        <v>565</v>
      </c>
      <c r="D647" s="328" t="s">
        <v>420</v>
      </c>
      <c r="E647" s="329" t="s">
        <v>338</v>
      </c>
      <c r="F647" s="330">
        <v>3000000</v>
      </c>
      <c r="G647" s="331">
        <v>91.07</v>
      </c>
      <c r="H647" s="332">
        <v>6.0002230000000001</v>
      </c>
      <c r="I647" s="572"/>
      <c r="J647" s="355"/>
      <c r="K647" s="355"/>
    </row>
    <row r="648" spans="2:13" ht="20.25" customHeight="1">
      <c r="B648" s="326" t="s">
        <v>423</v>
      </c>
      <c r="C648" s="405" t="s">
        <v>565</v>
      </c>
      <c r="D648" s="328" t="s">
        <v>420</v>
      </c>
      <c r="E648" s="329" t="s">
        <v>338</v>
      </c>
      <c r="F648" s="330">
        <v>3150000</v>
      </c>
      <c r="G648" s="331">
        <v>90.819000000000003</v>
      </c>
      <c r="H648" s="332">
        <v>6.0200589999999998</v>
      </c>
      <c r="I648" s="572"/>
      <c r="J648" s="355"/>
      <c r="K648" s="355"/>
    </row>
    <row r="649" spans="2:13" ht="20.25" customHeight="1">
      <c r="B649" s="326" t="s">
        <v>423</v>
      </c>
      <c r="C649" s="405" t="s">
        <v>565</v>
      </c>
      <c r="D649" s="328" t="s">
        <v>420</v>
      </c>
      <c r="E649" s="329" t="s">
        <v>338</v>
      </c>
      <c r="F649" s="330">
        <v>350000</v>
      </c>
      <c r="G649" s="331">
        <v>90.819000000000003</v>
      </c>
      <c r="H649" s="332">
        <v>6.0200589999999998</v>
      </c>
      <c r="I649" s="572"/>
      <c r="J649" s="355"/>
      <c r="K649" s="355"/>
    </row>
    <row r="650" spans="2:13" ht="20.25" customHeight="1">
      <c r="B650" s="326"/>
      <c r="C650" s="405"/>
      <c r="D650" s="328"/>
      <c r="E650" s="329"/>
      <c r="F650" s="330"/>
      <c r="G650" s="331"/>
      <c r="H650" s="332"/>
      <c r="I650" s="572"/>
      <c r="J650" s="355"/>
      <c r="K650" s="355"/>
    </row>
    <row r="651" spans="2:13" ht="20.25" customHeight="1">
      <c r="B651" s="326"/>
      <c r="C651" s="405"/>
      <c r="D651" s="328"/>
      <c r="E651" s="329"/>
      <c r="F651" s="330"/>
      <c r="G651" s="331"/>
      <c r="H651" s="332"/>
      <c r="I651" s="572"/>
      <c r="J651" s="355"/>
      <c r="K651" s="355"/>
    </row>
    <row r="652" spans="2:13" ht="20.25" customHeight="1">
      <c r="B652" s="326"/>
      <c r="C652" s="405"/>
      <c r="D652" s="328"/>
      <c r="E652" s="329"/>
      <c r="F652" s="330"/>
      <c r="G652" s="331"/>
      <c r="H652" s="332"/>
      <c r="I652" s="572"/>
      <c r="J652" s="355"/>
      <c r="K652" s="355"/>
    </row>
    <row r="653" spans="2:13" ht="20.25" customHeight="1">
      <c r="B653" s="326"/>
      <c r="C653" s="405"/>
      <c r="D653" s="328"/>
      <c r="E653" s="329"/>
      <c r="F653" s="330"/>
      <c r="G653" s="331"/>
      <c r="H653" s="332"/>
      <c r="I653" s="572"/>
      <c r="J653" s="355"/>
      <c r="K653" s="355"/>
    </row>
    <row r="654" spans="2:13" ht="15">
      <c r="B654" s="334"/>
      <c r="C654" s="334"/>
      <c r="D654" s="335" t="s">
        <v>702</v>
      </c>
      <c r="E654" s="336"/>
      <c r="F654" s="337">
        <f>SUM(F640:F653)</f>
        <v>24000000</v>
      </c>
      <c r="G654" s="338"/>
      <c r="H654" s="339">
        <f>SUMPRODUCT(F640:F653,H640:H653)/F654</f>
        <v>6.0470087708333331</v>
      </c>
      <c r="I654" s="1134"/>
      <c r="K654" s="407"/>
      <c r="M654" s="1232"/>
    </row>
    <row r="657" spans="2:15" ht="15">
      <c r="B657" s="320" t="s">
        <v>770</v>
      </c>
      <c r="C657" s="321"/>
      <c r="D657" s="322" t="s">
        <v>566</v>
      </c>
      <c r="E657" s="323" t="s">
        <v>567</v>
      </c>
      <c r="F657" s="324" t="s">
        <v>568</v>
      </c>
      <c r="G657" s="324" t="s">
        <v>701</v>
      </c>
      <c r="H657" s="325" t="s">
        <v>569</v>
      </c>
      <c r="I657" s="1133"/>
    </row>
    <row r="658" spans="2:15" ht="15">
      <c r="B658" s="326" t="s">
        <v>424</v>
      </c>
      <c r="C658" s="358" t="s">
        <v>565</v>
      </c>
      <c r="D658" s="328" t="s">
        <v>1164</v>
      </c>
      <c r="E658" s="329" t="s">
        <v>338</v>
      </c>
      <c r="F658" s="404">
        <v>95000000</v>
      </c>
      <c r="G658" s="421">
        <v>100</v>
      </c>
      <c r="H658" s="422">
        <v>6.0004299999999997</v>
      </c>
      <c r="I658" s="572"/>
      <c r="J658" s="355"/>
      <c r="K658" s="355"/>
    </row>
    <row r="659" spans="2:15" ht="15">
      <c r="B659" s="326" t="s">
        <v>425</v>
      </c>
      <c r="C659" s="405" t="s">
        <v>565</v>
      </c>
      <c r="D659" s="328" t="s">
        <v>1164</v>
      </c>
      <c r="E659" s="329" t="s">
        <v>338</v>
      </c>
      <c r="F659" s="330">
        <v>5000000</v>
      </c>
      <c r="G659" s="331">
        <v>100</v>
      </c>
      <c r="H659" s="332">
        <v>6.0004299999999997</v>
      </c>
      <c r="I659" s="572"/>
      <c r="J659" s="355"/>
      <c r="K659" s="355"/>
    </row>
    <row r="660" spans="2:15" ht="15">
      <c r="B660" s="326"/>
      <c r="C660" s="405"/>
      <c r="D660" s="328"/>
      <c r="E660" s="329"/>
      <c r="F660" s="330"/>
      <c r="G660" s="331"/>
      <c r="H660" s="332"/>
      <c r="I660" s="572"/>
      <c r="J660" s="355"/>
      <c r="K660" s="355"/>
    </row>
    <row r="661" spans="2:15" ht="15">
      <c r="B661" s="334"/>
      <c r="C661" s="334"/>
      <c r="D661" s="335" t="s">
        <v>702</v>
      </c>
      <c r="E661" s="336"/>
      <c r="F661" s="337">
        <f>SUM(F658:F660)</f>
        <v>100000000</v>
      </c>
      <c r="G661" s="338"/>
      <c r="H661" s="339">
        <f>SUMPRODUCT(F658:F660,H658:H660)/F661</f>
        <v>6.0004299999999997</v>
      </c>
      <c r="I661" s="1134"/>
      <c r="M661" s="1204"/>
    </row>
    <row r="664" spans="2:15" ht="15">
      <c r="B664" s="320" t="s">
        <v>770</v>
      </c>
      <c r="C664" s="321"/>
      <c r="D664" s="322" t="s">
        <v>566</v>
      </c>
      <c r="E664" s="323" t="s">
        <v>567</v>
      </c>
      <c r="F664" s="324" t="s">
        <v>568</v>
      </c>
      <c r="G664" s="324" t="s">
        <v>701</v>
      </c>
      <c r="H664" s="325" t="s">
        <v>569</v>
      </c>
      <c r="I664" s="1133"/>
    </row>
    <row r="665" spans="2:15" ht="15">
      <c r="B665" s="326" t="s">
        <v>423</v>
      </c>
      <c r="C665" s="358" t="s">
        <v>565</v>
      </c>
      <c r="D665" s="328" t="s">
        <v>1165</v>
      </c>
      <c r="E665" s="329" t="s">
        <v>1166</v>
      </c>
      <c r="F665" s="404">
        <v>1350000000</v>
      </c>
      <c r="G665" s="421">
        <v>100</v>
      </c>
      <c r="H665" s="422">
        <v>10</v>
      </c>
      <c r="I665" s="572"/>
      <c r="J665" s="355"/>
      <c r="K665" s="355"/>
    </row>
    <row r="666" spans="2:15" ht="15">
      <c r="B666" s="326" t="s">
        <v>423</v>
      </c>
      <c r="C666" s="405" t="s">
        <v>565</v>
      </c>
      <c r="D666" s="328" t="s">
        <v>1165</v>
      </c>
      <c r="E666" s="329" t="s">
        <v>1166</v>
      </c>
      <c r="F666" s="330">
        <v>150000000</v>
      </c>
      <c r="G666" s="331">
        <v>100</v>
      </c>
      <c r="H666" s="332">
        <v>10</v>
      </c>
      <c r="I666" s="572"/>
      <c r="J666" s="355"/>
      <c r="K666" s="355"/>
    </row>
    <row r="667" spans="2:15" ht="15">
      <c r="B667" s="326"/>
      <c r="C667" s="405"/>
      <c r="D667" s="328"/>
      <c r="E667" s="329"/>
      <c r="F667" s="330"/>
      <c r="G667" s="331"/>
      <c r="H667" s="332"/>
      <c r="I667" s="572"/>
      <c r="J667" s="355"/>
      <c r="K667" s="355"/>
    </row>
    <row r="668" spans="2:15" ht="15">
      <c r="B668" s="334"/>
      <c r="C668" s="334"/>
      <c r="D668" s="335" t="s">
        <v>702</v>
      </c>
      <c r="E668" s="336"/>
      <c r="F668" s="337">
        <f>SUM(F665:F667)</f>
        <v>1500000000</v>
      </c>
      <c r="G668" s="338"/>
      <c r="H668" s="339">
        <f>SUMPRODUCT(F665:F667,H665:H667)/F668</f>
        <v>10</v>
      </c>
      <c r="I668" s="1134"/>
      <c r="M668" s="1204"/>
    </row>
    <row r="670" spans="2:15" s="490" customFormat="1">
      <c r="M670" s="1235"/>
    </row>
    <row r="671" spans="2:15" ht="14.25">
      <c r="D671" s="577" t="s">
        <v>1199</v>
      </c>
    </row>
    <row r="672" spans="2:15" ht="15">
      <c r="B672" s="320" t="s">
        <v>770</v>
      </c>
      <c r="C672" s="321"/>
      <c r="D672" s="322" t="s">
        <v>566</v>
      </c>
      <c r="E672" s="323" t="s">
        <v>567</v>
      </c>
      <c r="F672" s="324" t="s">
        <v>568</v>
      </c>
      <c r="G672" s="324" t="s">
        <v>701</v>
      </c>
      <c r="H672" s="325" t="s">
        <v>569</v>
      </c>
      <c r="I672" s="1133"/>
      <c r="O672" s="106"/>
    </row>
    <row r="673" spans="2:13" ht="20.25" customHeight="1">
      <c r="B673" s="326" t="s">
        <v>1058</v>
      </c>
      <c r="C673" s="358" t="s">
        <v>565</v>
      </c>
      <c r="D673" s="328" t="s">
        <v>1168</v>
      </c>
      <c r="E673" s="329" t="s">
        <v>338</v>
      </c>
      <c r="F673" s="404">
        <v>3000000</v>
      </c>
      <c r="G673" s="421">
        <v>86.337000000000003</v>
      </c>
      <c r="H673" s="332">
        <v>6.0008939999999997</v>
      </c>
      <c r="I673" s="572"/>
      <c r="J673" s="355"/>
      <c r="K673" s="355"/>
    </row>
    <row r="674" spans="2:13" ht="20.25" customHeight="1">
      <c r="B674" s="326" t="s">
        <v>1058</v>
      </c>
      <c r="C674" s="405" t="s">
        <v>565</v>
      </c>
      <c r="D674" s="328" t="s">
        <v>1168</v>
      </c>
      <c r="E674" s="329" t="s">
        <v>338</v>
      </c>
      <c r="F674" s="330">
        <v>1000000</v>
      </c>
      <c r="G674" s="331">
        <v>86.34</v>
      </c>
      <c r="H674" s="332">
        <v>6.0022000000000002</v>
      </c>
      <c r="I674" s="572"/>
      <c r="J674" s="355"/>
      <c r="K674" s="355"/>
    </row>
    <row r="675" spans="2:13" ht="20.25" customHeight="1">
      <c r="B675" s="326" t="s">
        <v>423</v>
      </c>
      <c r="C675" s="405" t="s">
        <v>565</v>
      </c>
      <c r="D675" s="328" t="s">
        <v>1168</v>
      </c>
      <c r="E675" s="329" t="s">
        <v>338</v>
      </c>
      <c r="F675" s="330">
        <v>1800000</v>
      </c>
      <c r="G675" s="331">
        <v>85.71</v>
      </c>
      <c r="H675" s="332">
        <v>6.1032719999999996</v>
      </c>
      <c r="I675" s="572"/>
      <c r="J675" s="355"/>
      <c r="K675" s="355"/>
    </row>
    <row r="676" spans="2:13" ht="20.25" customHeight="1">
      <c r="B676" s="326" t="s">
        <v>423</v>
      </c>
      <c r="C676" s="405" t="s">
        <v>565</v>
      </c>
      <c r="D676" s="328" t="s">
        <v>1168</v>
      </c>
      <c r="E676" s="329" t="s">
        <v>338</v>
      </c>
      <c r="F676" s="330">
        <v>200000</v>
      </c>
      <c r="G676" s="331">
        <v>85.71</v>
      </c>
      <c r="H676" s="332">
        <v>6.1032719999999996</v>
      </c>
      <c r="I676" s="572"/>
      <c r="J676" s="355"/>
      <c r="K676" s="355"/>
    </row>
    <row r="677" spans="2:13" ht="20.25" customHeight="1">
      <c r="B677" s="326" t="s">
        <v>423</v>
      </c>
      <c r="C677" s="405" t="s">
        <v>565</v>
      </c>
      <c r="D677" s="328" t="s">
        <v>1168</v>
      </c>
      <c r="E677" s="329" t="s">
        <v>338</v>
      </c>
      <c r="F677" s="330">
        <v>3600000</v>
      </c>
      <c r="G677" s="331">
        <v>86.25</v>
      </c>
      <c r="H677" s="332">
        <v>6.0201789999999997</v>
      </c>
      <c r="I677" s="572"/>
      <c r="J677" s="355"/>
      <c r="K677" s="355"/>
    </row>
    <row r="678" spans="2:13" ht="20.25" customHeight="1">
      <c r="B678" s="326" t="s">
        <v>423</v>
      </c>
      <c r="C678" s="405" t="s">
        <v>565</v>
      </c>
      <c r="D678" s="328" t="s">
        <v>1168</v>
      </c>
      <c r="E678" s="329" t="s">
        <v>338</v>
      </c>
      <c r="F678" s="330">
        <v>400000</v>
      </c>
      <c r="G678" s="331">
        <v>86.25</v>
      </c>
      <c r="H678" s="332">
        <v>6.0201789999999997</v>
      </c>
      <c r="I678" s="572"/>
      <c r="J678" s="355"/>
      <c r="K678" s="355"/>
    </row>
    <row r="679" spans="2:13" ht="20.25" customHeight="1">
      <c r="B679" s="326" t="s">
        <v>423</v>
      </c>
      <c r="C679" s="405" t="s">
        <v>565</v>
      </c>
      <c r="D679" s="328" t="s">
        <v>1168</v>
      </c>
      <c r="E679" s="329" t="s">
        <v>338</v>
      </c>
      <c r="F679" s="330">
        <v>1000000</v>
      </c>
      <c r="G679" s="331">
        <v>86.25</v>
      </c>
      <c r="H679" s="332">
        <v>6.0215300000000003</v>
      </c>
      <c r="I679" s="572"/>
      <c r="J679" s="355"/>
      <c r="K679" s="355"/>
    </row>
    <row r="680" spans="2:13" ht="20.25" customHeight="1">
      <c r="B680" s="326" t="s">
        <v>423</v>
      </c>
      <c r="C680" s="405" t="s">
        <v>565</v>
      </c>
      <c r="D680" s="328" t="s">
        <v>1168</v>
      </c>
      <c r="E680" s="329" t="s">
        <v>338</v>
      </c>
      <c r="F680" s="330">
        <v>800000</v>
      </c>
      <c r="G680" s="331">
        <v>86.17</v>
      </c>
      <c r="H680" s="332">
        <v>6.0340509999999998</v>
      </c>
      <c r="I680" s="572"/>
      <c r="J680" s="355"/>
      <c r="K680" s="355"/>
    </row>
    <row r="681" spans="2:13" ht="20.25" customHeight="1">
      <c r="B681" s="326" t="s">
        <v>423</v>
      </c>
      <c r="C681" s="405" t="s">
        <v>565</v>
      </c>
      <c r="D681" s="328" t="s">
        <v>1168</v>
      </c>
      <c r="E681" s="329" t="s">
        <v>338</v>
      </c>
      <c r="F681" s="330">
        <v>200000</v>
      </c>
      <c r="G681" s="331">
        <v>86.17</v>
      </c>
      <c r="H681" s="332">
        <v>6.0340509999999998</v>
      </c>
      <c r="I681" s="572"/>
      <c r="J681" s="355"/>
      <c r="K681" s="355"/>
    </row>
    <row r="682" spans="2:13" ht="20.25" customHeight="1">
      <c r="B682" s="326" t="s">
        <v>423</v>
      </c>
      <c r="C682" s="405" t="s">
        <v>565</v>
      </c>
      <c r="D682" s="328" t="s">
        <v>1168</v>
      </c>
      <c r="E682" s="329" t="s">
        <v>338</v>
      </c>
      <c r="F682" s="330">
        <v>1800000</v>
      </c>
      <c r="G682" s="331">
        <v>86.281000000000006</v>
      </c>
      <c r="H682" s="332">
        <v>6.0200079999999998</v>
      </c>
      <c r="I682" s="572"/>
      <c r="J682" s="355"/>
      <c r="K682" s="355"/>
    </row>
    <row r="683" spans="2:13" ht="20.25" customHeight="1">
      <c r="B683" s="326" t="s">
        <v>423</v>
      </c>
      <c r="C683" s="405" t="s">
        <v>565</v>
      </c>
      <c r="D683" s="328" t="s">
        <v>1168</v>
      </c>
      <c r="E683" s="329" t="s">
        <v>338</v>
      </c>
      <c r="F683" s="330">
        <v>200000</v>
      </c>
      <c r="G683" s="331">
        <v>86.281000000000006</v>
      </c>
      <c r="H683" s="332">
        <v>6.0200079999999998</v>
      </c>
      <c r="I683" s="572"/>
      <c r="J683" s="355"/>
      <c r="K683" s="355"/>
    </row>
    <row r="684" spans="2:13" ht="20.25" customHeight="1">
      <c r="B684" s="326"/>
      <c r="C684" s="405"/>
      <c r="D684" s="328"/>
      <c r="E684" s="329"/>
      <c r="F684" s="330"/>
      <c r="G684" s="331"/>
      <c r="H684" s="332"/>
      <c r="I684" s="572"/>
      <c r="J684" s="355"/>
      <c r="K684" s="355"/>
    </row>
    <row r="685" spans="2:13" ht="20.25" customHeight="1">
      <c r="B685" s="326"/>
      <c r="C685" s="405"/>
      <c r="D685" s="328"/>
      <c r="E685" s="329"/>
      <c r="F685" s="330"/>
      <c r="G685" s="331"/>
      <c r="H685" s="332"/>
      <c r="I685" s="572"/>
      <c r="J685" s="355"/>
      <c r="K685" s="355"/>
    </row>
    <row r="686" spans="2:13" ht="20.25" customHeight="1">
      <c r="B686" s="326"/>
      <c r="C686" s="405"/>
      <c r="D686" s="328"/>
      <c r="E686" s="329"/>
      <c r="F686" s="330"/>
      <c r="G686" s="331"/>
      <c r="H686" s="332"/>
      <c r="I686" s="572"/>
      <c r="J686" s="355"/>
      <c r="K686" s="355"/>
    </row>
    <row r="687" spans="2:13" ht="20.25" customHeight="1">
      <c r="B687" s="326"/>
      <c r="C687" s="365"/>
      <c r="D687" s="328"/>
      <c r="E687" s="329"/>
      <c r="F687" s="350"/>
      <c r="G687" s="351"/>
      <c r="H687" s="332"/>
      <c r="I687" s="572"/>
      <c r="J687" s="355"/>
      <c r="K687" s="355"/>
    </row>
    <row r="688" spans="2:13" ht="15">
      <c r="B688" s="334"/>
      <c r="C688" s="334"/>
      <c r="D688" s="335" t="s">
        <v>702</v>
      </c>
      <c r="E688" s="336"/>
      <c r="F688" s="337">
        <f>SUM(F673:F687)</f>
        <v>14000000</v>
      </c>
      <c r="G688" s="338"/>
      <c r="H688" s="339">
        <f>SUMPRODUCT(F673:F687,H673:H687)/F688</f>
        <v>6.0276956428571431</v>
      </c>
      <c r="I688" s="1134"/>
      <c r="K688" s="407"/>
      <c r="M688" s="1232"/>
    </row>
    <row r="691" spans="2:15" ht="15">
      <c r="B691" s="320" t="s">
        <v>770</v>
      </c>
      <c r="C691" s="321"/>
      <c r="D691" s="322" t="s">
        <v>566</v>
      </c>
      <c r="E691" s="323" t="s">
        <v>567</v>
      </c>
      <c r="F691" s="324" t="s">
        <v>568</v>
      </c>
      <c r="G691" s="324" t="s">
        <v>701</v>
      </c>
      <c r="H691" s="325" t="s">
        <v>569</v>
      </c>
      <c r="I691" s="1133"/>
      <c r="O691" s="106"/>
    </row>
    <row r="692" spans="2:15" ht="20.25" customHeight="1">
      <c r="B692" s="326" t="s">
        <v>423</v>
      </c>
      <c r="C692" s="358" t="s">
        <v>565</v>
      </c>
      <c r="D692" s="328" t="s">
        <v>420</v>
      </c>
      <c r="E692" s="329" t="s">
        <v>338</v>
      </c>
      <c r="F692" s="404">
        <v>2500000</v>
      </c>
      <c r="G692" s="421">
        <v>90.820999999999998</v>
      </c>
      <c r="H692" s="332">
        <v>6.0200399999999998</v>
      </c>
      <c r="I692" s="572"/>
      <c r="J692" s="355"/>
      <c r="K692" s="355"/>
    </row>
    <row r="693" spans="2:15" ht="20.25" customHeight="1">
      <c r="B693" s="575" t="s">
        <v>423</v>
      </c>
      <c r="C693" s="405" t="s">
        <v>565</v>
      </c>
      <c r="D693" s="328" t="s">
        <v>420</v>
      </c>
      <c r="E693" s="329" t="s">
        <v>338</v>
      </c>
      <c r="F693" s="330">
        <v>500000</v>
      </c>
      <c r="G693" s="331">
        <v>90.820999999999998</v>
      </c>
      <c r="H693" s="332">
        <v>6.0200399999999998</v>
      </c>
      <c r="I693" s="572"/>
      <c r="J693" s="355"/>
      <c r="K693" s="355"/>
    </row>
    <row r="694" spans="2:15" ht="20.25" customHeight="1">
      <c r="B694" s="575" t="s">
        <v>423</v>
      </c>
      <c r="C694" s="574" t="s">
        <v>565</v>
      </c>
      <c r="D694" s="328" t="s">
        <v>420</v>
      </c>
      <c r="E694" s="329" t="s">
        <v>338</v>
      </c>
      <c r="F694" s="330">
        <v>2000000</v>
      </c>
      <c r="G694" s="331">
        <v>90.822000000000003</v>
      </c>
      <c r="H694" s="332">
        <v>6.0199632999999997</v>
      </c>
      <c r="I694" s="572"/>
      <c r="J694" s="355"/>
      <c r="K694" s="355"/>
    </row>
    <row r="695" spans="2:15" ht="20.25" customHeight="1">
      <c r="B695" s="575" t="s">
        <v>423</v>
      </c>
      <c r="C695" s="574" t="s">
        <v>565</v>
      </c>
      <c r="D695" s="328" t="s">
        <v>420</v>
      </c>
      <c r="E695" s="329" t="s">
        <v>338</v>
      </c>
      <c r="F695" s="330">
        <v>1800000</v>
      </c>
      <c r="G695" s="331">
        <v>88.58</v>
      </c>
      <c r="H695" s="332">
        <v>6.2000900000000003</v>
      </c>
      <c r="I695" s="572"/>
      <c r="J695" s="355"/>
      <c r="K695" s="355"/>
    </row>
    <row r="696" spans="2:15" ht="20.25" customHeight="1">
      <c r="B696" s="575" t="s">
        <v>423</v>
      </c>
      <c r="C696" s="574" t="s">
        <v>565</v>
      </c>
      <c r="D696" s="328" t="s">
        <v>420</v>
      </c>
      <c r="E696" s="329" t="s">
        <v>338</v>
      </c>
      <c r="F696" s="330">
        <v>720000</v>
      </c>
      <c r="G696" s="331">
        <v>87.37</v>
      </c>
      <c r="H696" s="332">
        <v>6.3002200000000004</v>
      </c>
      <c r="I696" s="572"/>
      <c r="J696" s="355"/>
      <c r="K696" s="355"/>
    </row>
    <row r="697" spans="2:15" ht="20.25" customHeight="1">
      <c r="B697" s="575" t="s">
        <v>423</v>
      </c>
      <c r="C697" s="574" t="s">
        <v>565</v>
      </c>
      <c r="D697" s="328" t="s">
        <v>420</v>
      </c>
      <c r="E697" s="329" t="s">
        <v>338</v>
      </c>
      <c r="F697" s="330">
        <v>280000</v>
      </c>
      <c r="G697" s="331">
        <v>87.37</v>
      </c>
      <c r="H697" s="332">
        <v>6.3002200000000004</v>
      </c>
      <c r="I697" s="572"/>
      <c r="J697" s="355"/>
      <c r="K697" s="355"/>
    </row>
    <row r="698" spans="2:15" ht="20.25" customHeight="1">
      <c r="B698" s="575"/>
      <c r="C698" s="574"/>
      <c r="D698" s="328"/>
      <c r="E698" s="329"/>
      <c r="F698" s="330"/>
      <c r="G698" s="331"/>
      <c r="H698" s="332"/>
      <c r="I698" s="572"/>
      <c r="J698" s="355"/>
      <c r="K698" s="355"/>
    </row>
    <row r="699" spans="2:15" ht="20.25" customHeight="1">
      <c r="B699" s="575"/>
      <c r="C699" s="574"/>
      <c r="D699" s="328"/>
      <c r="E699" s="329"/>
      <c r="F699" s="330"/>
      <c r="G699" s="331"/>
      <c r="H699" s="332"/>
      <c r="I699" s="572"/>
      <c r="J699" s="355"/>
      <c r="K699" s="355"/>
    </row>
    <row r="700" spans="2:15" ht="20.25" customHeight="1">
      <c r="B700" s="575"/>
      <c r="C700" s="574"/>
      <c r="D700" s="328"/>
      <c r="E700" s="329"/>
      <c r="F700" s="330"/>
      <c r="G700" s="331"/>
      <c r="H700" s="332"/>
      <c r="I700" s="572"/>
      <c r="J700" s="355"/>
      <c r="K700" s="355"/>
    </row>
    <row r="701" spans="2:15" ht="20.25" customHeight="1">
      <c r="B701" s="575"/>
      <c r="C701" s="574"/>
      <c r="D701" s="328"/>
      <c r="E701" s="329"/>
      <c r="F701" s="330"/>
      <c r="G701" s="331"/>
      <c r="H701" s="332"/>
      <c r="I701" s="572"/>
      <c r="J701" s="355"/>
      <c r="K701" s="355"/>
    </row>
    <row r="702" spans="2:15" ht="20.25" customHeight="1">
      <c r="B702" s="326"/>
      <c r="C702" s="365"/>
      <c r="D702" s="328"/>
      <c r="E702" s="329"/>
      <c r="F702" s="350"/>
      <c r="G702" s="351"/>
      <c r="H702" s="332"/>
      <c r="I702" s="572"/>
      <c r="J702" s="355"/>
      <c r="K702" s="355"/>
    </row>
    <row r="703" spans="2:15" ht="15">
      <c r="B703" s="334"/>
      <c r="C703" s="334"/>
      <c r="D703" s="335" t="s">
        <v>702</v>
      </c>
      <c r="E703" s="336"/>
      <c r="F703" s="337">
        <f>SUM(F692:F702)</f>
        <v>7800000</v>
      </c>
      <c r="G703" s="338"/>
      <c r="H703" s="339">
        <f>SUMPRODUCT(F692:F702,H692:H702)/F703</f>
        <v>6.0974908461538462</v>
      </c>
      <c r="I703" s="1134"/>
      <c r="K703" s="407"/>
      <c r="M703" s="1232"/>
    </row>
    <row r="706" spans="2:15" ht="15">
      <c r="B706" s="320" t="s">
        <v>770</v>
      </c>
      <c r="C706" s="321"/>
      <c r="D706" s="322" t="s">
        <v>566</v>
      </c>
      <c r="E706" s="323" t="s">
        <v>567</v>
      </c>
      <c r="F706" s="324" t="s">
        <v>568</v>
      </c>
      <c r="G706" s="324" t="s">
        <v>701</v>
      </c>
      <c r="H706" s="325" t="s">
        <v>569</v>
      </c>
      <c r="I706" s="1133"/>
      <c r="O706" s="106"/>
    </row>
    <row r="707" spans="2:15" ht="20.25" customHeight="1">
      <c r="B707" s="326" t="s">
        <v>423</v>
      </c>
      <c r="C707" s="358" t="s">
        <v>565</v>
      </c>
      <c r="D707" s="328" t="s">
        <v>1078</v>
      </c>
      <c r="E707" s="329" t="s">
        <v>338</v>
      </c>
      <c r="F707" s="404">
        <v>4100000</v>
      </c>
      <c r="G707" s="421">
        <v>91.64</v>
      </c>
      <c r="H707" s="332">
        <v>7.0200199999999997</v>
      </c>
      <c r="I707" s="572"/>
      <c r="J707" s="355"/>
      <c r="K707" s="355"/>
    </row>
    <row r="708" spans="2:15" ht="20.25" customHeight="1">
      <c r="B708" s="326" t="s">
        <v>423</v>
      </c>
      <c r="C708" s="405" t="s">
        <v>565</v>
      </c>
      <c r="D708" s="328" t="s">
        <v>1078</v>
      </c>
      <c r="E708" s="329" t="s">
        <v>338</v>
      </c>
      <c r="F708" s="330">
        <v>900000</v>
      </c>
      <c r="G708" s="331">
        <v>91.64</v>
      </c>
      <c r="H708" s="332">
        <v>7.0200199999999997</v>
      </c>
      <c r="I708" s="572"/>
      <c r="J708" s="355"/>
      <c r="K708" s="355"/>
    </row>
    <row r="709" spans="2:15" ht="20.25" customHeight="1">
      <c r="B709" s="326" t="s">
        <v>423</v>
      </c>
      <c r="C709" s="405" t="s">
        <v>565</v>
      </c>
      <c r="D709" s="328" t="s">
        <v>1078</v>
      </c>
      <c r="E709" s="329" t="s">
        <v>338</v>
      </c>
      <c r="F709" s="330">
        <v>3000000</v>
      </c>
      <c r="G709" s="331">
        <v>91.62</v>
      </c>
      <c r="H709" s="332">
        <v>7.0232799999999997</v>
      </c>
      <c r="I709" s="572"/>
      <c r="J709" s="355"/>
      <c r="K709" s="355"/>
    </row>
    <row r="710" spans="2:15" ht="20.25" customHeight="1">
      <c r="B710" s="326" t="s">
        <v>423</v>
      </c>
      <c r="C710" s="405" t="s">
        <v>565</v>
      </c>
      <c r="D710" s="328" t="s">
        <v>1078</v>
      </c>
      <c r="E710" s="329" t="s">
        <v>338</v>
      </c>
      <c r="F710" s="330">
        <v>1000000</v>
      </c>
      <c r="G710" s="331">
        <v>91.456000000000003</v>
      </c>
      <c r="H710" s="332">
        <v>7.0500489999999996</v>
      </c>
      <c r="I710" s="572"/>
      <c r="J710" s="355"/>
      <c r="K710" s="355"/>
    </row>
    <row r="711" spans="2:15" ht="20.25" customHeight="1">
      <c r="B711" s="326" t="s">
        <v>423</v>
      </c>
      <c r="C711" s="405" t="s">
        <v>565</v>
      </c>
      <c r="D711" s="328" t="s">
        <v>1078</v>
      </c>
      <c r="E711" s="329" t="s">
        <v>338</v>
      </c>
      <c r="F711" s="330">
        <v>1800000</v>
      </c>
      <c r="G711" s="331">
        <v>90.787999999999997</v>
      </c>
      <c r="H711" s="332">
        <v>7.1600539999999997</v>
      </c>
      <c r="I711" s="572"/>
      <c r="J711" s="355"/>
      <c r="K711" s="355"/>
    </row>
    <row r="712" spans="2:15" ht="20.25" customHeight="1">
      <c r="B712" s="326" t="s">
        <v>423</v>
      </c>
      <c r="C712" s="405" t="s">
        <v>565</v>
      </c>
      <c r="D712" s="328" t="s">
        <v>1078</v>
      </c>
      <c r="E712" s="329" t="s">
        <v>338</v>
      </c>
      <c r="F712" s="330">
        <v>200000</v>
      </c>
      <c r="G712" s="331">
        <v>90.787999999999997</v>
      </c>
      <c r="H712" s="332">
        <v>7.1600539999999997</v>
      </c>
      <c r="I712" s="572"/>
      <c r="J712" s="355"/>
      <c r="K712" s="355"/>
    </row>
    <row r="713" spans="2:15" ht="20.25" customHeight="1">
      <c r="B713" s="326" t="s">
        <v>423</v>
      </c>
      <c r="C713" s="405" t="s">
        <v>565</v>
      </c>
      <c r="D713" s="328" t="s">
        <v>1078</v>
      </c>
      <c r="E713" s="329" t="s">
        <v>338</v>
      </c>
      <c r="F713" s="330">
        <v>4500000</v>
      </c>
      <c r="G713" s="331">
        <v>90.727000000000004</v>
      </c>
      <c r="H713" s="332">
        <v>7.1701199999999998</v>
      </c>
      <c r="I713" s="572"/>
      <c r="J713" s="355"/>
      <c r="K713" s="355"/>
    </row>
    <row r="714" spans="2:15" ht="20.25" customHeight="1">
      <c r="B714" s="326" t="s">
        <v>423</v>
      </c>
      <c r="C714" s="405" t="s">
        <v>565</v>
      </c>
      <c r="D714" s="328" t="s">
        <v>1078</v>
      </c>
      <c r="E714" s="329" t="s">
        <v>338</v>
      </c>
      <c r="F714" s="330">
        <v>500000</v>
      </c>
      <c r="G714" s="331">
        <v>90.727000000000004</v>
      </c>
      <c r="H714" s="332">
        <v>7.1701199999999998</v>
      </c>
      <c r="I714" s="572"/>
      <c r="J714" s="355"/>
      <c r="K714" s="355"/>
    </row>
    <row r="715" spans="2:15" ht="20.25" customHeight="1">
      <c r="B715" s="326" t="s">
        <v>423</v>
      </c>
      <c r="C715" s="405" t="s">
        <v>565</v>
      </c>
      <c r="D715" s="328" t="s">
        <v>1078</v>
      </c>
      <c r="E715" s="329" t="s">
        <v>338</v>
      </c>
      <c r="F715" s="330">
        <v>1000000</v>
      </c>
      <c r="G715" s="331">
        <v>91.162999999999997</v>
      </c>
      <c r="H715" s="332">
        <v>7.1</v>
      </c>
      <c r="I715" s="572"/>
      <c r="J715" s="355"/>
      <c r="K715" s="355"/>
    </row>
    <row r="716" spans="2:15" ht="20.25" customHeight="1">
      <c r="B716" s="326" t="s">
        <v>423</v>
      </c>
      <c r="C716" s="405" t="s">
        <v>565</v>
      </c>
      <c r="D716" s="328" t="s">
        <v>1078</v>
      </c>
      <c r="E716" s="329" t="s">
        <v>338</v>
      </c>
      <c r="F716" s="330">
        <v>2150000</v>
      </c>
      <c r="G716" s="331">
        <v>89.921000000000006</v>
      </c>
      <c r="H716" s="332">
        <v>7.3100399999999999</v>
      </c>
      <c r="I716" s="572"/>
      <c r="J716" s="355"/>
      <c r="K716" s="355"/>
    </row>
    <row r="717" spans="2:15" ht="20.25" customHeight="1">
      <c r="B717" s="326" t="s">
        <v>423</v>
      </c>
      <c r="C717" s="405" t="s">
        <v>565</v>
      </c>
      <c r="D717" s="328" t="s">
        <v>1078</v>
      </c>
      <c r="E717" s="329" t="s">
        <v>338</v>
      </c>
      <c r="F717" s="330">
        <v>350000</v>
      </c>
      <c r="G717" s="331">
        <v>89.921000000000006</v>
      </c>
      <c r="H717" s="332">
        <v>7.3100399999999999</v>
      </c>
      <c r="I717" s="572"/>
      <c r="J717" s="355"/>
      <c r="K717" s="355"/>
    </row>
    <row r="718" spans="2:15" ht="20.25" customHeight="1">
      <c r="B718" s="326" t="s">
        <v>423</v>
      </c>
      <c r="C718" s="405" t="s">
        <v>565</v>
      </c>
      <c r="D718" s="328" t="s">
        <v>1078</v>
      </c>
      <c r="E718" s="329" t="s">
        <v>338</v>
      </c>
      <c r="F718" s="330">
        <v>1800000</v>
      </c>
      <c r="G718" s="331">
        <v>89.393000000000001</v>
      </c>
      <c r="H718" s="332">
        <v>7.4000700000000004</v>
      </c>
      <c r="I718" s="572"/>
      <c r="J718" s="355"/>
      <c r="K718" s="355"/>
    </row>
    <row r="719" spans="2:15" ht="20.25" customHeight="1">
      <c r="B719" s="326" t="s">
        <v>423</v>
      </c>
      <c r="C719" s="405" t="s">
        <v>565</v>
      </c>
      <c r="D719" s="328" t="s">
        <v>1078</v>
      </c>
      <c r="E719" s="329" t="s">
        <v>338</v>
      </c>
      <c r="F719" s="330">
        <v>200000</v>
      </c>
      <c r="G719" s="331">
        <v>89.393000000000001</v>
      </c>
      <c r="H719" s="332">
        <v>7.4000700000000004</v>
      </c>
      <c r="I719" s="572"/>
      <c r="J719" s="355"/>
      <c r="K719" s="355"/>
    </row>
    <row r="720" spans="2:15" ht="20.25" customHeight="1">
      <c r="B720" s="326"/>
      <c r="C720" s="405"/>
      <c r="D720" s="328"/>
      <c r="E720" s="329"/>
      <c r="F720" s="330"/>
      <c r="G720" s="331"/>
      <c r="H720" s="332"/>
      <c r="I720" s="572"/>
      <c r="J720" s="355"/>
      <c r="K720" s="355"/>
    </row>
    <row r="721" spans="2:15" ht="20.25" customHeight="1">
      <c r="B721" s="326"/>
      <c r="C721" s="405"/>
      <c r="D721" s="328"/>
      <c r="E721" s="329"/>
      <c r="F721" s="330"/>
      <c r="G721" s="331"/>
      <c r="H721" s="332"/>
      <c r="I721" s="572"/>
      <c r="J721" s="355"/>
      <c r="K721" s="355"/>
    </row>
    <row r="722" spans="2:15" ht="20.25" customHeight="1">
      <c r="B722" s="326"/>
      <c r="C722" s="365"/>
      <c r="D722" s="328"/>
      <c r="E722" s="329"/>
      <c r="F722" s="350"/>
      <c r="G722" s="351"/>
      <c r="H722" s="332"/>
      <c r="I722" s="572"/>
      <c r="J722" s="355"/>
      <c r="K722" s="355"/>
    </row>
    <row r="723" spans="2:15" ht="15">
      <c r="B723" s="334"/>
      <c r="C723" s="334"/>
      <c r="D723" s="335" t="s">
        <v>702</v>
      </c>
      <c r="E723" s="336"/>
      <c r="F723" s="337">
        <f>SUM(F707:F722)</f>
        <v>21500000</v>
      </c>
      <c r="G723" s="338"/>
      <c r="H723" s="339">
        <f>SUMPRODUCT(F707:F722,H707:H722)/F723</f>
        <v>7.1426017209302328</v>
      </c>
      <c r="I723" s="1134"/>
      <c r="K723" s="407"/>
      <c r="M723" s="1232"/>
    </row>
    <row r="726" spans="2:15" ht="15">
      <c r="B726" s="320" t="s">
        <v>770</v>
      </c>
      <c r="C726" s="321"/>
      <c r="D726" s="322" t="s">
        <v>566</v>
      </c>
      <c r="E726" s="323" t="s">
        <v>567</v>
      </c>
      <c r="F726" s="324" t="s">
        <v>568</v>
      </c>
      <c r="G726" s="324" t="s">
        <v>701</v>
      </c>
      <c r="H726" s="325" t="s">
        <v>569</v>
      </c>
      <c r="I726" s="1133"/>
      <c r="O726" s="106"/>
    </row>
    <row r="727" spans="2:15" ht="20.25" customHeight="1">
      <c r="B727" s="326" t="s">
        <v>513</v>
      </c>
      <c r="C727" s="358" t="s">
        <v>565</v>
      </c>
      <c r="D727" s="328" t="s">
        <v>78</v>
      </c>
      <c r="E727" s="329" t="s">
        <v>338</v>
      </c>
      <c r="F727" s="404">
        <v>2000000</v>
      </c>
      <c r="G727" s="421">
        <v>87.58</v>
      </c>
      <c r="H727" s="332">
        <v>6.2586899999999996</v>
      </c>
      <c r="I727" s="572"/>
      <c r="J727" s="355"/>
      <c r="K727" s="355"/>
    </row>
    <row r="728" spans="2:15" ht="20.25" customHeight="1">
      <c r="B728" s="326" t="s">
        <v>513</v>
      </c>
      <c r="C728" s="405" t="s">
        <v>565</v>
      </c>
      <c r="D728" s="328" t="s">
        <v>78</v>
      </c>
      <c r="E728" s="329" t="s">
        <v>338</v>
      </c>
      <c r="F728" s="330">
        <v>3000000</v>
      </c>
      <c r="G728" s="331">
        <v>86.066000000000003</v>
      </c>
      <c r="H728" s="332">
        <v>6.5000999999999998</v>
      </c>
      <c r="I728" s="572"/>
      <c r="J728" s="355"/>
      <c r="K728" s="355"/>
    </row>
    <row r="729" spans="2:15" ht="20.25" customHeight="1">
      <c r="B729" s="326" t="s">
        <v>513</v>
      </c>
      <c r="C729" s="405" t="s">
        <v>565</v>
      </c>
      <c r="D729" s="328" t="s">
        <v>78</v>
      </c>
      <c r="E729" s="329" t="s">
        <v>338</v>
      </c>
      <c r="F729" s="330">
        <v>2000000</v>
      </c>
      <c r="G729" s="331">
        <v>85.92</v>
      </c>
      <c r="H729" s="332">
        <v>6.5254200000000004</v>
      </c>
      <c r="I729" s="572"/>
      <c r="J729" s="355"/>
      <c r="K729" s="355"/>
    </row>
    <row r="730" spans="2:15" ht="20.25" customHeight="1">
      <c r="B730" s="326" t="s">
        <v>513</v>
      </c>
      <c r="C730" s="405" t="s">
        <v>565</v>
      </c>
      <c r="D730" s="328" t="s">
        <v>78</v>
      </c>
      <c r="E730" s="329" t="s">
        <v>338</v>
      </c>
      <c r="F730" s="330">
        <v>2000000</v>
      </c>
      <c r="G730" s="331">
        <v>86.216999999999999</v>
      </c>
      <c r="H730" s="332">
        <v>6.48</v>
      </c>
      <c r="I730" s="572"/>
      <c r="J730" s="355"/>
      <c r="K730" s="355"/>
    </row>
    <row r="731" spans="2:15" ht="20.25" customHeight="1">
      <c r="B731" s="326" t="s">
        <v>513</v>
      </c>
      <c r="C731" s="405" t="s">
        <v>565</v>
      </c>
      <c r="D731" s="328" t="s">
        <v>78</v>
      </c>
      <c r="E731" s="329" t="s">
        <v>338</v>
      </c>
      <c r="F731" s="330">
        <v>3000000</v>
      </c>
      <c r="G731" s="331">
        <v>86.097999999999999</v>
      </c>
      <c r="H731" s="332">
        <v>6.5000900000000001</v>
      </c>
      <c r="I731" s="572"/>
      <c r="J731" s="355"/>
      <c r="K731" s="355"/>
    </row>
    <row r="732" spans="2:15" ht="15">
      <c r="B732" s="334"/>
      <c r="C732" s="334"/>
      <c r="D732" s="335" t="s">
        <v>702</v>
      </c>
      <c r="E732" s="336"/>
      <c r="F732" s="337">
        <f>SUM(F727:F731)</f>
        <v>12000000</v>
      </c>
      <c r="G732" s="338"/>
      <c r="H732" s="339">
        <f>SUMPRODUCT(F727:F731,H727:H731)/F732</f>
        <v>6.4607324999999998</v>
      </c>
      <c r="I732" s="1134"/>
      <c r="K732" s="407"/>
      <c r="M732" s="1232"/>
    </row>
    <row r="735" spans="2:15" ht="15">
      <c r="B735" s="320" t="s">
        <v>770</v>
      </c>
      <c r="C735" s="321"/>
      <c r="D735" s="322" t="s">
        <v>566</v>
      </c>
      <c r="E735" s="323" t="s">
        <v>567</v>
      </c>
      <c r="F735" s="324" t="s">
        <v>568</v>
      </c>
      <c r="G735" s="324" t="s">
        <v>701</v>
      </c>
      <c r="H735" s="325" t="s">
        <v>569</v>
      </c>
      <c r="I735" s="1133"/>
      <c r="O735" s="106"/>
    </row>
    <row r="736" spans="2:15" ht="20.25" customHeight="1">
      <c r="B736" s="326" t="s">
        <v>513</v>
      </c>
      <c r="C736" s="358" t="s">
        <v>565</v>
      </c>
      <c r="D736" s="328" t="s">
        <v>211</v>
      </c>
      <c r="E736" s="329" t="s">
        <v>338</v>
      </c>
      <c r="F736" s="404">
        <v>1000000</v>
      </c>
      <c r="G736" s="421">
        <v>85.75</v>
      </c>
      <c r="H736" s="332">
        <v>8.3448700000000002</v>
      </c>
      <c r="I736" s="572"/>
      <c r="J736" s="355"/>
      <c r="K736" s="355"/>
    </row>
    <row r="737" spans="2:15" ht="20.25" customHeight="1">
      <c r="B737" s="326" t="s">
        <v>513</v>
      </c>
      <c r="C737" s="405" t="s">
        <v>565</v>
      </c>
      <c r="D737" s="328" t="s">
        <v>211</v>
      </c>
      <c r="E737" s="329" t="s">
        <v>338</v>
      </c>
      <c r="F737" s="330">
        <v>1000000</v>
      </c>
      <c r="G737" s="331">
        <v>84.85</v>
      </c>
      <c r="H737" s="332">
        <v>8.5005000000000006</v>
      </c>
      <c r="I737" s="572"/>
      <c r="J737" s="355"/>
      <c r="K737" s="355"/>
    </row>
    <row r="738" spans="2:15" ht="20.25" customHeight="1">
      <c r="B738" s="326" t="s">
        <v>513</v>
      </c>
      <c r="C738" s="405" t="s">
        <v>565</v>
      </c>
      <c r="D738" s="328" t="s">
        <v>211</v>
      </c>
      <c r="E738" s="329" t="s">
        <v>338</v>
      </c>
      <c r="F738" s="330">
        <v>1000000</v>
      </c>
      <c r="G738" s="331">
        <v>82.875</v>
      </c>
      <c r="H738" s="332">
        <v>8.8500200000000007</v>
      </c>
      <c r="I738" s="572"/>
      <c r="J738" s="355"/>
      <c r="K738" s="355"/>
    </row>
    <row r="739" spans="2:15" ht="20.25" customHeight="1">
      <c r="B739" s="326" t="s">
        <v>513</v>
      </c>
      <c r="C739" s="405" t="s">
        <v>565</v>
      </c>
      <c r="D739" s="328" t="s">
        <v>211</v>
      </c>
      <c r="E739" s="329" t="s">
        <v>338</v>
      </c>
      <c r="F739" s="330">
        <v>1000000</v>
      </c>
      <c r="G739" s="331">
        <v>82.046999999999997</v>
      </c>
      <c r="H739" s="332">
        <v>9.0000800000000005</v>
      </c>
      <c r="I739" s="572"/>
      <c r="J739" s="355"/>
      <c r="K739" s="355"/>
    </row>
    <row r="740" spans="2:15" ht="20.25" customHeight="1">
      <c r="B740" s="570" t="s">
        <v>513</v>
      </c>
      <c r="C740" s="571" t="s">
        <v>565</v>
      </c>
      <c r="D740" s="109" t="s">
        <v>211</v>
      </c>
      <c r="E740" s="572" t="s">
        <v>338</v>
      </c>
      <c r="F740" s="493">
        <v>1000000</v>
      </c>
      <c r="G740" s="573">
        <v>82.12</v>
      </c>
      <c r="H740" s="86">
        <v>9.0000199999999992</v>
      </c>
      <c r="I740" s="86"/>
      <c r="J740" s="355"/>
      <c r="K740" s="355"/>
    </row>
    <row r="741" spans="2:15" ht="20.25" customHeight="1">
      <c r="B741" s="326"/>
      <c r="C741" s="365"/>
      <c r="D741" s="328"/>
      <c r="E741" s="329"/>
      <c r="F741" s="350"/>
      <c r="G741" s="351"/>
      <c r="H741" s="332"/>
      <c r="I741" s="572"/>
      <c r="J741" s="355"/>
      <c r="K741" s="355"/>
    </row>
    <row r="742" spans="2:15" ht="15">
      <c r="B742" s="334"/>
      <c r="C742" s="334"/>
      <c r="D742" s="335" t="s">
        <v>702</v>
      </c>
      <c r="E742" s="336"/>
      <c r="F742" s="337">
        <f>SUM(F736:F741)</f>
        <v>5000000</v>
      </c>
      <c r="G742" s="338"/>
      <c r="H742" s="339">
        <f>SUMPRODUCT(F736:F741,H736:H741)/F742</f>
        <v>8.7390980000000003</v>
      </c>
      <c r="I742" s="1134"/>
      <c r="K742" s="407"/>
      <c r="M742" s="1232"/>
    </row>
    <row r="745" spans="2:15" ht="15">
      <c r="B745" s="320" t="s">
        <v>770</v>
      </c>
      <c r="C745" s="321"/>
      <c r="D745" s="322" t="s">
        <v>566</v>
      </c>
      <c r="E745" s="323" t="s">
        <v>567</v>
      </c>
      <c r="F745" s="324" t="s">
        <v>568</v>
      </c>
      <c r="G745" s="324" t="s">
        <v>701</v>
      </c>
      <c r="H745" s="325" t="s">
        <v>569</v>
      </c>
      <c r="I745" s="1133"/>
      <c r="O745" s="106"/>
    </row>
    <row r="746" spans="2:15" ht="20.25" customHeight="1">
      <c r="B746" s="326" t="s">
        <v>513</v>
      </c>
      <c r="C746" s="358" t="s">
        <v>565</v>
      </c>
      <c r="D746" s="328" t="s">
        <v>667</v>
      </c>
      <c r="E746" s="329" t="s">
        <v>338</v>
      </c>
      <c r="F746" s="404">
        <v>2000000</v>
      </c>
      <c r="G746" s="421">
        <v>88.465999999999994</v>
      </c>
      <c r="H746" s="332">
        <v>5.9500460000000004</v>
      </c>
      <c r="I746" s="572"/>
      <c r="J746" s="355"/>
      <c r="K746" s="355"/>
    </row>
    <row r="747" spans="2:15" ht="20.25" customHeight="1">
      <c r="B747" s="326" t="s">
        <v>513</v>
      </c>
      <c r="C747" s="405" t="s">
        <v>565</v>
      </c>
      <c r="D747" s="328" t="s">
        <v>667</v>
      </c>
      <c r="E747" s="329" t="s">
        <v>338</v>
      </c>
      <c r="F747" s="330">
        <v>2000000</v>
      </c>
      <c r="G747" s="331">
        <v>87.93</v>
      </c>
      <c r="H747" s="332">
        <v>6.0318350000000001</v>
      </c>
      <c r="I747" s="572"/>
      <c r="J747" s="355"/>
      <c r="K747" s="355"/>
    </row>
    <row r="748" spans="2:15" ht="20.25" customHeight="1">
      <c r="B748" s="326" t="s">
        <v>513</v>
      </c>
      <c r="C748" s="405" t="s">
        <v>565</v>
      </c>
      <c r="D748" s="328" t="s">
        <v>667</v>
      </c>
      <c r="E748" s="329" t="s">
        <v>338</v>
      </c>
      <c r="F748" s="330">
        <v>2000000</v>
      </c>
      <c r="G748" s="331">
        <v>88.094999999999999</v>
      </c>
      <c r="H748" s="332">
        <v>6.0100020000000001</v>
      </c>
      <c r="I748" s="572"/>
      <c r="J748" s="355"/>
      <c r="K748" s="355"/>
    </row>
    <row r="749" spans="2:15" ht="20.25" customHeight="1">
      <c r="B749" s="326" t="s">
        <v>423</v>
      </c>
      <c r="C749" s="405" t="s">
        <v>565</v>
      </c>
      <c r="D749" s="328" t="s">
        <v>667</v>
      </c>
      <c r="E749" s="329" t="s">
        <v>338</v>
      </c>
      <c r="F749" s="330">
        <v>10000000</v>
      </c>
      <c r="G749" s="331">
        <v>88.13</v>
      </c>
      <c r="H749" s="332">
        <v>6.0003310000000001</v>
      </c>
      <c r="I749" s="572"/>
      <c r="J749" s="355"/>
      <c r="K749" s="355"/>
    </row>
    <row r="750" spans="2:15" ht="20.25" customHeight="1">
      <c r="B750" s="326" t="s">
        <v>423</v>
      </c>
      <c r="C750" s="405" t="s">
        <v>565</v>
      </c>
      <c r="D750" s="328" t="s">
        <v>667</v>
      </c>
      <c r="E750" s="329" t="s">
        <v>338</v>
      </c>
      <c r="F750" s="330">
        <v>6200000</v>
      </c>
      <c r="G750" s="331">
        <v>88.132000000000005</v>
      </c>
      <c r="H750" s="332">
        <v>6.0000359999999997</v>
      </c>
      <c r="I750" s="572"/>
      <c r="J750" s="355"/>
      <c r="K750" s="355"/>
    </row>
    <row r="751" spans="2:15" ht="20.25" customHeight="1">
      <c r="B751" s="326" t="s">
        <v>423</v>
      </c>
      <c r="C751" s="405" t="s">
        <v>565</v>
      </c>
      <c r="D751" s="328" t="s">
        <v>667</v>
      </c>
      <c r="E751" s="329" t="s">
        <v>338</v>
      </c>
      <c r="F751" s="330">
        <v>1800000</v>
      </c>
      <c r="G751" s="331">
        <v>88.132000000000005</v>
      </c>
      <c r="H751" s="332">
        <v>6.0000359999999997</v>
      </c>
      <c r="I751" s="572"/>
      <c r="J751" s="355"/>
      <c r="K751" s="355"/>
    </row>
    <row r="752" spans="2:15" ht="20.25" customHeight="1">
      <c r="B752" s="326" t="s">
        <v>423</v>
      </c>
      <c r="C752" s="405" t="s">
        <v>565</v>
      </c>
      <c r="D752" s="328" t="s">
        <v>667</v>
      </c>
      <c r="E752" s="329" t="s">
        <v>338</v>
      </c>
      <c r="F752" s="330">
        <v>9000000</v>
      </c>
      <c r="G752" s="331">
        <v>88.13</v>
      </c>
      <c r="H752" s="332">
        <v>6.0007020000000004</v>
      </c>
      <c r="I752" s="572"/>
      <c r="J752" s="355"/>
      <c r="K752" s="355"/>
    </row>
    <row r="753" spans="2:13" ht="20.25" customHeight="1">
      <c r="B753" s="326" t="s">
        <v>423</v>
      </c>
      <c r="C753" s="405" t="s">
        <v>565</v>
      </c>
      <c r="D753" s="328" t="s">
        <v>667</v>
      </c>
      <c r="E753" s="329" t="s">
        <v>338</v>
      </c>
      <c r="F753" s="330">
        <v>1000000</v>
      </c>
      <c r="G753" s="331">
        <v>88.13</v>
      </c>
      <c r="H753" s="332">
        <v>6.0007020000000004</v>
      </c>
      <c r="I753" s="572"/>
      <c r="J753" s="355"/>
      <c r="K753" s="355"/>
    </row>
    <row r="754" spans="2:13" ht="20.25" customHeight="1">
      <c r="B754" s="326" t="s">
        <v>423</v>
      </c>
      <c r="C754" s="405" t="s">
        <v>565</v>
      </c>
      <c r="D754" s="328" t="s">
        <v>667</v>
      </c>
      <c r="E754" s="329" t="s">
        <v>338</v>
      </c>
      <c r="F754" s="330">
        <v>13500000</v>
      </c>
      <c r="G754" s="331">
        <v>88.141999999999996</v>
      </c>
      <c r="H754" s="332">
        <v>6.0000400000000003</v>
      </c>
      <c r="I754" s="572"/>
      <c r="J754" s="355"/>
      <c r="K754" s="355"/>
    </row>
    <row r="755" spans="2:13" ht="20.25" customHeight="1">
      <c r="B755" s="326" t="s">
        <v>423</v>
      </c>
      <c r="C755" s="405" t="s">
        <v>565</v>
      </c>
      <c r="D755" s="328" t="s">
        <v>667</v>
      </c>
      <c r="E755" s="329" t="s">
        <v>338</v>
      </c>
      <c r="F755" s="330">
        <v>1500000</v>
      </c>
      <c r="G755" s="331">
        <v>88.141999999999996</v>
      </c>
      <c r="H755" s="332">
        <v>6.0000400000000003</v>
      </c>
      <c r="I755" s="572"/>
      <c r="J755" s="355"/>
      <c r="K755" s="355"/>
    </row>
    <row r="756" spans="2:13" ht="20.25" customHeight="1">
      <c r="B756" s="326" t="s">
        <v>423</v>
      </c>
      <c r="C756" s="405" t="s">
        <v>565</v>
      </c>
      <c r="D756" s="328" t="s">
        <v>667</v>
      </c>
      <c r="E756" s="329" t="s">
        <v>338</v>
      </c>
      <c r="F756" s="330">
        <v>9000000</v>
      </c>
      <c r="G756" s="331">
        <v>88.141999999999996</v>
      </c>
      <c r="H756" s="332">
        <v>6.0000410000000004</v>
      </c>
      <c r="I756" s="572"/>
      <c r="J756" s="355"/>
      <c r="K756" s="355"/>
    </row>
    <row r="757" spans="2:13" ht="20.25" customHeight="1">
      <c r="B757" s="326" t="s">
        <v>423</v>
      </c>
      <c r="C757" s="405" t="s">
        <v>565</v>
      </c>
      <c r="D757" s="328" t="s">
        <v>667</v>
      </c>
      <c r="E757" s="329" t="s">
        <v>338</v>
      </c>
      <c r="F757" s="330">
        <v>1000000</v>
      </c>
      <c r="G757" s="331">
        <v>88.141999999999996</v>
      </c>
      <c r="H757" s="332">
        <v>6.0000410000000004</v>
      </c>
      <c r="I757" s="572"/>
      <c r="J757" s="355"/>
      <c r="K757" s="355"/>
    </row>
    <row r="758" spans="2:13" ht="20.25" customHeight="1">
      <c r="B758" s="326" t="s">
        <v>423</v>
      </c>
      <c r="C758" s="405" t="s">
        <v>565</v>
      </c>
      <c r="D758" s="328" t="s">
        <v>667</v>
      </c>
      <c r="E758" s="329" t="s">
        <v>338</v>
      </c>
      <c r="F758" s="330">
        <v>18000000</v>
      </c>
      <c r="G758" s="331">
        <v>88.141999999999996</v>
      </c>
      <c r="H758" s="332">
        <v>6.0000410000000004</v>
      </c>
      <c r="I758" s="572"/>
      <c r="J758" s="355"/>
      <c r="K758" s="355"/>
    </row>
    <row r="759" spans="2:13" ht="20.25" customHeight="1">
      <c r="B759" s="326" t="s">
        <v>423</v>
      </c>
      <c r="C759" s="405" t="s">
        <v>565</v>
      </c>
      <c r="D759" s="328" t="s">
        <v>667</v>
      </c>
      <c r="E759" s="329" t="s">
        <v>338</v>
      </c>
      <c r="F759" s="330">
        <v>2000000</v>
      </c>
      <c r="G759" s="331">
        <v>88.141999999999996</v>
      </c>
      <c r="H759" s="332">
        <v>6.0000410000000004</v>
      </c>
      <c r="I759" s="572"/>
      <c r="J759" s="355"/>
      <c r="K759" s="355"/>
    </row>
    <row r="760" spans="2:13" ht="20.25" customHeight="1">
      <c r="B760" s="326" t="s">
        <v>423</v>
      </c>
      <c r="C760" s="405" t="s">
        <v>565</v>
      </c>
      <c r="D760" s="328" t="s">
        <v>667</v>
      </c>
      <c r="E760" s="329" t="s">
        <v>338</v>
      </c>
      <c r="F760" s="330">
        <v>4000000</v>
      </c>
      <c r="G760" s="331">
        <v>88.009</v>
      </c>
      <c r="H760" s="332">
        <v>6.0201149999999997</v>
      </c>
      <c r="I760" s="572"/>
      <c r="J760" s="355"/>
      <c r="K760" s="355"/>
    </row>
    <row r="761" spans="2:13" ht="20.25" customHeight="1">
      <c r="B761" s="326" t="s">
        <v>423</v>
      </c>
      <c r="C761" s="405" t="s">
        <v>565</v>
      </c>
      <c r="D761" s="328" t="s">
        <v>667</v>
      </c>
      <c r="E761" s="329" t="s">
        <v>338</v>
      </c>
      <c r="F761" s="330">
        <v>5000000</v>
      </c>
      <c r="G761" s="331">
        <v>87.941999999999993</v>
      </c>
      <c r="H761" s="332">
        <v>6.0300539999999998</v>
      </c>
      <c r="I761" s="572"/>
      <c r="J761" s="355"/>
      <c r="K761" s="355"/>
    </row>
    <row r="762" spans="2:13" ht="20.25" customHeight="1">
      <c r="B762" s="326" t="s">
        <v>423</v>
      </c>
      <c r="C762" s="405" t="s">
        <v>565</v>
      </c>
      <c r="D762" s="328" t="s">
        <v>667</v>
      </c>
      <c r="E762" s="329" t="s">
        <v>338</v>
      </c>
      <c r="F762" s="330">
        <v>6300000</v>
      </c>
      <c r="G762" s="331">
        <v>87.93</v>
      </c>
      <c r="H762" s="332">
        <v>6.0318350000000001</v>
      </c>
      <c r="I762" s="572"/>
      <c r="J762" s="355"/>
      <c r="K762" s="355"/>
    </row>
    <row r="763" spans="2:13" ht="20.25" customHeight="1">
      <c r="B763" s="326" t="s">
        <v>423</v>
      </c>
      <c r="C763" s="405" t="s">
        <v>565</v>
      </c>
      <c r="D763" s="328" t="s">
        <v>667</v>
      </c>
      <c r="E763" s="329" t="s">
        <v>338</v>
      </c>
      <c r="F763" s="330">
        <v>1700000</v>
      </c>
      <c r="G763" s="331">
        <v>87.93</v>
      </c>
      <c r="H763" s="332">
        <v>6.0318350000000001</v>
      </c>
      <c r="I763" s="572"/>
      <c r="J763" s="355"/>
      <c r="K763" s="355"/>
    </row>
    <row r="764" spans="2:13" ht="20.25" customHeight="1">
      <c r="B764" s="326" t="s">
        <v>423</v>
      </c>
      <c r="C764" s="405" t="s">
        <v>565</v>
      </c>
      <c r="D764" s="328" t="s">
        <v>667</v>
      </c>
      <c r="E764" s="329" t="s">
        <v>338</v>
      </c>
      <c r="F764" s="330">
        <v>9000000</v>
      </c>
      <c r="G764" s="331">
        <v>88.094999999999999</v>
      </c>
      <c r="H764" s="332">
        <v>6.0100020000000001</v>
      </c>
      <c r="I764" s="572"/>
      <c r="J764" s="355"/>
      <c r="K764" s="355"/>
    </row>
    <row r="765" spans="2:13" ht="20.25" customHeight="1">
      <c r="B765" s="326" t="s">
        <v>423</v>
      </c>
      <c r="C765" s="405" t="s">
        <v>565</v>
      </c>
      <c r="D765" s="328" t="s">
        <v>667</v>
      </c>
      <c r="E765" s="329" t="s">
        <v>338</v>
      </c>
      <c r="F765" s="330">
        <v>1000000</v>
      </c>
      <c r="G765" s="331">
        <v>88.094999999999999</v>
      </c>
      <c r="H765" s="332">
        <v>6.0100020000000001</v>
      </c>
      <c r="I765" s="572"/>
      <c r="J765" s="355"/>
      <c r="K765" s="355"/>
    </row>
    <row r="766" spans="2:13" ht="20.25" customHeight="1">
      <c r="B766" s="326"/>
      <c r="C766" s="405"/>
      <c r="D766" s="328"/>
      <c r="E766" s="329"/>
      <c r="F766" s="330"/>
      <c r="G766" s="331"/>
      <c r="H766" s="332"/>
      <c r="I766" s="572"/>
      <c r="J766" s="355"/>
      <c r="K766" s="355"/>
    </row>
    <row r="767" spans="2:13" ht="20.25" customHeight="1">
      <c r="B767" s="326"/>
      <c r="C767" s="365"/>
      <c r="D767" s="328"/>
      <c r="E767" s="329"/>
      <c r="F767" s="350"/>
      <c r="G767" s="351"/>
      <c r="H767" s="332"/>
      <c r="I767" s="572"/>
      <c r="J767" s="355"/>
      <c r="K767" s="355"/>
    </row>
    <row r="768" spans="2:13" ht="15">
      <c r="B768" s="334"/>
      <c r="C768" s="334"/>
      <c r="D768" s="335" t="s">
        <v>702</v>
      </c>
      <c r="E768" s="336"/>
      <c r="F768" s="337">
        <f>SUM(F746:F767)</f>
        <v>106000000</v>
      </c>
      <c r="G768" s="338"/>
      <c r="H768" s="339">
        <f>SUMPRODUCT(F746:F767,H746:H767)/F768</f>
        <v>6.0054872075471701</v>
      </c>
      <c r="I768" s="1134"/>
      <c r="K768" s="407"/>
      <c r="M768" s="1232"/>
    </row>
    <row r="771" spans="2:15" ht="15">
      <c r="B771" s="320" t="s">
        <v>770</v>
      </c>
      <c r="C771" s="321"/>
      <c r="D771" s="322" t="s">
        <v>566</v>
      </c>
      <c r="E771" s="323" t="s">
        <v>567</v>
      </c>
      <c r="F771" s="324" t="s">
        <v>568</v>
      </c>
      <c r="G771" s="324" t="s">
        <v>701</v>
      </c>
      <c r="H771" s="325" t="s">
        <v>569</v>
      </c>
      <c r="I771" s="1133"/>
      <c r="O771" s="106"/>
    </row>
    <row r="772" spans="2:15" ht="20.25" customHeight="1">
      <c r="B772" s="326" t="s">
        <v>513</v>
      </c>
      <c r="C772" s="358" t="s">
        <v>565</v>
      </c>
      <c r="D772" s="328" t="s">
        <v>711</v>
      </c>
      <c r="E772" s="329" t="s">
        <v>338</v>
      </c>
      <c r="F772" s="404">
        <v>2000000</v>
      </c>
      <c r="G772" s="421">
        <v>100</v>
      </c>
      <c r="H772" s="332">
        <v>6.7482899999999999</v>
      </c>
      <c r="I772" s="572"/>
      <c r="J772" s="355"/>
      <c r="K772" s="355"/>
    </row>
    <row r="773" spans="2:15" ht="20.25" customHeight="1">
      <c r="B773" s="326"/>
      <c r="C773" s="405"/>
      <c r="D773" s="328"/>
      <c r="E773" s="329"/>
      <c r="F773" s="330"/>
      <c r="G773" s="331"/>
      <c r="H773" s="332"/>
      <c r="I773" s="572"/>
      <c r="J773" s="355"/>
      <c r="K773" s="355"/>
    </row>
    <row r="774" spans="2:15" ht="20.25" customHeight="1">
      <c r="B774" s="326"/>
      <c r="C774" s="405"/>
      <c r="D774" s="328"/>
      <c r="E774" s="329"/>
      <c r="F774" s="330"/>
      <c r="G774" s="331"/>
      <c r="H774" s="332"/>
      <c r="I774" s="572"/>
      <c r="J774" s="355"/>
      <c r="K774" s="355"/>
    </row>
    <row r="775" spans="2:15" ht="20.25" customHeight="1">
      <c r="B775" s="326"/>
      <c r="C775" s="405"/>
      <c r="D775" s="328"/>
      <c r="E775" s="329"/>
      <c r="F775" s="330"/>
      <c r="G775" s="331"/>
      <c r="H775" s="332"/>
      <c r="I775" s="572"/>
      <c r="J775" s="355"/>
      <c r="K775" s="355"/>
    </row>
    <row r="776" spans="2:15" ht="20.25" customHeight="1">
      <c r="B776" s="326"/>
      <c r="C776" s="405"/>
      <c r="D776" s="328"/>
      <c r="E776" s="329"/>
      <c r="F776" s="330"/>
      <c r="G776" s="331"/>
      <c r="H776" s="332"/>
      <c r="I776" s="572"/>
      <c r="J776" s="355"/>
      <c r="K776" s="355"/>
    </row>
    <row r="777" spans="2:15" ht="20.25" customHeight="1">
      <c r="B777" s="326"/>
      <c r="C777" s="365"/>
      <c r="D777" s="328"/>
      <c r="E777" s="329"/>
      <c r="F777" s="350"/>
      <c r="G777" s="351"/>
      <c r="H777" s="332"/>
      <c r="I777" s="572"/>
      <c r="J777" s="355"/>
      <c r="K777" s="355"/>
    </row>
    <row r="778" spans="2:15" ht="15">
      <c r="B778" s="334"/>
      <c r="C778" s="334"/>
      <c r="D778" s="335" t="s">
        <v>702</v>
      </c>
      <c r="E778" s="336"/>
      <c r="F778" s="337">
        <f>SUM(F772:F777)</f>
        <v>2000000</v>
      </c>
      <c r="G778" s="338"/>
      <c r="H778" s="339">
        <f>SUMPRODUCT(F772:F777,H772:H777)/F778</f>
        <v>6.7482899999999999</v>
      </c>
      <c r="I778" s="1134"/>
      <c r="K778" s="407"/>
      <c r="M778" s="1232"/>
    </row>
    <row r="781" spans="2:15" ht="15">
      <c r="B781" s="320" t="s">
        <v>770</v>
      </c>
      <c r="C781" s="321"/>
      <c r="D781" s="322" t="s">
        <v>566</v>
      </c>
      <c r="E781" s="323" t="s">
        <v>567</v>
      </c>
      <c r="F781" s="324" t="s">
        <v>568</v>
      </c>
      <c r="G781" s="324" t="s">
        <v>701</v>
      </c>
      <c r="H781" s="325" t="s">
        <v>569</v>
      </c>
      <c r="I781" s="1133"/>
      <c r="K781">
        <v>7.8</v>
      </c>
    </row>
    <row r="782" spans="2:15" ht="15">
      <c r="B782" s="326" t="s">
        <v>513</v>
      </c>
      <c r="C782" s="358" t="s">
        <v>994</v>
      </c>
      <c r="D782" s="328" t="s">
        <v>77</v>
      </c>
      <c r="E782" s="329" t="s">
        <v>212</v>
      </c>
      <c r="F782" s="404">
        <v>1000000</v>
      </c>
      <c r="G782" s="421">
        <v>94.5</v>
      </c>
      <c r="H782" s="422">
        <v>5.8543000000000003</v>
      </c>
      <c r="I782" s="572"/>
      <c r="J782" s="355">
        <f>(G782-92.4)*F782/100</f>
        <v>20999.999999999945</v>
      </c>
      <c r="K782" s="355">
        <f>J782*$K$576</f>
        <v>163799.99999999956</v>
      </c>
      <c r="M782" s="1142" t="s">
        <v>196</v>
      </c>
    </row>
    <row r="783" spans="2:15" ht="15">
      <c r="B783" s="326"/>
      <c r="C783" s="405"/>
      <c r="D783" s="328"/>
      <c r="E783" s="329"/>
      <c r="F783" s="330"/>
      <c r="G783" s="331"/>
      <c r="H783" s="332"/>
      <c r="I783" s="572"/>
      <c r="J783" s="355"/>
      <c r="K783" s="355"/>
    </row>
    <row r="784" spans="2:15" ht="15">
      <c r="B784" s="334"/>
      <c r="C784" s="334"/>
      <c r="D784" s="335" t="s">
        <v>702</v>
      </c>
      <c r="E784" s="336"/>
      <c r="F784" s="337">
        <f>SUM(F782:F783)</f>
        <v>1000000</v>
      </c>
      <c r="G784" s="338"/>
      <c r="H784" s="339">
        <f>SUMPRODUCT(F782:F783,H782:H783)/F784</f>
        <v>5.8543000000000003</v>
      </c>
      <c r="I784" s="1134"/>
      <c r="K784" s="355"/>
      <c r="M784" s="1204">
        <f>K782+M579</f>
        <v>7678495.9900000002</v>
      </c>
    </row>
    <row r="787" spans="2:15" ht="15">
      <c r="B787" s="320" t="s">
        <v>770</v>
      </c>
      <c r="C787" s="321"/>
      <c r="D787" s="322" t="s">
        <v>566</v>
      </c>
      <c r="E787" s="323" t="s">
        <v>567</v>
      </c>
      <c r="F787" s="324" t="s">
        <v>568</v>
      </c>
      <c r="G787" s="324" t="s">
        <v>701</v>
      </c>
      <c r="H787" s="325" t="s">
        <v>569</v>
      </c>
      <c r="I787" s="1133"/>
      <c r="O787" s="106"/>
    </row>
    <row r="788" spans="2:15" ht="20.25" customHeight="1">
      <c r="B788" s="326" t="s">
        <v>423</v>
      </c>
      <c r="C788" s="358" t="s">
        <v>565</v>
      </c>
      <c r="D788" s="328" t="s">
        <v>1198</v>
      </c>
      <c r="E788" s="329" t="s">
        <v>338</v>
      </c>
      <c r="F788" s="404">
        <v>180000000</v>
      </c>
      <c r="G788" s="421">
        <v>100</v>
      </c>
      <c r="H788" s="332">
        <v>6.3963830000000002</v>
      </c>
      <c r="I788" s="572"/>
      <c r="J788" s="355"/>
      <c r="K788" s="355"/>
    </row>
    <row r="789" spans="2:15" ht="20.25" customHeight="1">
      <c r="B789" s="326" t="s">
        <v>423</v>
      </c>
      <c r="C789" s="405" t="s">
        <v>565</v>
      </c>
      <c r="D789" s="328" t="s">
        <v>1198</v>
      </c>
      <c r="E789" s="329" t="s">
        <v>338</v>
      </c>
      <c r="F789" s="330">
        <v>20000000</v>
      </c>
      <c r="G789" s="331">
        <v>100</v>
      </c>
      <c r="H789" s="332">
        <v>6.3963830000000002</v>
      </c>
      <c r="I789" s="572"/>
      <c r="J789" s="355"/>
      <c r="K789" s="355"/>
    </row>
    <row r="790" spans="2:15" ht="20.25" customHeight="1">
      <c r="B790" s="326"/>
      <c r="C790" s="405"/>
      <c r="D790" s="328"/>
      <c r="E790" s="329"/>
      <c r="F790" s="330"/>
      <c r="G790" s="331"/>
      <c r="H790" s="332"/>
      <c r="I790" s="572"/>
      <c r="J790" s="355"/>
      <c r="K790" s="355"/>
    </row>
    <row r="791" spans="2:15" ht="20.25" customHeight="1">
      <c r="B791" s="326"/>
      <c r="C791" s="405"/>
      <c r="D791" s="328"/>
      <c r="E791" s="329"/>
      <c r="F791" s="330"/>
      <c r="G791" s="331"/>
      <c r="H791" s="332"/>
      <c r="I791" s="572"/>
      <c r="J791" s="355"/>
      <c r="K791" s="355"/>
    </row>
    <row r="792" spans="2:15" ht="20.25" customHeight="1">
      <c r="B792" s="326"/>
      <c r="C792" s="405"/>
      <c r="D792" s="328"/>
      <c r="E792" s="329"/>
      <c r="F792" s="330"/>
      <c r="G792" s="331"/>
      <c r="H792" s="332"/>
      <c r="I792" s="572"/>
      <c r="J792" s="355"/>
      <c r="K792" s="355"/>
    </row>
    <row r="793" spans="2:15" ht="20.25" customHeight="1">
      <c r="B793" s="326"/>
      <c r="C793" s="365"/>
      <c r="D793" s="328"/>
      <c r="E793" s="329"/>
      <c r="F793" s="350"/>
      <c r="G793" s="351"/>
      <c r="H793" s="332"/>
      <c r="I793" s="572"/>
      <c r="J793" s="355"/>
      <c r="K793" s="355"/>
    </row>
    <row r="794" spans="2:15" ht="15">
      <c r="B794" s="334"/>
      <c r="C794" s="334"/>
      <c r="D794" s="335" t="s">
        <v>702</v>
      </c>
      <c r="E794" s="336"/>
      <c r="F794" s="337">
        <f>SUM(F788:F793)</f>
        <v>200000000</v>
      </c>
      <c r="G794" s="338"/>
      <c r="H794" s="339">
        <f>SUMPRODUCT(F788:F793,H788:H793)/F794</f>
        <v>6.3963830000000002</v>
      </c>
      <c r="I794" s="1134"/>
      <c r="K794" s="407"/>
      <c r="M794" s="1232"/>
    </row>
    <row r="796" spans="2:15" s="576" customFormat="1">
      <c r="M796" s="1236"/>
    </row>
    <row r="798" spans="2:15" ht="14.25">
      <c r="D798" t="s">
        <v>1218</v>
      </c>
    </row>
    <row r="799" spans="2:15" ht="15">
      <c r="B799" s="320" t="s">
        <v>770</v>
      </c>
      <c r="C799" s="321"/>
      <c r="D799" s="322" t="s">
        <v>566</v>
      </c>
      <c r="E799" s="323" t="s">
        <v>567</v>
      </c>
      <c r="F799" s="324" t="s">
        <v>568</v>
      </c>
      <c r="G799" s="324" t="s">
        <v>701</v>
      </c>
      <c r="H799" s="325" t="s">
        <v>569</v>
      </c>
      <c r="I799" s="1133"/>
      <c r="K799">
        <v>7.8</v>
      </c>
    </row>
    <row r="800" spans="2:15" ht="15">
      <c r="B800" s="326" t="s">
        <v>513</v>
      </c>
      <c r="C800" s="358" t="s">
        <v>994</v>
      </c>
      <c r="D800" s="328" t="s">
        <v>427</v>
      </c>
      <c r="E800" s="329" t="s">
        <v>212</v>
      </c>
      <c r="F800" s="404">
        <v>4000000</v>
      </c>
      <c r="G800" s="421">
        <v>101</v>
      </c>
      <c r="H800" s="422">
        <v>5.8040700000000003</v>
      </c>
      <c r="I800" s="572"/>
      <c r="J800" s="355">
        <f>(G800-100)*F800/100</f>
        <v>40000</v>
      </c>
      <c r="K800" s="355">
        <f>J800*$K$799</f>
        <v>312000</v>
      </c>
      <c r="M800" s="1142" t="s">
        <v>196</v>
      </c>
    </row>
    <row r="801" spans="2:15" ht="15">
      <c r="B801" s="326"/>
      <c r="C801" s="405"/>
      <c r="D801" s="328"/>
      <c r="E801" s="329"/>
      <c r="F801" s="330"/>
      <c r="G801" s="331"/>
      <c r="H801" s="332"/>
      <c r="I801" s="572"/>
      <c r="J801" s="355"/>
      <c r="K801" s="355"/>
    </row>
    <row r="802" spans="2:15" ht="15">
      <c r="B802" s="334"/>
      <c r="C802" s="334"/>
      <c r="D802" s="335" t="s">
        <v>702</v>
      </c>
      <c r="E802" s="336"/>
      <c r="F802" s="337">
        <f>SUM(F800:F800)</f>
        <v>4000000</v>
      </c>
      <c r="G802" s="338"/>
      <c r="H802" s="339">
        <f>SUMPRODUCT(F800:F800,H800:H800)/F802</f>
        <v>5.8040700000000003</v>
      </c>
      <c r="I802" s="1134"/>
      <c r="K802" s="355"/>
      <c r="M802" s="1204">
        <f>K800+M784</f>
        <v>7990495.9900000002</v>
      </c>
    </row>
    <row r="806" spans="2:15" ht="15">
      <c r="B806" s="320" t="s">
        <v>770</v>
      </c>
      <c r="C806" s="321"/>
      <c r="D806" s="322" t="s">
        <v>566</v>
      </c>
      <c r="E806" s="323" t="s">
        <v>567</v>
      </c>
      <c r="F806" s="324" t="s">
        <v>568</v>
      </c>
      <c r="G806" s="324" t="s">
        <v>701</v>
      </c>
      <c r="H806" s="325" t="s">
        <v>569</v>
      </c>
      <c r="I806" s="1133"/>
      <c r="N806">
        <f>7990496-7635362</f>
        <v>355134</v>
      </c>
      <c r="O806" s="106"/>
    </row>
    <row r="807" spans="2:15" ht="16.5" customHeight="1">
      <c r="B807" s="326" t="s">
        <v>423</v>
      </c>
      <c r="C807" s="405" t="s">
        <v>565</v>
      </c>
      <c r="D807" s="328" t="s">
        <v>1168</v>
      </c>
      <c r="E807" s="329" t="s">
        <v>338</v>
      </c>
      <c r="F807" s="404">
        <v>2700000</v>
      </c>
      <c r="G807" s="421">
        <v>86.29</v>
      </c>
      <c r="H807" s="332">
        <v>6.0200089999999999</v>
      </c>
      <c r="I807" s="572"/>
      <c r="J807" s="355"/>
      <c r="K807" s="355"/>
    </row>
    <row r="808" spans="2:15" ht="16.5" customHeight="1">
      <c r="B808" s="326" t="s">
        <v>423</v>
      </c>
      <c r="C808" s="405" t="s">
        <v>565</v>
      </c>
      <c r="D808" s="328" t="s">
        <v>1168</v>
      </c>
      <c r="E808" s="329" t="s">
        <v>338</v>
      </c>
      <c r="F808" s="330">
        <v>300000</v>
      </c>
      <c r="G808" s="331">
        <v>86.29</v>
      </c>
      <c r="H808" s="332">
        <v>6.0200089999999999</v>
      </c>
      <c r="I808" s="572"/>
      <c r="J808" s="355"/>
      <c r="K808" s="355"/>
    </row>
    <row r="809" spans="2:15" ht="16.5" customHeight="1">
      <c r="B809" s="326" t="s">
        <v>423</v>
      </c>
      <c r="C809" s="405" t="s">
        <v>565</v>
      </c>
      <c r="D809" s="328" t="s">
        <v>1168</v>
      </c>
      <c r="E809" s="329" t="s">
        <v>338</v>
      </c>
      <c r="F809" s="330">
        <v>1800000</v>
      </c>
      <c r="G809" s="331">
        <v>86.299000000000007</v>
      </c>
      <c r="H809" s="332">
        <v>6.0200129999999996</v>
      </c>
      <c r="I809" s="572"/>
      <c r="J809" s="355"/>
      <c r="K809" s="355"/>
    </row>
    <row r="810" spans="2:15" ht="16.5" customHeight="1">
      <c r="B810" s="326" t="s">
        <v>423</v>
      </c>
      <c r="C810" s="405" t="s">
        <v>565</v>
      </c>
      <c r="D810" s="328" t="s">
        <v>1168</v>
      </c>
      <c r="E810" s="329" t="s">
        <v>338</v>
      </c>
      <c r="F810" s="330">
        <v>200000</v>
      </c>
      <c r="G810" s="331">
        <v>86.299000000000007</v>
      </c>
      <c r="H810" s="332">
        <v>6.0200129999999996</v>
      </c>
      <c r="I810" s="572"/>
      <c r="J810" s="355"/>
      <c r="K810" s="355"/>
    </row>
    <row r="811" spans="2:15" ht="16.5" customHeight="1">
      <c r="B811" s="326" t="s">
        <v>1058</v>
      </c>
      <c r="C811" s="405" t="s">
        <v>565</v>
      </c>
      <c r="D811" s="328" t="s">
        <v>1168</v>
      </c>
      <c r="E811" s="329" t="s">
        <v>338</v>
      </c>
      <c r="F811" s="330">
        <v>1000000</v>
      </c>
      <c r="G811" s="331">
        <v>85.78</v>
      </c>
      <c r="H811" s="332">
        <v>6.1001799999999999</v>
      </c>
      <c r="I811" s="572"/>
      <c r="J811" s="355"/>
      <c r="K811" s="355"/>
    </row>
    <row r="812" spans="2:15" ht="16.5" customHeight="1">
      <c r="B812" s="326" t="s">
        <v>423</v>
      </c>
      <c r="C812" s="405" t="s">
        <v>565</v>
      </c>
      <c r="D812" s="328" t="s">
        <v>1168</v>
      </c>
      <c r="E812" s="329" t="s">
        <v>338</v>
      </c>
      <c r="F812" s="330">
        <v>1000000</v>
      </c>
      <c r="G812" s="331">
        <v>85.78</v>
      </c>
      <c r="H812" s="332">
        <v>6.1001779999999997</v>
      </c>
      <c r="I812" s="572"/>
      <c r="J812" s="355"/>
      <c r="K812" s="355"/>
    </row>
    <row r="813" spans="2:15" ht="16.5" customHeight="1">
      <c r="B813" s="570" t="s">
        <v>423</v>
      </c>
      <c r="C813" s="405" t="s">
        <v>565</v>
      </c>
      <c r="D813" s="109" t="s">
        <v>1168</v>
      </c>
      <c r="E813" s="572" t="s">
        <v>338</v>
      </c>
      <c r="F813" s="493">
        <v>1250000</v>
      </c>
      <c r="G813" s="573">
        <v>85.864999999999995</v>
      </c>
      <c r="H813" s="580">
        <v>6.0867599999999999</v>
      </c>
      <c r="I813" s="167"/>
      <c r="J813" s="355"/>
      <c r="K813" s="355"/>
    </row>
    <row r="814" spans="2:15" ht="16.5" customHeight="1">
      <c r="B814" s="326" t="s">
        <v>423</v>
      </c>
      <c r="C814" s="405" t="s">
        <v>565</v>
      </c>
      <c r="D814" s="328" t="s">
        <v>1168</v>
      </c>
      <c r="E814" s="329" t="s">
        <v>338</v>
      </c>
      <c r="F814" s="350">
        <v>250000</v>
      </c>
      <c r="G814" s="351">
        <v>85.864999999999995</v>
      </c>
      <c r="H814" s="332">
        <v>6.0867599999999999</v>
      </c>
      <c r="I814" s="572"/>
      <c r="J814" s="355"/>
      <c r="K814" s="355"/>
    </row>
    <row r="815" spans="2:15" ht="15">
      <c r="B815" s="334"/>
      <c r="C815" s="334"/>
      <c r="D815" s="335" t="s">
        <v>702</v>
      </c>
      <c r="E815" s="336"/>
      <c r="F815" s="337">
        <f>SUM(F807:F814)</f>
        <v>8500000</v>
      </c>
      <c r="G815" s="338"/>
      <c r="H815" s="339">
        <f>SUMPRODUCT(F807:F814,H807:H814)/F815</f>
        <v>6.0506530588235297</v>
      </c>
      <c r="I815" s="1134"/>
      <c r="K815" s="407"/>
      <c r="M815" s="1232"/>
    </row>
    <row r="818" spans="2:15" ht="15">
      <c r="B818" s="320" t="s">
        <v>770</v>
      </c>
      <c r="C818" s="321"/>
      <c r="D818" s="322" t="s">
        <v>566</v>
      </c>
      <c r="E818" s="323" t="s">
        <v>567</v>
      </c>
      <c r="F818" s="324" t="s">
        <v>568</v>
      </c>
      <c r="G818" s="324" t="s">
        <v>701</v>
      </c>
      <c r="H818" s="325" t="s">
        <v>569</v>
      </c>
      <c r="I818" s="1133"/>
    </row>
    <row r="819" spans="2:15" ht="15">
      <c r="B819" s="326" t="s">
        <v>423</v>
      </c>
      <c r="C819" s="358" t="s">
        <v>565</v>
      </c>
      <c r="D819" s="328" t="s">
        <v>1205</v>
      </c>
      <c r="E819" s="329" t="s">
        <v>338</v>
      </c>
      <c r="F819" s="404">
        <v>180000000</v>
      </c>
      <c r="G819" s="421">
        <v>100</v>
      </c>
      <c r="H819" s="422">
        <v>6</v>
      </c>
      <c r="I819" s="572"/>
      <c r="J819" s="355"/>
      <c r="K819" s="355"/>
    </row>
    <row r="820" spans="2:15" ht="15">
      <c r="B820" s="326" t="s">
        <v>423</v>
      </c>
      <c r="C820" s="405" t="s">
        <v>565</v>
      </c>
      <c r="D820" s="328" t="s">
        <v>1205</v>
      </c>
      <c r="E820" s="329" t="s">
        <v>338</v>
      </c>
      <c r="F820" s="330">
        <v>20000000</v>
      </c>
      <c r="G820" s="331">
        <v>100</v>
      </c>
      <c r="H820" s="332">
        <v>6</v>
      </c>
      <c r="I820" s="572"/>
      <c r="J820" s="355"/>
      <c r="K820" s="355"/>
    </row>
    <row r="821" spans="2:15" ht="15">
      <c r="B821" s="334"/>
      <c r="C821" s="334"/>
      <c r="D821" s="335" t="s">
        <v>702</v>
      </c>
      <c r="E821" s="336"/>
      <c r="F821" s="337">
        <f>SUM(F819:F820)</f>
        <v>200000000</v>
      </c>
      <c r="G821" s="338"/>
      <c r="H821" s="339">
        <f>SUMPRODUCT(F819:F820,H819:H820)/F821</f>
        <v>6</v>
      </c>
      <c r="I821" s="1134"/>
      <c r="K821" s="355"/>
      <c r="M821" s="1204"/>
    </row>
    <row r="824" spans="2:15" ht="14.25" customHeight="1">
      <c r="B824" s="320" t="s">
        <v>770</v>
      </c>
      <c r="C824" s="321"/>
      <c r="D824" s="322" t="s">
        <v>566</v>
      </c>
      <c r="E824" s="323" t="s">
        <v>567</v>
      </c>
      <c r="F824" s="324" t="s">
        <v>568</v>
      </c>
      <c r="G824" s="324" t="s">
        <v>701</v>
      </c>
      <c r="H824" s="325" t="s">
        <v>569</v>
      </c>
      <c r="I824" s="1133"/>
      <c r="O824" s="106"/>
    </row>
    <row r="825" spans="2:15" ht="14.25" customHeight="1">
      <c r="B825" s="326" t="s">
        <v>423</v>
      </c>
      <c r="C825" s="358" t="s">
        <v>565</v>
      </c>
      <c r="D825" s="328" t="s">
        <v>420</v>
      </c>
      <c r="E825" s="329" t="s">
        <v>338</v>
      </c>
      <c r="F825" s="404">
        <v>1980000</v>
      </c>
      <c r="G825" s="421">
        <v>88.585999999999999</v>
      </c>
      <c r="H825" s="332">
        <v>6.2000500000000001</v>
      </c>
      <c r="I825" s="572"/>
      <c r="J825" s="355"/>
      <c r="K825" s="355"/>
    </row>
    <row r="826" spans="2:15" ht="14.25" customHeight="1">
      <c r="B826" s="326" t="s">
        <v>423</v>
      </c>
      <c r="C826" s="405" t="s">
        <v>565</v>
      </c>
      <c r="D826" s="328" t="s">
        <v>420</v>
      </c>
      <c r="E826" s="329" t="s">
        <v>338</v>
      </c>
      <c r="F826" s="330">
        <v>220000</v>
      </c>
      <c r="G826" s="331">
        <v>88.585999999999999</v>
      </c>
      <c r="H826" s="332">
        <v>6.2000500000000001</v>
      </c>
      <c r="I826" s="572"/>
      <c r="J826" s="355"/>
      <c r="K826" s="355"/>
    </row>
    <row r="827" spans="2:15" ht="14.25" customHeight="1">
      <c r="B827" s="326" t="s">
        <v>423</v>
      </c>
      <c r="C827" s="405" t="s">
        <v>565</v>
      </c>
      <c r="D827" s="328" t="s">
        <v>420</v>
      </c>
      <c r="E827" s="329" t="s">
        <v>338</v>
      </c>
      <c r="F827" s="330">
        <v>1500000</v>
      </c>
      <c r="G827" s="331">
        <v>88.587000000000003</v>
      </c>
      <c r="H827" s="332">
        <v>6.2000099999999998</v>
      </c>
      <c r="I827" s="572"/>
      <c r="J827" s="355"/>
      <c r="K827" s="355"/>
    </row>
    <row r="828" spans="2:15" ht="14.25" customHeight="1">
      <c r="B828" s="326" t="s">
        <v>423</v>
      </c>
      <c r="C828" s="405" t="s">
        <v>565</v>
      </c>
      <c r="D828" s="328" t="s">
        <v>420</v>
      </c>
      <c r="E828" s="329" t="s">
        <v>338</v>
      </c>
      <c r="F828" s="330">
        <v>1200000</v>
      </c>
      <c r="G828" s="331">
        <v>87.86</v>
      </c>
      <c r="H828" s="332">
        <v>6.2600600000000002</v>
      </c>
      <c r="I828" s="572"/>
      <c r="J828" s="355"/>
      <c r="K828" s="355"/>
    </row>
    <row r="829" spans="2:15" ht="14.25" customHeight="1">
      <c r="B829" s="326" t="s">
        <v>423</v>
      </c>
      <c r="C829" s="405" t="s">
        <v>565</v>
      </c>
      <c r="D829" s="328" t="s">
        <v>420</v>
      </c>
      <c r="E829" s="329" t="s">
        <v>338</v>
      </c>
      <c r="F829" s="330">
        <v>300000</v>
      </c>
      <c r="G829" s="331">
        <v>87.86</v>
      </c>
      <c r="H829" s="332">
        <v>6.2600600000000002</v>
      </c>
      <c r="I829" s="572"/>
      <c r="J829" s="355"/>
      <c r="K829" s="355"/>
    </row>
    <row r="830" spans="2:15" ht="14.25" customHeight="1">
      <c r="B830" s="326"/>
      <c r="C830" s="365"/>
      <c r="D830" s="328"/>
      <c r="E830" s="329"/>
      <c r="F830" s="350"/>
      <c r="G830" s="351"/>
      <c r="H830" s="332"/>
      <c r="I830" s="572"/>
      <c r="J830" s="355"/>
      <c r="K830" s="355"/>
    </row>
    <row r="831" spans="2:15" ht="14.25" customHeight="1">
      <c r="B831" s="334"/>
      <c r="C831" s="334"/>
      <c r="D831" s="335" t="s">
        <v>702</v>
      </c>
      <c r="E831" s="336"/>
      <c r="F831" s="337">
        <f>SUM(F825:F830)</f>
        <v>5200000</v>
      </c>
      <c r="G831" s="338"/>
      <c r="H831" s="339">
        <f>SUMPRODUCT(F825:F830,H825:H830)/F831</f>
        <v>6.2173490384615384</v>
      </c>
      <c r="I831" s="1134"/>
      <c r="K831" s="407"/>
      <c r="M831" s="1232"/>
    </row>
    <row r="834" spans="2:13" ht="15">
      <c r="B834" s="320" t="s">
        <v>770</v>
      </c>
      <c r="C834" s="321"/>
      <c r="D834" s="322" t="s">
        <v>566</v>
      </c>
      <c r="E834" s="323" t="s">
        <v>567</v>
      </c>
      <c r="F834" s="324" t="s">
        <v>568</v>
      </c>
      <c r="G834" s="324" t="s">
        <v>701</v>
      </c>
      <c r="H834" s="325" t="s">
        <v>569</v>
      </c>
      <c r="I834" s="1133"/>
    </row>
    <row r="835" spans="2:13" ht="16.5" customHeight="1">
      <c r="B835" s="326" t="s">
        <v>423</v>
      </c>
      <c r="C835" s="358" t="s">
        <v>565</v>
      </c>
      <c r="D835" s="328" t="s">
        <v>1217</v>
      </c>
      <c r="E835" s="329" t="s">
        <v>338</v>
      </c>
      <c r="F835" s="404">
        <v>270000000</v>
      </c>
      <c r="G835" s="421">
        <v>100</v>
      </c>
      <c r="H835" s="422">
        <v>6</v>
      </c>
      <c r="I835" s="572"/>
      <c r="J835" s="355"/>
      <c r="K835" s="355"/>
    </row>
    <row r="836" spans="2:13" ht="16.5" customHeight="1">
      <c r="B836" s="326" t="s">
        <v>423</v>
      </c>
      <c r="C836" s="405" t="s">
        <v>565</v>
      </c>
      <c r="D836" s="328" t="s">
        <v>1217</v>
      </c>
      <c r="E836" s="329" t="s">
        <v>338</v>
      </c>
      <c r="F836" s="330">
        <v>30000000</v>
      </c>
      <c r="G836" s="331">
        <v>100</v>
      </c>
      <c r="H836" s="332">
        <v>6</v>
      </c>
      <c r="I836" s="572"/>
      <c r="J836" s="355"/>
      <c r="K836" s="355"/>
    </row>
    <row r="837" spans="2:13" ht="15">
      <c r="B837" s="334"/>
      <c r="C837" s="334"/>
      <c r="D837" s="335" t="s">
        <v>702</v>
      </c>
      <c r="E837" s="336"/>
      <c r="F837" s="337">
        <f>SUM(F835:F836)</f>
        <v>300000000</v>
      </c>
      <c r="G837" s="338"/>
      <c r="H837" s="339">
        <f>SUMPRODUCT(F835:F836,H835:H836)/F837</f>
        <v>6</v>
      </c>
      <c r="I837" s="1134"/>
      <c r="K837" s="355"/>
      <c r="M837" s="1204"/>
    </row>
    <row r="839" spans="2:13" ht="13.5" customHeight="1"/>
    <row r="840" spans="2:13" ht="15">
      <c r="B840" s="320" t="s">
        <v>770</v>
      </c>
      <c r="C840" s="321"/>
      <c r="D840" s="322" t="s">
        <v>566</v>
      </c>
      <c r="E840" s="323" t="s">
        <v>567</v>
      </c>
      <c r="F840" s="324" t="s">
        <v>568</v>
      </c>
      <c r="G840" s="324" t="s">
        <v>701</v>
      </c>
      <c r="H840" s="325" t="s">
        <v>569</v>
      </c>
      <c r="I840" s="1133"/>
    </row>
    <row r="841" spans="2:13" ht="16.5" customHeight="1">
      <c r="B841" s="326" t="s">
        <v>423</v>
      </c>
      <c r="C841" s="358" t="s">
        <v>565</v>
      </c>
      <c r="D841" s="328" t="s">
        <v>1206</v>
      </c>
      <c r="E841" s="329" t="s">
        <v>1166</v>
      </c>
      <c r="F841" s="404">
        <v>1800000000</v>
      </c>
      <c r="G841" s="421">
        <v>99.259</v>
      </c>
      <c r="H841" s="422">
        <v>6.1930050000000003</v>
      </c>
      <c r="I841" s="572"/>
      <c r="J841" s="355"/>
      <c r="K841" s="355"/>
    </row>
    <row r="842" spans="2:13" ht="16.5" customHeight="1">
      <c r="B842" s="326" t="s">
        <v>423</v>
      </c>
      <c r="C842" s="405" t="s">
        <v>565</v>
      </c>
      <c r="D842" s="328" t="s">
        <v>1206</v>
      </c>
      <c r="E842" s="329" t="s">
        <v>1166</v>
      </c>
      <c r="F842" s="330">
        <v>200000000</v>
      </c>
      <c r="G842" s="331">
        <v>99.259</v>
      </c>
      <c r="H842" s="332">
        <v>6.1930050000000003</v>
      </c>
      <c r="I842" s="572"/>
      <c r="J842" s="355"/>
      <c r="K842" s="355"/>
    </row>
    <row r="843" spans="2:13" ht="15">
      <c r="B843" s="334"/>
      <c r="C843" s="334"/>
      <c r="D843" s="335" t="s">
        <v>702</v>
      </c>
      <c r="E843" s="336"/>
      <c r="F843" s="337">
        <f>SUM(F841:F842)</f>
        <v>2000000000</v>
      </c>
      <c r="G843" s="338"/>
      <c r="H843" s="339">
        <f>SUMPRODUCT(F841:F842,H841:H842)/F843</f>
        <v>6.1930050000000003</v>
      </c>
      <c r="I843" s="1134"/>
      <c r="K843" s="355"/>
      <c r="M843" s="1204"/>
    </row>
    <row r="846" spans="2:13" ht="15">
      <c r="B846" s="320" t="s">
        <v>770</v>
      </c>
      <c r="C846" s="321"/>
      <c r="D846" s="322" t="s">
        <v>566</v>
      </c>
      <c r="E846" s="323" t="s">
        <v>567</v>
      </c>
      <c r="F846" s="324" t="s">
        <v>568</v>
      </c>
      <c r="G846" s="324" t="s">
        <v>701</v>
      </c>
      <c r="H846" s="325" t="s">
        <v>569</v>
      </c>
      <c r="I846" s="1133"/>
    </row>
    <row r="847" spans="2:13" ht="16.5" customHeight="1">
      <c r="B847" s="326" t="s">
        <v>1207</v>
      </c>
      <c r="C847" s="358" t="s">
        <v>565</v>
      </c>
      <c r="D847" s="328" t="s">
        <v>667</v>
      </c>
      <c r="E847" s="329" t="s">
        <v>338</v>
      </c>
      <c r="F847" s="404">
        <v>2000000</v>
      </c>
      <c r="G847" s="421">
        <v>87.76</v>
      </c>
      <c r="H847" s="422">
        <v>6.0605869999999999</v>
      </c>
      <c r="I847" s="572"/>
      <c r="J847" s="355"/>
      <c r="K847" s="355"/>
    </row>
    <row r="848" spans="2:13" ht="16.5" customHeight="1">
      <c r="B848" s="326" t="s">
        <v>1207</v>
      </c>
      <c r="C848" s="405" t="s">
        <v>565</v>
      </c>
      <c r="D848" s="328" t="s">
        <v>667</v>
      </c>
      <c r="E848" s="329" t="s">
        <v>338</v>
      </c>
      <c r="F848" s="330">
        <v>2000000</v>
      </c>
      <c r="G848" s="331">
        <v>87.495999999999995</v>
      </c>
      <c r="H848" s="332">
        <v>6.1000180000000004</v>
      </c>
      <c r="I848" s="572"/>
      <c r="J848" s="355"/>
      <c r="K848" s="355"/>
    </row>
    <row r="849" spans="2:15" ht="15">
      <c r="B849" s="334"/>
      <c r="C849" s="334"/>
      <c r="D849" s="335" t="s">
        <v>702</v>
      </c>
      <c r="E849" s="336"/>
      <c r="F849" s="337">
        <f>SUM(F847:F848)</f>
        <v>4000000</v>
      </c>
      <c r="G849" s="338"/>
      <c r="H849" s="339">
        <f>SUMPRODUCT(F847:F848,H847:H848)/F849</f>
        <v>6.0803025000000002</v>
      </c>
      <c r="I849" s="1134"/>
      <c r="K849" s="355"/>
      <c r="M849" s="1204"/>
    </row>
    <row r="851" spans="2:15" ht="15">
      <c r="B851" s="320" t="s">
        <v>770</v>
      </c>
      <c r="C851" s="321"/>
      <c r="D851" s="322" t="s">
        <v>566</v>
      </c>
      <c r="E851" s="323" t="s">
        <v>567</v>
      </c>
      <c r="F851" s="324" t="s">
        <v>568</v>
      </c>
      <c r="G851" s="324" t="s">
        <v>701</v>
      </c>
      <c r="H851" s="325" t="s">
        <v>569</v>
      </c>
      <c r="I851" s="1133"/>
      <c r="O851" s="106"/>
    </row>
    <row r="852" spans="2:15" ht="16.5" customHeight="1">
      <c r="B852" s="326" t="s">
        <v>423</v>
      </c>
      <c r="C852" s="405" t="s">
        <v>565</v>
      </c>
      <c r="D852" s="328" t="s">
        <v>1164</v>
      </c>
      <c r="E852" s="329" t="s">
        <v>338</v>
      </c>
      <c r="F852" s="404">
        <v>4500000</v>
      </c>
      <c r="G852" s="421">
        <v>100</v>
      </c>
      <c r="H852" s="332">
        <v>6.0025909999999998</v>
      </c>
      <c r="I852" s="572"/>
      <c r="J852" s="355"/>
      <c r="K852" s="355"/>
    </row>
    <row r="853" spans="2:15" ht="16.5" customHeight="1">
      <c r="B853" s="326" t="s">
        <v>423</v>
      </c>
      <c r="C853" s="405" t="s">
        <v>565</v>
      </c>
      <c r="D853" s="328" t="s">
        <v>1164</v>
      </c>
      <c r="E853" s="329" t="s">
        <v>338</v>
      </c>
      <c r="F853" s="330">
        <v>500000</v>
      </c>
      <c r="G853" s="331">
        <v>100</v>
      </c>
      <c r="H853" s="332">
        <v>6.0025909999999998</v>
      </c>
      <c r="I853" s="572"/>
      <c r="J853" s="355"/>
      <c r="K853" s="355"/>
    </row>
    <row r="854" spans="2:15" ht="16.5" customHeight="1">
      <c r="B854" s="326" t="s">
        <v>423</v>
      </c>
      <c r="C854" s="405" t="s">
        <v>565</v>
      </c>
      <c r="D854" s="328" t="s">
        <v>1164</v>
      </c>
      <c r="E854" s="329" t="s">
        <v>338</v>
      </c>
      <c r="F854" s="330">
        <v>1700000</v>
      </c>
      <c r="G854" s="331">
        <v>99.5</v>
      </c>
      <c r="H854" s="332">
        <v>6.0451139999999999</v>
      </c>
      <c r="I854" s="572"/>
      <c r="J854" s="355"/>
      <c r="K854" s="355"/>
    </row>
    <row r="855" spans="2:15" ht="16.5" customHeight="1">
      <c r="B855" s="326" t="s">
        <v>423</v>
      </c>
      <c r="C855" s="405" t="s">
        <v>565</v>
      </c>
      <c r="D855" s="328" t="s">
        <v>1164</v>
      </c>
      <c r="E855" s="329" t="s">
        <v>338</v>
      </c>
      <c r="F855" s="330">
        <v>300000</v>
      </c>
      <c r="G855" s="331">
        <v>99.5</v>
      </c>
      <c r="H855" s="332">
        <v>6.0451139999999999</v>
      </c>
      <c r="I855" s="572"/>
      <c r="J855" s="355"/>
      <c r="K855" s="355"/>
    </row>
    <row r="856" spans="2:15" ht="16.5" customHeight="1">
      <c r="B856" s="326" t="s">
        <v>423</v>
      </c>
      <c r="C856" s="405" t="s">
        <v>565</v>
      </c>
      <c r="D856" s="328" t="s">
        <v>1164</v>
      </c>
      <c r="E856" s="329" t="s">
        <v>338</v>
      </c>
      <c r="F856" s="330">
        <v>1000000</v>
      </c>
      <c r="G856" s="331">
        <v>99.2</v>
      </c>
      <c r="H856" s="332">
        <v>6.0707700000000004</v>
      </c>
      <c r="I856" s="572"/>
      <c r="J856" s="355"/>
      <c r="K856" s="355"/>
    </row>
    <row r="857" spans="2:15" ht="16.5" customHeight="1">
      <c r="B857" s="326" t="s">
        <v>423</v>
      </c>
      <c r="C857" s="405" t="s">
        <v>565</v>
      </c>
      <c r="D857" s="328" t="s">
        <v>1164</v>
      </c>
      <c r="E857" s="329" t="s">
        <v>338</v>
      </c>
      <c r="F857" s="330">
        <v>4500000</v>
      </c>
      <c r="G857" s="331">
        <v>99.207999999999998</v>
      </c>
      <c r="H857" s="332">
        <v>6.070074</v>
      </c>
      <c r="I857" s="572"/>
      <c r="J857" s="355"/>
      <c r="K857" s="355"/>
    </row>
    <row r="858" spans="2:15" ht="16.5" customHeight="1">
      <c r="B858" s="570" t="s">
        <v>423</v>
      </c>
      <c r="C858" s="405" t="s">
        <v>565</v>
      </c>
      <c r="D858" s="109" t="s">
        <v>1164</v>
      </c>
      <c r="E858" s="572" t="s">
        <v>338</v>
      </c>
      <c r="F858" s="493">
        <v>500000</v>
      </c>
      <c r="G858" s="573">
        <v>99.207999999999998</v>
      </c>
      <c r="H858" s="580">
        <v>6.070074</v>
      </c>
      <c r="I858" s="167"/>
      <c r="J858" s="355"/>
      <c r="K858" s="355"/>
    </row>
    <row r="859" spans="2:15" ht="16.5" customHeight="1">
      <c r="B859" s="334"/>
      <c r="C859" s="334"/>
      <c r="D859" s="335" t="s">
        <v>702</v>
      </c>
      <c r="E859" s="336"/>
      <c r="F859" s="337">
        <f>SUM(F852:F858)</f>
        <v>13000000</v>
      </c>
      <c r="G859" s="338"/>
      <c r="H859" s="339">
        <f>SUMPRODUCT(F852:F858,H852:H858)/F859</f>
        <v>6.0403325384615387</v>
      </c>
      <c r="I859" s="1134"/>
      <c r="J859" s="355"/>
      <c r="K859" s="355"/>
    </row>
    <row r="860" spans="2:15">
      <c r="K860" s="407"/>
      <c r="M860" s="1232"/>
    </row>
    <row r="862" spans="2:15" ht="15">
      <c r="B862" s="320" t="s">
        <v>770</v>
      </c>
      <c r="C862" s="321"/>
      <c r="D862" s="322" t="s">
        <v>566</v>
      </c>
      <c r="E862" s="323" t="s">
        <v>567</v>
      </c>
      <c r="F862" s="324" t="s">
        <v>568</v>
      </c>
      <c r="G862" s="324" t="s">
        <v>701</v>
      </c>
      <c r="H862" s="325" t="s">
        <v>569</v>
      </c>
      <c r="I862" s="1133"/>
    </row>
    <row r="863" spans="2:15" ht="16.5" customHeight="1">
      <c r="B863" s="326" t="s">
        <v>423</v>
      </c>
      <c r="C863" s="358" t="s">
        <v>565</v>
      </c>
      <c r="D863" s="328" t="s">
        <v>1078</v>
      </c>
      <c r="E863" s="329" t="s">
        <v>338</v>
      </c>
      <c r="F863" s="404">
        <v>1000000</v>
      </c>
      <c r="G863" s="421">
        <v>88.085999999999999</v>
      </c>
      <c r="H863" s="422">
        <v>7.6299400000000004</v>
      </c>
      <c r="I863" s="572"/>
      <c r="J863" s="355"/>
      <c r="K863" s="355"/>
    </row>
    <row r="864" spans="2:15" ht="16.5" customHeight="1">
      <c r="B864" s="326"/>
      <c r="C864" s="405"/>
      <c r="D864" s="328"/>
      <c r="E864" s="329"/>
      <c r="F864" s="330"/>
      <c r="G864" s="331"/>
      <c r="H864" s="332"/>
      <c r="I864" s="572"/>
      <c r="J864" s="355"/>
      <c r="K864" s="355"/>
    </row>
    <row r="865" spans="2:15" ht="15">
      <c r="B865" s="334"/>
      <c r="C865" s="334"/>
      <c r="D865" s="335" t="s">
        <v>702</v>
      </c>
      <c r="E865" s="336"/>
      <c r="F865" s="337">
        <f>SUM(F863:F864)</f>
        <v>1000000</v>
      </c>
      <c r="G865" s="338"/>
      <c r="H865" s="339">
        <f>SUMPRODUCT(F863:F864,H863:H864)/F865</f>
        <v>7.6299400000000004</v>
      </c>
      <c r="I865" s="1134"/>
      <c r="K865" s="355"/>
      <c r="M865" s="1204"/>
    </row>
    <row r="868" spans="2:15" ht="15">
      <c r="B868" s="320" t="s">
        <v>770</v>
      </c>
      <c r="C868" s="321"/>
      <c r="D868" s="322" t="s">
        <v>566</v>
      </c>
      <c r="E868" s="323" t="s">
        <v>567</v>
      </c>
      <c r="F868" s="324" t="s">
        <v>568</v>
      </c>
      <c r="G868" s="324" t="s">
        <v>701</v>
      </c>
      <c r="H868" s="325" t="s">
        <v>569</v>
      </c>
      <c r="I868" s="1133"/>
      <c r="O868" s="106"/>
    </row>
    <row r="869" spans="2:15" ht="20.25" customHeight="1">
      <c r="B869" s="326" t="s">
        <v>423</v>
      </c>
      <c r="C869" s="358" t="s">
        <v>565</v>
      </c>
      <c r="D869" s="328" t="s">
        <v>1216</v>
      </c>
      <c r="E869" s="329" t="s">
        <v>212</v>
      </c>
      <c r="F869" s="404">
        <v>253800000</v>
      </c>
      <c r="G869" s="421">
        <v>100</v>
      </c>
      <c r="H869" s="332">
        <v>6</v>
      </c>
      <c r="I869" s="572"/>
      <c r="J869" s="355"/>
      <c r="K869" s="355"/>
    </row>
    <row r="870" spans="2:15" ht="20.25" customHeight="1">
      <c r="B870" s="326" t="s">
        <v>423</v>
      </c>
      <c r="C870" s="405" t="s">
        <v>565</v>
      </c>
      <c r="D870" s="328" t="s">
        <v>1216</v>
      </c>
      <c r="E870" s="329" t="s">
        <v>212</v>
      </c>
      <c r="F870" s="330">
        <v>28200000</v>
      </c>
      <c r="G870" s="331">
        <v>100</v>
      </c>
      <c r="H870" s="332">
        <v>6</v>
      </c>
      <c r="I870" s="572"/>
      <c r="J870" s="355"/>
      <c r="K870" s="355"/>
    </row>
    <row r="871" spans="2:15" ht="20.25" customHeight="1">
      <c r="B871" s="326" t="s">
        <v>424</v>
      </c>
      <c r="C871" s="405" t="s">
        <v>565</v>
      </c>
      <c r="D871" s="328" t="s">
        <v>1216</v>
      </c>
      <c r="E871" s="329" t="s">
        <v>212</v>
      </c>
      <c r="F871" s="330">
        <v>16000000</v>
      </c>
      <c r="G871" s="331">
        <v>100</v>
      </c>
      <c r="H871" s="332">
        <v>6</v>
      </c>
      <c r="I871" s="572"/>
      <c r="J871" s="355"/>
      <c r="K871" s="355"/>
    </row>
    <row r="872" spans="2:15" ht="20.25" customHeight="1">
      <c r="B872" s="326" t="s">
        <v>425</v>
      </c>
      <c r="C872" s="405" t="s">
        <v>565</v>
      </c>
      <c r="D872" s="328" t="s">
        <v>1216</v>
      </c>
      <c r="E872" s="329" t="s">
        <v>212</v>
      </c>
      <c r="F872" s="330">
        <v>2000000</v>
      </c>
      <c r="G872" s="331">
        <v>100</v>
      </c>
      <c r="H872" s="332">
        <v>6</v>
      </c>
      <c r="I872" s="572"/>
      <c r="J872" s="355"/>
      <c r="K872" s="355"/>
    </row>
    <row r="873" spans="2:15" ht="20.25" customHeight="1">
      <c r="B873" s="334"/>
      <c r="C873" s="334"/>
      <c r="D873" s="335" t="s">
        <v>702</v>
      </c>
      <c r="E873" s="336"/>
      <c r="F873" s="337">
        <f>SUM(F869:F872)</f>
        <v>300000000</v>
      </c>
      <c r="G873" s="338"/>
      <c r="H873" s="339">
        <f>SUMPRODUCT(F869:F872,H869:H872)/F873</f>
        <v>6</v>
      </c>
      <c r="I873" s="1134"/>
      <c r="J873" s="355"/>
      <c r="K873" s="355"/>
    </row>
    <row r="874" spans="2:15" ht="20.25" customHeight="1">
      <c r="J874" s="355"/>
      <c r="K874" s="355"/>
    </row>
    <row r="875" spans="2:15" s="490" customFormat="1">
      <c r="K875" s="582"/>
      <c r="M875" s="1237"/>
    </row>
    <row r="877" spans="2:15" ht="14.25">
      <c r="D877" t="s">
        <v>1235</v>
      </c>
    </row>
    <row r="878" spans="2:15" ht="15">
      <c r="B878" s="320" t="s">
        <v>770</v>
      </c>
      <c r="C878" s="321"/>
      <c r="D878" s="322" t="s">
        <v>566</v>
      </c>
      <c r="E878" s="323" t="s">
        <v>567</v>
      </c>
      <c r="F878" s="324" t="s">
        <v>568</v>
      </c>
      <c r="G878" s="324" t="s">
        <v>701</v>
      </c>
      <c r="H878" s="325" t="s">
        <v>569</v>
      </c>
      <c r="I878" s="1133"/>
      <c r="K878">
        <v>7.8</v>
      </c>
    </row>
    <row r="879" spans="2:15" ht="15">
      <c r="B879" s="326" t="s">
        <v>513</v>
      </c>
      <c r="C879" s="358" t="s">
        <v>994</v>
      </c>
      <c r="D879" s="328" t="s">
        <v>667</v>
      </c>
      <c r="E879" s="329" t="s">
        <v>338</v>
      </c>
      <c r="F879" s="404">
        <v>2000000</v>
      </c>
      <c r="G879" s="421">
        <v>92.85</v>
      </c>
      <c r="H879" s="422">
        <v>5.3377290000000004</v>
      </c>
      <c r="I879" s="572"/>
      <c r="J879" s="355">
        <f>(G879-91.88)*F879/100</f>
        <v>19399.999999999978</v>
      </c>
      <c r="K879" s="355">
        <f>J879*$K$799</f>
        <v>151319.99999999983</v>
      </c>
      <c r="M879" s="1142" t="s">
        <v>196</v>
      </c>
    </row>
    <row r="880" spans="2:15" ht="15">
      <c r="B880" s="326"/>
      <c r="C880" s="405"/>
      <c r="D880" s="328"/>
      <c r="E880" s="329"/>
      <c r="F880" s="330"/>
      <c r="G880" s="331"/>
      <c r="H880" s="332"/>
      <c r="I880" s="572"/>
      <c r="J880" s="355"/>
      <c r="K880" s="355"/>
    </row>
    <row r="881" spans="2:13" ht="15">
      <c r="B881" s="334"/>
      <c r="C881" s="334"/>
      <c r="D881" s="335" t="s">
        <v>702</v>
      </c>
      <c r="E881" s="336"/>
      <c r="F881" s="337">
        <f>SUM(F879:F879)</f>
        <v>2000000</v>
      </c>
      <c r="G881" s="338"/>
      <c r="H881" s="339">
        <f>SUMPRODUCT(F879:F879,H879:H879)/F881</f>
        <v>5.3377290000000004</v>
      </c>
      <c r="I881" s="1134"/>
      <c r="K881" s="355"/>
      <c r="M881" s="1204">
        <f>K879+M802</f>
        <v>8141815.9900000002</v>
      </c>
    </row>
    <row r="884" spans="2:13" ht="15">
      <c r="B884" s="320" t="s">
        <v>770</v>
      </c>
      <c r="C884" s="321"/>
      <c r="D884" s="322" t="s">
        <v>566</v>
      </c>
      <c r="E884" s="323" t="s">
        <v>567</v>
      </c>
      <c r="F884" s="324" t="s">
        <v>568</v>
      </c>
      <c r="G884" s="324" t="s">
        <v>701</v>
      </c>
      <c r="H884" s="325" t="s">
        <v>569</v>
      </c>
      <c r="I884" s="1133"/>
      <c r="K884">
        <v>7.8</v>
      </c>
    </row>
    <row r="885" spans="2:13" ht="15">
      <c r="B885" s="326" t="s">
        <v>513</v>
      </c>
      <c r="C885" s="358" t="s">
        <v>994</v>
      </c>
      <c r="D885" s="328" t="s">
        <v>361</v>
      </c>
      <c r="E885" s="329" t="s">
        <v>212</v>
      </c>
      <c r="F885" s="404">
        <v>1000000</v>
      </c>
      <c r="G885" s="421">
        <v>95.5</v>
      </c>
      <c r="H885" s="422">
        <v>5.6409500000000001</v>
      </c>
      <c r="I885" s="572"/>
      <c r="J885" s="355">
        <f>(G885-92.4)*F885/100</f>
        <v>30999.999999999945</v>
      </c>
      <c r="K885" s="355">
        <f>J885*$K$576</f>
        <v>241799.99999999956</v>
      </c>
      <c r="M885" s="1142" t="s">
        <v>196</v>
      </c>
    </row>
    <row r="886" spans="2:13" ht="15">
      <c r="B886" s="326" t="s">
        <v>513</v>
      </c>
      <c r="C886" s="405" t="s">
        <v>994</v>
      </c>
      <c r="D886" s="328" t="s">
        <v>361</v>
      </c>
      <c r="E886" s="329" t="s">
        <v>212</v>
      </c>
      <c r="F886" s="330">
        <v>2000000</v>
      </c>
      <c r="G886" s="331">
        <v>95.75</v>
      </c>
      <c r="H886" s="332">
        <v>5.5758999999999999</v>
      </c>
      <c r="I886" s="572"/>
      <c r="J886" s="355">
        <f>(G886-92.4)*F886/100</f>
        <v>66999.999999999884</v>
      </c>
      <c r="K886" s="355">
        <f>J886*$K$576</f>
        <v>522599.99999999907</v>
      </c>
    </row>
    <row r="887" spans="2:13" ht="15">
      <c r="B887" s="334"/>
      <c r="C887" s="334"/>
      <c r="D887" s="335" t="s">
        <v>702</v>
      </c>
      <c r="E887" s="336"/>
      <c r="F887" s="337">
        <f>SUM(F885:F886)</f>
        <v>3000000</v>
      </c>
      <c r="G887" s="338"/>
      <c r="H887" s="339">
        <f>SUMPRODUCT(F885:F886,H885:H886)/F887</f>
        <v>5.5975833333333336</v>
      </c>
      <c r="I887" s="1134"/>
      <c r="K887" s="355"/>
      <c r="M887" s="1204">
        <f>K885+K886+M881</f>
        <v>8906215.9899999984</v>
      </c>
    </row>
    <row r="890" spans="2:13" ht="15">
      <c r="B890" s="320" t="s">
        <v>770</v>
      </c>
      <c r="C890" s="321"/>
      <c r="D890" s="322" t="s">
        <v>566</v>
      </c>
      <c r="E890" s="323" t="s">
        <v>567</v>
      </c>
      <c r="F890" s="324" t="s">
        <v>568</v>
      </c>
      <c r="G890" s="324" t="s">
        <v>701</v>
      </c>
      <c r="H890" s="325" t="s">
        <v>569</v>
      </c>
      <c r="I890" s="1133"/>
    </row>
    <row r="891" spans="2:13" ht="15">
      <c r="B891" s="326" t="s">
        <v>423</v>
      </c>
      <c r="C891" s="358" t="s">
        <v>565</v>
      </c>
      <c r="D891" s="328" t="s">
        <v>1234</v>
      </c>
      <c r="E891" s="329" t="s">
        <v>338</v>
      </c>
      <c r="F891" s="404">
        <v>69750000</v>
      </c>
      <c r="G891" s="421">
        <v>100</v>
      </c>
      <c r="H891" s="422">
        <v>6</v>
      </c>
      <c r="I891" s="572"/>
      <c r="J891" s="355"/>
      <c r="K891" s="355"/>
    </row>
    <row r="892" spans="2:13" ht="15">
      <c r="B892" s="326" t="s">
        <v>423</v>
      </c>
      <c r="C892" s="405" t="s">
        <v>565</v>
      </c>
      <c r="D892" s="328" t="s">
        <v>1234</v>
      </c>
      <c r="E892" s="329" t="s">
        <v>338</v>
      </c>
      <c r="F892" s="330">
        <v>7750000</v>
      </c>
      <c r="G892" s="331">
        <v>100</v>
      </c>
      <c r="H892" s="332">
        <v>6</v>
      </c>
      <c r="I892" s="572"/>
      <c r="J892" s="355"/>
      <c r="K892" s="355"/>
    </row>
    <row r="893" spans="2:13" ht="15">
      <c r="B893" s="326" t="s">
        <v>1058</v>
      </c>
      <c r="C893" s="405" t="s">
        <v>565</v>
      </c>
      <c r="D893" s="328" t="s">
        <v>1234</v>
      </c>
      <c r="E893" s="329" t="s">
        <v>338</v>
      </c>
      <c r="F893" s="330">
        <v>2500000</v>
      </c>
      <c r="G893" s="331">
        <v>100</v>
      </c>
      <c r="H893" s="332">
        <v>6</v>
      </c>
      <c r="I893" s="572"/>
      <c r="J893" s="355"/>
      <c r="K893" s="355"/>
    </row>
    <row r="894" spans="2:13" ht="15">
      <c r="B894" s="326"/>
      <c r="C894" s="405"/>
      <c r="D894" s="328"/>
      <c r="E894" s="329"/>
      <c r="F894" s="330"/>
      <c r="G894" s="331"/>
      <c r="H894" s="332"/>
      <c r="I894" s="572"/>
      <c r="J894" s="355"/>
      <c r="K894" s="355"/>
    </row>
    <row r="895" spans="2:13" ht="15">
      <c r="B895" s="334"/>
      <c r="C895" s="334"/>
      <c r="D895" s="335" t="s">
        <v>702</v>
      </c>
      <c r="E895" s="336"/>
      <c r="F895" s="337">
        <f>SUM(F891:F894)</f>
        <v>80000000</v>
      </c>
      <c r="G895" s="338"/>
      <c r="H895" s="339">
        <f>SUMPRODUCT(F891:F894,H891:H894)/F895</f>
        <v>6</v>
      </c>
      <c r="I895" s="1134"/>
      <c r="K895" s="355"/>
      <c r="M895" s="1204"/>
    </row>
    <row r="897" spans="2:13" s="581" customFormat="1">
      <c r="M897" s="1238"/>
    </row>
    <row r="899" spans="2:13" ht="14.25">
      <c r="D899" t="s">
        <v>1247</v>
      </c>
    </row>
    <row r="900" spans="2:13" ht="15">
      <c r="B900" s="320" t="s">
        <v>770</v>
      </c>
      <c r="C900" s="321"/>
      <c r="D900" s="322" t="s">
        <v>566</v>
      </c>
      <c r="E900" s="323" t="s">
        <v>567</v>
      </c>
      <c r="F900" s="324" t="s">
        <v>568</v>
      </c>
      <c r="G900" s="324" t="s">
        <v>701</v>
      </c>
      <c r="H900" s="325" t="s">
        <v>569</v>
      </c>
      <c r="I900" s="1133"/>
      <c r="K900" s="606">
        <f>1/0.783</f>
        <v>1.277139208173691</v>
      </c>
    </row>
    <row r="901" spans="2:13" ht="15">
      <c r="B901" s="326" t="s">
        <v>513</v>
      </c>
      <c r="C901" s="358" t="s">
        <v>19</v>
      </c>
      <c r="D901" s="328" t="s">
        <v>225</v>
      </c>
      <c r="E901" s="329" t="s">
        <v>267</v>
      </c>
      <c r="F901" s="404">
        <v>5000000</v>
      </c>
      <c r="G901" s="421">
        <v>102</v>
      </c>
      <c r="H901" s="422">
        <v>4.7463559999999996</v>
      </c>
      <c r="I901" s="572"/>
      <c r="J901" s="355">
        <f>(G901-101.3)*F901/100</f>
        <v>35000.000000000146</v>
      </c>
      <c r="K901" s="355">
        <f>J901*K900</f>
        <v>44699.872286079371</v>
      </c>
      <c r="M901" s="1142" t="s">
        <v>196</v>
      </c>
    </row>
    <row r="902" spans="2:13" ht="15">
      <c r="B902" s="326"/>
      <c r="C902" s="405"/>
      <c r="D902" s="328"/>
      <c r="E902" s="329"/>
      <c r="F902" s="330"/>
      <c r="G902" s="331"/>
      <c r="H902" s="332"/>
      <c r="I902" s="572"/>
      <c r="J902" s="355"/>
      <c r="K902" s="355"/>
    </row>
    <row r="903" spans="2:13" ht="15">
      <c r="B903" s="334"/>
      <c r="C903" s="334"/>
      <c r="D903" s="335" t="s">
        <v>702</v>
      </c>
      <c r="E903" s="336"/>
      <c r="F903" s="337">
        <f>SUM(F901:F901)</f>
        <v>5000000</v>
      </c>
      <c r="G903" s="338"/>
      <c r="H903" s="339">
        <f>SUMPRODUCT(F901:F901,H901:H901)/F903</f>
        <v>4.7463559999999996</v>
      </c>
      <c r="I903" s="1134"/>
      <c r="K903" s="355"/>
      <c r="M903" s="1204">
        <f>K901+M887</f>
        <v>8950915.8622860778</v>
      </c>
    </row>
    <row r="906" spans="2:13" ht="15">
      <c r="B906" s="320" t="s">
        <v>770</v>
      </c>
      <c r="C906" s="321"/>
      <c r="D906" s="322" t="s">
        <v>566</v>
      </c>
      <c r="E906" s="323" t="s">
        <v>567</v>
      </c>
      <c r="F906" s="324" t="s">
        <v>568</v>
      </c>
      <c r="G906" s="324" t="s">
        <v>701</v>
      </c>
      <c r="H906" s="325" t="s">
        <v>569</v>
      </c>
      <c r="I906" s="1133"/>
      <c r="K906">
        <v>7.8</v>
      </c>
    </row>
    <row r="907" spans="2:13" ht="15">
      <c r="B907" s="326" t="s">
        <v>513</v>
      </c>
      <c r="C907" s="358" t="s">
        <v>19</v>
      </c>
      <c r="D907" s="328" t="s">
        <v>77</v>
      </c>
      <c r="E907" s="329" t="s">
        <v>338</v>
      </c>
      <c r="F907" s="404">
        <v>1000000</v>
      </c>
      <c r="G907" s="421">
        <v>91.75</v>
      </c>
      <c r="H907" s="422">
        <v>6.6867900000000002</v>
      </c>
      <c r="I907" s="572"/>
      <c r="J907" s="355">
        <f>(G907-92.4)*F907/100</f>
        <v>-6500.0000000000573</v>
      </c>
      <c r="K907" s="355">
        <f>J907*K906</f>
        <v>-50700.000000000444</v>
      </c>
    </row>
    <row r="908" spans="2:13" ht="15">
      <c r="B908" s="334"/>
      <c r="C908" s="334"/>
      <c r="D908" s="335" t="s">
        <v>702</v>
      </c>
      <c r="E908" s="336"/>
      <c r="F908" s="337">
        <f>SUM(F907:F907)</f>
        <v>1000000</v>
      </c>
      <c r="G908" s="338"/>
      <c r="H908" s="339">
        <f>SUMPRODUCT(F907:F907,H907:H907)/F908</f>
        <v>6.6867900000000002</v>
      </c>
      <c r="I908" s="1134"/>
      <c r="J908" s="355"/>
      <c r="K908" s="355"/>
      <c r="M908" s="1204">
        <f>M903+K907</f>
        <v>8900215.8622860778</v>
      </c>
    </row>
    <row r="909" spans="2:13">
      <c r="K909" s="355"/>
    </row>
    <row r="911" spans="2:13" ht="15">
      <c r="B911" s="320" t="s">
        <v>770</v>
      </c>
      <c r="C911" s="321"/>
      <c r="D911" s="322" t="s">
        <v>566</v>
      </c>
      <c r="E911" s="323" t="s">
        <v>567</v>
      </c>
      <c r="F911" s="324" t="s">
        <v>568</v>
      </c>
      <c r="G911" s="324" t="s">
        <v>701</v>
      </c>
      <c r="H911" s="325" t="s">
        <v>569</v>
      </c>
      <c r="I911" s="1133"/>
      <c r="K911">
        <v>7.8</v>
      </c>
    </row>
    <row r="912" spans="2:13" ht="15">
      <c r="B912" s="326" t="s">
        <v>513</v>
      </c>
      <c r="C912" s="358" t="s">
        <v>19</v>
      </c>
      <c r="D912" s="328" t="s">
        <v>426</v>
      </c>
      <c r="E912" s="329" t="s">
        <v>338</v>
      </c>
      <c r="F912" s="404">
        <v>1000000</v>
      </c>
      <c r="G912" s="421">
        <v>91.37</v>
      </c>
      <c r="H912" s="422">
        <v>5.2136069999999997</v>
      </c>
      <c r="I912" s="572"/>
      <c r="J912" s="355">
        <f>(G912-88.85)*F912/100</f>
        <v>25200.000000000102</v>
      </c>
      <c r="K912" s="355">
        <f>J912*K911</f>
        <v>196560.00000000079</v>
      </c>
    </row>
    <row r="913" spans="2:13" ht="15">
      <c r="B913" s="326"/>
      <c r="C913" s="405"/>
      <c r="D913" s="328"/>
      <c r="E913" s="329"/>
      <c r="F913" s="330"/>
      <c r="G913" s="331"/>
      <c r="H913" s="332"/>
      <c r="I913" s="572"/>
      <c r="J913" s="355"/>
      <c r="K913" s="355"/>
      <c r="M913" s="1204">
        <f>M908+K912</f>
        <v>9096775.8622860778</v>
      </c>
    </row>
    <row r="914" spans="2:13" ht="15">
      <c r="B914" s="326"/>
      <c r="C914" s="405"/>
      <c r="D914" s="328"/>
      <c r="E914" s="329"/>
      <c r="F914" s="330"/>
      <c r="G914" s="331"/>
      <c r="H914" s="332"/>
      <c r="I914" s="572"/>
      <c r="J914" s="355"/>
      <c r="K914" s="355"/>
      <c r="M914" s="1204"/>
    </row>
    <row r="915" spans="2:13" ht="15">
      <c r="B915" s="334"/>
      <c r="C915" s="334"/>
      <c r="D915" s="335" t="s">
        <v>702</v>
      </c>
      <c r="E915" s="336"/>
      <c r="F915" s="337">
        <f>SUM(F912:F914)</f>
        <v>1000000</v>
      </c>
      <c r="G915" s="338"/>
      <c r="H915" s="339">
        <f>SUMPRODUCT(F912:F914,H912:H914)/F915</f>
        <v>5.2136069999999997</v>
      </c>
      <c r="I915" s="1134"/>
      <c r="J915" s="355"/>
      <c r="K915" s="355"/>
    </row>
    <row r="916" spans="2:13">
      <c r="J916" s="355"/>
      <c r="K916" s="355"/>
      <c r="M916" s="1204"/>
    </row>
    <row r="918" spans="2:13" ht="15">
      <c r="B918" s="320" t="s">
        <v>770</v>
      </c>
      <c r="C918" s="321"/>
      <c r="D918" s="322" t="s">
        <v>566</v>
      </c>
      <c r="E918" s="323" t="s">
        <v>567</v>
      </c>
      <c r="F918" s="324" t="s">
        <v>568</v>
      </c>
      <c r="G918" s="324" t="s">
        <v>701</v>
      </c>
      <c r="H918" s="325" t="s">
        <v>569</v>
      </c>
      <c r="I918" s="1133"/>
      <c r="K918" s="355"/>
    </row>
    <row r="919" spans="2:13" ht="57">
      <c r="B919" s="326" t="s">
        <v>423</v>
      </c>
      <c r="C919" s="358" t="s">
        <v>1243</v>
      </c>
      <c r="D919" s="328" t="s">
        <v>1244</v>
      </c>
      <c r="E919" s="329" t="s">
        <v>267</v>
      </c>
      <c r="F919" s="404">
        <v>1023300000</v>
      </c>
      <c r="G919" s="421">
        <v>100</v>
      </c>
      <c r="H919" s="422">
        <v>6.1479460000000001</v>
      </c>
      <c r="I919" s="572"/>
      <c r="J919" s="355"/>
      <c r="K919" s="355"/>
    </row>
    <row r="920" spans="2:13" ht="57">
      <c r="B920" s="326" t="s">
        <v>423</v>
      </c>
      <c r="C920" s="405" t="s">
        <v>1243</v>
      </c>
      <c r="D920" s="328" t="s">
        <v>1244</v>
      </c>
      <c r="E920" s="329" t="s">
        <v>267</v>
      </c>
      <c r="F920" s="330">
        <v>113700000</v>
      </c>
      <c r="G920" s="331">
        <v>100</v>
      </c>
      <c r="H920" s="332">
        <v>6.1479460000000001</v>
      </c>
      <c r="I920" s="572"/>
      <c r="J920" s="355"/>
      <c r="K920" s="355"/>
    </row>
    <row r="921" spans="2:13" ht="57">
      <c r="B921" s="326" t="s">
        <v>424</v>
      </c>
      <c r="C921" s="405" t="s">
        <v>1243</v>
      </c>
      <c r="D921" s="328" t="s">
        <v>1244</v>
      </c>
      <c r="E921" s="329" t="s">
        <v>267</v>
      </c>
      <c r="F921" s="330">
        <v>63000000</v>
      </c>
      <c r="G921" s="331">
        <v>100</v>
      </c>
      <c r="H921" s="332">
        <v>6.1479460000000001</v>
      </c>
      <c r="I921" s="572"/>
      <c r="J921" s="355"/>
      <c r="K921" s="355"/>
    </row>
    <row r="922" spans="2:13" ht="15">
      <c r="B922" s="326"/>
      <c r="C922" s="405"/>
      <c r="D922" s="328"/>
      <c r="E922" s="329"/>
      <c r="F922" s="330"/>
      <c r="G922" s="331"/>
      <c r="H922" s="332"/>
      <c r="I922" s="572"/>
      <c r="J922" s="355"/>
      <c r="K922" s="355"/>
    </row>
    <row r="923" spans="2:13" ht="15">
      <c r="B923" s="334"/>
      <c r="C923" s="334"/>
      <c r="D923" s="335" t="s">
        <v>702</v>
      </c>
      <c r="E923" s="336"/>
      <c r="F923" s="337">
        <f>SUM(F919:F922)</f>
        <v>1200000000</v>
      </c>
      <c r="G923" s="338"/>
      <c r="H923" s="339">
        <f>SUMPRODUCT(F919:F922,H919:H922)/F923</f>
        <v>6.1479460000000001</v>
      </c>
      <c r="I923" s="1134"/>
      <c r="K923" s="355"/>
      <c r="M923" s="1204"/>
    </row>
    <row r="926" spans="2:13" ht="15">
      <c r="B926" s="320" t="s">
        <v>770</v>
      </c>
      <c r="C926" s="321"/>
      <c r="D926" s="322" t="s">
        <v>566</v>
      </c>
      <c r="E926" s="323" t="s">
        <v>567</v>
      </c>
      <c r="F926" s="324" t="s">
        <v>568</v>
      </c>
      <c r="G926" s="324" t="s">
        <v>701</v>
      </c>
      <c r="H926" s="325" t="s">
        <v>569</v>
      </c>
      <c r="I926" s="1133"/>
    </row>
    <row r="927" spans="2:13" ht="30">
      <c r="B927" s="326" t="s">
        <v>423</v>
      </c>
      <c r="C927" s="358" t="s">
        <v>1245</v>
      </c>
      <c r="D927" s="328" t="s">
        <v>1246</v>
      </c>
      <c r="E927" s="329" t="s">
        <v>267</v>
      </c>
      <c r="F927" s="404">
        <v>1800000000</v>
      </c>
      <c r="G927" s="421">
        <v>100</v>
      </c>
      <c r="H927" s="422">
        <v>6.15</v>
      </c>
      <c r="I927" s="572"/>
      <c r="J927" s="355"/>
      <c r="K927" s="355"/>
    </row>
    <row r="928" spans="2:13" ht="30">
      <c r="B928" s="326" t="s">
        <v>423</v>
      </c>
      <c r="C928" s="405" t="s">
        <v>1245</v>
      </c>
      <c r="D928" s="328" t="s">
        <v>1246</v>
      </c>
      <c r="E928" s="329" t="s">
        <v>267</v>
      </c>
      <c r="F928" s="330">
        <v>200000000</v>
      </c>
      <c r="G928" s="331">
        <v>100</v>
      </c>
      <c r="H928" s="332">
        <v>6.15</v>
      </c>
      <c r="I928" s="572"/>
      <c r="J928" s="355"/>
      <c r="K928" s="355"/>
    </row>
    <row r="929" spans="2:13" ht="15">
      <c r="B929" s="334"/>
      <c r="C929" s="334"/>
      <c r="D929" s="335" t="s">
        <v>702</v>
      </c>
      <c r="E929" s="336"/>
      <c r="F929" s="337">
        <f>SUM(F927:F928)</f>
        <v>2000000000</v>
      </c>
      <c r="G929" s="338"/>
      <c r="H929" s="339">
        <f>SUMPRODUCT(F927:F928,H927:H928)/F929</f>
        <v>6.15</v>
      </c>
      <c r="I929" s="1134"/>
      <c r="J929" s="355"/>
      <c r="K929" s="355"/>
    </row>
    <row r="930" spans="2:13">
      <c r="J930" s="355"/>
      <c r="K930" s="355"/>
    </row>
    <row r="931" spans="2:13" s="490" customFormat="1">
      <c r="K931" s="607"/>
      <c r="M931" s="1239"/>
    </row>
    <row r="933" spans="2:13" ht="14.25">
      <c r="D933" t="s">
        <v>1249</v>
      </c>
    </row>
    <row r="934" spans="2:13" ht="15">
      <c r="B934" s="320" t="s">
        <v>770</v>
      </c>
      <c r="C934" s="321"/>
      <c r="D934" s="322" t="s">
        <v>566</v>
      </c>
      <c r="E934" s="323" t="s">
        <v>567</v>
      </c>
      <c r="F934" s="324" t="s">
        <v>568</v>
      </c>
      <c r="G934" s="324" t="s">
        <v>701</v>
      </c>
      <c r="H934" s="325" t="s">
        <v>569</v>
      </c>
      <c r="I934" s="1133"/>
      <c r="K934" s="606">
        <f>1/0.783</f>
        <v>1.277139208173691</v>
      </c>
    </row>
    <row r="935" spans="2:13" ht="15">
      <c r="B935" s="326" t="s">
        <v>513</v>
      </c>
      <c r="C935" s="358" t="s">
        <v>19</v>
      </c>
      <c r="D935" s="328" t="s">
        <v>225</v>
      </c>
      <c r="E935" s="329" t="s">
        <v>267</v>
      </c>
      <c r="F935" s="404">
        <v>10000000</v>
      </c>
      <c r="G935" s="421">
        <v>102</v>
      </c>
      <c r="H935" s="422">
        <v>4.7463559999999996</v>
      </c>
      <c r="I935" s="572"/>
      <c r="J935" s="355">
        <f>(G935-101.3)*F935/100</f>
        <v>70000.000000000291</v>
      </c>
      <c r="K935" s="355">
        <f>J935*K934</f>
        <v>89399.744572158743</v>
      </c>
      <c r="M935" s="1142" t="s">
        <v>196</v>
      </c>
    </row>
    <row r="936" spans="2:13" ht="15">
      <c r="B936" s="326"/>
      <c r="C936" s="405"/>
      <c r="D936" s="328"/>
      <c r="E936" s="329"/>
      <c r="F936" s="330"/>
      <c r="G936" s="331"/>
      <c r="H936" s="332"/>
      <c r="I936" s="572"/>
      <c r="J936" s="355"/>
      <c r="K936" s="355"/>
    </row>
    <row r="937" spans="2:13" ht="15">
      <c r="B937" s="334"/>
      <c r="C937" s="334"/>
      <c r="D937" s="335" t="s">
        <v>702</v>
      </c>
      <c r="E937" s="336"/>
      <c r="F937" s="337">
        <f>SUM(F935:F935)</f>
        <v>10000000</v>
      </c>
      <c r="G937" s="338"/>
      <c r="H937" s="339">
        <f>SUMPRODUCT(F935:F935,H935:H935)/F937</f>
        <v>4.7463559999999996</v>
      </c>
      <c r="I937" s="1134"/>
      <c r="K937" s="355"/>
      <c r="M937" s="1204">
        <f>9049412.6+K935</f>
        <v>9138812.3445721585</v>
      </c>
    </row>
    <row r="940" spans="2:13" ht="15">
      <c r="B940" s="320" t="s">
        <v>770</v>
      </c>
      <c r="C940" s="321"/>
      <c r="D940" s="322" t="s">
        <v>566</v>
      </c>
      <c r="E940" s="323" t="s">
        <v>567</v>
      </c>
      <c r="F940" s="324" t="s">
        <v>568</v>
      </c>
      <c r="G940" s="324" t="s">
        <v>701</v>
      </c>
      <c r="H940" s="325" t="s">
        <v>569</v>
      </c>
      <c r="I940" s="1133"/>
      <c r="K940">
        <v>7.8</v>
      </c>
    </row>
    <row r="941" spans="2:13" ht="15">
      <c r="B941" s="326" t="s">
        <v>513</v>
      </c>
      <c r="C941" s="358" t="s">
        <v>19</v>
      </c>
      <c r="D941" s="328" t="s">
        <v>426</v>
      </c>
      <c r="E941" s="329" t="s">
        <v>338</v>
      </c>
      <c r="F941" s="404">
        <v>4000000</v>
      </c>
      <c r="G941" s="421">
        <v>91.668999999999997</v>
      </c>
      <c r="H941" s="422">
        <v>5.1698899999999997</v>
      </c>
      <c r="I941" s="572"/>
      <c r="J941" s="355">
        <f>(G941-88.85)*F941/100</f>
        <v>112760.00000000012</v>
      </c>
      <c r="K941" s="355">
        <f>J941*K940</f>
        <v>879528.00000000093</v>
      </c>
    </row>
    <row r="942" spans="2:13" ht="15">
      <c r="B942" s="326"/>
      <c r="C942" s="405"/>
      <c r="D942" s="328"/>
      <c r="E942" s="329"/>
      <c r="F942" s="330"/>
      <c r="G942" s="331"/>
      <c r="H942" s="332"/>
      <c r="I942" s="572"/>
      <c r="J942" s="355"/>
      <c r="K942" s="355"/>
      <c r="M942" s="1204">
        <f>M937+K941</f>
        <v>10018340.34457216</v>
      </c>
    </row>
    <row r="943" spans="2:13" ht="15">
      <c r="B943" s="326"/>
      <c r="C943" s="405"/>
      <c r="D943" s="328"/>
      <c r="E943" s="329"/>
      <c r="F943" s="330"/>
      <c r="G943" s="331"/>
      <c r="H943" s="332"/>
      <c r="I943" s="572"/>
      <c r="J943" s="355"/>
      <c r="K943" s="355"/>
      <c r="M943" s="1204"/>
    </row>
    <row r="944" spans="2:13" ht="15">
      <c r="B944" s="334"/>
      <c r="C944" s="334"/>
      <c r="D944" s="335" t="s">
        <v>702</v>
      </c>
      <c r="E944" s="336"/>
      <c r="F944" s="337">
        <f>SUM(F941:F943)</f>
        <v>4000000</v>
      </c>
      <c r="G944" s="338"/>
      <c r="H944" s="339">
        <f>SUMPRODUCT(F941:F943,H941:H943)/F944</f>
        <v>5.1698899999999997</v>
      </c>
      <c r="I944" s="1134"/>
      <c r="J944" s="355"/>
      <c r="K944" s="355"/>
    </row>
    <row r="945" spans="2:14">
      <c r="N945">
        <v>99.849000000000004</v>
      </c>
    </row>
    <row r="946" spans="2:14" s="581" customFormat="1">
      <c r="M946" s="1238"/>
    </row>
    <row r="949" spans="2:14" ht="14.25">
      <c r="D949" t="s">
        <v>1262</v>
      </c>
    </row>
    <row r="950" spans="2:14" ht="15">
      <c r="B950" s="320" t="s">
        <v>770</v>
      </c>
      <c r="C950" s="321"/>
      <c r="D950" s="322" t="s">
        <v>566</v>
      </c>
      <c r="E950" s="323" t="s">
        <v>567</v>
      </c>
      <c r="F950" s="324" t="s">
        <v>568</v>
      </c>
      <c r="G950" s="324" t="s">
        <v>701</v>
      </c>
      <c r="H950" s="325" t="s">
        <v>569</v>
      </c>
      <c r="I950" s="1133"/>
      <c r="K950" s="606">
        <v>7.8</v>
      </c>
    </row>
    <row r="951" spans="2:14" ht="15">
      <c r="B951" s="326" t="s">
        <v>425</v>
      </c>
      <c r="C951" s="358" t="s">
        <v>19</v>
      </c>
      <c r="D951" s="328" t="s">
        <v>1095</v>
      </c>
      <c r="E951" s="329" t="s">
        <v>338</v>
      </c>
      <c r="F951" s="404">
        <v>2500000</v>
      </c>
      <c r="G951" s="421">
        <v>109.1</v>
      </c>
      <c r="H951" s="422">
        <v>3.4348450000000001</v>
      </c>
      <c r="I951" s="572"/>
      <c r="J951" s="355">
        <f>(G951-99.849)*F951/100</f>
        <v>231274.99999999977</v>
      </c>
      <c r="K951" s="355">
        <f>J951*K950</f>
        <v>1803944.9999999981</v>
      </c>
      <c r="M951" s="1142" t="s">
        <v>196</v>
      </c>
    </row>
    <row r="952" spans="2:14" ht="15">
      <c r="B952" s="326"/>
      <c r="C952" s="405"/>
      <c r="D952" s="328"/>
      <c r="E952" s="329"/>
      <c r="F952" s="330"/>
      <c r="G952" s="331"/>
      <c r="H952" s="332"/>
      <c r="I952" s="572"/>
      <c r="J952" s="355"/>
      <c r="K952" s="355"/>
    </row>
    <row r="953" spans="2:14" ht="15">
      <c r="B953" s="334"/>
      <c r="C953" s="334"/>
      <c r="D953" s="335" t="s">
        <v>702</v>
      </c>
      <c r="E953" s="336"/>
      <c r="F953" s="337">
        <f>SUM(F951:F951)</f>
        <v>2500000</v>
      </c>
      <c r="G953" s="338"/>
      <c r="H953" s="339">
        <f>SUMPRODUCT(F951:F951,H951:H951)/F953</f>
        <v>3.4348450000000001</v>
      </c>
      <c r="I953" s="1134"/>
      <c r="K953" s="355"/>
      <c r="M953" s="1204">
        <f>K951</f>
        <v>1803944.9999999981</v>
      </c>
    </row>
    <row r="956" spans="2:14" ht="15">
      <c r="B956" s="320" t="s">
        <v>770</v>
      </c>
      <c r="C956" s="321"/>
      <c r="D956" s="322" t="s">
        <v>566</v>
      </c>
      <c r="E956" s="323" t="s">
        <v>567</v>
      </c>
      <c r="F956" s="324" t="s">
        <v>568</v>
      </c>
      <c r="G956" s="324" t="s">
        <v>701</v>
      </c>
      <c r="H956" s="325" t="s">
        <v>569</v>
      </c>
      <c r="I956" s="1133"/>
    </row>
    <row r="957" spans="2:14" ht="15">
      <c r="B957" s="326" t="s">
        <v>423</v>
      </c>
      <c r="C957" s="358" t="s">
        <v>565</v>
      </c>
      <c r="D957" s="841" t="s">
        <v>1234</v>
      </c>
      <c r="E957" s="329" t="s">
        <v>338</v>
      </c>
      <c r="F957" s="842">
        <v>9900000</v>
      </c>
      <c r="G957" s="841">
        <v>99.988</v>
      </c>
      <c r="H957" s="843">
        <v>6.0002199999999997</v>
      </c>
      <c r="I957" s="1136"/>
      <c r="J957" s="355"/>
      <c r="K957" s="355"/>
    </row>
    <row r="958" spans="2:14" ht="15">
      <c r="B958" s="326" t="s">
        <v>423</v>
      </c>
      <c r="C958" s="405" t="s">
        <v>565</v>
      </c>
      <c r="D958" s="841" t="s">
        <v>1234</v>
      </c>
      <c r="E958" s="329" t="s">
        <v>338</v>
      </c>
      <c r="F958" s="842">
        <v>1100000</v>
      </c>
      <c r="G958" s="841">
        <v>99.988</v>
      </c>
      <c r="H958" s="844">
        <v>6.0002199999999997</v>
      </c>
      <c r="I958" s="1136"/>
      <c r="J958" s="355"/>
      <c r="K958" s="355"/>
    </row>
    <row r="959" spans="2:14" ht="15">
      <c r="B959" s="326"/>
      <c r="C959" s="405"/>
      <c r="D959" s="328"/>
      <c r="E959" s="329"/>
      <c r="F959" s="330"/>
      <c r="G959" s="331"/>
      <c r="H959" s="332"/>
      <c r="I959" s="572"/>
      <c r="J959" s="355"/>
      <c r="K959" s="355"/>
    </row>
    <row r="960" spans="2:14" ht="15">
      <c r="B960" s="326"/>
      <c r="C960" s="405"/>
      <c r="D960" s="328"/>
      <c r="E960" s="329"/>
      <c r="F960" s="330"/>
      <c r="G960" s="331"/>
      <c r="H960" s="332"/>
      <c r="I960" s="572"/>
      <c r="J960" s="355"/>
      <c r="K960" s="355"/>
    </row>
    <row r="961" spans="2:13" ht="15">
      <c r="B961" s="334"/>
      <c r="C961" s="334"/>
      <c r="D961" s="335" t="s">
        <v>702</v>
      </c>
      <c r="E961" s="336"/>
      <c r="F961" s="337">
        <f>SUM(F957:F960)</f>
        <v>11000000</v>
      </c>
      <c r="G961" s="338"/>
      <c r="H961" s="339">
        <f>SUMPRODUCT(F957:F960,H957:H960)/F961</f>
        <v>6.0002199999999997</v>
      </c>
      <c r="I961" s="1134"/>
      <c r="K961" s="355"/>
      <c r="M961" s="1204"/>
    </row>
    <row r="964" spans="2:13" ht="15">
      <c r="B964" s="320" t="s">
        <v>770</v>
      </c>
      <c r="C964" s="321"/>
      <c r="D964" s="322" t="s">
        <v>566</v>
      </c>
      <c r="E964" s="323" t="s">
        <v>567</v>
      </c>
      <c r="F964" s="324" t="s">
        <v>568</v>
      </c>
      <c r="G964" s="324" t="s">
        <v>701</v>
      </c>
      <c r="H964" s="325" t="s">
        <v>569</v>
      </c>
      <c r="I964" s="1133"/>
    </row>
    <row r="965" spans="2:13" ht="15">
      <c r="B965" s="326" t="s">
        <v>424</v>
      </c>
      <c r="C965" s="358" t="s">
        <v>565</v>
      </c>
      <c r="D965" s="841" t="s">
        <v>1253</v>
      </c>
      <c r="E965" s="329" t="s">
        <v>338</v>
      </c>
      <c r="F965" s="842">
        <v>5000000</v>
      </c>
      <c r="G965" s="841">
        <v>86.144000000000005</v>
      </c>
      <c r="H965" s="843">
        <v>6.0021899999999997</v>
      </c>
      <c r="I965" s="1136"/>
      <c r="J965" s="355"/>
      <c r="K965" s="355"/>
    </row>
    <row r="966" spans="2:13" ht="15">
      <c r="B966" s="326"/>
      <c r="C966" s="405"/>
      <c r="D966" s="328"/>
      <c r="E966" s="329"/>
      <c r="F966" s="330"/>
      <c r="G966" s="331"/>
      <c r="H966" s="332"/>
      <c r="I966" s="572"/>
      <c r="J966" s="355"/>
      <c r="K966" s="355"/>
    </row>
    <row r="967" spans="2:13" ht="15">
      <c r="B967" s="334"/>
      <c r="C967" s="334"/>
      <c r="D967" s="335" t="s">
        <v>702</v>
      </c>
      <c r="E967" s="336"/>
      <c r="F967" s="337">
        <f>SUM(F965:F966)</f>
        <v>5000000</v>
      </c>
      <c r="G967" s="338"/>
      <c r="H967" s="339">
        <f>SUMPRODUCT(F965:F966,H965:H966)/F967</f>
        <v>6.0021899999999997</v>
      </c>
      <c r="I967" s="1134"/>
      <c r="K967" s="355"/>
      <c r="M967" s="1204"/>
    </row>
    <row r="970" spans="2:13" ht="15">
      <c r="B970" s="320" t="s">
        <v>770</v>
      </c>
      <c r="C970" s="845"/>
      <c r="D970" s="322" t="s">
        <v>566</v>
      </c>
      <c r="E970" s="323" t="s">
        <v>567</v>
      </c>
      <c r="F970" s="324" t="s">
        <v>568</v>
      </c>
      <c r="G970" s="324" t="s">
        <v>701</v>
      </c>
      <c r="H970" s="325" t="s">
        <v>569</v>
      </c>
      <c r="I970" s="1133"/>
    </row>
    <row r="971" spans="2:13" ht="15">
      <c r="B971" s="326" t="s">
        <v>424</v>
      </c>
      <c r="C971" s="358" t="s">
        <v>565</v>
      </c>
      <c r="D971" s="841" t="s">
        <v>1251</v>
      </c>
      <c r="E971" s="329" t="s">
        <v>338</v>
      </c>
      <c r="F971" s="842">
        <v>2000000</v>
      </c>
      <c r="G971" s="841">
        <v>95.353999999999999</v>
      </c>
      <c r="H971" s="843">
        <v>6.0102500000000001</v>
      </c>
      <c r="I971" s="1136"/>
      <c r="J971" s="355"/>
      <c r="K971" s="355"/>
    </row>
    <row r="972" spans="2:13" ht="15">
      <c r="B972" s="326" t="s">
        <v>424</v>
      </c>
      <c r="C972" s="405" t="s">
        <v>565</v>
      </c>
      <c r="D972" s="841" t="s">
        <v>1251</v>
      </c>
      <c r="E972" s="329" t="s">
        <v>338</v>
      </c>
      <c r="F972" s="842">
        <v>14000000</v>
      </c>
      <c r="G972" s="841">
        <v>95.355999999999995</v>
      </c>
      <c r="H972" s="844">
        <v>6.0101100000000001</v>
      </c>
      <c r="I972" s="1136"/>
      <c r="J972" s="355"/>
      <c r="K972" s="355"/>
    </row>
    <row r="973" spans="2:13" ht="15">
      <c r="B973" s="326" t="s">
        <v>424</v>
      </c>
      <c r="C973" s="405" t="s">
        <v>565</v>
      </c>
      <c r="D973" s="841" t="s">
        <v>1251</v>
      </c>
      <c r="E973" s="329" t="s">
        <v>338</v>
      </c>
      <c r="F973" s="842">
        <v>3000000</v>
      </c>
      <c r="G973" s="841">
        <v>95.427000000000007</v>
      </c>
      <c r="H973" s="844">
        <v>6.0000999999999998</v>
      </c>
      <c r="I973" s="1136"/>
      <c r="J973" s="355"/>
      <c r="K973" s="355"/>
    </row>
    <row r="974" spans="2:13" ht="15">
      <c r="B974" s="326" t="s">
        <v>425</v>
      </c>
      <c r="C974" s="405" t="s">
        <v>565</v>
      </c>
      <c r="D974" s="841" t="s">
        <v>1251</v>
      </c>
      <c r="E974" s="329" t="s">
        <v>338</v>
      </c>
      <c r="F974" s="842">
        <v>5000000</v>
      </c>
      <c r="G974" s="841">
        <v>95.384</v>
      </c>
      <c r="H974" s="844">
        <v>6.0061600000000004</v>
      </c>
      <c r="I974" s="1136"/>
      <c r="J974" s="355"/>
      <c r="K974" s="355"/>
    </row>
    <row r="975" spans="2:13" ht="15">
      <c r="B975" s="326" t="s">
        <v>425</v>
      </c>
      <c r="C975" s="405" t="s">
        <v>565</v>
      </c>
      <c r="D975" s="841" t="s">
        <v>1251</v>
      </c>
      <c r="E975" s="329" t="s">
        <v>338</v>
      </c>
      <c r="F975" s="842">
        <v>1000000</v>
      </c>
      <c r="G975" s="841">
        <v>95.355999999999995</v>
      </c>
      <c r="H975" s="844">
        <v>6.0101100000000001</v>
      </c>
      <c r="I975" s="1136"/>
      <c r="J975" s="355"/>
      <c r="K975" s="355"/>
    </row>
    <row r="976" spans="2:13" ht="15">
      <c r="B976" s="326"/>
      <c r="C976" s="405"/>
      <c r="D976" s="841"/>
      <c r="E976" s="329"/>
      <c r="F976" s="842"/>
      <c r="G976" s="841"/>
      <c r="H976" s="844"/>
      <c r="I976" s="1136"/>
      <c r="J976" s="355"/>
      <c r="K976" s="355"/>
    </row>
    <row r="977" spans="2:13" ht="15">
      <c r="B977" s="326"/>
      <c r="C977" s="405"/>
      <c r="D977" s="328"/>
      <c r="E977" s="329"/>
      <c r="F977" s="330"/>
      <c r="G977" s="331"/>
      <c r="H977" s="332"/>
      <c r="I977" s="572"/>
      <c r="J977" s="355"/>
      <c r="K977" s="355"/>
    </row>
    <row r="978" spans="2:13" ht="15">
      <c r="B978" s="334"/>
      <c r="C978" s="334"/>
      <c r="D978" s="335" t="s">
        <v>702</v>
      </c>
      <c r="E978" s="336"/>
      <c r="F978" s="337">
        <f>SUM(F971:F977)</f>
        <v>25000000</v>
      </c>
      <c r="G978" s="338"/>
      <c r="H978" s="339">
        <f>SUMPRODUCT(F971:F977,H971:H977)/F978</f>
        <v>6.0081300000000004</v>
      </c>
      <c r="I978" s="1134"/>
      <c r="K978" s="355"/>
      <c r="M978" s="1204"/>
    </row>
    <row r="981" spans="2:13" ht="15">
      <c r="B981" s="320" t="s">
        <v>770</v>
      </c>
      <c r="C981" s="845"/>
      <c r="D981" s="322" t="s">
        <v>566</v>
      </c>
      <c r="E981" s="323" t="s">
        <v>567</v>
      </c>
      <c r="F981" s="324" t="s">
        <v>568</v>
      </c>
      <c r="G981" s="324" t="s">
        <v>701</v>
      </c>
      <c r="H981" s="325" t="s">
        <v>569</v>
      </c>
      <c r="I981" s="1133"/>
    </row>
    <row r="982" spans="2:13" ht="15">
      <c r="B982" s="326" t="s">
        <v>423</v>
      </c>
      <c r="C982" s="358" t="s">
        <v>565</v>
      </c>
      <c r="D982" s="841" t="s">
        <v>711</v>
      </c>
      <c r="E982" s="329" t="s">
        <v>338</v>
      </c>
      <c r="F982" s="842">
        <v>2000000</v>
      </c>
      <c r="G982" s="841">
        <v>98.5</v>
      </c>
      <c r="H982" s="844">
        <v>7.0165100000000002</v>
      </c>
      <c r="I982" s="1136"/>
      <c r="J982" s="355"/>
      <c r="K982" s="355"/>
    </row>
    <row r="983" spans="2:13" ht="15">
      <c r="B983" s="326" t="s">
        <v>423</v>
      </c>
      <c r="C983" s="405" t="s">
        <v>565</v>
      </c>
      <c r="D983" s="841" t="s">
        <v>711</v>
      </c>
      <c r="E983" s="329" t="s">
        <v>338</v>
      </c>
      <c r="F983" s="842">
        <v>500000</v>
      </c>
      <c r="G983" s="841">
        <v>98.5</v>
      </c>
      <c r="H983" s="844">
        <v>7.0165100000000002</v>
      </c>
      <c r="I983" s="1136"/>
      <c r="J983" s="355"/>
      <c r="K983" s="355"/>
    </row>
    <row r="984" spans="2:13" ht="15">
      <c r="B984" s="326" t="s">
        <v>1058</v>
      </c>
      <c r="C984" s="405" t="s">
        <v>565</v>
      </c>
      <c r="D984" s="841" t="s">
        <v>711</v>
      </c>
      <c r="E984" s="329" t="s">
        <v>338</v>
      </c>
      <c r="F984" s="842">
        <v>2000000</v>
      </c>
      <c r="G984" s="841">
        <v>98</v>
      </c>
      <c r="H984" s="844">
        <v>7.1066700000000003</v>
      </c>
      <c r="I984" s="1136"/>
      <c r="J984" s="355"/>
      <c r="K984" s="355"/>
    </row>
    <row r="985" spans="2:13" ht="15">
      <c r="B985" s="326" t="s">
        <v>1058</v>
      </c>
      <c r="C985" s="405" t="s">
        <v>565</v>
      </c>
      <c r="D985" s="841" t="s">
        <v>711</v>
      </c>
      <c r="E985" s="329" t="s">
        <v>338</v>
      </c>
      <c r="F985" s="842">
        <v>2000000</v>
      </c>
      <c r="G985" s="841">
        <v>98</v>
      </c>
      <c r="H985" s="844">
        <v>7.1066700000000003</v>
      </c>
      <c r="I985" s="1136"/>
      <c r="J985" s="355"/>
      <c r="K985" s="355"/>
    </row>
    <row r="986" spans="2:13" ht="15">
      <c r="B986" s="326" t="s">
        <v>1058</v>
      </c>
      <c r="C986" s="405" t="s">
        <v>565</v>
      </c>
      <c r="D986" s="841" t="s">
        <v>711</v>
      </c>
      <c r="E986" s="329" t="s">
        <v>338</v>
      </c>
      <c r="F986" s="842">
        <v>4000000</v>
      </c>
      <c r="G986" s="841">
        <v>98.75</v>
      </c>
      <c r="H986" s="844">
        <v>6.9709649999999996</v>
      </c>
      <c r="I986" s="1136"/>
      <c r="J986" s="355"/>
      <c r="K986" s="355"/>
    </row>
    <row r="987" spans="2:13" ht="15">
      <c r="B987" s="326" t="s">
        <v>1058</v>
      </c>
      <c r="C987" s="405" t="s">
        <v>565</v>
      </c>
      <c r="D987" s="841" t="s">
        <v>711</v>
      </c>
      <c r="E987" s="329" t="s">
        <v>338</v>
      </c>
      <c r="F987" s="842">
        <v>2000000</v>
      </c>
      <c r="G987" s="841">
        <v>98.3</v>
      </c>
      <c r="H987" s="844">
        <v>7.0523360000000004</v>
      </c>
      <c r="I987" s="1136"/>
      <c r="J987" s="355"/>
      <c r="K987" s="355"/>
    </row>
    <row r="988" spans="2:13" ht="15">
      <c r="B988" s="326" t="s">
        <v>1058</v>
      </c>
      <c r="C988" s="365" t="s">
        <v>565</v>
      </c>
      <c r="D988" s="841" t="s">
        <v>711</v>
      </c>
      <c r="E988" s="329" t="s">
        <v>338</v>
      </c>
      <c r="F988" s="330">
        <v>2500000</v>
      </c>
      <c r="G988" s="841">
        <v>98.5</v>
      </c>
      <c r="H988" s="844">
        <v>7.0165100000000002</v>
      </c>
      <c r="I988" s="1136"/>
      <c r="J988" s="355"/>
      <c r="K988" s="355"/>
    </row>
    <row r="989" spans="2:13" ht="15">
      <c r="B989" s="334"/>
      <c r="C989" s="846"/>
      <c r="D989" s="335" t="s">
        <v>702</v>
      </c>
      <c r="E989" s="336"/>
      <c r="F989" s="337">
        <f>SUM(F982:F988)</f>
        <v>15000000</v>
      </c>
      <c r="G989" s="338"/>
      <c r="H989" s="339">
        <f>SUMPRODUCT(F982:F988,H982:H988)/F989</f>
        <v>7.0331841333333331</v>
      </c>
      <c r="I989" s="1134"/>
      <c r="K989" s="355"/>
      <c r="M989" s="1204"/>
    </row>
    <row r="992" spans="2:13" ht="15">
      <c r="B992" s="320" t="s">
        <v>770</v>
      </c>
      <c r="C992" s="845"/>
      <c r="D992" s="322" t="s">
        <v>566</v>
      </c>
      <c r="E992" s="323" t="s">
        <v>567</v>
      </c>
      <c r="F992" s="324" t="s">
        <v>568</v>
      </c>
      <c r="G992" s="324" t="s">
        <v>701</v>
      </c>
      <c r="H992" s="325" t="s">
        <v>569</v>
      </c>
      <c r="I992" s="1133"/>
    </row>
    <row r="993" spans="2:13" ht="15">
      <c r="B993" s="326" t="s">
        <v>423</v>
      </c>
      <c r="C993" s="358" t="s">
        <v>565</v>
      </c>
      <c r="D993" s="841" t="s">
        <v>78</v>
      </c>
      <c r="E993" s="329" t="s">
        <v>338</v>
      </c>
      <c r="F993" s="842">
        <v>6300000</v>
      </c>
      <c r="G993" s="841">
        <v>84.1</v>
      </c>
      <c r="H993" s="843">
        <v>6.9039200000000003</v>
      </c>
      <c r="I993" s="1136"/>
      <c r="J993" s="355"/>
      <c r="K993" s="355"/>
    </row>
    <row r="994" spans="2:13" ht="15">
      <c r="B994" s="326" t="s">
        <v>423</v>
      </c>
      <c r="C994" s="405" t="s">
        <v>565</v>
      </c>
      <c r="D994" s="841" t="s">
        <v>78</v>
      </c>
      <c r="E994" s="329" t="s">
        <v>338</v>
      </c>
      <c r="F994" s="842">
        <v>700000</v>
      </c>
      <c r="G994" s="841">
        <v>84.1</v>
      </c>
      <c r="H994" s="844">
        <v>6.9039200000000003</v>
      </c>
      <c r="I994" s="1136"/>
      <c r="J994" s="355"/>
      <c r="K994" s="355"/>
    </row>
    <row r="995" spans="2:13" ht="15">
      <c r="B995" s="326" t="s">
        <v>423</v>
      </c>
      <c r="C995" s="405" t="s">
        <v>565</v>
      </c>
      <c r="D995" s="841" t="s">
        <v>78</v>
      </c>
      <c r="E995" s="329" t="s">
        <v>338</v>
      </c>
      <c r="F995" s="842">
        <v>4500000</v>
      </c>
      <c r="G995" s="841">
        <v>84.5</v>
      </c>
      <c r="H995" s="844">
        <v>6.8374899999999998</v>
      </c>
      <c r="I995" s="1136"/>
      <c r="J995" s="355"/>
      <c r="K995" s="355"/>
    </row>
    <row r="996" spans="2:13" ht="15">
      <c r="B996" s="326" t="s">
        <v>423</v>
      </c>
      <c r="C996" s="405" t="s">
        <v>565</v>
      </c>
      <c r="D996" s="841" t="s">
        <v>78</v>
      </c>
      <c r="E996" s="329" t="s">
        <v>338</v>
      </c>
      <c r="F996" s="842">
        <v>500000</v>
      </c>
      <c r="G996" s="841">
        <v>84.5</v>
      </c>
      <c r="H996" s="844">
        <v>6.8374899999999998</v>
      </c>
      <c r="I996" s="1136"/>
      <c r="J996" s="355"/>
      <c r="K996" s="355"/>
    </row>
    <row r="997" spans="2:13" ht="15">
      <c r="B997" s="326" t="s">
        <v>423</v>
      </c>
      <c r="C997" s="405" t="s">
        <v>565</v>
      </c>
      <c r="D997" s="841" t="s">
        <v>78</v>
      </c>
      <c r="E997" s="329" t="s">
        <v>338</v>
      </c>
      <c r="F997" s="842">
        <v>3000000</v>
      </c>
      <c r="G997" s="841">
        <v>84.73</v>
      </c>
      <c r="H997" s="844">
        <v>6.80131</v>
      </c>
      <c r="I997" s="1136"/>
      <c r="J997" s="355"/>
      <c r="K997" s="355"/>
    </row>
    <row r="998" spans="2:13" ht="15">
      <c r="B998" s="326" t="s">
        <v>1058</v>
      </c>
      <c r="C998" s="405" t="s">
        <v>565</v>
      </c>
      <c r="D998" s="841" t="s">
        <v>78</v>
      </c>
      <c r="E998" s="329" t="s">
        <v>338</v>
      </c>
      <c r="F998" s="842">
        <v>5000000</v>
      </c>
      <c r="G998" s="841">
        <v>84.5</v>
      </c>
      <c r="H998" s="844">
        <v>6.8369400000000002</v>
      </c>
      <c r="I998" s="1136"/>
      <c r="J998" s="355"/>
      <c r="K998" s="355"/>
    </row>
    <row r="999" spans="2:13" ht="15">
      <c r="B999" s="326"/>
      <c r="C999" s="405"/>
      <c r="D999" s="328"/>
      <c r="E999" s="329"/>
      <c r="F999" s="330"/>
      <c r="G999" s="331"/>
      <c r="H999" s="332"/>
      <c r="I999" s="572"/>
      <c r="J999" s="355"/>
      <c r="K999" s="355"/>
    </row>
    <row r="1000" spans="2:13" ht="15">
      <c r="B1000" s="334"/>
      <c r="C1000" s="334"/>
      <c r="D1000" s="335" t="s">
        <v>702</v>
      </c>
      <c r="E1000" s="336"/>
      <c r="F1000" s="337">
        <f>SUM(F993:F999)</f>
        <v>20000000</v>
      </c>
      <c r="G1000" s="338"/>
      <c r="H1000" s="339">
        <f>SUMPRODUCT(F993:F999,H993:H999)/F1000</f>
        <v>6.8551760000000002</v>
      </c>
      <c r="I1000" s="1134"/>
      <c r="K1000" s="355"/>
      <c r="M1000" s="1204"/>
    </row>
    <row r="1003" spans="2:13" s="847" customFormat="1">
      <c r="M1003" s="1240"/>
    </row>
    <row r="1005" spans="2:13" ht="14.25">
      <c r="D1005" t="s">
        <v>1266</v>
      </c>
    </row>
    <row r="1006" spans="2:13" ht="15">
      <c r="B1006" s="320" t="s">
        <v>770</v>
      </c>
      <c r="C1006" s="321"/>
      <c r="D1006" s="322" t="s">
        <v>566</v>
      </c>
      <c r="E1006" s="323" t="s">
        <v>567</v>
      </c>
      <c r="F1006" s="324" t="s">
        <v>568</v>
      </c>
      <c r="G1006" s="324" t="s">
        <v>701</v>
      </c>
      <c r="H1006" s="325" t="s">
        <v>569</v>
      </c>
      <c r="I1006" s="1133"/>
      <c r="K1006" s="606"/>
    </row>
    <row r="1007" spans="2:13" ht="15">
      <c r="B1007" s="326" t="s">
        <v>423</v>
      </c>
      <c r="C1007" s="358" t="s">
        <v>565</v>
      </c>
      <c r="D1007" s="328" t="s">
        <v>1234</v>
      </c>
      <c r="E1007" s="329" t="s">
        <v>338</v>
      </c>
      <c r="F1007" s="404">
        <v>2700000</v>
      </c>
      <c r="G1007" s="861">
        <v>99.98</v>
      </c>
      <c r="H1007" s="862">
        <v>6.0020119999999997</v>
      </c>
      <c r="I1007" s="863"/>
      <c r="J1007" s="355"/>
      <c r="K1007" s="355"/>
    </row>
    <row r="1008" spans="2:13" ht="15">
      <c r="B1008" s="326" t="s">
        <v>423</v>
      </c>
      <c r="C1008" s="405" t="s">
        <v>565</v>
      </c>
      <c r="D1008" s="328" t="s">
        <v>1234</v>
      </c>
      <c r="E1008" s="329" t="s">
        <v>338</v>
      </c>
      <c r="F1008" s="330">
        <v>300000</v>
      </c>
      <c r="G1008" s="863">
        <v>99.98</v>
      </c>
      <c r="H1008" s="864">
        <v>6.0020119999999997</v>
      </c>
      <c r="I1008" s="863"/>
      <c r="J1008" s="355"/>
      <c r="K1008" s="355"/>
    </row>
    <row r="1009" spans="2:13" ht="15">
      <c r="B1009" s="334"/>
      <c r="C1009" s="334"/>
      <c r="D1009" s="335" t="s">
        <v>702</v>
      </c>
      <c r="E1009" s="336"/>
      <c r="F1009" s="337">
        <f>SUM(F1007:F1008)</f>
        <v>3000000</v>
      </c>
      <c r="G1009" s="856"/>
      <c r="H1009" s="865">
        <f>SUMPRODUCT(F1007:F1008,H1007:H1008)/F1009</f>
        <v>6.0020119999999997</v>
      </c>
      <c r="I1009" s="1137"/>
      <c r="K1009" s="355"/>
      <c r="M1009" s="1204"/>
    </row>
    <row r="1012" spans="2:13" ht="15">
      <c r="B1012" s="320" t="s">
        <v>770</v>
      </c>
      <c r="C1012" s="321"/>
      <c r="D1012" s="322" t="s">
        <v>566</v>
      </c>
      <c r="E1012" s="323" t="s">
        <v>567</v>
      </c>
      <c r="F1012" s="324" t="s">
        <v>568</v>
      </c>
      <c r="G1012" s="324" t="s">
        <v>701</v>
      </c>
      <c r="H1012" s="325" t="s">
        <v>569</v>
      </c>
      <c r="I1012" s="1133"/>
    </row>
    <row r="1013" spans="2:13" ht="15">
      <c r="B1013" s="326" t="s">
        <v>424</v>
      </c>
      <c r="C1013" s="358" t="s">
        <v>565</v>
      </c>
      <c r="D1013" s="841" t="s">
        <v>1251</v>
      </c>
      <c r="E1013" s="329" t="s">
        <v>338</v>
      </c>
      <c r="F1013" s="842">
        <v>3000000</v>
      </c>
      <c r="G1013" s="848">
        <v>95.69</v>
      </c>
      <c r="H1013" s="849">
        <v>5.9647899999999998</v>
      </c>
      <c r="I1013" s="1138"/>
      <c r="J1013" s="355"/>
      <c r="K1013" s="355"/>
    </row>
    <row r="1014" spans="2:13" ht="15">
      <c r="B1014" s="326" t="s">
        <v>424</v>
      </c>
      <c r="C1014" s="405" t="s">
        <v>565</v>
      </c>
      <c r="D1014" s="841" t="s">
        <v>1251</v>
      </c>
      <c r="E1014" s="329" t="s">
        <v>338</v>
      </c>
      <c r="F1014" s="842">
        <v>2000000</v>
      </c>
      <c r="G1014" s="848">
        <v>96.155000000000001</v>
      </c>
      <c r="H1014" s="850">
        <v>5.90008</v>
      </c>
      <c r="I1014" s="1138"/>
      <c r="J1014" s="355"/>
      <c r="K1014" s="355"/>
    </row>
    <row r="1015" spans="2:13" ht="15">
      <c r="B1015" s="326" t="s">
        <v>424</v>
      </c>
      <c r="C1015" s="405" t="s">
        <v>565</v>
      </c>
      <c r="D1015" s="328" t="s">
        <v>1251</v>
      </c>
      <c r="E1015" s="329" t="s">
        <v>338</v>
      </c>
      <c r="F1015" s="330">
        <v>2000000</v>
      </c>
      <c r="G1015" s="851">
        <v>96.084999999999994</v>
      </c>
      <c r="H1015" s="852">
        <v>5.9100200000000003</v>
      </c>
      <c r="I1015" s="851"/>
      <c r="J1015" s="355"/>
      <c r="K1015" s="355"/>
    </row>
    <row r="1016" spans="2:13" ht="15">
      <c r="B1016" s="326" t="s">
        <v>425</v>
      </c>
      <c r="C1016" s="405" t="s">
        <v>565</v>
      </c>
      <c r="D1016" s="328" t="s">
        <v>1251</v>
      </c>
      <c r="E1016" s="329" t="s">
        <v>338</v>
      </c>
      <c r="F1016" s="330">
        <v>3000000</v>
      </c>
      <c r="G1016" s="851">
        <v>96.155000000000001</v>
      </c>
      <c r="H1016" s="852">
        <v>5.90008</v>
      </c>
      <c r="I1016" s="851"/>
      <c r="J1016" s="355"/>
      <c r="K1016" s="355"/>
    </row>
    <row r="1017" spans="2:13" ht="15">
      <c r="B1017" s="334"/>
      <c r="C1017" s="334"/>
      <c r="D1017" s="335" t="s">
        <v>702</v>
      </c>
      <c r="E1017" s="336"/>
      <c r="F1017" s="337">
        <f>SUM(F1013:F1016)</f>
        <v>10000000</v>
      </c>
      <c r="G1017" s="856"/>
      <c r="H1017" s="857">
        <f>SUMPRODUCT(F1013:F1016,H1013:H1016)/F1017</f>
        <v>5.921481</v>
      </c>
      <c r="I1017" s="1139"/>
      <c r="K1017" s="355"/>
      <c r="M1017" s="1204"/>
    </row>
    <row r="1021" spans="2:13" ht="15">
      <c r="B1021" s="320" t="s">
        <v>770</v>
      </c>
      <c r="C1021" s="845"/>
      <c r="D1021" s="322" t="s">
        <v>566</v>
      </c>
      <c r="E1021" s="323" t="s">
        <v>567</v>
      </c>
      <c r="F1021" s="324" t="s">
        <v>568</v>
      </c>
      <c r="G1021" s="324" t="s">
        <v>701</v>
      </c>
      <c r="H1021" s="325" t="s">
        <v>569</v>
      </c>
      <c r="I1021" s="1133"/>
    </row>
    <row r="1022" spans="2:13" ht="15">
      <c r="B1022" s="326" t="s">
        <v>423</v>
      </c>
      <c r="C1022" s="358" t="s">
        <v>565</v>
      </c>
      <c r="D1022" s="841" t="s">
        <v>1267</v>
      </c>
      <c r="E1022" s="329" t="s">
        <v>338</v>
      </c>
      <c r="F1022" s="842">
        <v>428400000</v>
      </c>
      <c r="G1022" s="853">
        <v>100</v>
      </c>
      <c r="H1022" s="854">
        <v>6</v>
      </c>
      <c r="I1022" s="1140"/>
      <c r="J1022" s="355"/>
      <c r="K1022" s="355"/>
    </row>
    <row r="1023" spans="2:13" ht="15">
      <c r="B1023" s="326" t="s">
        <v>423</v>
      </c>
      <c r="C1023" s="405" t="s">
        <v>565</v>
      </c>
      <c r="D1023" s="841" t="s">
        <v>1267</v>
      </c>
      <c r="E1023" s="329" t="s">
        <v>338</v>
      </c>
      <c r="F1023" s="842">
        <v>47600000</v>
      </c>
      <c r="G1023" s="853">
        <v>100</v>
      </c>
      <c r="H1023" s="855">
        <v>6</v>
      </c>
      <c r="I1023" s="1140"/>
      <c r="J1023" s="355"/>
      <c r="K1023" s="355"/>
    </row>
    <row r="1024" spans="2:13" ht="15">
      <c r="B1024" s="326" t="s">
        <v>424</v>
      </c>
      <c r="C1024" s="405" t="s">
        <v>565</v>
      </c>
      <c r="D1024" s="841" t="s">
        <v>1267</v>
      </c>
      <c r="E1024" s="329" t="s">
        <v>338</v>
      </c>
      <c r="F1024" s="842">
        <v>24000000</v>
      </c>
      <c r="G1024" s="853">
        <v>100</v>
      </c>
      <c r="H1024" s="855">
        <v>6</v>
      </c>
      <c r="I1024" s="1140"/>
      <c r="J1024" s="355"/>
      <c r="K1024" s="355"/>
    </row>
    <row r="1025" spans="2:13" ht="15">
      <c r="B1025" s="334"/>
      <c r="C1025" s="334"/>
      <c r="D1025" s="335" t="s">
        <v>702</v>
      </c>
      <c r="E1025" s="336"/>
      <c r="F1025" s="337">
        <f>SUM(F1022:F1024)</f>
        <v>500000000</v>
      </c>
      <c r="G1025" s="856"/>
      <c r="H1025" s="857">
        <f>SUMPRODUCT(F1022:F1024,H1022:H1024)/F1025</f>
        <v>6</v>
      </c>
      <c r="I1025" s="1139"/>
      <c r="J1025" s="355"/>
      <c r="K1025" s="355"/>
    </row>
    <row r="1026" spans="2:13">
      <c r="G1026" s="858"/>
      <c r="H1026" s="858"/>
      <c r="I1026" s="858"/>
      <c r="J1026" s="355"/>
      <c r="K1026" s="355"/>
    </row>
    <row r="1027" spans="2:13">
      <c r="G1027" s="858"/>
      <c r="H1027" s="858"/>
      <c r="I1027" s="858"/>
      <c r="J1027" s="355"/>
      <c r="K1027" s="355"/>
    </row>
    <row r="1028" spans="2:13" ht="15">
      <c r="B1028" s="320" t="s">
        <v>770</v>
      </c>
      <c r="C1028" s="845"/>
      <c r="D1028" s="322" t="s">
        <v>566</v>
      </c>
      <c r="E1028" s="323" t="s">
        <v>567</v>
      </c>
      <c r="F1028" s="324" t="s">
        <v>568</v>
      </c>
      <c r="G1028" s="859" t="s">
        <v>701</v>
      </c>
      <c r="H1028" s="860" t="s">
        <v>569</v>
      </c>
      <c r="I1028" s="1141"/>
    </row>
    <row r="1029" spans="2:13" ht="15">
      <c r="B1029" s="326" t="s">
        <v>423</v>
      </c>
      <c r="C1029" s="358" t="s">
        <v>565</v>
      </c>
      <c r="D1029" s="841" t="s">
        <v>711</v>
      </c>
      <c r="E1029" s="329" t="s">
        <v>338</v>
      </c>
      <c r="F1029" s="842">
        <v>2500000</v>
      </c>
      <c r="G1029" s="853">
        <v>98.875</v>
      </c>
      <c r="H1029" s="854">
        <v>6.9490400000000001</v>
      </c>
      <c r="I1029" s="1140"/>
      <c r="J1029" s="355"/>
      <c r="K1029" s="355"/>
    </row>
    <row r="1030" spans="2:13" ht="15">
      <c r="B1030" s="326" t="s">
        <v>423</v>
      </c>
      <c r="C1030" s="405" t="s">
        <v>565</v>
      </c>
      <c r="D1030" s="841" t="s">
        <v>711</v>
      </c>
      <c r="E1030" s="329" t="s">
        <v>338</v>
      </c>
      <c r="F1030" s="842">
        <v>500000</v>
      </c>
      <c r="G1030" s="853">
        <v>98.875</v>
      </c>
      <c r="H1030" s="855">
        <v>6.9490400000000001</v>
      </c>
      <c r="I1030" s="1140"/>
      <c r="J1030" s="355"/>
      <c r="K1030" s="355"/>
    </row>
    <row r="1031" spans="2:13" ht="15">
      <c r="B1031" s="334"/>
      <c r="C1031" s="334"/>
      <c r="D1031" s="335" t="s">
        <v>702</v>
      </c>
      <c r="E1031" s="336"/>
      <c r="F1031" s="337">
        <f>SUM(F1029:F1030)</f>
        <v>3000000</v>
      </c>
      <c r="G1031" s="856"/>
      <c r="H1031" s="857">
        <f>SUMPRODUCT(F1029:F1030,H1029:H1030)/F1031</f>
        <v>6.9490400000000001</v>
      </c>
      <c r="I1031" s="1139"/>
      <c r="J1031" s="355"/>
      <c r="K1031" s="355"/>
    </row>
    <row r="1032" spans="2:13">
      <c r="J1032" s="355"/>
      <c r="K1032" s="355"/>
    </row>
    <row r="1034" spans="2:13" s="490" customFormat="1">
      <c r="M1034" s="1235"/>
    </row>
    <row r="1035" spans="2:13" ht="14.25">
      <c r="D1035" t="s">
        <v>1273</v>
      </c>
    </row>
    <row r="1036" spans="2:13" ht="15">
      <c r="B1036" s="320" t="s">
        <v>770</v>
      </c>
      <c r="C1036" s="845"/>
      <c r="D1036" s="322" t="s">
        <v>566</v>
      </c>
      <c r="E1036" s="323" t="s">
        <v>567</v>
      </c>
      <c r="F1036" s="324" t="s">
        <v>568</v>
      </c>
      <c r="G1036" s="859" t="s">
        <v>701</v>
      </c>
      <c r="H1036" s="860" t="s">
        <v>569</v>
      </c>
      <c r="I1036" s="1141"/>
      <c r="K1036" s="606">
        <v>7.8</v>
      </c>
    </row>
    <row r="1037" spans="2:13" ht="15">
      <c r="B1037" s="326" t="s">
        <v>425</v>
      </c>
      <c r="C1037" s="358" t="s">
        <v>19</v>
      </c>
      <c r="D1037" s="841" t="s">
        <v>1268</v>
      </c>
      <c r="E1037" s="329" t="s">
        <v>338</v>
      </c>
      <c r="F1037" s="842">
        <v>1000000</v>
      </c>
      <c r="G1037" s="853">
        <v>105.718</v>
      </c>
      <c r="H1037" s="854">
        <v>0.86778</v>
      </c>
      <c r="I1037" s="1140"/>
      <c r="J1037" s="355">
        <f>(G1037-97.638)*F1037/100</f>
        <v>80799.999999999985</v>
      </c>
      <c r="K1037" s="355">
        <f>J1037*K1036</f>
        <v>630239.99999999988</v>
      </c>
      <c r="M1037" s="1142" t="s">
        <v>196</v>
      </c>
    </row>
    <row r="1038" spans="2:13" ht="15">
      <c r="B1038" s="326"/>
      <c r="C1038" s="405"/>
      <c r="D1038" s="841"/>
      <c r="E1038" s="329"/>
      <c r="F1038" s="842"/>
      <c r="G1038" s="853"/>
      <c r="H1038" s="855"/>
      <c r="I1038" s="1140"/>
      <c r="J1038" s="355"/>
      <c r="K1038" s="355"/>
    </row>
    <row r="1039" spans="2:13" ht="15">
      <c r="B1039" s="334"/>
      <c r="C1039" s="334"/>
      <c r="D1039" s="335" t="s">
        <v>702</v>
      </c>
      <c r="E1039" s="336"/>
      <c r="F1039" s="337">
        <f>SUM(F1037:F1038)</f>
        <v>1000000</v>
      </c>
      <c r="G1039" s="856"/>
      <c r="H1039" s="857">
        <f>SUMPRODUCT(F1037:F1038,H1037:H1038)/F1039</f>
        <v>0.86778</v>
      </c>
      <c r="I1039" s="1139"/>
      <c r="K1039" s="355"/>
      <c r="M1039" s="1204">
        <f>K1037+M953</f>
        <v>2434184.9999999981</v>
      </c>
    </row>
    <row r="1042" spans="2:13" ht="15">
      <c r="B1042" s="320" t="s">
        <v>770</v>
      </c>
      <c r="C1042" s="845"/>
      <c r="D1042" s="322" t="s">
        <v>566</v>
      </c>
      <c r="E1042" s="323" t="s">
        <v>567</v>
      </c>
      <c r="F1042" s="324" t="s">
        <v>568</v>
      </c>
      <c r="G1042" s="859" t="s">
        <v>701</v>
      </c>
      <c r="H1042" s="860" t="s">
        <v>569</v>
      </c>
      <c r="I1042" s="1141"/>
      <c r="K1042" s="606"/>
    </row>
    <row r="1043" spans="2:13" ht="15">
      <c r="B1043" s="326" t="s">
        <v>423</v>
      </c>
      <c r="C1043" s="358" t="s">
        <v>565</v>
      </c>
      <c r="D1043" s="64" t="s">
        <v>1274</v>
      </c>
      <c r="E1043" s="329" t="s">
        <v>1166</v>
      </c>
      <c r="F1043" s="842">
        <v>1800000000</v>
      </c>
      <c r="G1043" s="853">
        <v>100</v>
      </c>
      <c r="H1043" s="854">
        <v>5.9989999999999997</v>
      </c>
      <c r="I1043" s="1140"/>
      <c r="J1043" s="355"/>
      <c r="K1043" s="355"/>
    </row>
    <row r="1044" spans="2:13" ht="15">
      <c r="B1044" s="326" t="s">
        <v>423</v>
      </c>
      <c r="C1044" s="405" t="s">
        <v>565</v>
      </c>
      <c r="D1044" s="64" t="s">
        <v>1274</v>
      </c>
      <c r="E1044" s="329" t="s">
        <v>1166</v>
      </c>
      <c r="F1044" s="842">
        <v>200000000</v>
      </c>
      <c r="G1044" s="853">
        <v>100</v>
      </c>
      <c r="H1044" s="855">
        <v>5.9989999999999997</v>
      </c>
      <c r="I1044" s="1140"/>
      <c r="J1044" s="355"/>
      <c r="K1044" s="355"/>
    </row>
    <row r="1045" spans="2:13" ht="15">
      <c r="B1045" s="334"/>
      <c r="C1045" s="334"/>
      <c r="D1045" s="335" t="s">
        <v>702</v>
      </c>
      <c r="E1045" s="336"/>
      <c r="F1045" s="337">
        <f>SUM(F1043:F1044)</f>
        <v>2000000000</v>
      </c>
      <c r="G1045" s="856"/>
      <c r="H1045" s="857">
        <f>SUMPRODUCT(F1043:F1044,H1043:H1044)/F1045</f>
        <v>5.9989999999999997</v>
      </c>
      <c r="I1045" s="1139"/>
      <c r="K1045" s="355"/>
      <c r="M1045" s="1204"/>
    </row>
    <row r="1048" spans="2:13" s="490" customFormat="1">
      <c r="M1048" s="1235"/>
    </row>
    <row r="1050" spans="2:13" ht="14.25">
      <c r="D1050" t="s">
        <v>1294</v>
      </c>
    </row>
    <row r="1051" spans="2:13" ht="15">
      <c r="B1051" s="320" t="s">
        <v>770</v>
      </c>
      <c r="C1051" s="321"/>
      <c r="D1051" s="322" t="s">
        <v>566</v>
      </c>
      <c r="E1051" s="323" t="s">
        <v>567</v>
      </c>
      <c r="F1051" s="324" t="s">
        <v>568</v>
      </c>
      <c r="G1051" s="324" t="s">
        <v>701</v>
      </c>
      <c r="H1051" s="325" t="s">
        <v>569</v>
      </c>
      <c r="I1051" s="1133"/>
      <c r="J1051" t="s">
        <v>1283</v>
      </c>
      <c r="K1051">
        <v>7.8</v>
      </c>
    </row>
    <row r="1052" spans="2:13" ht="15">
      <c r="B1052" s="326" t="s">
        <v>513</v>
      </c>
      <c r="C1052" s="358" t="s">
        <v>994</v>
      </c>
      <c r="D1052" s="328" t="s">
        <v>667</v>
      </c>
      <c r="E1052" s="329" t="s">
        <v>338</v>
      </c>
      <c r="F1052" s="404">
        <v>3000000</v>
      </c>
      <c r="G1052" s="421">
        <v>92.25</v>
      </c>
      <c r="H1052" s="422">
        <v>5.4658059999999997</v>
      </c>
      <c r="I1052" s="572"/>
      <c r="J1052" s="355">
        <f>(G1052-91.88)*F1052/100</f>
        <v>11100.000000000138</v>
      </c>
      <c r="K1052" s="355">
        <f>J1052*$K$799</f>
        <v>86580.000000001077</v>
      </c>
      <c r="M1052" s="1142" t="s">
        <v>196</v>
      </c>
    </row>
    <row r="1053" spans="2:13" ht="15">
      <c r="B1053" s="326" t="s">
        <v>513</v>
      </c>
      <c r="C1053" s="405" t="s">
        <v>994</v>
      </c>
      <c r="D1053" s="328" t="s">
        <v>667</v>
      </c>
      <c r="E1053" s="329" t="s">
        <v>338</v>
      </c>
      <c r="F1053" s="330">
        <v>7000000</v>
      </c>
      <c r="G1053" s="331">
        <v>92.3</v>
      </c>
      <c r="H1053" s="332">
        <v>5.4592679999999998</v>
      </c>
      <c r="I1053" s="572"/>
      <c r="J1053" s="355">
        <f>(G1053-91.88)*F1053/100</f>
        <v>29400.00000000012</v>
      </c>
      <c r="K1053" s="355">
        <f t="shared" ref="K1053:K1054" si="2">J1053*$K$799</f>
        <v>229320.00000000093</v>
      </c>
    </row>
    <row r="1054" spans="2:13" ht="15">
      <c r="B1054" s="326" t="s">
        <v>513</v>
      </c>
      <c r="C1054" s="405" t="s">
        <v>994</v>
      </c>
      <c r="D1054" s="328" t="s">
        <v>667</v>
      </c>
      <c r="E1054" s="329" t="s">
        <v>338</v>
      </c>
      <c r="F1054" s="330">
        <v>2000000</v>
      </c>
      <c r="G1054" s="331">
        <v>93</v>
      </c>
      <c r="H1054" s="332">
        <v>5.4592679999999998</v>
      </c>
      <c r="I1054" s="572"/>
      <c r="J1054" s="355">
        <f>(G1054-91.88)*F1054/100</f>
        <v>22400.000000000095</v>
      </c>
      <c r="K1054" s="355">
        <f t="shared" si="2"/>
        <v>174720.00000000073</v>
      </c>
    </row>
    <row r="1055" spans="2:13" ht="15">
      <c r="B1055" s="326" t="s">
        <v>513</v>
      </c>
      <c r="C1055" s="405" t="s">
        <v>994</v>
      </c>
      <c r="D1055" s="328" t="s">
        <v>667</v>
      </c>
      <c r="E1055" s="329" t="s">
        <v>338</v>
      </c>
      <c r="F1055" s="330">
        <v>5000000</v>
      </c>
      <c r="G1055" s="331">
        <v>93.3</v>
      </c>
      <c r="H1055" s="332">
        <v>5.3131620000000002</v>
      </c>
      <c r="I1055" s="572"/>
      <c r="J1055" s="355">
        <f>(G1055-91.88)*F1055/100</f>
        <v>71000.000000000087</v>
      </c>
      <c r="K1055" s="355">
        <f>J1055*$K$799</f>
        <v>553800.0000000007</v>
      </c>
    </row>
    <row r="1056" spans="2:13" ht="15">
      <c r="B1056" s="326" t="s">
        <v>513</v>
      </c>
      <c r="C1056" s="405" t="s">
        <v>994</v>
      </c>
      <c r="D1056" s="328" t="s">
        <v>667</v>
      </c>
      <c r="E1056" s="329" t="s">
        <v>338</v>
      </c>
      <c r="F1056" s="330">
        <v>3000000</v>
      </c>
      <c r="G1056" s="331">
        <v>92.8</v>
      </c>
      <c r="H1056" s="332">
        <v>5.3864049999999999</v>
      </c>
      <c r="I1056" s="572"/>
      <c r="J1056" s="355">
        <f>(G1056-91.88)*F1056/100</f>
        <v>27600.000000000051</v>
      </c>
      <c r="K1056" s="355">
        <f>J1056*$K$799</f>
        <v>215280.00000000038</v>
      </c>
    </row>
    <row r="1057" spans="2:13" ht="15">
      <c r="B1057" s="334"/>
      <c r="C1057" s="334"/>
      <c r="D1057" s="335" t="s">
        <v>702</v>
      </c>
      <c r="E1057" s="336"/>
      <c r="F1057" s="337">
        <f>SUM(F1052:F1056)</f>
        <v>20000000</v>
      </c>
      <c r="G1057" s="356">
        <f>SUMPRODUCT(F1052:F1056,G1052:G1056)/F1057</f>
        <v>92.6875</v>
      </c>
      <c r="H1057" s="356">
        <f>SUMPRODUCT(F1052:F1056,H1052:H1056)/F1057</f>
        <v>5.4127927500000004</v>
      </c>
      <c r="I1057" s="1135"/>
      <c r="K1057" s="355"/>
      <c r="M1057" s="1204">
        <f>M1039+K1052+K1053+K1054+K1055+K1056</f>
        <v>3693885.0000000023</v>
      </c>
    </row>
    <row r="1059" spans="2:13">
      <c r="K1059" s="355"/>
    </row>
    <row r="1060" spans="2:13" ht="15">
      <c r="B1060" s="320" t="s">
        <v>770</v>
      </c>
      <c r="C1060" s="321"/>
      <c r="D1060" s="322" t="s">
        <v>566</v>
      </c>
      <c r="E1060" s="323" t="s">
        <v>567</v>
      </c>
      <c r="F1060" s="324" t="s">
        <v>568</v>
      </c>
      <c r="G1060" s="324" t="s">
        <v>701</v>
      </c>
      <c r="H1060" s="325" t="s">
        <v>569</v>
      </c>
      <c r="I1060" s="1133"/>
    </row>
    <row r="1061" spans="2:13" ht="15">
      <c r="B1061" s="326" t="s">
        <v>513</v>
      </c>
      <c r="C1061" s="358" t="s">
        <v>565</v>
      </c>
      <c r="D1061" s="328" t="s">
        <v>1284</v>
      </c>
      <c r="E1061" s="329" t="s">
        <v>338</v>
      </c>
      <c r="F1061" s="404">
        <v>50000000</v>
      </c>
      <c r="G1061" s="421">
        <v>100</v>
      </c>
      <c r="H1061" s="422">
        <v>7.25</v>
      </c>
      <c r="I1061" s="572"/>
      <c r="J1061" s="355"/>
      <c r="K1061" s="355"/>
    </row>
    <row r="1062" spans="2:13" ht="15">
      <c r="B1062" s="326"/>
      <c r="C1062" s="405"/>
      <c r="D1062" s="328"/>
      <c r="E1062" s="329"/>
      <c r="F1062" s="330"/>
      <c r="G1062" s="331"/>
      <c r="H1062" s="332"/>
      <c r="I1062" s="572"/>
      <c r="J1062" s="355"/>
      <c r="K1062" s="355"/>
    </row>
    <row r="1063" spans="2:13" ht="15">
      <c r="B1063" s="334"/>
      <c r="C1063" s="334"/>
      <c r="D1063" s="335" t="s">
        <v>702</v>
      </c>
      <c r="E1063" s="336"/>
      <c r="F1063" s="337">
        <f>SUM(F1061:F1062)</f>
        <v>50000000</v>
      </c>
      <c r="G1063" s="338"/>
      <c r="H1063" s="356">
        <f>SUMPRODUCT(F1061:F1062,H1061:H1062)/F1063</f>
        <v>7.25</v>
      </c>
      <c r="I1063" s="1135"/>
      <c r="K1063" s="355"/>
      <c r="M1063" s="1204"/>
    </row>
    <row r="1066" spans="2:13" ht="15">
      <c r="B1066" s="320" t="s">
        <v>770</v>
      </c>
      <c r="C1066" s="321"/>
      <c r="D1066" s="322" t="s">
        <v>566</v>
      </c>
      <c r="E1066" s="323" t="s">
        <v>567</v>
      </c>
      <c r="F1066" s="324" t="s">
        <v>568</v>
      </c>
      <c r="G1066" s="324" t="s">
        <v>701</v>
      </c>
      <c r="H1066" s="325" t="s">
        <v>569</v>
      </c>
      <c r="I1066" s="1133"/>
    </row>
    <row r="1067" spans="2:13" ht="15">
      <c r="B1067" s="326" t="s">
        <v>423</v>
      </c>
      <c r="C1067" s="358" t="s">
        <v>565</v>
      </c>
      <c r="D1067" s="328" t="s">
        <v>1289</v>
      </c>
      <c r="E1067" s="329" t="s">
        <v>338</v>
      </c>
      <c r="F1067" s="404">
        <v>28000000</v>
      </c>
      <c r="G1067" s="421">
        <v>99.554000000000002</v>
      </c>
      <c r="H1067" s="422">
        <v>6.0099799999999997</v>
      </c>
      <c r="I1067" s="572"/>
      <c r="J1067" s="355"/>
      <c r="K1067" s="355"/>
    </row>
    <row r="1068" spans="2:13" ht="15">
      <c r="B1068" s="326" t="s">
        <v>1058</v>
      </c>
      <c r="C1068" s="405" t="s">
        <v>565</v>
      </c>
      <c r="D1068" s="328" t="s">
        <v>1289</v>
      </c>
      <c r="E1068" s="329" t="s">
        <v>338</v>
      </c>
      <c r="F1068" s="330">
        <v>5000000</v>
      </c>
      <c r="G1068" s="331">
        <v>99.554000000000002</v>
      </c>
      <c r="H1068" s="332">
        <v>6.0099799999999997</v>
      </c>
      <c r="I1068" s="572"/>
      <c r="J1068" s="355"/>
      <c r="K1068" s="355"/>
    </row>
    <row r="1069" spans="2:13" ht="15">
      <c r="B1069" s="326" t="s">
        <v>425</v>
      </c>
      <c r="C1069" s="405" t="s">
        <v>565</v>
      </c>
      <c r="D1069" s="328" t="s">
        <v>1289</v>
      </c>
      <c r="E1069" s="329" t="s">
        <v>338</v>
      </c>
      <c r="F1069" s="330">
        <v>12000000</v>
      </c>
      <c r="G1069" s="331">
        <v>99.554000000000002</v>
      </c>
      <c r="H1069" s="332">
        <v>6.0099799999999997</v>
      </c>
      <c r="I1069" s="572"/>
      <c r="J1069" s="355"/>
      <c r="K1069" s="355"/>
    </row>
    <row r="1070" spans="2:13" ht="15">
      <c r="B1070" s="326"/>
      <c r="C1070" s="405"/>
      <c r="D1070" s="328"/>
      <c r="E1070" s="329"/>
      <c r="F1070" s="330"/>
      <c r="G1070" s="331"/>
      <c r="H1070" s="332"/>
      <c r="I1070" s="572"/>
      <c r="J1070" s="355"/>
      <c r="K1070" s="355"/>
    </row>
    <row r="1071" spans="2:13" ht="15">
      <c r="B1071" s="334"/>
      <c r="C1071" s="334"/>
      <c r="D1071" s="335" t="s">
        <v>702</v>
      </c>
      <c r="E1071" s="336"/>
      <c r="F1071" s="337">
        <f>SUM(F1067:F1070)</f>
        <v>45000000</v>
      </c>
      <c r="G1071" s="338"/>
      <c r="H1071" s="356">
        <f>SUMPRODUCT(F1067:F1070,H1067:H1070)/F1071</f>
        <v>6.0099799999999997</v>
      </c>
      <c r="I1071" s="1135"/>
      <c r="K1071" s="355"/>
      <c r="M1071" s="1204"/>
    </row>
    <row r="1074" spans="2:13" s="490" customFormat="1">
      <c r="M1074" s="1235"/>
    </row>
    <row r="1075" spans="2:13">
      <c r="D1075" t="s">
        <v>1299</v>
      </c>
    </row>
    <row r="1076" spans="2:13" ht="15">
      <c r="B1076" s="320" t="s">
        <v>770</v>
      </c>
      <c r="C1076" s="321"/>
      <c r="D1076" s="322" t="s">
        <v>566</v>
      </c>
      <c r="E1076" s="323" t="s">
        <v>567</v>
      </c>
      <c r="F1076" s="324" t="s">
        <v>568</v>
      </c>
      <c r="G1076" s="324" t="s">
        <v>701</v>
      </c>
      <c r="H1076" s="325" t="s">
        <v>569</v>
      </c>
      <c r="I1076" s="1133"/>
      <c r="K1076">
        <v>1.24</v>
      </c>
      <c r="M1076" s="1142" t="s">
        <v>196</v>
      </c>
    </row>
    <row r="1077" spans="2:13" ht="15">
      <c r="B1077" s="326" t="s">
        <v>423</v>
      </c>
      <c r="C1077" s="358" t="s">
        <v>994</v>
      </c>
      <c r="D1077" s="328" t="s">
        <v>912</v>
      </c>
      <c r="E1077" s="329" t="s">
        <v>267</v>
      </c>
      <c r="F1077" s="404">
        <v>90000000</v>
      </c>
      <c r="G1077" s="421">
        <v>102.5</v>
      </c>
      <c r="H1077" s="422">
        <v>3.7679999999999998</v>
      </c>
      <c r="I1077" s="572"/>
      <c r="J1077" s="355">
        <f>(G1077-100)*F1077/100</f>
        <v>2250000</v>
      </c>
      <c r="K1077" s="355">
        <f>J1077*$K$1076</f>
        <v>2790000</v>
      </c>
    </row>
    <row r="1078" spans="2:13" ht="15">
      <c r="B1078" s="326" t="s">
        <v>423</v>
      </c>
      <c r="C1078" s="405" t="s">
        <v>994</v>
      </c>
      <c r="D1078" s="328" t="s">
        <v>912</v>
      </c>
      <c r="E1078" s="329" t="s">
        <v>267</v>
      </c>
      <c r="F1078" s="330">
        <v>10000000</v>
      </c>
      <c r="G1078" s="331">
        <v>102.5</v>
      </c>
      <c r="H1078" s="332">
        <v>3.7679999999999998</v>
      </c>
      <c r="I1078" s="572"/>
      <c r="J1078" s="355">
        <f>(G1078-100)*F1078/100</f>
        <v>250000</v>
      </c>
      <c r="K1078" s="355">
        <f>J1078*$K$1076</f>
        <v>310000</v>
      </c>
    </row>
    <row r="1079" spans="2:13" ht="15">
      <c r="B1079" s="326"/>
      <c r="C1079" s="405"/>
      <c r="D1079" s="328"/>
      <c r="E1079" s="329"/>
      <c r="F1079" s="330"/>
      <c r="G1079" s="331"/>
      <c r="H1079" s="332"/>
      <c r="I1079" s="572"/>
      <c r="J1079" s="355"/>
      <c r="K1079" s="355"/>
    </row>
    <row r="1080" spans="2:13" ht="15">
      <c r="B1080" s="334"/>
      <c r="C1080" s="334"/>
      <c r="D1080" s="335" t="s">
        <v>702</v>
      </c>
      <c r="E1080" s="336"/>
      <c r="F1080" s="337">
        <f>SUM(F1077:F1079)</f>
        <v>100000000</v>
      </c>
      <c r="G1080" s="1045">
        <f>SUMPRODUCT(F1077:F1079,G1077:G1079)/F1080</f>
        <v>102.5</v>
      </c>
      <c r="H1080" s="356">
        <f>SUMPRODUCT(F1077:F1079,H1077:H1079)/F1080</f>
        <v>3.7679999999999998</v>
      </c>
      <c r="I1080" s="1135"/>
      <c r="K1080" s="355"/>
    </row>
    <row r="1081" spans="2:13">
      <c r="M1081" s="1204">
        <f>K1077+K1078+M1057</f>
        <v>6793885.0000000019</v>
      </c>
    </row>
    <row r="1083" spans="2:13" s="490" customFormat="1">
      <c r="M1083" s="1235"/>
    </row>
    <row r="1085" spans="2:13">
      <c r="D1085" t="s">
        <v>1314</v>
      </c>
    </row>
    <row r="1089" spans="2:15" s="490" customFormat="1">
      <c r="M1089" s="1235"/>
    </row>
    <row r="1090" spans="2:15">
      <c r="D1090" t="s">
        <v>1322</v>
      </c>
      <c r="K1090" s="64"/>
    </row>
    <row r="1091" spans="2:15" ht="15">
      <c r="B1091" s="320" t="s">
        <v>770</v>
      </c>
      <c r="C1091" s="321"/>
      <c r="D1091" s="322" t="s">
        <v>566</v>
      </c>
      <c r="E1091" s="323" t="s">
        <v>567</v>
      </c>
      <c r="F1091" s="324" t="s">
        <v>568</v>
      </c>
      <c r="G1091" s="324" t="s">
        <v>701</v>
      </c>
      <c r="H1091" s="325" t="s">
        <v>569</v>
      </c>
      <c r="I1091" s="1133"/>
      <c r="J1091" t="s">
        <v>1283</v>
      </c>
      <c r="K1091" s="64">
        <v>7.8</v>
      </c>
      <c r="M1091" s="1142" t="s">
        <v>196</v>
      </c>
      <c r="N1091" t="s">
        <v>1321</v>
      </c>
    </row>
    <row r="1092" spans="2:15" ht="15">
      <c r="B1092" s="326" t="s">
        <v>513</v>
      </c>
      <c r="C1092" s="358" t="s">
        <v>994</v>
      </c>
      <c r="D1092" s="402" t="s">
        <v>711</v>
      </c>
      <c r="E1092" s="403" t="s">
        <v>338</v>
      </c>
      <c r="F1092" s="404">
        <v>2000000</v>
      </c>
      <c r="G1092" s="421">
        <v>106.25</v>
      </c>
      <c r="H1092" s="422">
        <v>5.6216400000000002</v>
      </c>
      <c r="I1092" s="1221">
        <v>2159500</v>
      </c>
      <c r="J1092" s="355">
        <f>(G1092-99.56)*F1092/100</f>
        <v>133799.99999999997</v>
      </c>
      <c r="K1092" s="496">
        <f>J1092*$K$1091</f>
        <v>1043639.9999999998</v>
      </c>
      <c r="N1092" s="355">
        <f>SUM(J1092:J1096,J1101:J1105,J1109:J1113,)</f>
        <v>699486.14280000003</v>
      </c>
      <c r="O1092" s="355">
        <f>SUM(K1092:K1096,K1101:K1105,K1109:K1113,)</f>
        <v>5455991.9138399996</v>
      </c>
    </row>
    <row r="1093" spans="2:15" ht="15">
      <c r="B1093" s="326" t="s">
        <v>513</v>
      </c>
      <c r="C1093" s="405" t="s">
        <v>994</v>
      </c>
      <c r="D1093" s="328" t="s">
        <v>711</v>
      </c>
      <c r="E1093" s="329" t="s">
        <v>338</v>
      </c>
      <c r="F1093" s="330">
        <v>1000000</v>
      </c>
      <c r="G1093" s="331">
        <v>106.25</v>
      </c>
      <c r="H1093" s="332">
        <v>5.6299599999999996</v>
      </c>
      <c r="I1093" s="1221">
        <v>1079437.5</v>
      </c>
      <c r="J1093" s="355">
        <f>(G1093-99.56)*F1093/100</f>
        <v>66899.999999999985</v>
      </c>
      <c r="K1093" s="496">
        <f>J1093*$K$1091</f>
        <v>521819.99999999988</v>
      </c>
    </row>
    <row r="1094" spans="2:15" ht="15">
      <c r="B1094" s="326" t="s">
        <v>513</v>
      </c>
      <c r="C1094" s="405" t="s">
        <v>994</v>
      </c>
      <c r="D1094" s="328" t="s">
        <v>711</v>
      </c>
      <c r="E1094" s="329" t="s">
        <v>338</v>
      </c>
      <c r="F1094" s="330">
        <v>1000000</v>
      </c>
      <c r="G1094" s="331">
        <v>106.375</v>
      </c>
      <c r="H1094" s="332">
        <v>5.5954600000000001</v>
      </c>
      <c r="I1094" s="1221">
        <v>1083250</v>
      </c>
      <c r="J1094" s="355">
        <f>(G1094-99.56)*F1094/100</f>
        <v>68149.999999999985</v>
      </c>
      <c r="K1094" s="496">
        <f>J1094*$K$1091</f>
        <v>531569.99999999988</v>
      </c>
    </row>
    <row r="1095" spans="2:15" ht="15">
      <c r="B1095" s="326"/>
      <c r="C1095" s="405"/>
      <c r="D1095" s="328"/>
      <c r="E1095" s="329"/>
      <c r="F1095" s="330"/>
      <c r="G1095" s="331"/>
      <c r="H1095" s="332"/>
      <c r="I1095" s="572"/>
      <c r="J1095" s="355"/>
      <c r="K1095" s="496"/>
    </row>
    <row r="1096" spans="2:15" ht="15">
      <c r="B1096" s="326"/>
      <c r="C1096" s="405"/>
      <c r="D1096" s="328"/>
      <c r="E1096" s="329"/>
      <c r="F1096" s="330"/>
      <c r="G1096" s="331"/>
      <c r="H1096" s="332"/>
      <c r="I1096" s="572"/>
      <c r="J1096" s="355"/>
      <c r="K1096" s="496"/>
    </row>
    <row r="1097" spans="2:15" ht="15">
      <c r="B1097" s="334"/>
      <c r="C1097" s="334"/>
      <c r="D1097" s="335" t="s">
        <v>702</v>
      </c>
      <c r="E1097" s="336"/>
      <c r="F1097" s="337">
        <f>SUM(F1092:F1096)</f>
        <v>4000000</v>
      </c>
      <c r="G1097" s="1045">
        <f>SUMPRODUCT(F1092:F1096,G1092:G1096)/F1097</f>
        <v>106.28125</v>
      </c>
      <c r="H1097" s="356">
        <f>SUMPRODUCT(F1092:F1096,H1092:H1096)/F1097</f>
        <v>5.6171749999999996</v>
      </c>
      <c r="I1097" s="1135"/>
      <c r="K1097" s="496"/>
    </row>
    <row r="1098" spans="2:15">
      <c r="K1098" s="64"/>
      <c r="M1098" s="1204"/>
    </row>
    <row r="1099" spans="2:15">
      <c r="K1099" s="64"/>
    </row>
    <row r="1100" spans="2:15" ht="15">
      <c r="B1100" s="320" t="s">
        <v>770</v>
      </c>
      <c r="C1100" s="321"/>
      <c r="D1100" s="322" t="s">
        <v>566</v>
      </c>
      <c r="E1100" s="323" t="s">
        <v>567</v>
      </c>
      <c r="F1100" s="324" t="s">
        <v>568</v>
      </c>
      <c r="G1100" s="324" t="s">
        <v>701</v>
      </c>
      <c r="H1100" s="325" t="s">
        <v>569</v>
      </c>
      <c r="I1100" s="1133"/>
      <c r="J1100" t="s">
        <v>1283</v>
      </c>
      <c r="K1100" s="64">
        <v>7.8</v>
      </c>
    </row>
    <row r="1101" spans="2:15" ht="15">
      <c r="B1101" s="326" t="s">
        <v>513</v>
      </c>
      <c r="C1101" s="358" t="s">
        <v>994</v>
      </c>
      <c r="D1101" s="402" t="s">
        <v>1307</v>
      </c>
      <c r="E1101" s="403" t="s">
        <v>338</v>
      </c>
      <c r="F1101" s="404">
        <v>2000000</v>
      </c>
      <c r="G1101" s="421">
        <v>98.625</v>
      </c>
      <c r="H1101" s="422">
        <v>5.1483809999999997</v>
      </c>
      <c r="I1101" s="1221">
        <v>1988861.11</v>
      </c>
      <c r="J1101" s="355">
        <f>(G1101-92.79657143)*F1101/100</f>
        <v>116568.57139999999</v>
      </c>
      <c r="K1101" s="496">
        <f>J1101*$K$1091</f>
        <v>909234.85691999982</v>
      </c>
    </row>
    <row r="1102" spans="2:15" ht="15">
      <c r="B1102" s="326" t="s">
        <v>513</v>
      </c>
      <c r="C1102" s="405" t="s">
        <v>994</v>
      </c>
      <c r="D1102" s="328" t="s">
        <v>1307</v>
      </c>
      <c r="E1102" s="329" t="s">
        <v>338</v>
      </c>
      <c r="F1102" s="330">
        <v>500000</v>
      </c>
      <c r="G1102" s="331">
        <v>98.62</v>
      </c>
      <c r="H1102" s="332">
        <v>5.1498499999999998</v>
      </c>
      <c r="I1102" s="1221">
        <v>497190.28</v>
      </c>
      <c r="J1102" s="355">
        <f>(G1102-92.79657143)*F1102/100</f>
        <v>29117.142850000018</v>
      </c>
      <c r="K1102" s="496">
        <f>J1102*$K$1091</f>
        <v>227113.71423000013</v>
      </c>
    </row>
    <row r="1103" spans="2:15" ht="15">
      <c r="B1103" s="326" t="s">
        <v>513</v>
      </c>
      <c r="C1103" s="405" t="s">
        <v>994</v>
      </c>
      <c r="D1103" s="328" t="s">
        <v>1307</v>
      </c>
      <c r="E1103" s="329" t="s">
        <v>338</v>
      </c>
      <c r="F1103" s="330">
        <v>500000</v>
      </c>
      <c r="G1103" s="331">
        <v>98.625</v>
      </c>
      <c r="H1103" s="332">
        <v>5.1483809999999997</v>
      </c>
      <c r="I1103" s="1221">
        <v>497215.28</v>
      </c>
      <c r="J1103" s="355">
        <f>(G1103-92.79657143)*F1103/100</f>
        <v>29142.142849999997</v>
      </c>
      <c r="K1103" s="496">
        <f>J1103*$K$1091</f>
        <v>227308.71422999995</v>
      </c>
    </row>
    <row r="1104" spans="2:15" ht="15">
      <c r="B1104" s="326" t="s">
        <v>513</v>
      </c>
      <c r="C1104" s="405" t="s">
        <v>994</v>
      </c>
      <c r="D1104" s="328" t="s">
        <v>1307</v>
      </c>
      <c r="E1104" s="329" t="s">
        <v>338</v>
      </c>
      <c r="F1104" s="330">
        <v>1000000</v>
      </c>
      <c r="G1104" s="331">
        <v>98.85</v>
      </c>
      <c r="H1104" s="332">
        <v>5.0849599999999997</v>
      </c>
      <c r="I1104" s="1221">
        <v>998263.89</v>
      </c>
      <c r="J1104" s="355">
        <f>(G1104-92.79657143)*F1104/100</f>
        <v>60534.285699999935</v>
      </c>
      <c r="K1104" s="496">
        <f>J1104*$K$1091</f>
        <v>472167.4284599995</v>
      </c>
    </row>
    <row r="1105" spans="2:13" ht="15">
      <c r="B1105" s="326"/>
      <c r="C1105" s="405"/>
      <c r="D1105" s="328"/>
      <c r="E1105" s="329"/>
      <c r="F1105" s="330"/>
      <c r="G1105" s="331"/>
      <c r="H1105" s="332"/>
      <c r="I1105" s="572"/>
      <c r="J1105" s="355"/>
      <c r="K1105" s="496"/>
    </row>
    <row r="1106" spans="2:13" ht="15">
      <c r="B1106" s="334"/>
      <c r="C1106" s="334"/>
      <c r="D1106" s="335" t="s">
        <v>702</v>
      </c>
      <c r="E1106" s="336"/>
      <c r="F1106" s="337">
        <f>SUM(F1101:F1105)</f>
        <v>4000000</v>
      </c>
      <c r="G1106" s="1045">
        <f>SUMPRODUCT(F1101:F1105,G1101:G1105)/F1106</f>
        <v>98.680625000000006</v>
      </c>
      <c r="H1106" s="356">
        <f>SUMPRODUCT(F1101:F1105,H1101:H1105)/F1106</f>
        <v>5.1327093750000001</v>
      </c>
      <c r="I1106" s="1135"/>
      <c r="K1106" s="496"/>
    </row>
    <row r="1107" spans="2:13">
      <c r="M1107" s="1204"/>
    </row>
    <row r="1108" spans="2:13" ht="15">
      <c r="B1108" s="320" t="s">
        <v>770</v>
      </c>
      <c r="C1108" s="321"/>
      <c r="D1108" s="322" t="s">
        <v>566</v>
      </c>
      <c r="E1108" s="323" t="s">
        <v>567</v>
      </c>
      <c r="F1108" s="324" t="s">
        <v>568</v>
      </c>
      <c r="G1108" s="324" t="s">
        <v>701</v>
      </c>
      <c r="H1108" s="325" t="s">
        <v>569</v>
      </c>
      <c r="I1108" s="1133"/>
      <c r="J1108" t="s">
        <v>1283</v>
      </c>
      <c r="K1108">
        <v>7.8</v>
      </c>
      <c r="M1108" s="1142" t="s">
        <v>196</v>
      </c>
    </row>
    <row r="1109" spans="2:13" ht="15">
      <c r="B1109" s="326" t="s">
        <v>513</v>
      </c>
      <c r="C1109" s="358" t="s">
        <v>994</v>
      </c>
      <c r="D1109" s="402" t="s">
        <v>1308</v>
      </c>
      <c r="E1109" s="403" t="s">
        <v>338</v>
      </c>
      <c r="F1109" s="404">
        <v>1000000</v>
      </c>
      <c r="G1109" s="421">
        <v>91.4</v>
      </c>
      <c r="H1109" s="422">
        <v>5.7934200000000002</v>
      </c>
      <c r="I1109" s="1221">
        <v>935750</v>
      </c>
      <c r="J1109" s="355">
        <f>(G1109-86.6519)*F1109/100</f>
        <v>47481.000000000087</v>
      </c>
      <c r="K1109" s="355">
        <f>J1109*$K$1091</f>
        <v>370351.80000000069</v>
      </c>
    </row>
    <row r="1110" spans="2:13" ht="15">
      <c r="B1110" s="326" t="s">
        <v>513</v>
      </c>
      <c r="C1110" s="405" t="s">
        <v>994</v>
      </c>
      <c r="D1110" s="328" t="s">
        <v>1308</v>
      </c>
      <c r="E1110" s="329" t="s">
        <v>338</v>
      </c>
      <c r="F1110" s="330">
        <v>1000000</v>
      </c>
      <c r="G1110" s="331">
        <v>91.48</v>
      </c>
      <c r="H1110" s="332">
        <v>5.7821999999999996</v>
      </c>
      <c r="I1110" s="1222">
        <v>937050</v>
      </c>
      <c r="J1110" s="355">
        <f>(G1110-86.6519)*F1110/100</f>
        <v>48281.000000000065</v>
      </c>
      <c r="K1110" s="355">
        <f>J1110*$K$1091</f>
        <v>376591.80000000051</v>
      </c>
    </row>
    <row r="1111" spans="2:13" ht="15">
      <c r="B1111" s="326" t="s">
        <v>513</v>
      </c>
      <c r="C1111" s="405" t="s">
        <v>994</v>
      </c>
      <c r="D1111" s="328" t="s">
        <v>1308</v>
      </c>
      <c r="E1111" s="329" t="s">
        <v>338</v>
      </c>
      <c r="F1111" s="330">
        <v>1000000</v>
      </c>
      <c r="G1111" s="331">
        <v>91.644999999999996</v>
      </c>
      <c r="H1111" s="332">
        <v>5.7583200000000003</v>
      </c>
      <c r="I1111" s="1221">
        <v>917075</v>
      </c>
      <c r="J1111" s="355">
        <f>(G1111-86.6519)*F1111/100</f>
        <v>49930.999999999978</v>
      </c>
      <c r="K1111" s="355">
        <f>J1111*$K$1091</f>
        <v>389461.79999999981</v>
      </c>
    </row>
    <row r="1112" spans="2:13" ht="15">
      <c r="B1112" s="326" t="s">
        <v>513</v>
      </c>
      <c r="C1112" s="405" t="s">
        <v>994</v>
      </c>
      <c r="D1112" s="328" t="s">
        <v>1308</v>
      </c>
      <c r="E1112" s="329" t="s">
        <v>338</v>
      </c>
      <c r="F1112" s="330">
        <v>1000000</v>
      </c>
      <c r="G1112" s="331">
        <v>91.61</v>
      </c>
      <c r="H1112" s="332">
        <v>5.7638759999999998</v>
      </c>
      <c r="I1112" s="1222">
        <v>916725</v>
      </c>
      <c r="J1112" s="355">
        <f>(G1112-86.6519)*F1112/100</f>
        <v>49581.000000000022</v>
      </c>
      <c r="K1112" s="355">
        <f>J1112*$K$1091</f>
        <v>386731.80000000016</v>
      </c>
    </row>
    <row r="1113" spans="2:13" ht="15">
      <c r="B1113" s="326"/>
      <c r="C1113" s="405"/>
      <c r="D1113" s="328"/>
      <c r="E1113" s="329"/>
      <c r="F1113" s="330"/>
      <c r="G1113" s="331"/>
      <c r="H1113" s="332"/>
      <c r="I1113" s="572"/>
      <c r="J1113" s="355"/>
      <c r="K1113" s="355"/>
    </row>
    <row r="1114" spans="2:13" ht="15">
      <c r="B1114" s="334"/>
      <c r="C1114" s="334"/>
      <c r="D1114" s="335" t="s">
        <v>702</v>
      </c>
      <c r="E1114" s="336"/>
      <c r="F1114" s="337">
        <f>SUM(F1109:F1113)</f>
        <v>4000000</v>
      </c>
      <c r="G1114" s="1045">
        <f>SUMPRODUCT(F1109:F1113,G1109:G1113)/F1114</f>
        <v>91.533749999999998</v>
      </c>
      <c r="H1114" s="356">
        <f>SUMPRODUCT(F1109:F1113,H1109:H1113)/F1114</f>
        <v>5.7744540000000004</v>
      </c>
      <c r="I1114" s="1135"/>
      <c r="K1114" s="355"/>
    </row>
    <row r="1117" spans="2:13" ht="15">
      <c r="B1117" s="320" t="s">
        <v>770</v>
      </c>
      <c r="C1117" s="321"/>
      <c r="D1117" s="322" t="s">
        <v>566</v>
      </c>
      <c r="E1117" s="323" t="s">
        <v>567</v>
      </c>
      <c r="F1117" s="324" t="s">
        <v>568</v>
      </c>
      <c r="G1117" s="324" t="s">
        <v>701</v>
      </c>
      <c r="H1117" s="325" t="s">
        <v>569</v>
      </c>
      <c r="I1117" s="1133"/>
      <c r="J1117" t="s">
        <v>1283</v>
      </c>
      <c r="M1117" s="1142" t="s">
        <v>196</v>
      </c>
    </row>
    <row r="1118" spans="2:13" ht="15">
      <c r="B1118" s="326" t="s">
        <v>423</v>
      </c>
      <c r="C1118" s="358" t="s">
        <v>994</v>
      </c>
      <c r="D1118" s="328" t="s">
        <v>1301</v>
      </c>
      <c r="E1118" s="329" t="s">
        <v>338</v>
      </c>
      <c r="F1118" s="404">
        <v>28710000</v>
      </c>
      <c r="G1118" s="421">
        <v>109.47572959999999</v>
      </c>
      <c r="H1118" s="422">
        <v>5.0279999999999996</v>
      </c>
      <c r="I1118" s="1221">
        <v>31565060.079999998</v>
      </c>
      <c r="J1118" s="355">
        <f>(G1118-101.009868477882)*F1118/100</f>
        <v>2430548.7281600777</v>
      </c>
      <c r="K1118" s="355">
        <f>J1118*$K$1091</f>
        <v>18958280.079648606</v>
      </c>
    </row>
    <row r="1119" spans="2:13" ht="15">
      <c r="B1119" s="326" t="s">
        <v>423</v>
      </c>
      <c r="C1119" s="405" t="s">
        <v>994</v>
      </c>
      <c r="D1119" s="328" t="s">
        <v>1301</v>
      </c>
      <c r="E1119" s="329" t="s">
        <v>338</v>
      </c>
      <c r="F1119" s="330">
        <v>3190000</v>
      </c>
      <c r="G1119" s="331">
        <v>109.47572959999999</v>
      </c>
      <c r="H1119" s="332">
        <v>5.0279999999999996</v>
      </c>
      <c r="I1119" s="1221">
        <v>3507228.89</v>
      </c>
      <c r="J1119" s="355">
        <f>(G1119-101.009868338558)*F1119/100</f>
        <v>270060.97423999984</v>
      </c>
      <c r="K1119" s="355">
        <f t="shared" ref="K1119:K1121" si="3">J1119*$K$1091</f>
        <v>2106475.5990719986</v>
      </c>
    </row>
    <row r="1120" spans="2:13" ht="15">
      <c r="B1120" s="326" t="s">
        <v>1058</v>
      </c>
      <c r="C1120" s="405" t="s">
        <v>994</v>
      </c>
      <c r="D1120" s="328" t="s">
        <v>1301</v>
      </c>
      <c r="E1120" s="329" t="s">
        <v>338</v>
      </c>
      <c r="F1120" s="330">
        <v>2800000</v>
      </c>
      <c r="G1120" s="331">
        <v>109.47572959999999</v>
      </c>
      <c r="H1120" s="332">
        <v>5.0279999999999996</v>
      </c>
      <c r="I1120" s="1221">
        <v>3078445.42</v>
      </c>
      <c r="J1120" s="355">
        <f>(G1120-115.898)*F1120/100</f>
        <v>-179823.57120000003</v>
      </c>
      <c r="K1120" s="355">
        <f t="shared" si="3"/>
        <v>-1402623.8553600002</v>
      </c>
    </row>
    <row r="1121" spans="2:16" ht="15">
      <c r="B1121" s="326" t="s">
        <v>424</v>
      </c>
      <c r="C1121" s="405" t="s">
        <v>994</v>
      </c>
      <c r="D1121" s="328" t="s">
        <v>1301</v>
      </c>
      <c r="E1121" s="329" t="s">
        <v>338</v>
      </c>
      <c r="F1121" s="330">
        <v>400000</v>
      </c>
      <c r="G1121" s="331">
        <v>109.47572959999999</v>
      </c>
      <c r="H1121" s="332">
        <v>5.0279999999999996</v>
      </c>
      <c r="I1121" s="1221">
        <v>439777.91</v>
      </c>
      <c r="J1121" s="355">
        <f>(G1121-101.318)*F1121/100</f>
        <v>32630.918399999984</v>
      </c>
      <c r="K1121" s="355">
        <f t="shared" si="3"/>
        <v>254521.16351999986</v>
      </c>
    </row>
    <row r="1122" spans="2:16" ht="15">
      <c r="B1122" s="326"/>
      <c r="C1122" s="405"/>
      <c r="D1122" s="328"/>
      <c r="E1122" s="329"/>
      <c r="F1122" s="330"/>
      <c r="G1122" s="331"/>
      <c r="H1122" s="332"/>
      <c r="I1122" s="1221"/>
      <c r="J1122" s="355"/>
      <c r="K1122" s="355"/>
    </row>
    <row r="1123" spans="2:16" ht="15">
      <c r="B1123" s="334"/>
      <c r="C1123" s="334"/>
      <c r="D1123" s="335" t="s">
        <v>702</v>
      </c>
      <c r="E1123" s="336"/>
      <c r="F1123" s="337">
        <f>SUM(F1118:F1122)</f>
        <v>35100000</v>
      </c>
      <c r="G1123" s="1045">
        <f>SUMPRODUCT(F1118:F1122,G1118:G1122)/F1123</f>
        <v>109.47572959999999</v>
      </c>
      <c r="H1123" s="356">
        <f>SUMPRODUCT(F1118:F1122,H1118:H1122)/F1123</f>
        <v>5.0279999999999996</v>
      </c>
      <c r="I1123" s="1135"/>
      <c r="K1123" s="355"/>
    </row>
    <row r="1124" spans="2:16">
      <c r="M1124" s="1204"/>
    </row>
    <row r="1126" spans="2:16" ht="15">
      <c r="B1126" s="320" t="s">
        <v>770</v>
      </c>
      <c r="C1126" s="321"/>
      <c r="D1126" s="322" t="s">
        <v>566</v>
      </c>
      <c r="E1126" s="323" t="s">
        <v>567</v>
      </c>
      <c r="F1126" s="324" t="s">
        <v>568</v>
      </c>
      <c r="G1126" s="324" t="s">
        <v>701</v>
      </c>
      <c r="H1126" s="325" t="s">
        <v>569</v>
      </c>
      <c r="I1126" s="1133"/>
      <c r="J1126" t="s">
        <v>1283</v>
      </c>
      <c r="M1126" s="1142" t="s">
        <v>196</v>
      </c>
    </row>
    <row r="1127" spans="2:16" ht="15">
      <c r="B1127" s="326" t="s">
        <v>423</v>
      </c>
      <c r="C1127" s="358" t="s">
        <v>994</v>
      </c>
      <c r="D1127" s="328" t="s">
        <v>1318</v>
      </c>
      <c r="E1127" s="329" t="s">
        <v>338</v>
      </c>
      <c r="F1127" s="404">
        <v>2700000</v>
      </c>
      <c r="G1127" s="421">
        <v>110.65600000000001</v>
      </c>
      <c r="H1127" s="422">
        <v>0.91</v>
      </c>
      <c r="I1127" s="1221">
        <v>3035591.99</v>
      </c>
      <c r="J1127" s="355">
        <f>(G1127-95.531)*F1127/100</f>
        <v>408375</v>
      </c>
      <c r="K1127" s="355">
        <f>J1127*$K$1091</f>
        <v>3185325</v>
      </c>
    </row>
    <row r="1128" spans="2:16" ht="15">
      <c r="B1128" s="326" t="s">
        <v>423</v>
      </c>
      <c r="C1128" s="405" t="s">
        <v>994</v>
      </c>
      <c r="D1128" s="328" t="s">
        <v>1318</v>
      </c>
      <c r="E1128" s="329" t="s">
        <v>338</v>
      </c>
      <c r="F1128" s="330">
        <v>300000</v>
      </c>
      <c r="G1128" s="331">
        <v>110.65600000000001</v>
      </c>
      <c r="H1128" s="332">
        <v>0.91</v>
      </c>
      <c r="I1128" s="1221">
        <v>337287.99</v>
      </c>
      <c r="J1128" s="355">
        <f>(G1128-95.531)*F1128/100</f>
        <v>45375</v>
      </c>
      <c r="K1128" s="355">
        <f t="shared" ref="K1128" si="4">J1128*$K$1091</f>
        <v>353925</v>
      </c>
    </row>
    <row r="1129" spans="2:16" ht="15">
      <c r="B1129" s="326"/>
      <c r="C1129" s="405"/>
      <c r="D1129" s="328"/>
      <c r="E1129" s="329"/>
      <c r="F1129" s="330"/>
      <c r="G1129" s="331"/>
      <c r="H1129" s="332"/>
      <c r="I1129" s="572"/>
      <c r="J1129" s="355"/>
      <c r="K1129" s="355"/>
    </row>
    <row r="1130" spans="2:16" ht="15">
      <c r="B1130" s="334"/>
      <c r="C1130" s="334"/>
      <c r="D1130" s="335" t="s">
        <v>702</v>
      </c>
      <c r="E1130" s="336"/>
      <c r="F1130" s="337">
        <f>SUM(F1127:F1129)</f>
        <v>3000000</v>
      </c>
      <c r="G1130" s="1045">
        <f>SUMPRODUCT(F1127:F1129,G1127:G1129)/F1130</f>
        <v>110.65600000000001</v>
      </c>
      <c r="H1130" s="356">
        <f>SUMPRODUCT(F1127:F1129,H1127:H1129)/F1130</f>
        <v>0.91</v>
      </c>
      <c r="I1130" s="1135"/>
      <c r="K1130" s="355"/>
    </row>
    <row r="1133" spans="2:16" ht="15">
      <c r="B1133" s="320" t="s">
        <v>770</v>
      </c>
      <c r="C1133" s="321"/>
      <c r="D1133" s="322" t="s">
        <v>566</v>
      </c>
      <c r="E1133" s="323" t="s">
        <v>567</v>
      </c>
      <c r="F1133" s="324" t="s">
        <v>568</v>
      </c>
      <c r="G1133" s="324" t="s">
        <v>701</v>
      </c>
      <c r="H1133" s="325" t="s">
        <v>569</v>
      </c>
      <c r="I1133" s="1133"/>
      <c r="J1133" t="s">
        <v>1283</v>
      </c>
      <c r="M1133" s="1142" t="s">
        <v>196</v>
      </c>
    </row>
    <row r="1134" spans="2:16" ht="15">
      <c r="B1134" s="326" t="s">
        <v>424</v>
      </c>
      <c r="C1134" s="358" t="s">
        <v>994</v>
      </c>
      <c r="D1134" s="328" t="s">
        <v>1319</v>
      </c>
      <c r="E1134" s="329" t="s">
        <v>338</v>
      </c>
      <c r="F1134" s="404">
        <v>4000000</v>
      </c>
      <c r="G1134" s="421">
        <v>119.536</v>
      </c>
      <c r="H1134" s="422">
        <v>1.7170000000000001</v>
      </c>
      <c r="I1134" s="1221">
        <v>4859023.33</v>
      </c>
      <c r="J1134" s="355">
        <f>(G1134-105.28)*F1134/100</f>
        <v>570240</v>
      </c>
      <c r="K1134" s="355">
        <f>J1134*$K$1091</f>
        <v>4447872</v>
      </c>
    </row>
    <row r="1135" spans="2:16" ht="15">
      <c r="B1135" s="326"/>
      <c r="C1135" s="405"/>
      <c r="D1135" s="328"/>
      <c r="E1135" s="329"/>
      <c r="F1135" s="330"/>
      <c r="G1135" s="331"/>
      <c r="H1135" s="332"/>
      <c r="I1135" s="572"/>
      <c r="J1135" s="355"/>
      <c r="K1135" s="355"/>
      <c r="O1135" s="1201" t="s">
        <v>1325</v>
      </c>
      <c r="P1135" s="1201" t="s">
        <v>1324</v>
      </c>
    </row>
    <row r="1136" spans="2:16" ht="15">
      <c r="B1136" s="334"/>
      <c r="C1136" s="334"/>
      <c r="D1136" s="335" t="s">
        <v>702</v>
      </c>
      <c r="E1136" s="336"/>
      <c r="F1136" s="337">
        <f>SUM(F1134:F1135)</f>
        <v>4000000</v>
      </c>
      <c r="G1136" s="1045">
        <f>SUMPRODUCT(F1134:F1135,G1134:G1135)/F1136</f>
        <v>119.536</v>
      </c>
      <c r="H1136" s="356">
        <f>SUMPRODUCT(F1134:F1135,H1134:H1135)/F1136</f>
        <v>1.7170000000000001</v>
      </c>
      <c r="I1136" s="1135"/>
      <c r="K1136" s="355"/>
      <c r="O1136" s="1202">
        <f>SUM(K1109:K1112,K1101:K1104,K1092:K1094,K1052:K1056)</f>
        <v>6715691.9138400042</v>
      </c>
      <c r="P1136" s="1202">
        <f>O1138-O1136</f>
        <v>9710569.6168582439</v>
      </c>
    </row>
    <row r="1137" spans="2:21">
      <c r="O1137" s="1203"/>
      <c r="P1137" s="1203"/>
    </row>
    <row r="1138" spans="2:21">
      <c r="J1138" s="355"/>
      <c r="K1138" s="355"/>
      <c r="M1138" s="1204">
        <f>SUM(M1081,K1092:K1094,K1101:K1104,K1109:K1112,K1118:K1121,K1127:K1128,K1134)</f>
        <v>40153651.900720611</v>
      </c>
      <c r="O1138" s="1202">
        <f>SUM(K301,K305,K316:K317,K336:K339,K343,K347:K351,K355,K369:K371,K384:K386,K394,K398,K404:K406,K577:K578,K782,K800,K879,K885:K886,K901,K907,K912,K935,K941,K1052:K1056,K1092:K1094,K1101:K1104,K1109:K1112,)</f>
        <v>16426261.530698247</v>
      </c>
      <c r="P1138" s="1203"/>
    </row>
    <row r="1139" spans="2:21">
      <c r="O1139" s="1203"/>
      <c r="P1139" s="1203"/>
    </row>
    <row r="1140" spans="2:21" ht="15">
      <c r="B1140" s="320" t="s">
        <v>770</v>
      </c>
      <c r="C1140" s="321"/>
      <c r="D1140" s="322" t="s">
        <v>566</v>
      </c>
      <c r="E1140" s="323" t="s">
        <v>567</v>
      </c>
      <c r="F1140" s="324" t="s">
        <v>568</v>
      </c>
      <c r="G1140" s="324" t="s">
        <v>701</v>
      </c>
      <c r="H1140" s="325" t="s">
        <v>569</v>
      </c>
      <c r="I1140" s="1133"/>
    </row>
    <row r="1141" spans="2:21" ht="15">
      <c r="B1141" s="326" t="s">
        <v>423</v>
      </c>
      <c r="C1141" s="358" t="s">
        <v>565</v>
      </c>
      <c r="D1141" s="328" t="s">
        <v>1310</v>
      </c>
      <c r="E1141" s="329" t="s">
        <v>338</v>
      </c>
      <c r="F1141" s="404">
        <v>234000000</v>
      </c>
      <c r="G1141" s="421">
        <v>99.444999999999993</v>
      </c>
      <c r="H1141" s="422">
        <v>6.4993499999999997</v>
      </c>
      <c r="I1141" s="1221">
        <v>234252525</v>
      </c>
      <c r="J1141" s="355"/>
      <c r="K1141" s="355"/>
    </row>
    <row r="1142" spans="2:21" ht="15">
      <c r="B1142" s="326" t="s">
        <v>423</v>
      </c>
      <c r="C1142" s="405" t="s">
        <v>565</v>
      </c>
      <c r="D1142" s="328" t="s">
        <v>1310</v>
      </c>
      <c r="E1142" s="329" t="s">
        <v>338</v>
      </c>
      <c r="F1142" s="330">
        <v>26000000</v>
      </c>
      <c r="G1142" s="331">
        <v>99.444999999999993</v>
      </c>
      <c r="H1142" s="332">
        <v>6.4993499999999997</v>
      </c>
      <c r="I1142" s="1221">
        <v>26028058.329999998</v>
      </c>
      <c r="J1142" s="355"/>
      <c r="K1142" s="355"/>
    </row>
    <row r="1143" spans="2:21" ht="15">
      <c r="B1143" s="326"/>
      <c r="C1143" s="405"/>
      <c r="D1143" s="328"/>
      <c r="E1143" s="329"/>
      <c r="F1143" s="330"/>
      <c r="G1143" s="331"/>
      <c r="H1143" s="332"/>
      <c r="I1143" s="572"/>
      <c r="J1143" s="355"/>
      <c r="K1143" s="355"/>
    </row>
    <row r="1144" spans="2:21" ht="15">
      <c r="B1144" s="334"/>
      <c r="C1144" s="334"/>
      <c r="D1144" s="335" t="s">
        <v>702</v>
      </c>
      <c r="E1144" s="336"/>
      <c r="F1144" s="337">
        <f>SUM(F1141:F1143)</f>
        <v>260000000</v>
      </c>
      <c r="G1144" s="1045">
        <f>SUMPRODUCT(F1141:F1143,G1141:G1143)/F1144</f>
        <v>99.444999999999993</v>
      </c>
      <c r="H1144" s="356">
        <f>SUMPRODUCT(F1141:F1143,H1141:H1143)/F1144</f>
        <v>6.4993499999999997</v>
      </c>
      <c r="I1144" s="1135"/>
      <c r="K1144" s="355"/>
    </row>
    <row r="1146" spans="2:21" s="490" customFormat="1">
      <c r="M1146" s="1235"/>
    </row>
    <row r="1147" spans="2:21">
      <c r="D1147" t="s">
        <v>1354</v>
      </c>
    </row>
    <row r="1149" spans="2:21" ht="15">
      <c r="B1149" s="320" t="s">
        <v>770</v>
      </c>
      <c r="C1149" s="321"/>
      <c r="D1149" s="322" t="s">
        <v>566</v>
      </c>
      <c r="E1149" s="323" t="s">
        <v>567</v>
      </c>
      <c r="F1149" s="324" t="s">
        <v>568</v>
      </c>
      <c r="G1149" s="324" t="s">
        <v>701</v>
      </c>
      <c r="H1149" s="325" t="s">
        <v>569</v>
      </c>
      <c r="I1149" s="1133"/>
      <c r="J1149" s="33" t="s">
        <v>1283</v>
      </c>
      <c r="K1149" s="64">
        <v>7.8</v>
      </c>
    </row>
    <row r="1150" spans="2:21" ht="15">
      <c r="B1150" s="326" t="s">
        <v>513</v>
      </c>
      <c r="C1150" s="358" t="s">
        <v>994</v>
      </c>
      <c r="D1150" s="328" t="s">
        <v>211</v>
      </c>
      <c r="E1150" s="329" t="s">
        <v>338</v>
      </c>
      <c r="F1150" s="404">
        <v>5000000</v>
      </c>
      <c r="G1150" s="421">
        <v>95</v>
      </c>
      <c r="H1150" s="422">
        <v>6.9202500000000002</v>
      </c>
      <c r="I1150" s="1221">
        <v>4789131.9400000004</v>
      </c>
      <c r="J1150" s="355">
        <f>(G1150-94.40584)*F1150/100</f>
        <v>29708.000000000113</v>
      </c>
      <c r="K1150" s="496">
        <f>J1150*$K$1149</f>
        <v>231722.40000000087</v>
      </c>
      <c r="M1150" s="1204"/>
      <c r="N1150" s="1203"/>
      <c r="O1150" s="1201" t="s">
        <v>1330</v>
      </c>
      <c r="P1150" s="1201" t="s">
        <v>1324</v>
      </c>
    </row>
    <row r="1151" spans="2:21" ht="15">
      <c r="B1151" s="326" t="s">
        <v>513</v>
      </c>
      <c r="C1151" s="405" t="s">
        <v>994</v>
      </c>
      <c r="D1151" s="328" t="s">
        <v>211</v>
      </c>
      <c r="E1151" s="329" t="s">
        <v>338</v>
      </c>
      <c r="F1151" s="330">
        <v>1000000</v>
      </c>
      <c r="G1151" s="331">
        <v>95</v>
      </c>
      <c r="H1151" s="332">
        <v>6.9204299999999996</v>
      </c>
      <c r="I1151" s="1221">
        <v>957996.53</v>
      </c>
      <c r="J1151" s="355">
        <f>(G1151-94.40584)*F1151/100</f>
        <v>5941.6000000000222</v>
      </c>
      <c r="K1151" s="496">
        <f>J1151*$K$1149</f>
        <v>46344.480000000171</v>
      </c>
      <c r="M1151" s="1204"/>
      <c r="N1151" s="1203" t="s">
        <v>1346</v>
      </c>
      <c r="O1151" s="1275">
        <f>SUM($K$1109:$K$1112,$K$1101:$K$1104,$K$1092:$K$1094,$K$1052:$K$1056,$K$1150:$K$1154,$K$1159:$K$1164,$K$1176:$K$1180,$K$1187:$K$1190,$K$1194:$K$1196,$K$1201:$K$1203,$K$1207,$K$1213,$K$1221:$K$1230)</f>
        <v>4625515.4392200634</v>
      </c>
      <c r="P1151" s="1275">
        <f>O1159-O1151</f>
        <v>9710569.6168582477</v>
      </c>
      <c r="U1151">
        <v>12296847.753839999</v>
      </c>
    </row>
    <row r="1152" spans="2:21" ht="15">
      <c r="B1152" s="326" t="s">
        <v>513</v>
      </c>
      <c r="C1152" s="405" t="s">
        <v>994</v>
      </c>
      <c r="D1152" s="328" t="s">
        <v>211</v>
      </c>
      <c r="E1152" s="329" t="s">
        <v>338</v>
      </c>
      <c r="F1152" s="330">
        <v>2000000</v>
      </c>
      <c r="G1152" s="331">
        <v>95.15</v>
      </c>
      <c r="H1152" s="332">
        <v>6.8957800000000002</v>
      </c>
      <c r="I1152" s="1221">
        <v>1918993.06</v>
      </c>
      <c r="J1152" s="355">
        <f>(G1152-94.40584)*F1152/100</f>
        <v>14883.200000000159</v>
      </c>
      <c r="K1152" s="496">
        <f>J1152*$K$1149</f>
        <v>116088.96000000124</v>
      </c>
      <c r="M1152" s="1204"/>
      <c r="N1152" s="1263" t="s">
        <v>1344</v>
      </c>
      <c r="O1152" s="1277">
        <f>SUM($K$1109:$K$1112,$K$1101:$K$1104,$K$1092:$K$1094,$K$1052:$K$1056,$K$1150:$K$1154,$K$1159:$K$1164,$K$1176:$K$1180,$K$1187:$K$1190,$K$1194:$K$1196,$K$1201:$K$1203,$K$1207:$K$1209,$K$1213:$K$1217,$K$1221:$K$1230)-SUM($K$1201:$K$1203,$K$1213:$K$1217,$K$1221:$K$1230)</f>
        <v>22434865.439220034</v>
      </c>
      <c r="P1152" s="1277"/>
    </row>
    <row r="1153" spans="2:16" ht="15">
      <c r="B1153" s="326"/>
      <c r="C1153" s="405"/>
      <c r="D1153" s="328"/>
      <c r="E1153" s="329"/>
      <c r="F1153" s="330"/>
      <c r="G1153" s="331"/>
      <c r="H1153" s="332"/>
      <c r="I1153" s="572"/>
      <c r="J1153" s="355"/>
      <c r="K1153" s="496"/>
      <c r="M1153"/>
      <c r="N1153" s="1262" t="s">
        <v>1345</v>
      </c>
      <c r="O1153" s="1277">
        <f>SUM($K$1109:$K$1112,$K$1101:$K$1104,$K$1092:$K$1094,$K$1052:$K$1056,$K$1150:$K$1154,$K$1159:$K$1164,$K$1176:$K$1180,$K$1187:$K$1190,$K$1194:$K$1196,$K$1201:$K$1203,$K$1207:$K$1209,$K$1213:$K$1217,$K$1221:$K$1230)-SUM($K$1221:$K$1230,$K$1213:$K$1217)</f>
        <v>-4650634.5607799385</v>
      </c>
      <c r="P1153" s="1203"/>
    </row>
    <row r="1154" spans="2:16" ht="15">
      <c r="B1154" s="326"/>
      <c r="C1154" s="405"/>
      <c r="D1154" s="328"/>
      <c r="E1154" s="329"/>
      <c r="F1154" s="330"/>
      <c r="G1154" s="331"/>
      <c r="H1154" s="332"/>
      <c r="I1154" s="572"/>
      <c r="J1154" s="355"/>
      <c r="K1154" s="496"/>
      <c r="N1154" s="1262"/>
      <c r="O1154" s="1203"/>
      <c r="P1154" s="1203"/>
    </row>
    <row r="1155" spans="2:16" ht="15">
      <c r="B1155" s="334"/>
      <c r="C1155" s="334"/>
      <c r="D1155" s="335" t="s">
        <v>702</v>
      </c>
      <c r="E1155" s="336"/>
      <c r="F1155" s="337">
        <f>SUM(F1150:F1154)</f>
        <v>8000000</v>
      </c>
      <c r="G1155" s="1045">
        <f>SUMPRODUCT(F1150:F1154,G1150:G1154)/F1155</f>
        <v>95.037499999999994</v>
      </c>
      <c r="H1155" s="356">
        <f>SUMPRODUCT(F1150:F1154,H1150:H1154)/F1155</f>
        <v>6.9141550000000001</v>
      </c>
      <c r="I1155" s="1135"/>
      <c r="K1155" s="496"/>
    </row>
    <row r="1156" spans="2:16">
      <c r="K1156" s="496"/>
    </row>
    <row r="1157" spans="2:16">
      <c r="K1157" s="64"/>
    </row>
    <row r="1158" spans="2:16" ht="15">
      <c r="B1158" s="320" t="s">
        <v>770</v>
      </c>
      <c r="C1158" s="321"/>
      <c r="D1158" s="322" t="s">
        <v>566</v>
      </c>
      <c r="E1158" s="323" t="s">
        <v>567</v>
      </c>
      <c r="F1158" s="324" t="s">
        <v>568</v>
      </c>
      <c r="G1158" s="324" t="s">
        <v>701</v>
      </c>
      <c r="H1158" s="325" t="s">
        <v>569</v>
      </c>
      <c r="I1158" s="1133"/>
      <c r="J1158" s="33" t="s">
        <v>1283</v>
      </c>
      <c r="K1158" s="64">
        <v>7.8</v>
      </c>
      <c r="N1158" s="1203"/>
      <c r="O1158" s="1274" t="s">
        <v>1348</v>
      </c>
      <c r="P1158" s="1201"/>
    </row>
    <row r="1159" spans="2:16" ht="15">
      <c r="B1159" s="326" t="s">
        <v>513</v>
      </c>
      <c r="C1159" s="358" t="s">
        <v>994</v>
      </c>
      <c r="D1159" s="328" t="s">
        <v>46</v>
      </c>
      <c r="E1159" s="329" t="s">
        <v>338</v>
      </c>
      <c r="F1159" s="404">
        <v>2000000</v>
      </c>
      <c r="G1159" s="421">
        <v>103.6</v>
      </c>
      <c r="H1159" s="422">
        <v>4.9527669999999997</v>
      </c>
      <c r="I1159" s="1221">
        <v>2119816.67</v>
      </c>
      <c r="J1159" s="355">
        <f>(G1159-100)*F1159/100</f>
        <v>71999.999999999884</v>
      </c>
      <c r="K1159" s="496">
        <f>J1159*$K$1149</f>
        <v>561599.99999999907</v>
      </c>
      <c r="M1159" s="1204"/>
      <c r="N1159" s="1203" t="s">
        <v>1347</v>
      </c>
      <c r="O1159" s="1277">
        <f>SUM($K$301,$K$305,$K$316:$K$317,$K$336:$K$339,$K$343,$K$347:$K$351,$K$355,$K$369:$K$371,$K$384:$K$386,$K$394,$K$398,$K$404:$K$406,$K$577:$K$578,$K$782,$K$800,$K$879,$K$885:$K$886,$K$901,$K$907,$K$912,$K$935,$K$941,$K$1052:$K$1056,$K$1092:$K$1094,$K$1101:$K$1104,$K$1109:$K$1112,$K$1150:$K$1154,$K$1159:$K$1164,$K$1176:$K$1180,$K$1187:$K$1190,$K$1194:$K$1196,$K$1201:$K$1203,$K$1207,$K$1213,$K$1221:$K$1230)</f>
        <v>14336085.056078311</v>
      </c>
      <c r="P1159" s="1275"/>
    </row>
    <row r="1160" spans="2:16" ht="15">
      <c r="B1160" s="326" t="s">
        <v>513</v>
      </c>
      <c r="C1160" s="405" t="s">
        <v>994</v>
      </c>
      <c r="D1160" s="328" t="s">
        <v>46</v>
      </c>
      <c r="E1160" s="329" t="s">
        <v>338</v>
      </c>
      <c r="F1160" s="330">
        <v>10000000</v>
      </c>
      <c r="G1160" s="331">
        <v>103.65</v>
      </c>
      <c r="H1160" s="332">
        <v>4.9417410000000004</v>
      </c>
      <c r="I1160" s="1221">
        <v>10608833.33</v>
      </c>
      <c r="J1160" s="355">
        <f>(G1160-100)*F1160/100</f>
        <v>365000.00000000058</v>
      </c>
      <c r="K1160" s="496">
        <f>J1160*$K$1149</f>
        <v>2847000.0000000047</v>
      </c>
      <c r="M1160" s="1204"/>
      <c r="N1160" s="1263" t="s">
        <v>1344</v>
      </c>
      <c r="O1160" s="1277">
        <f>O1159-SUM($K$1201:$K$1203,$K$1207:$K$1209,$K$1213:$K$1217,$K$1221:$K$1230)</f>
        <v>26690895.056078259</v>
      </c>
      <c r="P1160" s="1277"/>
    </row>
    <row r="1161" spans="2:16" ht="15">
      <c r="B1161" s="326" t="s">
        <v>513</v>
      </c>
      <c r="C1161" s="405" t="s">
        <v>994</v>
      </c>
      <c r="D1161" s="328" t="s">
        <v>46</v>
      </c>
      <c r="E1161" s="329" t="s">
        <v>338</v>
      </c>
      <c r="F1161" s="330">
        <v>6000000</v>
      </c>
      <c r="G1161" s="331">
        <v>103.8</v>
      </c>
      <c r="H1161" s="332">
        <v>4.9109970000000001</v>
      </c>
      <c r="I1161" s="1221">
        <v>6375250</v>
      </c>
      <c r="J1161" s="355">
        <f>(G1161-100)*F1161/100</f>
        <v>227999.99999999983</v>
      </c>
      <c r="K1161" s="496">
        <f>J1161*$K$1149</f>
        <v>1778399.9999999986</v>
      </c>
      <c r="M1161" s="1204"/>
      <c r="N1161" s="1262" t="s">
        <v>1345</v>
      </c>
      <c r="O1161" s="1277">
        <f>O1159-SUM($K$1213:$K$1217,$K$1221:$K$1230)</f>
        <v>5059935.0560783092</v>
      </c>
      <c r="P1161" s="1203"/>
    </row>
    <row r="1162" spans="2:16" ht="15">
      <c r="B1162" s="326"/>
      <c r="C1162" s="405"/>
      <c r="D1162" s="328"/>
      <c r="E1162" s="329"/>
      <c r="F1162" s="330"/>
      <c r="G1162" s="331"/>
      <c r="H1162" s="332"/>
      <c r="I1162" s="572"/>
      <c r="J1162" s="355"/>
      <c r="K1162" s="496"/>
      <c r="M1162" s="1204"/>
    </row>
    <row r="1163" spans="2:16" ht="15">
      <c r="B1163" s="326"/>
      <c r="C1163" s="405"/>
      <c r="D1163" s="328"/>
      <c r="E1163" s="329"/>
      <c r="F1163" s="330"/>
      <c r="G1163" s="331"/>
      <c r="H1163" s="332"/>
      <c r="I1163" s="572"/>
      <c r="J1163" s="355"/>
      <c r="K1163" s="496"/>
      <c r="M1163" s="1204"/>
    </row>
    <row r="1164" spans="2:16" ht="15">
      <c r="B1164" s="326"/>
      <c r="C1164" s="405"/>
      <c r="D1164" s="328"/>
      <c r="E1164" s="329"/>
      <c r="F1164" s="330"/>
      <c r="G1164" s="331"/>
      <c r="H1164" s="332"/>
      <c r="I1164" s="572"/>
      <c r="J1164" s="355"/>
      <c r="K1164" s="496"/>
    </row>
    <row r="1165" spans="2:16" ht="15">
      <c r="B1165" s="334"/>
      <c r="C1165" s="334"/>
      <c r="D1165" s="335" t="s">
        <v>702</v>
      </c>
      <c r="E1165" s="336"/>
      <c r="F1165" s="337">
        <f>SUM(F1159:F1164)</f>
        <v>18000000</v>
      </c>
      <c r="G1165" s="1045">
        <f>SUMPRODUCT(F1159:F1164,G1159:G1164)/F1165</f>
        <v>103.69444444444444</v>
      </c>
      <c r="H1165" s="356">
        <f>SUMPRODUCT(F1159:F1164,H1159:H1164)/F1165</f>
        <v>4.9327181111111109</v>
      </c>
      <c r="I1165" s="1135"/>
      <c r="K1165" s="496"/>
    </row>
    <row r="1166" spans="2:16">
      <c r="J1166" s="355"/>
      <c r="K1166" s="496"/>
    </row>
    <row r="1167" spans="2:16">
      <c r="K1167" s="64"/>
    </row>
    <row r="1168" spans="2:16" ht="15">
      <c r="B1168" s="320" t="s">
        <v>770</v>
      </c>
      <c r="C1168" s="321"/>
      <c r="D1168" s="322" t="s">
        <v>566</v>
      </c>
      <c r="E1168" s="323" t="s">
        <v>567</v>
      </c>
      <c r="F1168" s="324" t="s">
        <v>568</v>
      </c>
      <c r="G1168" s="324" t="s">
        <v>701</v>
      </c>
      <c r="H1168" s="325" t="s">
        <v>569</v>
      </c>
      <c r="I1168" s="1133"/>
      <c r="K1168" s="64"/>
      <c r="O1168" s="31">
        <f>SUM(K1221:K1230,K1213,K1207,K1201,K1194:K1196,K1187:K1190,K1176:K1178,K1159:K1162,K1150:K1153,K1109:K1112,K1101:K1104,K1092:K1094,K1052:K1056)</f>
        <v>4625515.4392200634</v>
      </c>
    </row>
    <row r="1169" spans="2:15" ht="15">
      <c r="B1169" s="326" t="s">
        <v>423</v>
      </c>
      <c r="C1169" s="358" t="s">
        <v>565</v>
      </c>
      <c r="D1169" s="328" t="s">
        <v>1327</v>
      </c>
      <c r="E1169" s="329" t="s">
        <v>338</v>
      </c>
      <c r="F1169" s="404">
        <v>270000000</v>
      </c>
      <c r="G1169" s="421">
        <v>98.891999999999996</v>
      </c>
      <c r="H1169" s="422">
        <v>6.1499680000000003</v>
      </c>
      <c r="I1169" s="1221">
        <v>234252525</v>
      </c>
      <c r="J1169" s="355"/>
      <c r="K1169" s="496"/>
      <c r="O1169" s="355">
        <f>SUM(K301,K305,K316:K317,K336:K339,K343,K347:K351,K355,K369:K371,K384:K386,K394,K398,K404:K406,K577:K578,K782,K800,K879,K885:K886,K901,K907,K912,K935,K941)</f>
        <v>9710569.6168582402</v>
      </c>
    </row>
    <row r="1170" spans="2:15" ht="15">
      <c r="B1170" s="326" t="s">
        <v>423</v>
      </c>
      <c r="C1170" s="405" t="s">
        <v>565</v>
      </c>
      <c r="D1170" s="328" t="s">
        <v>1327</v>
      </c>
      <c r="E1170" s="329" t="s">
        <v>338</v>
      </c>
      <c r="F1170" s="330">
        <v>30000000</v>
      </c>
      <c r="G1170" s="331">
        <v>98.891999999999996</v>
      </c>
      <c r="H1170" s="332">
        <v>6.1499680000000003</v>
      </c>
      <c r="I1170" s="1221">
        <v>26028058.329999998</v>
      </c>
      <c r="J1170" s="355"/>
      <c r="K1170" s="496"/>
    </row>
    <row r="1171" spans="2:15" ht="15">
      <c r="B1171" s="326"/>
      <c r="C1171" s="405"/>
      <c r="D1171" s="328"/>
      <c r="E1171" s="329"/>
      <c r="F1171" s="330"/>
      <c r="G1171" s="331"/>
      <c r="H1171" s="332"/>
      <c r="I1171" s="572"/>
      <c r="J1171" s="355"/>
      <c r="K1171" s="496"/>
    </row>
    <row r="1172" spans="2:15" ht="15">
      <c r="B1172" s="334"/>
      <c r="C1172" s="334"/>
      <c r="D1172" s="335" t="s">
        <v>702</v>
      </c>
      <c r="E1172" s="336"/>
      <c r="F1172" s="337">
        <f>SUM(F1169:F1171)</f>
        <v>300000000</v>
      </c>
      <c r="G1172" s="1045">
        <f>SUMPRODUCT(F1169:F1171,G1169:G1171)/F1172</f>
        <v>98.891999999999996</v>
      </c>
      <c r="H1172" s="356">
        <f>SUMPRODUCT(F1169:F1171,H1169:H1171)/F1172</f>
        <v>6.1499680000000003</v>
      </c>
      <c r="I1172" s="1135"/>
      <c r="K1172" s="496"/>
    </row>
    <row r="1173" spans="2:15">
      <c r="K1173" s="64"/>
    </row>
    <row r="1174" spans="2:15">
      <c r="K1174" s="64"/>
    </row>
    <row r="1175" spans="2:15" ht="15">
      <c r="B1175" s="320" t="s">
        <v>770</v>
      </c>
      <c r="C1175" s="321"/>
      <c r="D1175" s="322" t="s">
        <v>566</v>
      </c>
      <c r="E1175" s="323" t="s">
        <v>567</v>
      </c>
      <c r="F1175" s="324" t="s">
        <v>568</v>
      </c>
      <c r="G1175" s="324" t="s">
        <v>701</v>
      </c>
      <c r="H1175" s="325" t="s">
        <v>569</v>
      </c>
      <c r="I1175" s="1133"/>
      <c r="J1175" s="33" t="s">
        <v>1283</v>
      </c>
      <c r="K1175" s="64">
        <v>7.8</v>
      </c>
    </row>
    <row r="1176" spans="2:15" ht="15">
      <c r="B1176" s="326" t="s">
        <v>513</v>
      </c>
      <c r="C1176" s="358" t="s">
        <v>994</v>
      </c>
      <c r="D1176" s="402" t="s">
        <v>1307</v>
      </c>
      <c r="E1176" s="403" t="s">
        <v>338</v>
      </c>
      <c r="F1176" s="404">
        <v>2000000</v>
      </c>
      <c r="G1176" s="421">
        <v>98.5</v>
      </c>
      <c r="H1176" s="1225">
        <v>5.1937100000000003</v>
      </c>
      <c r="I1176" s="1221">
        <v>1994277.78</v>
      </c>
      <c r="J1176" s="355">
        <f>(G1176-92.79657143)*F1176/100</f>
        <v>114068.57139999999</v>
      </c>
      <c r="K1176" s="496">
        <f>J1176*$K$1175</f>
        <v>889734.85691999982</v>
      </c>
    </row>
    <row r="1177" spans="2:15" ht="15">
      <c r="B1177" s="326" t="s">
        <v>513</v>
      </c>
      <c r="C1177" s="405" t="s">
        <v>994</v>
      </c>
      <c r="D1177" s="328" t="s">
        <v>1307</v>
      </c>
      <c r="E1177" s="329" t="s">
        <v>338</v>
      </c>
      <c r="F1177" s="330">
        <v>1000000</v>
      </c>
      <c r="G1177" s="331">
        <v>98.51</v>
      </c>
      <c r="H1177" s="1226">
        <v>5.1907110000000003</v>
      </c>
      <c r="I1177" s="1221">
        <v>997238.89</v>
      </c>
      <c r="J1177" s="355">
        <f>(G1177-92.79657143)*F1177/100</f>
        <v>57134.285700000051</v>
      </c>
      <c r="K1177" s="496">
        <f>J1177*$K$1175</f>
        <v>445647.42846000037</v>
      </c>
    </row>
    <row r="1178" spans="2:15" ht="15">
      <c r="B1178" s="326"/>
      <c r="C1178" s="405"/>
      <c r="D1178" s="328"/>
      <c r="E1178" s="329"/>
      <c r="F1178" s="330"/>
      <c r="G1178" s="331"/>
      <c r="H1178" s="332"/>
      <c r="I1178" s="1221"/>
      <c r="J1178" s="355"/>
      <c r="K1178" s="496"/>
    </row>
    <row r="1179" spans="2:15" ht="15">
      <c r="B1179" s="326"/>
      <c r="C1179" s="405"/>
      <c r="D1179" s="328"/>
      <c r="E1179" s="329"/>
      <c r="F1179" s="330"/>
      <c r="G1179" s="331"/>
      <c r="H1179" s="332"/>
      <c r="I1179" s="1221"/>
      <c r="J1179" s="355"/>
      <c r="K1179" s="496"/>
    </row>
    <row r="1180" spans="2:15" ht="15">
      <c r="B1180" s="326"/>
      <c r="C1180" s="405"/>
      <c r="D1180" s="328"/>
      <c r="E1180" s="329"/>
      <c r="F1180" s="330"/>
      <c r="G1180" s="331"/>
      <c r="H1180" s="332"/>
      <c r="I1180" s="572"/>
      <c r="J1180" s="355"/>
      <c r="K1180" s="496"/>
    </row>
    <row r="1181" spans="2:15" ht="15">
      <c r="B1181" s="334"/>
      <c r="C1181" s="334"/>
      <c r="D1181" s="335" t="s">
        <v>702</v>
      </c>
      <c r="E1181" s="336"/>
      <c r="F1181" s="337">
        <f>SUM(F1176:F1180)</f>
        <v>3000000</v>
      </c>
      <c r="G1181" s="1045">
        <f>SUMPRODUCT(F1176:F1180,G1176:G1180)/F1181</f>
        <v>98.50333333333333</v>
      </c>
      <c r="H1181" s="356">
        <f>SUMPRODUCT(F1176:F1180,H1176:H1180)/F1181</f>
        <v>5.1927103333333333</v>
      </c>
      <c r="I1181" s="1135"/>
      <c r="K1181" s="64"/>
    </row>
    <row r="1182" spans="2:15">
      <c r="K1182" s="64"/>
    </row>
    <row r="1183" spans="2:15">
      <c r="K1183" s="64"/>
      <c r="M1183"/>
    </row>
    <row r="1184" spans="2:15">
      <c r="K1184" s="64"/>
      <c r="M1184"/>
    </row>
    <row r="1185" spans="2:15">
      <c r="J1185" s="355"/>
      <c r="K1185" s="496"/>
    </row>
    <row r="1186" spans="2:15" ht="15">
      <c r="B1186" s="320" t="s">
        <v>770</v>
      </c>
      <c r="C1186" s="845"/>
      <c r="D1186" s="1265" t="s">
        <v>566</v>
      </c>
      <c r="E1186" s="1266" t="s">
        <v>567</v>
      </c>
      <c r="F1186" s="1267" t="s">
        <v>568</v>
      </c>
      <c r="G1186" s="1267" t="s">
        <v>701</v>
      </c>
      <c r="H1186" s="1268" t="s">
        <v>569</v>
      </c>
      <c r="J1186" s="33" t="s">
        <v>1283</v>
      </c>
      <c r="K1186" s="1284">
        <v>7.8</v>
      </c>
    </row>
    <row r="1187" spans="2:15" ht="15">
      <c r="B1187" s="326" t="s">
        <v>513</v>
      </c>
      <c r="C1187" s="358" t="s">
        <v>994</v>
      </c>
      <c r="D1187" s="402" t="s">
        <v>78</v>
      </c>
      <c r="E1187" s="403" t="s">
        <v>338</v>
      </c>
      <c r="F1187" s="404">
        <v>1000000</v>
      </c>
      <c r="G1187" s="421">
        <v>91.5</v>
      </c>
      <c r="H1187" s="1225">
        <v>5.7884599999999997</v>
      </c>
      <c r="I1187" s="1142">
        <v>918375</v>
      </c>
      <c r="J1187" s="355">
        <f>(G1187-86.6519)*F1187/100</f>
        <v>48481.000000000022</v>
      </c>
      <c r="K1187" s="496">
        <f>J1187*$K$1186</f>
        <v>378151.80000000016</v>
      </c>
    </row>
    <row r="1188" spans="2:15" ht="15">
      <c r="B1188" s="326" t="s">
        <v>513</v>
      </c>
      <c r="C1188" s="405" t="s">
        <v>994</v>
      </c>
      <c r="D1188" s="328" t="s">
        <v>78</v>
      </c>
      <c r="E1188" s="329" t="s">
        <v>338</v>
      </c>
      <c r="F1188" s="330">
        <v>1000000</v>
      </c>
      <c r="G1188" s="331">
        <v>91.4</v>
      </c>
      <c r="H1188" s="1226">
        <v>5.8047899999999997</v>
      </c>
      <c r="I1188" s="1142">
        <v>917500</v>
      </c>
      <c r="J1188" s="355">
        <f>(G1188-86.6519)*F1188/100</f>
        <v>47481.000000000087</v>
      </c>
      <c r="K1188" s="496">
        <f>J1188*$K$1186</f>
        <v>370351.80000000069</v>
      </c>
      <c r="L1188" s="355"/>
    </row>
    <row r="1189" spans="2:15" ht="15">
      <c r="B1189" s="326" t="s">
        <v>513</v>
      </c>
      <c r="C1189" s="405" t="s">
        <v>994</v>
      </c>
      <c r="D1189" s="328" t="s">
        <v>78</v>
      </c>
      <c r="E1189" s="329" t="s">
        <v>338</v>
      </c>
      <c r="F1189" s="330">
        <v>1000000</v>
      </c>
      <c r="G1189" s="331">
        <v>91</v>
      </c>
      <c r="H1189" s="1226">
        <v>5.8729100000000001</v>
      </c>
      <c r="I1189" s="1142">
        <v>914875</v>
      </c>
      <c r="J1189" s="355">
        <f>(G1189-86.6519)*F1189/100</f>
        <v>43481.000000000022</v>
      </c>
      <c r="K1189" s="496">
        <f>J1189*$K$1186</f>
        <v>339151.80000000016</v>
      </c>
      <c r="L1189" s="355"/>
    </row>
    <row r="1190" spans="2:15" ht="15">
      <c r="B1190" s="326"/>
      <c r="C1190" s="365"/>
      <c r="D1190" s="349"/>
      <c r="E1190" s="406"/>
      <c r="F1190" s="350"/>
      <c r="G1190" s="351"/>
      <c r="H1190" s="352"/>
      <c r="J1190" s="355"/>
      <c r="K1190" s="1285"/>
    </row>
    <row r="1191" spans="2:15" ht="15">
      <c r="B1191" s="334"/>
      <c r="C1191" s="846"/>
      <c r="D1191" s="1269" t="s">
        <v>702</v>
      </c>
      <c r="E1191" s="1270"/>
      <c r="F1191" s="1271">
        <f>SUM(F1187:F1190)</f>
        <v>3000000</v>
      </c>
      <c r="G1191" s="1272">
        <f>SUMPRODUCT(F1187:F1190,G1187:G1190)/F1191</f>
        <v>91.3</v>
      </c>
      <c r="H1191" s="1273">
        <f>SUMPRODUCT(F1187:F1190,H1187:H1190)/F1191</f>
        <v>5.8220533333333337</v>
      </c>
      <c r="J1191" s="355"/>
      <c r="K1191" s="1285"/>
    </row>
    <row r="1192" spans="2:15">
      <c r="J1192" s="355"/>
      <c r="K1192" s="1285"/>
    </row>
    <row r="1193" spans="2:15" ht="15">
      <c r="B1193" s="320" t="s">
        <v>770</v>
      </c>
      <c r="C1193" s="321"/>
      <c r="D1193" s="322" t="s">
        <v>566</v>
      </c>
      <c r="E1193" s="323" t="s">
        <v>567</v>
      </c>
      <c r="F1193" s="324" t="s">
        <v>568</v>
      </c>
      <c r="G1193" s="324" t="s">
        <v>701</v>
      </c>
      <c r="H1193" s="325" t="s">
        <v>569</v>
      </c>
      <c r="J1193" s="33" t="s">
        <v>1283</v>
      </c>
      <c r="K1193" s="1284">
        <v>7.8</v>
      </c>
    </row>
    <row r="1194" spans="2:15" ht="15">
      <c r="B1194" s="326" t="s">
        <v>513</v>
      </c>
      <c r="C1194" s="405" t="s">
        <v>994</v>
      </c>
      <c r="D1194" s="328" t="s">
        <v>711</v>
      </c>
      <c r="E1194" s="329" t="s">
        <v>338</v>
      </c>
      <c r="F1194" s="404">
        <v>2500000</v>
      </c>
      <c r="G1194" s="421">
        <v>106</v>
      </c>
      <c r="H1194" s="1225">
        <v>5.6528499999999999</v>
      </c>
      <c r="I1194" s="1142">
        <v>2709531.25</v>
      </c>
      <c r="J1194" s="355">
        <f>(G1194-99.56)*F1194/100</f>
        <v>160999.99999999994</v>
      </c>
      <c r="K1194" s="1285">
        <f>J1194*$K$1186</f>
        <v>1255799.9999999995</v>
      </c>
    </row>
    <row r="1195" spans="2:15" ht="15">
      <c r="B1195" s="326" t="s">
        <v>513</v>
      </c>
      <c r="C1195" s="405" t="s">
        <v>994</v>
      </c>
      <c r="D1195" s="328" t="s">
        <v>711</v>
      </c>
      <c r="E1195" s="329" t="s">
        <v>338</v>
      </c>
      <c r="F1195" s="330">
        <v>2000000</v>
      </c>
      <c r="G1195" s="331">
        <v>106</v>
      </c>
      <c r="H1195" s="1226">
        <v>5.6528489999999998</v>
      </c>
      <c r="I1195" s="1142">
        <v>2167625</v>
      </c>
      <c r="J1195" s="355">
        <f>(G1195-99.56)*F1195/100</f>
        <v>128799.99999999996</v>
      </c>
      <c r="K1195" s="1285">
        <f>J1195*$K$1186</f>
        <v>1004639.9999999997</v>
      </c>
      <c r="L1195" s="355"/>
    </row>
    <row r="1196" spans="2:15" ht="15">
      <c r="B1196" s="326"/>
      <c r="C1196" s="405"/>
      <c r="D1196" s="328"/>
      <c r="E1196" s="329"/>
      <c r="F1196" s="330"/>
      <c r="G1196" s="331"/>
      <c r="H1196" s="332"/>
      <c r="J1196" s="1246"/>
      <c r="K1196" s="1286"/>
    </row>
    <row r="1197" spans="2:15" ht="15">
      <c r="B1197" s="334"/>
      <c r="C1197" s="334"/>
      <c r="D1197" s="335" t="s">
        <v>702</v>
      </c>
      <c r="E1197" s="336"/>
      <c r="F1197" s="337">
        <f>SUM(F1194:F1196)</f>
        <v>4500000</v>
      </c>
      <c r="G1197" s="1045">
        <f>SUMPRODUCT(F1194:F1196,G1194:G1196)/F1197</f>
        <v>106</v>
      </c>
      <c r="H1197" s="356">
        <f>SUMPRODUCT(F1194:F1196,H1194:H1196)/F1197</f>
        <v>5.6528495555555551</v>
      </c>
      <c r="J1197" s="1248"/>
      <c r="K1197" s="1285"/>
      <c r="L1197" s="1249"/>
      <c r="O1197" s="1264"/>
    </row>
    <row r="1198" spans="2:15">
      <c r="J1198" s="355"/>
      <c r="K1198" s="1285"/>
    </row>
    <row r="1199" spans="2:15" s="1250" customFormat="1" ht="15.75">
      <c r="B1199" s="1250" t="s">
        <v>1341</v>
      </c>
      <c r="J1199" s="1251"/>
      <c r="K1199" s="1287"/>
      <c r="M1199" s="1252"/>
    </row>
    <row r="1200" spans="2:15" ht="15">
      <c r="B1200" s="320" t="s">
        <v>770</v>
      </c>
      <c r="C1200" s="321"/>
      <c r="D1200" s="322" t="s">
        <v>566</v>
      </c>
      <c r="E1200" s="323" t="s">
        <v>567</v>
      </c>
      <c r="F1200" s="324" t="s">
        <v>568</v>
      </c>
      <c r="G1200" s="324" t="s">
        <v>701</v>
      </c>
      <c r="H1200" s="325" t="s">
        <v>569</v>
      </c>
      <c r="J1200" s="33" t="s">
        <v>1283</v>
      </c>
      <c r="K1200" s="1284">
        <v>7.8</v>
      </c>
    </row>
    <row r="1201" spans="2:11" ht="15">
      <c r="B1201" s="326" t="s">
        <v>513</v>
      </c>
      <c r="C1201" s="405" t="s">
        <v>994</v>
      </c>
      <c r="D1201" s="328" t="s">
        <v>719</v>
      </c>
      <c r="E1201" s="329" t="s">
        <v>338</v>
      </c>
      <c r="F1201" s="404">
        <v>150000000</v>
      </c>
      <c r="G1201" s="421">
        <v>96.894999999999996</v>
      </c>
      <c r="H1201" s="1225">
        <v>4.8499999999999996</v>
      </c>
      <c r="I1201" s="1142">
        <f>130808250+14534250</f>
        <v>145342500</v>
      </c>
      <c r="J1201" s="355">
        <f>(G1201-99.21)*F1201/100</f>
        <v>-3472499.9999999963</v>
      </c>
      <c r="K1201" s="1285">
        <f>J1201*$K$1200</f>
        <v>-27085499.99999997</v>
      </c>
    </row>
    <row r="1202" spans="2:11" ht="15">
      <c r="B1202" s="326"/>
      <c r="C1202" s="405"/>
      <c r="D1202" s="328"/>
      <c r="E1202" s="329"/>
      <c r="F1202" s="330"/>
      <c r="G1202" s="331"/>
      <c r="H1202" s="1226"/>
      <c r="I1202" s="1142"/>
      <c r="J1202" s="355"/>
      <c r="K1202" s="1285"/>
    </row>
    <row r="1203" spans="2:11" ht="15">
      <c r="B1203" s="326"/>
      <c r="C1203" s="405"/>
      <c r="D1203" s="328"/>
      <c r="E1203" s="329"/>
      <c r="F1203" s="330"/>
      <c r="G1203" s="331"/>
      <c r="H1203" s="332"/>
      <c r="I1203" s="1142"/>
      <c r="J1203" s="355"/>
      <c r="K1203" s="1285"/>
    </row>
    <row r="1204" spans="2:11" ht="15">
      <c r="B1204" s="334"/>
      <c r="C1204" s="334"/>
      <c r="D1204" s="335" t="s">
        <v>702</v>
      </c>
      <c r="E1204" s="336"/>
      <c r="F1204" s="337">
        <f>SUM(F1201:F1203)</f>
        <v>150000000</v>
      </c>
      <c r="G1204" s="1045">
        <f>SUMPRODUCT(F1201:F1203,G1201:G1203)/F1204</f>
        <v>96.894999999999996</v>
      </c>
      <c r="H1204" s="356">
        <f>SUMPRODUCT(F1201:F1203,H1201:H1203)/F1204</f>
        <v>4.8499999999999996</v>
      </c>
      <c r="J1204" s="355"/>
      <c r="K1204" s="1285"/>
    </row>
    <row r="1205" spans="2:11">
      <c r="J1205" s="355"/>
      <c r="K1205" s="1285"/>
    </row>
    <row r="1206" spans="2:11" ht="15">
      <c r="B1206" s="320" t="s">
        <v>770</v>
      </c>
      <c r="C1206" s="321"/>
      <c r="D1206" s="322" t="s">
        <v>566</v>
      </c>
      <c r="E1206" s="323" t="s">
        <v>567</v>
      </c>
      <c r="F1206" s="324" t="s">
        <v>568</v>
      </c>
      <c r="G1206" s="324" t="s">
        <v>701</v>
      </c>
      <c r="H1206" s="325" t="s">
        <v>569</v>
      </c>
      <c r="J1206" s="33" t="s">
        <v>1283</v>
      </c>
      <c r="K1206" s="1284">
        <v>7.8</v>
      </c>
    </row>
    <row r="1207" spans="2:11" ht="15">
      <c r="B1207" s="326" t="s">
        <v>513</v>
      </c>
      <c r="C1207" s="405" t="s">
        <v>994</v>
      </c>
      <c r="D1207" s="328" t="s">
        <v>211</v>
      </c>
      <c r="E1207" s="329" t="s">
        <v>338</v>
      </c>
      <c r="F1207" s="404">
        <v>42000000</v>
      </c>
      <c r="G1207" s="421">
        <v>96.075000000000003</v>
      </c>
      <c r="H1207" s="1225">
        <v>6.75</v>
      </c>
      <c r="I1207" s="1142">
        <f>36316350+4035150</f>
        <v>40351500</v>
      </c>
      <c r="J1207" s="355">
        <f>(G1207-94.41)*F1207/100</f>
        <v>699300.00000000268</v>
      </c>
      <c r="K1207" s="1285">
        <f>J1207*$K$1200</f>
        <v>5454540.0000000205</v>
      </c>
    </row>
    <row r="1208" spans="2:11" ht="15">
      <c r="B1208" s="326"/>
      <c r="C1208" s="405"/>
      <c r="D1208" s="328"/>
      <c r="E1208" s="329"/>
      <c r="F1208" s="330"/>
      <c r="G1208" s="331"/>
      <c r="H1208" s="1226"/>
      <c r="I1208" s="1142"/>
      <c r="J1208" s="1247"/>
      <c r="K1208" s="1285"/>
    </row>
    <row r="1209" spans="2:11" ht="15">
      <c r="B1209" s="326"/>
      <c r="C1209" s="405"/>
      <c r="D1209" s="328"/>
      <c r="E1209" s="329"/>
      <c r="F1209" s="330"/>
      <c r="G1209" s="331"/>
      <c r="H1209" s="332"/>
      <c r="I1209" s="1142"/>
      <c r="J1209" s="355"/>
      <c r="K1209" s="1285"/>
    </row>
    <row r="1210" spans="2:11" ht="15">
      <c r="B1210" s="334"/>
      <c r="C1210" s="334"/>
      <c r="D1210" s="335" t="s">
        <v>702</v>
      </c>
      <c r="E1210" s="336"/>
      <c r="F1210" s="337">
        <f>SUM(F1207:F1209)</f>
        <v>42000000</v>
      </c>
      <c r="G1210" s="1045">
        <f>SUMPRODUCT(F1207:F1209,G1207:G1209)/F1210</f>
        <v>96.075000000000003</v>
      </c>
      <c r="H1210" s="356">
        <f>SUMPRODUCT(F1207:F1209,H1207:H1209)/F1210</f>
        <v>6.75</v>
      </c>
      <c r="J1210" s="1247"/>
      <c r="K1210" s="1285"/>
    </row>
    <row r="1211" spans="2:11">
      <c r="J1211" s="355"/>
      <c r="K1211" s="1285"/>
    </row>
    <row r="1212" spans="2:11" ht="15">
      <c r="B1212" s="320" t="s">
        <v>770</v>
      </c>
      <c r="C1212" s="321"/>
      <c r="D1212" s="322" t="s">
        <v>566</v>
      </c>
      <c r="E1212" s="323" t="s">
        <v>567</v>
      </c>
      <c r="F1212" s="324" t="s">
        <v>568</v>
      </c>
      <c r="G1212" s="324" t="s">
        <v>701</v>
      </c>
      <c r="H1212" s="325" t="s">
        <v>569</v>
      </c>
      <c r="J1212" s="33" t="s">
        <v>1283</v>
      </c>
      <c r="K1212" s="1284">
        <v>7.8</v>
      </c>
    </row>
    <row r="1213" spans="2:11" ht="15">
      <c r="B1213" s="326" t="s">
        <v>513</v>
      </c>
      <c r="C1213" s="405" t="s">
        <v>994</v>
      </c>
      <c r="D1213" s="328" t="s">
        <v>1335</v>
      </c>
      <c r="E1213" s="329" t="s">
        <v>338</v>
      </c>
      <c r="F1213" s="404">
        <v>7000000</v>
      </c>
      <c r="G1213" s="421">
        <v>100.155</v>
      </c>
      <c r="H1213" s="1225">
        <v>4.2150299999999996</v>
      </c>
      <c r="I1213" s="1142">
        <v>7015808.3300000001</v>
      </c>
      <c r="J1213" s="355">
        <f>(G1213-99.58)*F1213/100</f>
        <v>40250.000000000204</v>
      </c>
      <c r="K1213" s="1285">
        <f>J1213*$K$1212</f>
        <v>313950.00000000157</v>
      </c>
    </row>
    <row r="1214" spans="2:11" ht="15">
      <c r="B1214" s="326"/>
      <c r="C1214" s="405"/>
      <c r="D1214" s="328"/>
      <c r="E1214" s="329"/>
      <c r="F1214" s="330"/>
      <c r="G1214" s="331"/>
      <c r="H1214" s="1226"/>
      <c r="I1214" s="1142"/>
      <c r="J1214" s="355"/>
      <c r="K1214" s="1285"/>
    </row>
    <row r="1215" spans="2:11" ht="15">
      <c r="B1215" s="326"/>
      <c r="C1215" s="405"/>
      <c r="D1215" s="328"/>
      <c r="E1215" s="329"/>
      <c r="F1215" s="330"/>
      <c r="G1215" s="331"/>
      <c r="H1215" s="1226"/>
      <c r="I1215" s="1142"/>
      <c r="J1215" s="355"/>
      <c r="K1215" s="1285"/>
    </row>
    <row r="1216" spans="2:11" ht="15">
      <c r="B1216" s="326"/>
      <c r="C1216" s="405"/>
      <c r="D1216" s="328"/>
      <c r="E1216" s="329"/>
      <c r="F1216" s="330"/>
      <c r="G1216" s="331"/>
      <c r="H1216" s="1226"/>
      <c r="I1216" s="1142"/>
      <c r="J1216" s="355"/>
      <c r="K1216" s="1285"/>
    </row>
    <row r="1217" spans="2:12" ht="15">
      <c r="B1217" s="326"/>
      <c r="C1217" s="405"/>
      <c r="D1217" s="328"/>
      <c r="E1217" s="329"/>
      <c r="F1217" s="330"/>
      <c r="G1217" s="331"/>
      <c r="H1217" s="332"/>
      <c r="I1217" s="1142"/>
      <c r="J1217" s="1247"/>
      <c r="K1217" s="1285"/>
    </row>
    <row r="1218" spans="2:12" ht="15">
      <c r="B1218" s="334"/>
      <c r="C1218" s="334"/>
      <c r="D1218" s="335" t="s">
        <v>702</v>
      </c>
      <c r="E1218" s="336"/>
      <c r="F1218" s="337">
        <f>SUM(F1213:F1217)</f>
        <v>7000000</v>
      </c>
      <c r="G1218" s="1045">
        <f>SUMPRODUCT(F1213:F1217,G1213:G1217)/F1218</f>
        <v>100.155</v>
      </c>
      <c r="H1218" s="356">
        <f>SUMPRODUCT(F1213:F1217,H1213:H1217)/F1218</f>
        <v>4.2150299999999996</v>
      </c>
      <c r="J1218" s="355"/>
      <c r="K1218" s="1285"/>
    </row>
    <row r="1219" spans="2:12">
      <c r="J1219" s="355"/>
      <c r="K1219" s="1285"/>
    </row>
    <row r="1220" spans="2:12" ht="15">
      <c r="B1220" s="320" t="s">
        <v>770</v>
      </c>
      <c r="C1220" s="845"/>
      <c r="D1220" s="1265" t="s">
        <v>566</v>
      </c>
      <c r="E1220" s="1266" t="s">
        <v>567</v>
      </c>
      <c r="F1220" s="1267" t="s">
        <v>568</v>
      </c>
      <c r="G1220" s="1267" t="s">
        <v>701</v>
      </c>
      <c r="H1220" s="1268" t="s">
        <v>569</v>
      </c>
      <c r="J1220" s="33" t="s">
        <v>1283</v>
      </c>
      <c r="K1220" s="64">
        <v>7.8</v>
      </c>
    </row>
    <row r="1221" spans="2:12" ht="15">
      <c r="B1221" s="326" t="s">
        <v>513</v>
      </c>
      <c r="C1221" s="358" t="s">
        <v>994</v>
      </c>
      <c r="D1221" s="402" t="s">
        <v>1340</v>
      </c>
      <c r="E1221" s="403" t="s">
        <v>338</v>
      </c>
      <c r="F1221" s="404">
        <v>5000000</v>
      </c>
      <c r="G1221" s="421">
        <v>105</v>
      </c>
      <c r="H1221" s="1225">
        <v>6.0038499999999999</v>
      </c>
      <c r="I1221" s="1142">
        <v>5368819.4400000004</v>
      </c>
      <c r="J1221" s="355">
        <f t="shared" ref="J1221:J1227" si="5">(G1221-100)*F1221/100</f>
        <v>250000</v>
      </c>
      <c r="K1221" s="1285">
        <f>J1221*$K$1220</f>
        <v>1950000</v>
      </c>
    </row>
    <row r="1222" spans="2:12" ht="15">
      <c r="B1222" s="326" t="s">
        <v>513</v>
      </c>
      <c r="C1222" s="405" t="s">
        <v>994</v>
      </c>
      <c r="D1222" s="328" t="s">
        <v>1340</v>
      </c>
      <c r="E1222" s="329" t="s">
        <v>338</v>
      </c>
      <c r="F1222" s="330">
        <v>2000000</v>
      </c>
      <c r="G1222" s="331">
        <v>105</v>
      </c>
      <c r="H1222" s="1226">
        <v>6.002643</v>
      </c>
      <c r="I1222" s="1142">
        <v>2148333.33</v>
      </c>
      <c r="J1222" s="355">
        <f t="shared" si="5"/>
        <v>100000</v>
      </c>
      <c r="K1222" s="1285">
        <f t="shared" ref="K1222:K1224" si="6">J1222*$K$1220</f>
        <v>780000</v>
      </c>
    </row>
    <row r="1223" spans="2:12" ht="15">
      <c r="B1223" s="326" t="s">
        <v>513</v>
      </c>
      <c r="C1223" s="405" t="s">
        <v>994</v>
      </c>
      <c r="D1223" s="328" t="s">
        <v>1340</v>
      </c>
      <c r="E1223" s="329" t="s">
        <v>338</v>
      </c>
      <c r="F1223" s="330">
        <v>5000000</v>
      </c>
      <c r="G1223" s="331">
        <v>105</v>
      </c>
      <c r="H1223" s="1226">
        <v>6.002643</v>
      </c>
      <c r="I1223" s="1142">
        <v>5373854.1699999999</v>
      </c>
      <c r="J1223" s="355">
        <f t="shared" si="5"/>
        <v>250000</v>
      </c>
      <c r="K1223" s="1285">
        <f t="shared" si="6"/>
        <v>1950000</v>
      </c>
      <c r="L1223" s="355"/>
    </row>
    <row r="1224" spans="2:12" ht="15">
      <c r="B1224" s="326" t="s">
        <v>513</v>
      </c>
      <c r="C1224" s="405" t="s">
        <v>994</v>
      </c>
      <c r="D1224" s="328" t="s">
        <v>1340</v>
      </c>
      <c r="E1224" s="329" t="s">
        <v>338</v>
      </c>
      <c r="F1224" s="330">
        <v>1000000</v>
      </c>
      <c r="G1224" s="331">
        <v>105</v>
      </c>
      <c r="H1224" s="1226">
        <v>6.0002360000000001</v>
      </c>
      <c r="I1224" s="1142">
        <v>1074972.22</v>
      </c>
      <c r="J1224" s="355">
        <f t="shared" si="5"/>
        <v>50000</v>
      </c>
      <c r="K1224" s="1285">
        <f t="shared" si="6"/>
        <v>390000</v>
      </c>
      <c r="L1224" s="355"/>
    </row>
    <row r="1225" spans="2:12" ht="15">
      <c r="B1225" s="326" t="s">
        <v>513</v>
      </c>
      <c r="C1225" s="405" t="s">
        <v>994</v>
      </c>
      <c r="D1225" s="328" t="s">
        <v>1340</v>
      </c>
      <c r="E1225" s="329" t="s">
        <v>338</v>
      </c>
      <c r="F1225" s="330">
        <v>10000000</v>
      </c>
      <c r="G1225" s="331">
        <v>104.5</v>
      </c>
      <c r="H1225" s="1226">
        <v>6.1199700000000004</v>
      </c>
      <c r="I1225" s="1142">
        <v>10705763.890000001</v>
      </c>
      <c r="J1225" s="355">
        <f t="shared" si="5"/>
        <v>450000</v>
      </c>
      <c r="K1225" s="1285">
        <f t="shared" ref="K1225:K1227" si="7">J1225*$K$1220</f>
        <v>3510000</v>
      </c>
      <c r="L1225" s="355"/>
    </row>
    <row r="1226" spans="2:12" ht="15">
      <c r="B1226" s="326" t="s">
        <v>513</v>
      </c>
      <c r="C1226" s="405" t="s">
        <v>994</v>
      </c>
      <c r="D1226" s="328" t="s">
        <v>1340</v>
      </c>
      <c r="E1226" s="329" t="s">
        <v>338</v>
      </c>
      <c r="F1226" s="330">
        <v>500000</v>
      </c>
      <c r="G1226" s="331">
        <v>105</v>
      </c>
      <c r="H1226" s="1226">
        <v>5.9984320000000002</v>
      </c>
      <c r="I1226" s="1142">
        <v>537788.18999999994</v>
      </c>
      <c r="J1226" s="355">
        <f t="shared" si="5"/>
        <v>25000</v>
      </c>
      <c r="K1226" s="1285">
        <f t="shared" si="7"/>
        <v>195000</v>
      </c>
      <c r="L1226" s="355"/>
    </row>
    <row r="1227" spans="2:12" ht="15">
      <c r="B1227" s="326" t="s">
        <v>513</v>
      </c>
      <c r="C1227" s="405" t="s">
        <v>994</v>
      </c>
      <c r="D1227" s="328" t="s">
        <v>1340</v>
      </c>
      <c r="E1227" s="329" t="s">
        <v>338</v>
      </c>
      <c r="F1227" s="330">
        <v>500000</v>
      </c>
      <c r="G1227" s="331">
        <v>104.8</v>
      </c>
      <c r="H1227" s="1226">
        <v>6.0469600000000003</v>
      </c>
      <c r="I1227" s="1142">
        <v>536788.18999999994</v>
      </c>
      <c r="J1227" s="355">
        <f t="shared" si="5"/>
        <v>23999.999999999985</v>
      </c>
      <c r="K1227" s="1285">
        <f t="shared" si="7"/>
        <v>187199.99999999988</v>
      </c>
      <c r="L1227" s="355"/>
    </row>
    <row r="1228" spans="2:12" ht="15">
      <c r="B1228" s="1337"/>
      <c r="C1228" s="1338"/>
      <c r="D1228" s="1339"/>
      <c r="E1228" s="1340"/>
      <c r="F1228" s="1341"/>
      <c r="G1228" s="1342"/>
      <c r="H1228" s="1343"/>
      <c r="J1228" s="355"/>
      <c r="K1228" s="1285"/>
      <c r="L1228" s="355"/>
    </row>
    <row r="1229" spans="2:12" ht="15">
      <c r="B1229" s="1337"/>
      <c r="C1229" s="1338"/>
      <c r="D1229" s="1339"/>
      <c r="E1229" s="1340"/>
      <c r="F1229" s="1341"/>
      <c r="G1229" s="1342"/>
      <c r="H1229" s="1343"/>
      <c r="J1229" s="355"/>
      <c r="K1229" s="1285"/>
      <c r="L1229" s="355"/>
    </row>
    <row r="1230" spans="2:12" ht="15">
      <c r="B1230" s="1337"/>
      <c r="C1230" s="1338"/>
      <c r="D1230" s="1339"/>
      <c r="E1230" s="1340"/>
      <c r="F1230" s="1341"/>
      <c r="G1230" s="1342"/>
      <c r="H1230" s="1343"/>
      <c r="J1230" s="355"/>
      <c r="K1230" s="496"/>
    </row>
    <row r="1231" spans="2:12" ht="15">
      <c r="B1231" s="334"/>
      <c r="C1231" s="846"/>
      <c r="D1231" s="1269" t="s">
        <v>702</v>
      </c>
      <c r="E1231" s="1270"/>
      <c r="F1231" s="1271">
        <f>SUM(F1221:F1230)</f>
        <v>24000000</v>
      </c>
      <c r="G1231" s="1272">
        <f>SUMPRODUCT(F1221:F1230,G1221:G1230)/F1231</f>
        <v>104.78749999999999</v>
      </c>
      <c r="H1231" s="1273">
        <f>SUMPRODUCT(F1221:F1230,H1221:H1230)/F1231</f>
        <v>6.0525159583333332</v>
      </c>
      <c r="J1231" s="355"/>
      <c r="K1231" s="496"/>
    </row>
    <row r="1232" spans="2:12">
      <c r="J1232" s="355"/>
      <c r="K1232" s="496"/>
    </row>
    <row r="1233" spans="2:13" ht="15">
      <c r="B1233" s="320" t="s">
        <v>770</v>
      </c>
      <c r="C1233" s="321"/>
      <c r="D1233" s="322" t="s">
        <v>566</v>
      </c>
      <c r="E1233" s="323" t="s">
        <v>567</v>
      </c>
      <c r="F1233" s="324" t="s">
        <v>568</v>
      </c>
      <c r="G1233" s="324" t="s">
        <v>701</v>
      </c>
      <c r="H1233" s="325" t="s">
        <v>569</v>
      </c>
      <c r="J1233" s="33"/>
      <c r="K1233" s="1284"/>
    </row>
    <row r="1234" spans="2:13" ht="15">
      <c r="B1234" s="326" t="s">
        <v>513</v>
      </c>
      <c r="C1234" s="405" t="s">
        <v>565</v>
      </c>
      <c r="D1234" s="328" t="s">
        <v>1335</v>
      </c>
      <c r="E1234" s="329" t="s">
        <v>338</v>
      </c>
      <c r="F1234" s="404">
        <v>7000000</v>
      </c>
      <c r="G1234" s="421">
        <v>99.576999999999998</v>
      </c>
      <c r="H1234" s="1225">
        <v>4.3450340000000001</v>
      </c>
      <c r="I1234" s="1142">
        <v>6970390</v>
      </c>
      <c r="J1234" s="355"/>
      <c r="K1234" s="1285"/>
    </row>
    <row r="1235" spans="2:13" ht="15">
      <c r="B1235" s="326"/>
      <c r="C1235" s="405"/>
      <c r="D1235" s="328"/>
      <c r="E1235" s="329"/>
      <c r="F1235" s="330"/>
      <c r="G1235" s="331"/>
      <c r="H1235" s="332"/>
      <c r="I1235" s="1142"/>
      <c r="J1235" s="1247"/>
      <c r="K1235" s="1285"/>
    </row>
    <row r="1236" spans="2:13" ht="15">
      <c r="B1236" s="334"/>
      <c r="C1236" s="334"/>
      <c r="D1236" s="335" t="s">
        <v>702</v>
      </c>
      <c r="E1236" s="336"/>
      <c r="F1236" s="337">
        <f>SUM(F1234:F1235)</f>
        <v>7000000</v>
      </c>
      <c r="G1236" s="1045">
        <f>SUMPRODUCT(F1234:F1235,G1234:G1235)/F1236</f>
        <v>99.576999999999998</v>
      </c>
      <c r="H1236" s="356">
        <f>SUMPRODUCT(F1234:F1235,H1234:H1235)/F1236</f>
        <v>4.3450340000000001</v>
      </c>
      <c r="J1236" s="355"/>
      <c r="K1236" s="1285"/>
    </row>
    <row r="1237" spans="2:13">
      <c r="J1237" s="355"/>
      <c r="K1237" s="496"/>
    </row>
    <row r="1238" spans="2:13">
      <c r="J1238" s="355"/>
      <c r="K1238" s="496"/>
    </row>
    <row r="1239" spans="2:13">
      <c r="J1239" s="355"/>
      <c r="K1239" s="496"/>
    </row>
    <row r="1240" spans="2:13">
      <c r="J1240" s="355"/>
      <c r="K1240" s="496"/>
    </row>
    <row r="1241" spans="2:13">
      <c r="J1241" s="355"/>
      <c r="K1241" s="496"/>
    </row>
    <row r="1242" spans="2:13">
      <c r="J1242" s="355"/>
      <c r="K1242" s="496"/>
    </row>
    <row r="1243" spans="2:13">
      <c r="J1243" s="355"/>
      <c r="K1243" s="496"/>
    </row>
    <row r="1244" spans="2:13">
      <c r="J1244" s="355"/>
      <c r="K1244" s="496"/>
    </row>
    <row r="1245" spans="2:13" s="64" customFormat="1">
      <c r="J1245" s="496"/>
      <c r="K1245" s="496"/>
      <c r="M1245" s="1288"/>
    </row>
    <row r="1246" spans="2:13">
      <c r="I1246" s="1" t="s">
        <v>1343</v>
      </c>
      <c r="J1246" s="2">
        <f>SUM(J1150:J1154,J1159:J1164,J1176:J1180,J1187:J1190,J1194:J1196,J1201:J1203,J1207:J1209,J1213:J1217,J1221:J1230)</f>
        <v>-267971.34289999283</v>
      </c>
      <c r="K1246" s="132">
        <f>SUM(K1150:K1154,K1159:K1164,K1176:K1180,K1187:K1190,K1194:K1196,K1201:K1203,K1207:K1209,K1213:K1217,K1221:K1230)</f>
        <v>-2090176.4746199436</v>
      </c>
      <c r="L1246" s="2"/>
      <c r="M1246" s="1276">
        <f>M1138+SUM(K1150:K1154,K1159:K1164,K1176:K1180,K1187:K1190,K1194:K1196,K1201:K1203,K1207:K1209,K1213,K1221:K1230,)</f>
        <v>38063475.426100671</v>
      </c>
    </row>
    <row r="1247" spans="2:13" s="490" customFormat="1">
      <c r="J1247" s="607"/>
      <c r="K1247" s="607"/>
      <c r="M1247" s="1235"/>
    </row>
    <row r="1248" spans="2:13">
      <c r="D1248" t="s">
        <v>1363</v>
      </c>
      <c r="J1248" s="355"/>
      <c r="K1248" s="496"/>
    </row>
    <row r="1249" spans="2:16">
      <c r="J1249" s="355"/>
      <c r="K1249" s="496"/>
    </row>
    <row r="1250" spans="2:16" ht="15">
      <c r="B1250" s="1347" t="s">
        <v>770</v>
      </c>
      <c r="C1250" s="1346"/>
      <c r="D1250" s="1265" t="s">
        <v>566</v>
      </c>
      <c r="E1250" s="1266" t="s">
        <v>567</v>
      </c>
      <c r="F1250" s="1267" t="s">
        <v>568</v>
      </c>
      <c r="G1250" s="1267" t="s">
        <v>701</v>
      </c>
      <c r="H1250" s="1268" t="s">
        <v>569</v>
      </c>
      <c r="J1250" s="33" t="s">
        <v>1283</v>
      </c>
      <c r="K1250" s="64">
        <v>7.8</v>
      </c>
    </row>
    <row r="1251" spans="2:16" ht="15">
      <c r="B1251" s="575" t="s">
        <v>513</v>
      </c>
      <c r="C1251" s="574" t="s">
        <v>19</v>
      </c>
      <c r="D1251" s="328" t="s">
        <v>1340</v>
      </c>
      <c r="E1251" s="329" t="s">
        <v>338</v>
      </c>
      <c r="F1251" s="330">
        <v>3000000</v>
      </c>
      <c r="G1251" s="331">
        <v>104.45</v>
      </c>
      <c r="H1251" s="1226">
        <v>6.1295000000000002</v>
      </c>
      <c r="I1251" s="1142">
        <v>3213250</v>
      </c>
      <c r="J1251" s="355">
        <f t="shared" ref="J1251:J1259" si="8">(G1251-100)*F1251/100</f>
        <v>133500.00000000009</v>
      </c>
      <c r="K1251" s="1285">
        <f t="shared" ref="K1251:K1260" si="9">J1251*$K$1250</f>
        <v>1041300.0000000007</v>
      </c>
      <c r="N1251" s="1203"/>
      <c r="O1251" s="1201" t="s">
        <v>1352</v>
      </c>
      <c r="P1251" s="1201" t="s">
        <v>1324</v>
      </c>
    </row>
    <row r="1252" spans="2:16" ht="15">
      <c r="B1252" s="575" t="s">
        <v>513</v>
      </c>
      <c r="C1252" s="574" t="s">
        <v>19</v>
      </c>
      <c r="D1252" s="328" t="s">
        <v>1340</v>
      </c>
      <c r="E1252" s="329" t="s">
        <v>338</v>
      </c>
      <c r="F1252" s="330">
        <v>2000000</v>
      </c>
      <c r="G1252" s="331">
        <v>104.45</v>
      </c>
      <c r="H1252" s="1226">
        <v>6.1295000000000002</v>
      </c>
      <c r="I1252" s="1142">
        <v>2144777.7799999998</v>
      </c>
      <c r="J1252" s="355">
        <f t="shared" si="8"/>
        <v>89000.000000000058</v>
      </c>
      <c r="K1252" s="1285">
        <f t="shared" si="9"/>
        <v>694200.00000000047</v>
      </c>
      <c r="N1252" s="1203" t="s">
        <v>1346</v>
      </c>
      <c r="O1252" s="1277">
        <f>SUM($K$1109:$K$1112,$K$1101:$K$1104,$K$1092:$K$1094,$K$1052:$K$1056,$K$1150:$K$1154,$K$1159:$K$1164,$K$1176:$K$1180,$K$1187:$K$1190,$K$1194:$K$1196,$K$1201:$K$1203,$K$1207,$K$1213,$K$1221:$K$1230,$K$1269:$K$1276,$K$1251:$K$1264)</f>
        <v>18449556.839220077</v>
      </c>
      <c r="P1252" s="1275">
        <f>$O1258-$O1252</f>
        <v>9710569.6168582514</v>
      </c>
    </row>
    <row r="1253" spans="2:16" ht="15">
      <c r="B1253" s="575" t="s">
        <v>513</v>
      </c>
      <c r="C1253" s="574" t="s">
        <v>19</v>
      </c>
      <c r="D1253" s="328" t="s">
        <v>1340</v>
      </c>
      <c r="E1253" s="329" t="s">
        <v>338</v>
      </c>
      <c r="F1253" s="330">
        <v>1000000</v>
      </c>
      <c r="G1253" s="331">
        <v>104.4</v>
      </c>
      <c r="H1253" s="1226">
        <v>6.1385800000000001</v>
      </c>
      <c r="I1253" s="1142">
        <v>1071791.67</v>
      </c>
      <c r="J1253" s="355">
        <f t="shared" si="8"/>
        <v>44000.000000000058</v>
      </c>
      <c r="K1253" s="1285">
        <f t="shared" si="9"/>
        <v>343200.00000000047</v>
      </c>
      <c r="N1253" s="1263" t="s">
        <v>1344</v>
      </c>
      <c r="O1253" s="1277">
        <f>$O1252-SUM($K$1201:$K$1203,$K$1213:$K$1217,$K$1221:$K$1230,$K$1251:$K$1264)</f>
        <v>30387456.839220047</v>
      </c>
      <c r="P1253" s="1277"/>
    </row>
    <row r="1254" spans="2:16" ht="15">
      <c r="B1254" s="575" t="s">
        <v>513</v>
      </c>
      <c r="C1254" s="574" t="s">
        <v>19</v>
      </c>
      <c r="D1254" s="328" t="s">
        <v>1340</v>
      </c>
      <c r="E1254" s="329" t="s">
        <v>338</v>
      </c>
      <c r="F1254" s="330">
        <v>1000000</v>
      </c>
      <c r="G1254" s="331">
        <v>103.75</v>
      </c>
      <c r="H1254" s="1226">
        <v>6.2947600000000001</v>
      </c>
      <c r="I1254" s="1142">
        <v>1067104.17</v>
      </c>
      <c r="J1254" s="355">
        <f t="shared" si="8"/>
        <v>37500</v>
      </c>
      <c r="K1254" s="1285">
        <f t="shared" si="9"/>
        <v>292500</v>
      </c>
      <c r="N1254" s="1262" t="s">
        <v>1345</v>
      </c>
      <c r="O1254" s="1277">
        <f>$O1252-SUM($K$1221:$K$1230,$K$1213:$K$1217,$K$1251:$K$1264)</f>
        <v>3301956.8392200749</v>
      </c>
      <c r="P1254" s="1203"/>
    </row>
    <row r="1255" spans="2:16" ht="15">
      <c r="B1255" s="575" t="s">
        <v>513</v>
      </c>
      <c r="C1255" s="574" t="s">
        <v>19</v>
      </c>
      <c r="D1255" s="328" t="s">
        <v>1340</v>
      </c>
      <c r="E1255" s="329" t="s">
        <v>338</v>
      </c>
      <c r="F1255" s="330">
        <v>1000000</v>
      </c>
      <c r="G1255" s="331">
        <v>103</v>
      </c>
      <c r="H1255" s="1226">
        <v>6.4809000000000001</v>
      </c>
      <c r="I1255" s="1142">
        <v>1060208.33</v>
      </c>
      <c r="J1255" s="355">
        <f t="shared" si="8"/>
        <v>30000</v>
      </c>
      <c r="K1255" s="1285">
        <f t="shared" si="9"/>
        <v>234000</v>
      </c>
      <c r="L1255" s="355"/>
      <c r="N1255" s="1262"/>
      <c r="O1255" s="1203"/>
      <c r="P1255" s="1203"/>
    </row>
    <row r="1256" spans="2:16" ht="15">
      <c r="B1256" s="575" t="s">
        <v>513</v>
      </c>
      <c r="C1256" s="574" t="s">
        <v>19</v>
      </c>
      <c r="D1256" s="328" t="s">
        <v>1340</v>
      </c>
      <c r="E1256" s="329" t="s">
        <v>338</v>
      </c>
      <c r="F1256" s="330">
        <v>2000000</v>
      </c>
      <c r="G1256" s="331">
        <v>102.75</v>
      </c>
      <c r="H1256" s="1226">
        <v>6.5437599999999998</v>
      </c>
      <c r="I1256" s="1142">
        <v>2115416.67</v>
      </c>
      <c r="J1256" s="355">
        <f t="shared" si="8"/>
        <v>55000</v>
      </c>
      <c r="K1256" s="1285">
        <f t="shared" si="9"/>
        <v>429000</v>
      </c>
      <c r="L1256" s="355"/>
    </row>
    <row r="1257" spans="2:16" ht="15">
      <c r="B1257" s="575" t="s">
        <v>513</v>
      </c>
      <c r="C1257" s="574" t="s">
        <v>19</v>
      </c>
      <c r="D1257" s="328" t="s">
        <v>1340</v>
      </c>
      <c r="E1257" s="329" t="s">
        <v>338</v>
      </c>
      <c r="F1257" s="330">
        <v>3000000</v>
      </c>
      <c r="G1257" s="331">
        <v>102.75</v>
      </c>
      <c r="H1257" s="1226">
        <v>6.5434510000000001</v>
      </c>
      <c r="I1257" s="1142">
        <v>3173729.17</v>
      </c>
      <c r="J1257" s="355">
        <f t="shared" si="8"/>
        <v>82500</v>
      </c>
      <c r="K1257" s="1285">
        <f t="shared" si="9"/>
        <v>643500</v>
      </c>
      <c r="L1257" s="355"/>
      <c r="N1257" s="1203"/>
      <c r="O1257" s="1274" t="s">
        <v>1348</v>
      </c>
      <c r="P1257" s="1201"/>
    </row>
    <row r="1258" spans="2:16" ht="15">
      <c r="B1258" s="575" t="s">
        <v>513</v>
      </c>
      <c r="C1258" s="574" t="s">
        <v>19</v>
      </c>
      <c r="D1258" s="328" t="s">
        <v>1340</v>
      </c>
      <c r="E1258" s="329" t="s">
        <v>338</v>
      </c>
      <c r="F1258" s="330">
        <v>1000000</v>
      </c>
      <c r="G1258" s="331">
        <v>102.875</v>
      </c>
      <c r="H1258" s="1226">
        <v>6.5119800000000003</v>
      </c>
      <c r="I1258" s="1142">
        <v>1059159.72</v>
      </c>
      <c r="J1258" s="355">
        <f t="shared" si="8"/>
        <v>28750</v>
      </c>
      <c r="K1258" s="1285">
        <f t="shared" si="9"/>
        <v>224250</v>
      </c>
      <c r="N1258" s="1203" t="s">
        <v>1347</v>
      </c>
      <c r="O1258" s="1277">
        <f>SUM($K$301,$K$305,$K$316:$K$317,$K$336:$K$339,$K$343,$K$347:$K$351,$K$355,$K$369:$K$371,$K$384:$K$386,$K$394,$K$398,$K$404:$K$406,$K$577:$K$578,$K$782,$K$800,$K$879,$K$885:$K$886,$K$901,$K$907,$K$912,$K$935,$K$941,$K$1052:$K$1056,$K$1092:$K$1094,$K$1101:$K$1104,$K$1109:$K$1112,$K$1150:$K$1154,$K$1159:$K$1164,$K$1176:$K$1180,$K$1187:$K$1190,$K$1194:$K$1196,$K$1201:$K$1203,$K$1207,$K$1213,$K$1221:$K$1230,$K$1251:$K$1264,$K$1269:$K$1276)</f>
        <v>28160126.456078328</v>
      </c>
      <c r="P1258" s="1275"/>
    </row>
    <row r="1259" spans="2:16" ht="15">
      <c r="B1259" s="575" t="s">
        <v>513</v>
      </c>
      <c r="C1259" s="574" t="s">
        <v>19</v>
      </c>
      <c r="D1259" s="328" t="s">
        <v>1340</v>
      </c>
      <c r="E1259" s="329" t="s">
        <v>338</v>
      </c>
      <c r="F1259" s="330">
        <v>3000000</v>
      </c>
      <c r="G1259" s="331">
        <v>103</v>
      </c>
      <c r="H1259" s="1226">
        <v>6.4802200000000001</v>
      </c>
      <c r="I1259">
        <v>3181833.33</v>
      </c>
      <c r="J1259" s="355">
        <f t="shared" si="8"/>
        <v>90000</v>
      </c>
      <c r="K1259" s="1285">
        <f t="shared" si="9"/>
        <v>702000</v>
      </c>
      <c r="N1259" s="1263" t="s">
        <v>1344</v>
      </c>
      <c r="O1259" s="1277">
        <f>$O1258-SUM($K$1201:$K$1203,$K$1207:$K$1209,$K$1213:$K$1217,$K$1221:$K$1230,$K$1251:$K$1264)</f>
        <v>34643486.456078276</v>
      </c>
      <c r="P1259" s="1277"/>
    </row>
    <row r="1260" spans="2:16" ht="15">
      <c r="B1260" s="575" t="s">
        <v>513</v>
      </c>
      <c r="C1260" s="574" t="s">
        <v>19</v>
      </c>
      <c r="D1260" s="328" t="s">
        <v>1340</v>
      </c>
      <c r="E1260" s="329" t="s">
        <v>338</v>
      </c>
      <c r="F1260" s="330">
        <v>1000000</v>
      </c>
      <c r="G1260" s="331">
        <v>102.75</v>
      </c>
      <c r="H1260" s="1226">
        <v>6.5425300000000002</v>
      </c>
      <c r="I1260" s="106">
        <v>1058513.8899999999</v>
      </c>
      <c r="J1260" s="355">
        <f>(G1260-100)*F1260/100</f>
        <v>27500</v>
      </c>
      <c r="K1260" s="1285">
        <f t="shared" si="9"/>
        <v>214500</v>
      </c>
      <c r="N1260" s="1262" t="s">
        <v>1345</v>
      </c>
      <c r="O1260" s="1277">
        <f>$O1258-SUM($K$1213:$K$1217,$K$1221:$K$1230,$K$1251:$K$1264)</f>
        <v>13012526.456078326</v>
      </c>
      <c r="P1260" s="1203"/>
    </row>
    <row r="1261" spans="2:16" ht="15">
      <c r="B1261" s="575" t="s">
        <v>513</v>
      </c>
      <c r="C1261" s="574" t="s">
        <v>19</v>
      </c>
      <c r="D1261" s="328" t="s">
        <v>1340</v>
      </c>
      <c r="E1261" s="329" t="s">
        <v>338</v>
      </c>
      <c r="F1261" s="330">
        <v>3000000</v>
      </c>
      <c r="G1261" s="331">
        <v>102.75</v>
      </c>
      <c r="H1261" s="1226">
        <v>6.54162</v>
      </c>
      <c r="I1261" s="106">
        <v>3177354.17</v>
      </c>
      <c r="J1261" s="355">
        <f>(G1261-100)*F1261/100</f>
        <v>82500</v>
      </c>
      <c r="K1261" s="1285">
        <f t="shared" ref="K1261" si="10">J1261*$K$1250</f>
        <v>643500</v>
      </c>
      <c r="N1261" s="1262"/>
      <c r="O1261" s="1277"/>
      <c r="P1261" s="1203"/>
    </row>
    <row r="1262" spans="2:16" ht="15">
      <c r="B1262" s="575" t="s">
        <v>513</v>
      </c>
      <c r="C1262" s="574" t="s">
        <v>19</v>
      </c>
      <c r="D1262" s="328" t="s">
        <v>1340</v>
      </c>
      <c r="E1262" s="329" t="s">
        <v>338</v>
      </c>
      <c r="F1262" s="330">
        <v>1000000</v>
      </c>
      <c r="G1262" s="331">
        <v>102.65</v>
      </c>
      <c r="H1262" s="1226">
        <v>6.5657500000000004</v>
      </c>
      <c r="I1262" s="106">
        <v>1058923.6100000001</v>
      </c>
      <c r="J1262" s="355">
        <f>(G1262-100)*F1262/100</f>
        <v>26500.000000000055</v>
      </c>
      <c r="K1262" s="1285">
        <f t="shared" ref="K1262:K1263" si="11">J1262*$K$1250</f>
        <v>206700.00000000041</v>
      </c>
      <c r="N1262" s="1262"/>
      <c r="O1262" s="1277"/>
      <c r="P1262" s="1203"/>
    </row>
    <row r="1263" spans="2:16" ht="15">
      <c r="B1263" s="575" t="s">
        <v>513</v>
      </c>
      <c r="C1263" s="574" t="s">
        <v>19</v>
      </c>
      <c r="D1263" s="328" t="s">
        <v>1340</v>
      </c>
      <c r="E1263" s="329" t="s">
        <v>338</v>
      </c>
      <c r="F1263" s="330">
        <v>1000000</v>
      </c>
      <c r="G1263" s="331">
        <v>102.6</v>
      </c>
      <c r="H1263" s="1226">
        <v>6.5784320000000003</v>
      </c>
      <c r="I1263" s="106">
        <v>1058423.6100000001</v>
      </c>
      <c r="J1263" s="355">
        <f>(G1263-100)*F1263/100</f>
        <v>25999.999999999945</v>
      </c>
      <c r="K1263" s="1285">
        <f t="shared" si="11"/>
        <v>202799.99999999956</v>
      </c>
      <c r="N1263" s="1262"/>
      <c r="O1263" s="1277"/>
      <c r="P1263" s="1203"/>
    </row>
    <row r="1264" spans="2:16" ht="15">
      <c r="B1264" s="575"/>
      <c r="C1264" s="574"/>
      <c r="D1264" s="328"/>
      <c r="E1264" s="329"/>
      <c r="F1264" s="330"/>
      <c r="G1264" s="331"/>
      <c r="H1264" s="1226"/>
      <c r="I1264" s="106"/>
      <c r="J1264" s="355"/>
      <c r="K1264" s="1285"/>
    </row>
    <row r="1265" spans="2:13" ht="15">
      <c r="B1265" s="1348"/>
      <c r="C1265" s="335"/>
      <c r="D1265" s="335" t="s">
        <v>702</v>
      </c>
      <c r="E1265" s="336"/>
      <c r="F1265" s="337">
        <f>SUM(F1251:F1264)</f>
        <v>23000000</v>
      </c>
      <c r="G1265" s="1045">
        <f>SUMPRODUCT(F1251:F1264,G1251:G1264/F1265)</f>
        <v>103.27282608695654</v>
      </c>
      <c r="H1265" s="356">
        <f>SUMPRODUCT(F1251:F1264,H1251:H1264)/F1265</f>
        <v>6.414948913043478</v>
      </c>
      <c r="I1265" s="1142"/>
      <c r="J1265" s="355"/>
      <c r="K1265" s="496"/>
    </row>
    <row r="1266" spans="2:13">
      <c r="I1266" s="1142"/>
      <c r="J1266" s="355"/>
      <c r="K1266" s="496"/>
    </row>
    <row r="1267" spans="2:13">
      <c r="I1267" s="1142"/>
      <c r="J1267" s="355"/>
      <c r="K1267" s="355"/>
    </row>
    <row r="1268" spans="2:13" ht="15">
      <c r="B1268" s="320" t="s">
        <v>770</v>
      </c>
      <c r="C1268" s="845"/>
      <c r="D1268" s="1265" t="s">
        <v>566</v>
      </c>
      <c r="E1268" s="1266" t="s">
        <v>567</v>
      </c>
      <c r="F1268" s="1267" t="s">
        <v>568</v>
      </c>
      <c r="G1268" s="1267" t="s">
        <v>701</v>
      </c>
      <c r="H1268" s="1268" t="s">
        <v>569</v>
      </c>
      <c r="I1268" s="1142"/>
      <c r="J1268" s="33" t="s">
        <v>1283</v>
      </c>
      <c r="K1268" s="1284">
        <v>7.8</v>
      </c>
    </row>
    <row r="1269" spans="2:13" ht="15">
      <c r="B1269" s="1350" t="s">
        <v>513</v>
      </c>
      <c r="C1269" s="1349" t="s">
        <v>994</v>
      </c>
      <c r="D1269" s="402" t="s">
        <v>78</v>
      </c>
      <c r="E1269" s="403" t="s">
        <v>338</v>
      </c>
      <c r="F1269" s="404">
        <v>1000000</v>
      </c>
      <c r="G1269" s="421">
        <v>90.9</v>
      </c>
      <c r="H1269" s="1225">
        <v>5.8898000000000001</v>
      </c>
      <c r="I1269" s="1142">
        <v>914125</v>
      </c>
      <c r="J1269" s="355">
        <f>(G1269-86.6519)*F1269/100</f>
        <v>42481.000000000087</v>
      </c>
      <c r="K1269" s="496">
        <f>J1269*$K$1186</f>
        <v>331351.80000000069</v>
      </c>
    </row>
    <row r="1270" spans="2:13" ht="15">
      <c r="B1270" s="575" t="s">
        <v>513</v>
      </c>
      <c r="C1270" s="574" t="s">
        <v>994</v>
      </c>
      <c r="D1270" s="328" t="s">
        <v>78</v>
      </c>
      <c r="E1270" s="329" t="s">
        <v>338</v>
      </c>
      <c r="F1270" s="330">
        <v>2000000</v>
      </c>
      <c r="G1270" s="331">
        <v>90.9</v>
      </c>
      <c r="H1270" s="1226">
        <v>5.8912500000000003</v>
      </c>
      <c r="I1270" s="1142">
        <v>1829250</v>
      </c>
      <c r="J1270" s="355">
        <f t="shared" ref="J1270:J1271" si="12">(G1270-86.6519)*F1270/100</f>
        <v>84962.000000000175</v>
      </c>
      <c r="K1270" s="496">
        <f t="shared" ref="K1270:K1271" si="13">J1270*$K$1186</f>
        <v>662703.60000000137</v>
      </c>
      <c r="L1270" s="355"/>
    </row>
    <row r="1271" spans="2:13" ht="15">
      <c r="B1271" s="575" t="s">
        <v>513</v>
      </c>
      <c r="C1271" s="574" t="s">
        <v>994</v>
      </c>
      <c r="D1271" s="328" t="s">
        <v>78</v>
      </c>
      <c r="E1271" s="329" t="s">
        <v>338</v>
      </c>
      <c r="F1271" s="330">
        <v>2000000</v>
      </c>
      <c r="G1271" s="331">
        <v>90.95</v>
      </c>
      <c r="H1271" s="1226">
        <v>5.8831499999999997</v>
      </c>
      <c r="I1271" s="1142">
        <v>1830250</v>
      </c>
      <c r="J1271" s="355">
        <f t="shared" si="12"/>
        <v>85962.000000000116</v>
      </c>
      <c r="K1271" s="496">
        <f t="shared" si="13"/>
        <v>670503.60000000091</v>
      </c>
      <c r="L1271" s="355"/>
    </row>
    <row r="1272" spans="2:13" ht="15">
      <c r="B1272" s="575" t="s">
        <v>513</v>
      </c>
      <c r="C1272" s="574" t="s">
        <v>994</v>
      </c>
      <c r="D1272" s="328" t="s">
        <v>78</v>
      </c>
      <c r="E1272" s="329" t="s">
        <v>338</v>
      </c>
      <c r="F1272" s="330">
        <v>1000000</v>
      </c>
      <c r="G1272" s="331">
        <v>91</v>
      </c>
      <c r="H1272" s="1226">
        <v>5.8754299999999997</v>
      </c>
      <c r="I1272" s="1142">
        <v>915750</v>
      </c>
      <c r="J1272" s="355">
        <f t="shared" ref="J1272:J1273" si="14">(G1272-86.6519)*F1272/100</f>
        <v>43481.000000000022</v>
      </c>
      <c r="K1272" s="496">
        <f t="shared" ref="K1272:K1273" si="15">J1272*$K$1186</f>
        <v>339151.80000000016</v>
      </c>
    </row>
    <row r="1273" spans="2:13" ht="15">
      <c r="B1273" s="575" t="s">
        <v>513</v>
      </c>
      <c r="C1273" s="574" t="s">
        <v>994</v>
      </c>
      <c r="D1273" s="328" t="s">
        <v>78</v>
      </c>
      <c r="E1273" s="329" t="s">
        <v>338</v>
      </c>
      <c r="F1273" s="330">
        <v>1000000</v>
      </c>
      <c r="G1273" s="331">
        <v>91</v>
      </c>
      <c r="H1273" s="1226">
        <v>5.875426</v>
      </c>
      <c r="I1273" s="1142">
        <v>915750</v>
      </c>
      <c r="J1273" s="355">
        <f t="shared" si="14"/>
        <v>43481.000000000022</v>
      </c>
      <c r="K1273" s="496">
        <f t="shared" si="15"/>
        <v>339151.80000000016</v>
      </c>
    </row>
    <row r="1274" spans="2:13" ht="15">
      <c r="B1274" s="1351" t="s">
        <v>513</v>
      </c>
      <c r="C1274" s="1352" t="s">
        <v>19</v>
      </c>
      <c r="D1274" s="328" t="s">
        <v>78</v>
      </c>
      <c r="E1274" s="572" t="s">
        <v>338</v>
      </c>
      <c r="F1274" s="1353">
        <v>1000000</v>
      </c>
      <c r="G1274" s="331">
        <v>91.1</v>
      </c>
      <c r="H1274" s="1226">
        <v>5.8592599999999999</v>
      </c>
      <c r="I1274" s="1142">
        <v>916750</v>
      </c>
      <c r="J1274" s="355">
        <f t="shared" ref="J1274:J1275" si="16">(G1274-86.6519)*F1274/100</f>
        <v>44480.999999999964</v>
      </c>
      <c r="K1274" s="496">
        <f t="shared" ref="K1274:K1275" si="17">J1274*$K$1186</f>
        <v>346951.7999999997</v>
      </c>
    </row>
    <row r="1275" spans="2:13" ht="15">
      <c r="B1275" s="1351" t="s">
        <v>513</v>
      </c>
      <c r="C1275" s="1352" t="s">
        <v>19</v>
      </c>
      <c r="D1275" s="328" t="s">
        <v>78</v>
      </c>
      <c r="E1275" s="572" t="s">
        <v>338</v>
      </c>
      <c r="F1275" s="1353">
        <v>15000000</v>
      </c>
      <c r="G1275" s="331">
        <v>91.15</v>
      </c>
      <c r="H1275" s="1226">
        <v>5.8511850000000001</v>
      </c>
      <c r="I1275" s="1142">
        <v>13758750</v>
      </c>
      <c r="J1275" s="355">
        <f t="shared" si="16"/>
        <v>674715.00000000116</v>
      </c>
      <c r="K1275" s="496">
        <f t="shared" si="17"/>
        <v>5262777.0000000093</v>
      </c>
    </row>
    <row r="1276" spans="2:13" ht="15">
      <c r="B1276" s="575"/>
      <c r="C1276" s="574"/>
      <c r="D1276" s="328"/>
      <c r="E1276" s="329"/>
      <c r="F1276" s="330"/>
      <c r="G1276" s="331"/>
      <c r="H1276" s="1226"/>
      <c r="I1276" s="1142"/>
      <c r="J1276" s="355"/>
      <c r="K1276" s="496"/>
      <c r="M1276"/>
    </row>
    <row r="1277" spans="2:13" ht="15">
      <c r="B1277" s="334"/>
      <c r="C1277" s="846"/>
      <c r="D1277" s="1269" t="s">
        <v>702</v>
      </c>
      <c r="E1277" s="1270"/>
      <c r="F1277" s="1271">
        <f>SUM(F1269:F1276)</f>
        <v>23000000</v>
      </c>
      <c r="G1277" s="1272">
        <f>SUMPRODUCT(F1269:F1276,G1269:G1276)/F1277</f>
        <v>91.084782608695647</v>
      </c>
      <c r="H1277" s="1273">
        <f>SUMPRODUCT(F1269:F1276,H1269:H1276)/F1277</f>
        <v>5.8615865652173911</v>
      </c>
      <c r="I1277" s="1142"/>
      <c r="J1277" s="355"/>
      <c r="K1277" s="1285"/>
    </row>
    <row r="1278" spans="2:13">
      <c r="J1278" s="355"/>
      <c r="K1278" s="355"/>
    </row>
    <row r="1279" spans="2:13">
      <c r="J1279" s="355"/>
      <c r="K1279" s="355"/>
    </row>
    <row r="1281" spans="2:16">
      <c r="J1281" s="355"/>
      <c r="K1281" s="496"/>
    </row>
    <row r="1282" spans="2:16">
      <c r="J1282" s="355"/>
      <c r="K1282" s="355"/>
    </row>
    <row r="1283" spans="2:16" ht="15">
      <c r="B1283" s="1347" t="s">
        <v>770</v>
      </c>
      <c r="C1283" s="1346"/>
      <c r="D1283" s="1265" t="s">
        <v>566</v>
      </c>
      <c r="E1283" s="1266" t="s">
        <v>567</v>
      </c>
      <c r="F1283" s="1267" t="s">
        <v>568</v>
      </c>
      <c r="G1283" s="1267" t="s">
        <v>701</v>
      </c>
      <c r="H1283" s="1268" t="s">
        <v>569</v>
      </c>
      <c r="J1283" s="33"/>
      <c r="K1283" s="1284"/>
    </row>
    <row r="1284" spans="2:16" ht="15">
      <c r="B1284" s="1351" t="s">
        <v>513</v>
      </c>
      <c r="C1284" s="574" t="s">
        <v>565</v>
      </c>
      <c r="D1284" s="328" t="s">
        <v>1358</v>
      </c>
      <c r="E1284" s="572" t="s">
        <v>338</v>
      </c>
      <c r="F1284" s="330">
        <v>46000000</v>
      </c>
      <c r="G1284" s="331">
        <v>99.433999999999997</v>
      </c>
      <c r="H1284" s="1226">
        <v>4.628101</v>
      </c>
      <c r="I1284" s="1142">
        <v>45739640</v>
      </c>
      <c r="J1284" s="355"/>
      <c r="K1284" s="355"/>
    </row>
    <row r="1285" spans="2:16" ht="15">
      <c r="B1285" s="1351" t="s">
        <v>513</v>
      </c>
      <c r="C1285" s="574" t="s">
        <v>565</v>
      </c>
      <c r="D1285" s="328" t="s">
        <v>1358</v>
      </c>
      <c r="E1285" s="572" t="s">
        <v>338</v>
      </c>
      <c r="F1285" s="330">
        <v>4000000</v>
      </c>
      <c r="G1285" s="331">
        <v>99.433999999999997</v>
      </c>
      <c r="H1285" s="1226">
        <v>4.628101</v>
      </c>
      <c r="I1285" s="1142">
        <v>3977360</v>
      </c>
      <c r="J1285" s="355"/>
      <c r="K1285" s="355"/>
    </row>
    <row r="1286" spans="2:16" ht="15">
      <c r="B1286" s="575"/>
      <c r="C1286" s="574"/>
      <c r="D1286" s="328"/>
      <c r="E1286" s="329"/>
      <c r="F1286" s="330"/>
      <c r="G1286" s="331"/>
      <c r="H1286" s="332"/>
      <c r="I1286" s="1142"/>
      <c r="J1286" s="355"/>
      <c r="K1286" s="355"/>
    </row>
    <row r="1287" spans="2:16" ht="15">
      <c r="B1287" s="1348"/>
      <c r="C1287" s="335"/>
      <c r="D1287" s="335" t="s">
        <v>702</v>
      </c>
      <c r="E1287" s="336"/>
      <c r="F1287" s="337">
        <f>SUM(F1284:F1285)</f>
        <v>50000000</v>
      </c>
      <c r="G1287" s="1045">
        <f>SUMPRODUCT(F1284:F1285,G1284:G1285)/F1287</f>
        <v>99.433999999999997</v>
      </c>
      <c r="H1287" s="356">
        <f>SUMPRODUCT(F1284:F1285,H1284:H1285)/F1287</f>
        <v>4.628101</v>
      </c>
      <c r="J1287" s="355"/>
      <c r="K1287" s="355"/>
    </row>
    <row r="1288" spans="2:16">
      <c r="J1288" s="355"/>
      <c r="K1288" s="355"/>
      <c r="M1288" s="1142">
        <f>M1246+SUM(K1251:K1275)</f>
        <v>51887524.626100682</v>
      </c>
    </row>
    <row r="1289" spans="2:16" s="1420" customFormat="1">
      <c r="J1289" s="1421"/>
      <c r="K1289" s="1421"/>
      <c r="M1289" s="1422"/>
    </row>
    <row r="1290" spans="2:16">
      <c r="D1290" t="s">
        <v>1378</v>
      </c>
      <c r="J1290" s="355"/>
      <c r="K1290" s="355"/>
    </row>
    <row r="1291" spans="2:16">
      <c r="J1291" s="355"/>
      <c r="K1291" s="355"/>
    </row>
    <row r="1292" spans="2:16" ht="15">
      <c r="B1292" s="1347" t="s">
        <v>770</v>
      </c>
      <c r="C1292" s="1346"/>
      <c r="D1292" s="1265" t="s">
        <v>566</v>
      </c>
      <c r="E1292" s="1266" t="s">
        <v>567</v>
      </c>
      <c r="F1292" s="1267" t="s">
        <v>568</v>
      </c>
      <c r="G1292" s="1267" t="s">
        <v>701</v>
      </c>
      <c r="H1292" s="1268" t="s">
        <v>569</v>
      </c>
      <c r="J1292" s="33" t="s">
        <v>1283</v>
      </c>
      <c r="K1292" s="1284">
        <v>7.8</v>
      </c>
      <c r="N1292" s="1203"/>
      <c r="O1292" s="1201" t="s">
        <v>1366</v>
      </c>
      <c r="P1292" s="1201" t="s">
        <v>1324</v>
      </c>
    </row>
    <row r="1293" spans="2:16" ht="15">
      <c r="B1293" s="1351" t="s">
        <v>513</v>
      </c>
      <c r="C1293" s="574" t="s">
        <v>19</v>
      </c>
      <c r="D1293" s="328" t="s">
        <v>1358</v>
      </c>
      <c r="E1293" s="572" t="s">
        <v>338</v>
      </c>
      <c r="F1293" s="330">
        <v>5000000</v>
      </c>
      <c r="G1293" s="331">
        <v>99.57</v>
      </c>
      <c r="H1293" s="1226">
        <v>4.5975099999999998</v>
      </c>
      <c r="I1293" s="1142">
        <v>4986625</v>
      </c>
      <c r="J1293" s="355">
        <f>(G1293-99.434)*F1293/100</f>
        <v>6799.9999999997835</v>
      </c>
      <c r="K1293" s="496">
        <f t="shared" ref="K1293:K1298" si="18">J1293*$K$1186</f>
        <v>53039.999999998312</v>
      </c>
      <c r="L1293" s="1249"/>
      <c r="N1293" s="1203" t="s">
        <v>1346</v>
      </c>
      <c r="O1293" s="1277">
        <f>SUM($K$1109:$K$1112,$K$1101:$K$1104,$K$1092:$K$1094,$K$1052:$K$1056,$K$1150:$K$1154,$K$1159:$K$1164,$K$1176:$K$1180,$K$1187:$K$1190,$K$1194:$K$1196,$K$1201:$K$1203,$K$1207,$K$1213,$K$1221:$K$1230,$K$1269:$K$1276,$K$1251:$K$1264,$K$1293:$K$1303,$K$1310:$K$1312)</f>
        <v>19671036.839220077</v>
      </c>
      <c r="P1293" s="1275">
        <f>$O1299-$O1293</f>
        <v>9710569.6168582514</v>
      </c>
    </row>
    <row r="1294" spans="2:16" ht="15">
      <c r="B1294" s="1351" t="s">
        <v>513</v>
      </c>
      <c r="C1294" s="574" t="s">
        <v>19</v>
      </c>
      <c r="D1294" s="328" t="s">
        <v>1358</v>
      </c>
      <c r="E1294" s="572" t="s">
        <v>338</v>
      </c>
      <c r="F1294" s="330">
        <v>2000000</v>
      </c>
      <c r="G1294" s="331">
        <v>99.576999999999998</v>
      </c>
      <c r="H1294" s="1226">
        <v>4.5959099999999999</v>
      </c>
      <c r="I1294" s="1142">
        <v>1995040</v>
      </c>
      <c r="J1294" s="355">
        <f>(G1294-99.434)*F1294/100</f>
        <v>2860.0000000000132</v>
      </c>
      <c r="K1294" s="496">
        <f t="shared" si="18"/>
        <v>22308.000000000102</v>
      </c>
      <c r="N1294" s="1263" t="s">
        <v>1367</v>
      </c>
      <c r="O1294" s="1277">
        <f>$O1293-SUM($K$1201:$K$1203,$K$1213:$K$1217,$K$1221:$K$1230,$K$1251:$K$1264,$K$1293:$K$1303,$K$1310:$K$1312)</f>
        <v>30387456.839220047</v>
      </c>
      <c r="P1294" s="1277"/>
    </row>
    <row r="1295" spans="2:16" ht="15">
      <c r="B1295" s="1351" t="s">
        <v>513</v>
      </c>
      <c r="C1295" s="574" t="s">
        <v>19</v>
      </c>
      <c r="D1295" s="328" t="s">
        <v>1358</v>
      </c>
      <c r="E1295" s="572" t="s">
        <v>338</v>
      </c>
      <c r="F1295" s="330">
        <v>5000000</v>
      </c>
      <c r="G1295" s="331">
        <v>99.46</v>
      </c>
      <c r="H1295" s="1226">
        <v>4.62263</v>
      </c>
      <c r="I1295" s="1142">
        <v>4981750</v>
      </c>
      <c r="J1295" s="355">
        <f>(G1295-99.434)*F1295/100</f>
        <v>1299.9999999998124</v>
      </c>
      <c r="K1295" s="496">
        <f t="shared" si="18"/>
        <v>10139.999999998536</v>
      </c>
      <c r="N1295" s="1262" t="s">
        <v>1368</v>
      </c>
      <c r="O1295" s="1277">
        <f>$O1293-SUM($K$1221:$K$1230,$K$1213:$K$1217,$K$1251:$K$1264,$K$1293:$K$1303,$K$1310:$K$1312)</f>
        <v>3301956.8392200749</v>
      </c>
      <c r="P1295" s="1203"/>
    </row>
    <row r="1296" spans="2:16" ht="15">
      <c r="B1296" s="1351" t="s">
        <v>513</v>
      </c>
      <c r="C1296" s="574" t="s">
        <v>19</v>
      </c>
      <c r="D1296" s="328" t="s">
        <v>1358</v>
      </c>
      <c r="E1296" s="572" t="s">
        <v>338</v>
      </c>
      <c r="F1296" s="330">
        <v>5000000</v>
      </c>
      <c r="G1296" s="331">
        <v>99.55</v>
      </c>
      <c r="H1296" s="332">
        <v>4.6021700000000001</v>
      </c>
      <c r="I1296" s="1142">
        <v>4988750</v>
      </c>
      <c r="J1296" s="355">
        <f t="shared" ref="J1296:J1297" si="19">(G1296-99.434)*F1296/100</f>
        <v>5799.9999999999827</v>
      </c>
      <c r="K1296" s="496">
        <f t="shared" si="18"/>
        <v>45239.999999999862</v>
      </c>
      <c r="N1296" s="1262"/>
      <c r="O1296" s="1203"/>
      <c r="P1296" s="1203"/>
    </row>
    <row r="1297" spans="2:16" ht="15">
      <c r="B1297" s="1351" t="s">
        <v>513</v>
      </c>
      <c r="C1297" s="574" t="s">
        <v>19</v>
      </c>
      <c r="D1297" s="328" t="s">
        <v>1358</v>
      </c>
      <c r="E1297" s="572" t="s">
        <v>338</v>
      </c>
      <c r="F1297" s="330">
        <v>2000000</v>
      </c>
      <c r="G1297" s="331">
        <v>99.55</v>
      </c>
      <c r="H1297" s="332">
        <v>4.6902169999999996</v>
      </c>
      <c r="I1297" s="1142">
        <v>1995500</v>
      </c>
      <c r="J1297" s="355">
        <f t="shared" si="19"/>
        <v>2319.9999999999932</v>
      </c>
      <c r="K1297" s="496">
        <f t="shared" si="18"/>
        <v>18095.999999999945</v>
      </c>
    </row>
    <row r="1298" spans="2:16" ht="15">
      <c r="B1298" s="1351" t="s">
        <v>513</v>
      </c>
      <c r="C1298" s="574" t="s">
        <v>19</v>
      </c>
      <c r="D1298" s="328" t="s">
        <v>1358</v>
      </c>
      <c r="E1298" s="572" t="s">
        <v>338</v>
      </c>
      <c r="F1298" s="330">
        <v>2000000</v>
      </c>
      <c r="G1298" s="331">
        <v>99.57</v>
      </c>
      <c r="H1298" s="332">
        <v>4.5975950000000001</v>
      </c>
      <c r="I1298" s="1142">
        <v>1995900</v>
      </c>
      <c r="J1298" s="355">
        <f t="shared" ref="J1298:J1303" si="20">(G1298-99.434)*F1298/100</f>
        <v>2719.9999999999141</v>
      </c>
      <c r="K1298" s="496">
        <f t="shared" si="18"/>
        <v>21215.999999999331</v>
      </c>
      <c r="N1298" s="1203"/>
      <c r="O1298" s="1274" t="s">
        <v>1348</v>
      </c>
      <c r="P1298" s="1201"/>
    </row>
    <row r="1299" spans="2:16" ht="15">
      <c r="B1299" s="1351" t="s">
        <v>513</v>
      </c>
      <c r="C1299" s="574" t="s">
        <v>19</v>
      </c>
      <c r="D1299" s="328" t="s">
        <v>1358</v>
      </c>
      <c r="E1299" s="572" t="s">
        <v>338</v>
      </c>
      <c r="F1299" s="330">
        <v>10000000</v>
      </c>
      <c r="G1299" s="331">
        <v>99.6</v>
      </c>
      <c r="H1299" s="332">
        <v>4.5907539999999996</v>
      </c>
      <c r="I1299" s="1142">
        <v>9983750</v>
      </c>
      <c r="J1299" s="355">
        <f t="shared" si="20"/>
        <v>16599.99999999968</v>
      </c>
      <c r="K1299" s="496">
        <f t="shared" ref="K1299" si="21">J1299*$K$1186</f>
        <v>129479.9999999975</v>
      </c>
      <c r="N1299" s="1203" t="s">
        <v>1347</v>
      </c>
      <c r="O1299" s="1277">
        <f>SUM($K$301,$K$305,$K$316:$K$317,$K$336:$K$339,$K$343,$K$347:$K$351,$K$355,$K$369:$K$371,$K$384:$K$386,$K$394,$K$398,$K$404:$K$406,$K$577:$K$578,$K$782,$K$800,$K$879,$K$885:$K$886,$K$901,$K$907,$K$912,$K$935,$K$941,$K$1052:$K$1056,$K$1092:$K$1094,$K$1101:$K$1104,$K$1109:$K$1112,$K$1150:$K$1154,$K$1159:$K$1164,$K$1176:$K$1180,$K$1187:$K$1190,$K$1194:$K$1196,$K$1201:$K$1203,$K$1207,$K$1213,$K$1221:$K$1230,$K$1251:$K$1264,$K$1269:$K$1276,$K$1293:$K$1303,$K$1310:$K$1312)</f>
        <v>29381606.456078328</v>
      </c>
      <c r="P1299" s="1275"/>
    </row>
    <row r="1300" spans="2:16" ht="15">
      <c r="B1300" s="1351" t="s">
        <v>513</v>
      </c>
      <c r="C1300" s="574" t="s">
        <v>19</v>
      </c>
      <c r="D1300" s="328" t="s">
        <v>1358</v>
      </c>
      <c r="E1300" s="572" t="s">
        <v>338</v>
      </c>
      <c r="F1300" s="330">
        <v>5000000</v>
      </c>
      <c r="G1300" s="331">
        <v>99.65</v>
      </c>
      <c r="H1300" s="332">
        <v>4.5793189999999999</v>
      </c>
      <c r="I1300" s="1142">
        <v>4994375</v>
      </c>
      <c r="J1300" s="355">
        <f t="shared" si="20"/>
        <v>10800.000000000409</v>
      </c>
      <c r="K1300" s="496">
        <f t="shared" ref="K1300" si="22">J1300*$K$1186</f>
        <v>84240.000000003187</v>
      </c>
      <c r="N1300" s="1263" t="s">
        <v>1367</v>
      </c>
      <c r="O1300" s="1277">
        <f>$O1299-SUM($K$1201:$K$1203,$K$1207:$K$1209,$K$1213:$K$1217,$K$1221:$K$1230,$K$1251:$K$1264,$K$1293:$K$1301,$K$1310:$K$1312)</f>
        <v>34927562.456078283</v>
      </c>
      <c r="P1300" s="1277"/>
    </row>
    <row r="1301" spans="2:16" ht="15">
      <c r="B1301" s="1351" t="s">
        <v>513</v>
      </c>
      <c r="C1301" s="574" t="s">
        <v>19</v>
      </c>
      <c r="D1301" s="328" t="s">
        <v>1358</v>
      </c>
      <c r="E1301" s="572" t="s">
        <v>338</v>
      </c>
      <c r="F1301" s="330">
        <v>3000000</v>
      </c>
      <c r="G1301" s="331">
        <v>99.8</v>
      </c>
      <c r="H1301" s="332">
        <v>4.5450530000000002</v>
      </c>
      <c r="I1301" s="1142">
        <v>3001500</v>
      </c>
      <c r="J1301" s="355">
        <f t="shared" si="20"/>
        <v>10979.999999999991</v>
      </c>
      <c r="K1301" s="496">
        <f>J1301*$K$1186</f>
        <v>85643.999999999927</v>
      </c>
      <c r="N1301" s="1262" t="s">
        <v>1368</v>
      </c>
      <c r="O1301" s="1277">
        <f>$O1299-SUM($K$1213:$K$1217,$K$1221:$K$1230,$K$1251:$K$1264,$K$1293:$K$1303,$K$1310:$K$1312)</f>
        <v>13012526.456078326</v>
      </c>
      <c r="P1301" s="1203"/>
    </row>
    <row r="1302" spans="2:16" ht="15">
      <c r="B1302" s="1351" t="s">
        <v>513</v>
      </c>
      <c r="C1302" s="574" t="s">
        <v>19</v>
      </c>
      <c r="D1302" s="328" t="s">
        <v>1358</v>
      </c>
      <c r="E1302" s="572" t="s">
        <v>338</v>
      </c>
      <c r="F1302" s="330">
        <v>2000000</v>
      </c>
      <c r="G1302" s="331">
        <v>99.84</v>
      </c>
      <c r="H1302" s="332">
        <v>4.5359299999999996</v>
      </c>
      <c r="I1302" s="1142">
        <v>2001550</v>
      </c>
      <c r="J1302" s="355">
        <f t="shared" si="20"/>
        <v>8120.0000000001191</v>
      </c>
      <c r="K1302" s="496">
        <f>J1302*$K$1186</f>
        <v>63336.000000000931</v>
      </c>
      <c r="N1302" s="1262"/>
      <c r="O1302" s="1277"/>
      <c r="P1302" s="1203"/>
    </row>
    <row r="1303" spans="2:16" ht="15">
      <c r="B1303" s="1351" t="s">
        <v>513</v>
      </c>
      <c r="C1303" s="574" t="s">
        <v>19</v>
      </c>
      <c r="D1303" s="328" t="s">
        <v>1358</v>
      </c>
      <c r="E1303" s="572" t="s">
        <v>338</v>
      </c>
      <c r="F1303" s="330">
        <v>5000000</v>
      </c>
      <c r="G1303" s="331">
        <v>100</v>
      </c>
      <c r="H1303" s="332">
        <v>4.4993400000000001</v>
      </c>
      <c r="I1303" s="1142">
        <v>5015000</v>
      </c>
      <c r="J1303" s="355">
        <f t="shared" si="20"/>
        <v>28300.000000000127</v>
      </c>
      <c r="K1303" s="496">
        <f>J1303*$K$1186</f>
        <v>220740.00000000099</v>
      </c>
      <c r="N1303" s="1262"/>
      <c r="O1303" s="1277"/>
      <c r="P1303" s="1203"/>
    </row>
    <row r="1304" spans="2:16" ht="15">
      <c r="B1304" s="1348"/>
      <c r="C1304" s="335"/>
      <c r="D1304" s="335" t="s">
        <v>702</v>
      </c>
      <c r="E1304" s="336"/>
      <c r="F1304" s="337">
        <f>SUM(F1293:F1303)</f>
        <v>46000000</v>
      </c>
      <c r="G1304" s="1045">
        <f>SUMPRODUCT(F1293:F1303,G1293:G1303)/F1304</f>
        <v>99.644000000000005</v>
      </c>
      <c r="H1304" s="356">
        <f>SUMPRODUCT(F1293:F1303,H1293:H1303)/F1304</f>
        <v>4.5844966956521738</v>
      </c>
      <c r="J1304" s="355"/>
      <c r="K1304" s="355"/>
      <c r="N1304" s="1262"/>
      <c r="O1304" s="1277"/>
      <c r="P1304" s="1203"/>
    </row>
    <row r="1305" spans="2:16">
      <c r="J1305" s="355"/>
      <c r="K1305" s="355"/>
    </row>
    <row r="1306" spans="2:16">
      <c r="J1306" s="355"/>
      <c r="K1306" s="355"/>
    </row>
    <row r="1307" spans="2:16">
      <c r="J1307" s="355"/>
      <c r="K1307" s="355"/>
    </row>
    <row r="1308" spans="2:16">
      <c r="I1308" s="1142">
        <v>3067250</v>
      </c>
      <c r="J1308" s="355"/>
      <c r="K1308" s="355"/>
    </row>
    <row r="1309" spans="2:16" ht="15">
      <c r="B1309" s="320" t="s">
        <v>770</v>
      </c>
      <c r="C1309" s="845"/>
      <c r="D1309" s="1265" t="s">
        <v>566</v>
      </c>
      <c r="E1309" s="1266" t="s">
        <v>567</v>
      </c>
      <c r="F1309" s="1267" t="s">
        <v>568</v>
      </c>
      <c r="G1309" s="1267" t="s">
        <v>701</v>
      </c>
      <c r="H1309" s="1268" t="s">
        <v>569</v>
      </c>
      <c r="I1309" s="1142"/>
      <c r="J1309" s="33" t="s">
        <v>1283</v>
      </c>
      <c r="K1309" s="64">
        <v>7.8</v>
      </c>
    </row>
    <row r="1310" spans="2:16" ht="15">
      <c r="B1310" s="326" t="s">
        <v>513</v>
      </c>
      <c r="C1310" s="358" t="s">
        <v>994</v>
      </c>
      <c r="D1310" s="402" t="s">
        <v>1340</v>
      </c>
      <c r="E1310" s="403" t="s">
        <v>338</v>
      </c>
      <c r="F1310" s="404">
        <v>3000000</v>
      </c>
      <c r="G1310" s="421">
        <v>102</v>
      </c>
      <c r="H1310" s="1225">
        <v>6.7232399999999997</v>
      </c>
      <c r="I1310" s="1142">
        <v>3067250</v>
      </c>
      <c r="J1310" s="355">
        <f t="shared" ref="J1310" si="23">(G1310-100)*F1310/100</f>
        <v>60000</v>
      </c>
      <c r="K1310" s="1285">
        <f>J1310*$K$1220</f>
        <v>468000</v>
      </c>
      <c r="L1310" s="355"/>
    </row>
    <row r="1311" spans="2:16" ht="15">
      <c r="B1311" s="334"/>
      <c r="C1311" s="334"/>
      <c r="D1311" s="335" t="s">
        <v>702</v>
      </c>
      <c r="E1311" s="336"/>
      <c r="F1311" s="337">
        <f>SUM(F1310:F1310)</f>
        <v>3000000</v>
      </c>
      <c r="G1311" s="1045">
        <f>SUMPRODUCT(F1310:F1310,G1310:G1310)/F1311</f>
        <v>102</v>
      </c>
      <c r="H1311" s="356">
        <f>SUMPRODUCT(F1310:F1310,H1310:H1310)/F1311</f>
        <v>6.7232399999999997</v>
      </c>
      <c r="J1311" s="355"/>
      <c r="K1311" s="1285"/>
    </row>
    <row r="1312" spans="2:16">
      <c r="J1312" s="355"/>
      <c r="K1312" s="1285"/>
    </row>
    <row r="1313" spans="2:12">
      <c r="J1313" s="355"/>
      <c r="K1313" s="355"/>
    </row>
    <row r="1314" spans="2:12" ht="15">
      <c r="B1314" s="320" t="s">
        <v>770</v>
      </c>
      <c r="C1314" s="845"/>
      <c r="D1314" s="1265" t="s">
        <v>566</v>
      </c>
      <c r="E1314" s="1266" t="s">
        <v>567</v>
      </c>
      <c r="F1314" s="1267" t="s">
        <v>568</v>
      </c>
      <c r="G1314" s="1267" t="s">
        <v>701</v>
      </c>
      <c r="H1314" s="1268" t="s">
        <v>569</v>
      </c>
      <c r="I1314" s="1142"/>
      <c r="J1314" s="355"/>
      <c r="K1314" s="355"/>
    </row>
    <row r="1315" spans="2:12" ht="15">
      <c r="B1315" s="326" t="s">
        <v>423</v>
      </c>
      <c r="C1315" s="358" t="s">
        <v>565</v>
      </c>
      <c r="D1315" s="402" t="s">
        <v>1371</v>
      </c>
      <c r="E1315" s="403" t="s">
        <v>1166</v>
      </c>
      <c r="F1315" s="404">
        <v>2205000000</v>
      </c>
      <c r="G1315" s="421">
        <v>100</v>
      </c>
      <c r="H1315" s="1225">
        <v>6.1</v>
      </c>
      <c r="I1315" s="1142">
        <v>2205000000</v>
      </c>
      <c r="J1315" s="355"/>
      <c r="K1315" s="355"/>
      <c r="L1315" s="355"/>
    </row>
    <row r="1316" spans="2:12" ht="15">
      <c r="B1316" s="326" t="s">
        <v>423</v>
      </c>
      <c r="C1316" s="405" t="s">
        <v>565</v>
      </c>
      <c r="D1316" s="328" t="s">
        <v>1371</v>
      </c>
      <c r="E1316" s="329" t="s">
        <v>1166</v>
      </c>
      <c r="F1316" s="330">
        <v>245000000</v>
      </c>
      <c r="G1316" s="331">
        <v>100</v>
      </c>
      <c r="H1316" s="1226">
        <v>6.1</v>
      </c>
      <c r="I1316" s="1142">
        <v>245000000</v>
      </c>
      <c r="J1316" s="355"/>
      <c r="K1316" s="1285"/>
      <c r="L1316" s="355"/>
    </row>
    <row r="1317" spans="2:12" ht="15">
      <c r="B1317" s="326" t="s">
        <v>1058</v>
      </c>
      <c r="C1317" s="405" t="s">
        <v>565</v>
      </c>
      <c r="D1317" s="328" t="s">
        <v>1371</v>
      </c>
      <c r="E1317" s="329" t="s">
        <v>1166</v>
      </c>
      <c r="F1317" s="330">
        <v>50000000</v>
      </c>
      <c r="G1317" s="331">
        <v>100</v>
      </c>
      <c r="H1317" s="1226">
        <v>6.1</v>
      </c>
      <c r="I1317" s="1142">
        <v>50000000</v>
      </c>
      <c r="J1317" s="1442"/>
      <c r="K1317" s="1285"/>
      <c r="L1317" s="355"/>
    </row>
    <row r="1318" spans="2:12" ht="15">
      <c r="B1318" s="326"/>
      <c r="C1318" s="365"/>
      <c r="D1318" s="349"/>
      <c r="E1318" s="406"/>
      <c r="F1318" s="350"/>
      <c r="G1318" s="351"/>
      <c r="H1318" s="1441"/>
      <c r="I1318" s="1142"/>
      <c r="J1318" s="355"/>
      <c r="K1318" s="1285"/>
      <c r="L1318" s="355"/>
    </row>
    <row r="1319" spans="2:12" ht="15">
      <c r="B1319" s="334"/>
      <c r="C1319" s="846"/>
      <c r="D1319" s="1269" t="s">
        <v>702</v>
      </c>
      <c r="E1319" s="1270"/>
      <c r="F1319" s="1271">
        <f>SUM(F1315:F1318)</f>
        <v>2500000000</v>
      </c>
      <c r="G1319" s="1272">
        <f>SUMPRODUCT(F1315:F1318,G1315:G1318)/F1319</f>
        <v>100</v>
      </c>
      <c r="H1319" s="1273">
        <f>SUMPRODUCT(F1315:F1318,H1315:H1318)/F1319</f>
        <v>6.1</v>
      </c>
      <c r="J1319" s="355"/>
      <c r="K1319" s="1285"/>
    </row>
    <row r="1320" spans="2:12">
      <c r="J1320" s="355"/>
      <c r="K1320" s="1285"/>
    </row>
    <row r="1321" spans="2:12" ht="15">
      <c r="B1321" s="320" t="s">
        <v>770</v>
      </c>
      <c r="C1321" s="321"/>
      <c r="D1321" s="322" t="s">
        <v>566</v>
      </c>
      <c r="E1321" s="323" t="s">
        <v>567</v>
      </c>
      <c r="F1321" s="324" t="s">
        <v>568</v>
      </c>
      <c r="G1321" s="324" t="s">
        <v>701</v>
      </c>
      <c r="H1321" s="325" t="s">
        <v>569</v>
      </c>
      <c r="I1321" s="1133"/>
      <c r="J1321" s="355"/>
      <c r="K1321" s="355"/>
    </row>
    <row r="1322" spans="2:12" ht="15">
      <c r="B1322" s="326" t="s">
        <v>423</v>
      </c>
      <c r="C1322" s="358" t="s">
        <v>565</v>
      </c>
      <c r="D1322" s="328" t="s">
        <v>1310</v>
      </c>
      <c r="E1322" s="329" t="s">
        <v>338</v>
      </c>
      <c r="F1322" s="404">
        <v>27000000</v>
      </c>
      <c r="G1322" s="421">
        <v>103.61499999999999</v>
      </c>
      <c r="H1322" s="422">
        <v>6.1300410000000003</v>
      </c>
      <c r="I1322" s="1221">
        <v>28609762.5</v>
      </c>
      <c r="J1322" s="355"/>
      <c r="K1322" s="355"/>
    </row>
    <row r="1323" spans="2:12" ht="15">
      <c r="B1323" s="326" t="s">
        <v>423</v>
      </c>
      <c r="C1323" s="405" t="s">
        <v>565</v>
      </c>
      <c r="D1323" s="328" t="s">
        <v>1310</v>
      </c>
      <c r="E1323" s="329" t="s">
        <v>338</v>
      </c>
      <c r="F1323" s="330">
        <v>3000000</v>
      </c>
      <c r="G1323" s="331">
        <v>103.61499999999999</v>
      </c>
      <c r="H1323" s="332">
        <v>6.1300410000000003</v>
      </c>
      <c r="I1323" s="1221">
        <v>3178862.5</v>
      </c>
    </row>
    <row r="1324" spans="2:12" ht="15">
      <c r="B1324" s="326"/>
      <c r="C1324" s="405"/>
      <c r="D1324" s="328"/>
      <c r="E1324" s="329"/>
      <c r="F1324" s="330"/>
      <c r="G1324" s="331"/>
      <c r="H1324" s="332"/>
      <c r="I1324" s="572"/>
      <c r="J1324" s="355"/>
      <c r="K1324" s="355"/>
    </row>
    <row r="1325" spans="2:12" ht="15">
      <c r="B1325" s="334"/>
      <c r="C1325" s="334"/>
      <c r="D1325" s="335" t="s">
        <v>702</v>
      </c>
      <c r="E1325" s="336"/>
      <c r="F1325" s="337">
        <f>SUM(F1322:F1324)</f>
        <v>30000000</v>
      </c>
      <c r="G1325" s="1045">
        <f>SUMPRODUCT(F1322:F1324,G1322:G1324)/F1325</f>
        <v>103.61499999999999</v>
      </c>
      <c r="H1325" s="356">
        <f>SUMPRODUCT(F1322:F1324,H1322:H1324)/F1325</f>
        <v>6.1300410000000003</v>
      </c>
      <c r="I1325" s="1135"/>
      <c r="J1325" s="355"/>
      <c r="K1325" s="355"/>
    </row>
    <row r="1326" spans="2:12">
      <c r="J1326" s="355"/>
      <c r="K1326" s="355"/>
    </row>
    <row r="1327" spans="2:12">
      <c r="J1327" s="355"/>
      <c r="K1327" s="355"/>
    </row>
    <row r="1328" spans="2:12">
      <c r="K1328" s="355"/>
    </row>
    <row r="1329" spans="2:16">
      <c r="J1329" s="355"/>
      <c r="K1329" s="355"/>
      <c r="M1329" s="1142">
        <f>M1288+SUM(K1290:K1329)</f>
        <v>53109020.226100683</v>
      </c>
    </row>
    <row r="1330" spans="2:16" s="1420" customFormat="1">
      <c r="J1330" s="1421"/>
      <c r="K1330" s="1421"/>
      <c r="M1330" s="1422"/>
    </row>
    <row r="1331" spans="2:16">
      <c r="D1331" t="s">
        <v>1377</v>
      </c>
      <c r="J1331" s="355"/>
      <c r="K1331" s="355"/>
    </row>
    <row r="1332" spans="2:16">
      <c r="J1332" s="355"/>
      <c r="K1332" s="355"/>
    </row>
    <row r="1333" spans="2:16">
      <c r="J1333" s="355"/>
      <c r="K1333" s="355"/>
    </row>
    <row r="1334" spans="2:16" ht="15">
      <c r="B1334" s="1347" t="s">
        <v>770</v>
      </c>
      <c r="C1334" s="1346"/>
      <c r="D1334" s="1265" t="s">
        <v>566</v>
      </c>
      <c r="E1334" s="1266" t="s">
        <v>567</v>
      </c>
      <c r="F1334" s="1267" t="s">
        <v>568</v>
      </c>
      <c r="G1334" s="1267" t="s">
        <v>701</v>
      </c>
      <c r="H1334" s="1268" t="s">
        <v>569</v>
      </c>
      <c r="J1334" s="33" t="s">
        <v>1283</v>
      </c>
      <c r="K1334" s="1284">
        <v>7.8</v>
      </c>
      <c r="N1334" s="1203"/>
      <c r="O1334" s="1201" t="s">
        <v>1376</v>
      </c>
      <c r="P1334" s="1201" t="s">
        <v>1324</v>
      </c>
    </row>
    <row r="1335" spans="2:16" ht="15">
      <c r="B1335" s="1351" t="s">
        <v>1375</v>
      </c>
      <c r="C1335" s="574" t="s">
        <v>19</v>
      </c>
      <c r="D1335" s="328" t="s">
        <v>1358</v>
      </c>
      <c r="E1335" s="572" t="s">
        <v>338</v>
      </c>
      <c r="F1335" s="330">
        <v>4000000</v>
      </c>
      <c r="G1335" s="331">
        <v>99.85</v>
      </c>
      <c r="H1335" s="1226">
        <v>4.5335700000000001</v>
      </c>
      <c r="I1335" s="1142">
        <v>4010500</v>
      </c>
      <c r="J1335" s="355">
        <f>(G1335-99.434)*F1335/100</f>
        <v>16639.999999999873</v>
      </c>
      <c r="K1335" s="496">
        <f>J1335*$K$1186</f>
        <v>129791.99999999901</v>
      </c>
      <c r="L1335" s="1249"/>
      <c r="N1335" s="1203" t="s">
        <v>1346</v>
      </c>
      <c r="O1335" s="1277">
        <f>SUM($K$1109:$K$1112,$K$1101:$K$1104,$K$1092:$K$1094,$K$1052:$K$1056,$K$1150:$K$1154,$K$1159:$K$1164,$K$1176:$K$1180,$K$1187:$K$1190,$K$1194:$K$1196,$K$1201:$K$1203,$K$1207,$K$1213,$K$1221:$K$1230,$K$1269:$K$1276,$K$1251:$K$1264,$K$1293:$K$1303,$K$1310:$K$1312)</f>
        <v>19671036.839220077</v>
      </c>
      <c r="P1335" s="1275">
        <f>$O1341-$O1335</f>
        <v>9840361.6168582514</v>
      </c>
    </row>
    <row r="1336" spans="2:16" ht="15">
      <c r="B1336" s="1351"/>
      <c r="C1336" s="574"/>
      <c r="D1336" s="328"/>
      <c r="E1336" s="572"/>
      <c r="F1336" s="330"/>
      <c r="G1336" s="331"/>
      <c r="H1336" s="1226"/>
      <c r="I1336" s="1142"/>
      <c r="J1336" s="355"/>
      <c r="K1336" s="496"/>
      <c r="N1336" s="1263" t="s">
        <v>1367</v>
      </c>
      <c r="O1336" s="1277">
        <f>$O1335-SUM($K$1201:$K$1203,$K$1213:$K$1217,$K$1221:$K$1230,$K$1251:$K$1264,$K$1293:$K$1303,$K$1310:$K$1312)</f>
        <v>30387456.839220047</v>
      </c>
      <c r="P1336" s="1277"/>
    </row>
    <row r="1337" spans="2:16" ht="15">
      <c r="B1337" s="1351"/>
      <c r="C1337" s="574"/>
      <c r="D1337" s="328"/>
      <c r="E1337" s="572"/>
      <c r="F1337" s="330"/>
      <c r="G1337" s="331"/>
      <c r="H1337" s="1226"/>
      <c r="I1337" s="1142"/>
      <c r="J1337" s="355"/>
      <c r="K1337" s="496"/>
      <c r="N1337" s="1262" t="s">
        <v>1368</v>
      </c>
      <c r="O1337" s="1277">
        <f>$O1335-SUM($K$1221:$K$1230,$K$1213:$K$1217,$K$1251:$K$1264,$K$1293:$K$1303,$K$1310:$K$1312)</f>
        <v>3301956.8392200749</v>
      </c>
      <c r="P1337" s="1203"/>
    </row>
    <row r="1338" spans="2:16" ht="15">
      <c r="B1338" s="1351"/>
      <c r="C1338" s="574"/>
      <c r="D1338" s="328"/>
      <c r="E1338" s="572"/>
      <c r="F1338" s="330"/>
      <c r="G1338" s="331"/>
      <c r="H1338" s="332"/>
      <c r="I1338" s="1142"/>
      <c r="J1338" s="355"/>
      <c r="K1338" s="496"/>
      <c r="N1338" s="1262"/>
      <c r="O1338" s="1203"/>
      <c r="P1338" s="1203"/>
    </row>
    <row r="1339" spans="2:16" ht="15">
      <c r="B1339" s="1351"/>
      <c r="C1339" s="574"/>
      <c r="D1339" s="328"/>
      <c r="E1339" s="572"/>
      <c r="F1339" s="330"/>
      <c r="G1339" s="331"/>
      <c r="H1339" s="332"/>
      <c r="I1339" s="1142"/>
      <c r="J1339" s="355"/>
      <c r="K1339" s="496"/>
    </row>
    <row r="1340" spans="2:16" ht="15">
      <c r="B1340" s="1351"/>
      <c r="C1340" s="574"/>
      <c r="D1340" s="328"/>
      <c r="E1340" s="572"/>
      <c r="F1340" s="330"/>
      <c r="G1340" s="331"/>
      <c r="H1340" s="332"/>
      <c r="I1340" s="1142"/>
      <c r="J1340" s="355"/>
      <c r="K1340" s="496"/>
      <c r="N1340" s="1203"/>
      <c r="O1340" s="1274" t="s">
        <v>1348</v>
      </c>
      <c r="P1340" s="1201"/>
    </row>
    <row r="1341" spans="2:16" ht="15">
      <c r="B1341" s="1351"/>
      <c r="C1341" s="574"/>
      <c r="D1341" s="328"/>
      <c r="E1341" s="572"/>
      <c r="F1341" s="330"/>
      <c r="G1341" s="331"/>
      <c r="H1341" s="332"/>
      <c r="I1341" s="1142"/>
      <c r="J1341" s="355"/>
      <c r="K1341" s="496"/>
      <c r="N1341" s="1203" t="s">
        <v>1347</v>
      </c>
      <c r="O1341" s="1277">
        <f>SUM($K$301,$K$305,$K$316:$K$317,$K$336:$K$339,$K$343,$K$347:$K$351,$K$355,$K$369:$K$371,$K$384:$K$386,$K$394,$K$398,$K$404:$K$406,$K$577:$K$578,$K$782,$K$800,$K$879,$K$885:$K$886,$K$901,$K$907,$K$912,$K$935,$K$941,$K$1052:$K$1056,$K$1092:$K$1094,$K$1101:$K$1104,$K$1109:$K$1112,$K$1150:$K$1154,$K$1159:$K$1164,$K$1176:$K$1180,$K$1187:$K$1190,$K$1194:$K$1196,$K$1201:$K$1203,$K$1207,$K$1213,$K$1221:$K$1230,$K$1251:$K$1264,$K$1269:$K$1276,$K$1293:$K$1303,$K$1310:$K$1312,$K$1335:$K$1344)</f>
        <v>29511398.456078328</v>
      </c>
      <c r="P1341" s="1275"/>
    </row>
    <row r="1342" spans="2:16" ht="15">
      <c r="B1342" s="1351"/>
      <c r="C1342" s="574"/>
      <c r="D1342" s="328"/>
      <c r="E1342" s="572"/>
      <c r="F1342" s="330"/>
      <c r="G1342" s="331"/>
      <c r="H1342" s="332"/>
      <c r="I1342" s="1142"/>
      <c r="J1342" s="355"/>
      <c r="K1342" s="496"/>
      <c r="N1342" s="1263" t="s">
        <v>1367</v>
      </c>
      <c r="O1342" s="1277">
        <f>$O1341-SUM($K$1201:$K$1203,$K$1207:$K$1209,$K$1213:$K$1217,$K$1221:$K$1230,$K$1251:$K$1264,$K$1293:$K$1301,$K$1310:$K$1312,$K$1335:$K$1344)</f>
        <v>34927562.456078283</v>
      </c>
      <c r="P1342" s="1277"/>
    </row>
    <row r="1343" spans="2:16" ht="15">
      <c r="B1343" s="1351"/>
      <c r="C1343" s="574"/>
      <c r="D1343" s="328"/>
      <c r="E1343" s="572"/>
      <c r="F1343" s="330"/>
      <c r="G1343" s="331"/>
      <c r="H1343" s="332"/>
      <c r="I1343" s="1142"/>
      <c r="J1343" s="355"/>
      <c r="K1343" s="496"/>
      <c r="N1343" s="1262" t="s">
        <v>1368</v>
      </c>
      <c r="O1343" s="1277">
        <f>$O1341-SUM($K$1213:$K$1217,$K$1221:$K$1230,$K$1251:$K$1264,$K$1293:$K$1303,$K$1310:$K$1312,$K$1335:$K$1344)</f>
        <v>13012526.456078328</v>
      </c>
      <c r="P1343" s="1203"/>
    </row>
    <row r="1344" spans="2:16" ht="15">
      <c r="B1344" s="1351"/>
      <c r="C1344" s="574"/>
      <c r="D1344" s="328"/>
      <c r="E1344" s="572"/>
      <c r="F1344" s="330"/>
      <c r="G1344" s="331"/>
      <c r="H1344" s="332"/>
      <c r="I1344" s="1142"/>
      <c r="J1344" s="355"/>
      <c r="K1344" s="496"/>
      <c r="N1344" s="1262"/>
      <c r="O1344" s="1277"/>
      <c r="P1344" s="1203"/>
    </row>
    <row r="1345" spans="2:16" ht="15">
      <c r="B1345" s="1351"/>
      <c r="C1345" s="574"/>
      <c r="D1345" s="328"/>
      <c r="E1345" s="572"/>
      <c r="F1345" s="330"/>
      <c r="G1345" s="331"/>
      <c r="H1345" s="332"/>
      <c r="I1345" s="1142"/>
      <c r="J1345" s="355"/>
      <c r="K1345" s="496"/>
      <c r="N1345" s="1262"/>
      <c r="O1345" s="1277"/>
      <c r="P1345" s="1203"/>
    </row>
    <row r="1346" spans="2:16" ht="15">
      <c r="B1346" s="1348"/>
      <c r="C1346" s="335"/>
      <c r="D1346" s="335" t="s">
        <v>702</v>
      </c>
      <c r="E1346" s="336"/>
      <c r="F1346" s="337">
        <f>SUM(F1335:F1345)</f>
        <v>4000000</v>
      </c>
      <c r="G1346" s="1045">
        <f>SUMPRODUCT(F1335:F1345,G1335:G1345)/F1346</f>
        <v>99.85</v>
      </c>
      <c r="H1346" s="356">
        <f>SUMPRODUCT(F1335:F1345,H1335:H1345)/F1346</f>
        <v>4.5335700000000001</v>
      </c>
      <c r="J1346" s="355"/>
      <c r="K1346" s="355"/>
      <c r="N1346" s="1262"/>
      <c r="O1346" s="1277"/>
      <c r="P1346" s="1203"/>
    </row>
    <row r="1347" spans="2:16">
      <c r="J1347" s="355"/>
      <c r="K1347" s="355"/>
    </row>
    <row r="1348" spans="2:16">
      <c r="J1348" s="355"/>
      <c r="K1348" s="355"/>
    </row>
    <row r="1349" spans="2:16">
      <c r="J1349" s="355"/>
      <c r="K1349" s="355"/>
    </row>
    <row r="1350" spans="2:16">
      <c r="J1350" s="355"/>
      <c r="K1350" s="355"/>
    </row>
    <row r="1351" spans="2:16">
      <c r="J1351" s="355"/>
      <c r="K1351" s="355"/>
    </row>
    <row r="1352" spans="2:16">
      <c r="J1352" s="355"/>
      <c r="K1352" s="355"/>
    </row>
    <row r="1353" spans="2:16" ht="15">
      <c r="B1353" s="320" t="s">
        <v>770</v>
      </c>
      <c r="C1353" s="321"/>
      <c r="D1353" s="322" t="s">
        <v>566</v>
      </c>
      <c r="E1353" s="323" t="s">
        <v>567</v>
      </c>
      <c r="F1353" s="324" t="s">
        <v>568</v>
      </c>
      <c r="G1353" s="324" t="s">
        <v>701</v>
      </c>
      <c r="H1353" s="325" t="s">
        <v>569</v>
      </c>
      <c r="I1353" s="1133"/>
      <c r="J1353" s="355"/>
      <c r="K1353" s="355"/>
    </row>
    <row r="1354" spans="2:16" ht="15">
      <c r="B1354" s="326" t="s">
        <v>423</v>
      </c>
      <c r="C1354" s="358" t="s">
        <v>565</v>
      </c>
      <c r="D1354" s="328" t="s">
        <v>1380</v>
      </c>
      <c r="E1354" s="329" t="s">
        <v>1166</v>
      </c>
      <c r="F1354" s="404">
        <v>2070000000</v>
      </c>
      <c r="G1354" s="421">
        <v>99.027000000000001</v>
      </c>
      <c r="H1354" s="422">
        <v>6.2</v>
      </c>
      <c r="I1354" s="1221">
        <v>2070000000</v>
      </c>
      <c r="J1354" s="1142"/>
      <c r="K1354" s="355"/>
    </row>
    <row r="1355" spans="2:16" ht="15">
      <c r="B1355" s="326" t="s">
        <v>423</v>
      </c>
      <c r="C1355" s="405" t="s">
        <v>565</v>
      </c>
      <c r="D1355" s="328" t="s">
        <v>1380</v>
      </c>
      <c r="E1355" s="329" t="s">
        <v>1166</v>
      </c>
      <c r="F1355" s="330">
        <v>230000000</v>
      </c>
      <c r="G1355" s="331">
        <v>99.027000000000001</v>
      </c>
      <c r="H1355" s="332">
        <v>6.2</v>
      </c>
      <c r="I1355" s="1221">
        <v>230000000</v>
      </c>
      <c r="J1355" s="1142"/>
    </row>
    <row r="1356" spans="2:16" ht="15">
      <c r="B1356" s="326"/>
      <c r="C1356" s="405"/>
      <c r="D1356" s="328"/>
      <c r="E1356" s="329"/>
      <c r="F1356" s="330"/>
      <c r="G1356" s="331"/>
      <c r="H1356" s="332"/>
      <c r="I1356" s="572"/>
      <c r="J1356" s="355"/>
      <c r="K1356" s="355"/>
    </row>
    <row r="1357" spans="2:16" ht="15">
      <c r="B1357" s="334"/>
      <c r="C1357" s="334"/>
      <c r="D1357" s="335" t="s">
        <v>702</v>
      </c>
      <c r="E1357" s="336"/>
      <c r="F1357" s="337">
        <f>SUM(F1354:F1356)</f>
        <v>2300000000</v>
      </c>
      <c r="G1357" s="1045">
        <f>SUMPRODUCT(F1354:F1356,G1354:G1356)/F1357</f>
        <v>99.027000000000001</v>
      </c>
      <c r="H1357" s="356">
        <f>SUMPRODUCT(F1354:F1356,H1354:H1356)/F1357</f>
        <v>6.2</v>
      </c>
      <c r="I1357" s="1135"/>
      <c r="J1357" s="355"/>
      <c r="K1357" s="355"/>
    </row>
    <row r="1358" spans="2:16">
      <c r="J1358" s="355"/>
      <c r="K1358" s="355"/>
    </row>
    <row r="1359" spans="2:16">
      <c r="J1359" s="355"/>
      <c r="K1359" s="355"/>
    </row>
    <row r="1360" spans="2:16">
      <c r="J1360" s="355"/>
      <c r="K1360" s="355"/>
    </row>
    <row r="1361" spans="4:16">
      <c r="J1361" s="355"/>
      <c r="K1361" s="355"/>
    </row>
    <row r="1362" spans="4:16">
      <c r="J1362" s="355"/>
      <c r="K1362" s="355"/>
      <c r="M1362" s="1142">
        <f>SUM(M1329+K1335)</f>
        <v>53238812.226100683</v>
      </c>
    </row>
    <row r="1363" spans="4:16" s="490" customFormat="1">
      <c r="J1363" s="607"/>
      <c r="K1363" s="607"/>
      <c r="M1363" s="1235"/>
    </row>
    <row r="1364" spans="4:16">
      <c r="D1364" t="s">
        <v>1382</v>
      </c>
      <c r="J1364" s="355"/>
      <c r="K1364" s="355"/>
    </row>
    <row r="1365" spans="4:16">
      <c r="J1365" s="355"/>
      <c r="K1365" s="355"/>
    </row>
    <row r="1366" spans="4:16">
      <c r="J1366" s="355"/>
      <c r="K1366" s="355"/>
    </row>
    <row r="1367" spans="4:16">
      <c r="J1367" s="355"/>
      <c r="K1367" s="355"/>
    </row>
    <row r="1368" spans="4:16">
      <c r="J1368" s="355"/>
      <c r="K1368" s="355"/>
      <c r="N1368" s="1203"/>
      <c r="O1368" s="1201" t="s">
        <v>1376</v>
      </c>
      <c r="P1368" s="1201" t="s">
        <v>1324</v>
      </c>
    </row>
    <row r="1369" spans="4:16">
      <c r="J1369" s="355"/>
      <c r="K1369" s="355"/>
      <c r="N1369" s="1203" t="s">
        <v>1346</v>
      </c>
      <c r="O1369" s="1277">
        <f>SUM($K$1109:$K$1112,$K$1101:$K$1104,$K$1092:$K$1094,$K$1052:$K$1056,$K$1150:$K$1154,$K$1159:$K$1164,$K$1176:$K$1180,$K$1187:$K$1190,$K$1194:$K$1196,$K$1201:$K$1203,$K$1207,$K$1213,$K$1221:$K$1230,$K$1269:$K$1276,$K$1251:$K$1264,$K$1293:$K$1303,$K$1310:$K$1312)</f>
        <v>19671036.839220077</v>
      </c>
      <c r="P1369" s="1275">
        <f>$O1375-$O1369</f>
        <v>9840361.6168582514</v>
      </c>
    </row>
    <row r="1370" spans="4:16">
      <c r="J1370" s="355"/>
      <c r="K1370" s="355"/>
      <c r="N1370" s="1263" t="s">
        <v>1367</v>
      </c>
      <c r="O1370" s="1277">
        <f>$O1369-SUM($K$1201:$K$1203,$K$1213:$K$1217,$K$1221:$K$1230,$K$1251:$K$1264,$K$1293:$K$1303,$K$1310:$K$1312)</f>
        <v>30387456.839220047</v>
      </c>
      <c r="P1370" s="1277"/>
    </row>
    <row r="1371" spans="4:16">
      <c r="J1371" s="355"/>
      <c r="K1371" s="355"/>
      <c r="N1371" s="1262" t="s">
        <v>1368</v>
      </c>
      <c r="O1371" s="1277">
        <f>$O1369-SUM($K$1221:$K$1230,$K$1213:$K$1217,$K$1251:$K$1264,$K$1293:$K$1303,$K$1310:$K$1312)</f>
        <v>3301956.8392200749</v>
      </c>
      <c r="P1371" s="1203"/>
    </row>
    <row r="1372" spans="4:16">
      <c r="J1372" s="355"/>
      <c r="K1372" s="355"/>
      <c r="N1372" s="1262"/>
      <c r="O1372" s="1203"/>
      <c r="P1372" s="1203"/>
    </row>
    <row r="1373" spans="4:16">
      <c r="J1373" s="355"/>
      <c r="K1373" s="355"/>
    </row>
    <row r="1374" spans="4:16">
      <c r="J1374" s="355"/>
      <c r="K1374" s="355"/>
      <c r="N1374" s="1203"/>
      <c r="O1374" s="1274" t="s">
        <v>1348</v>
      </c>
      <c r="P1374" s="1201"/>
    </row>
    <row r="1375" spans="4:16">
      <c r="J1375" s="355"/>
      <c r="K1375" s="355"/>
      <c r="N1375" s="1203" t="s">
        <v>1347</v>
      </c>
      <c r="O1375" s="1277">
        <f>SUM($K$301,$K$305,$K$316:$K$317,$K$336:$K$339,$K$343,$K$347:$K$351,$K$355,$K$369:$K$371,$K$384:$K$386,$K$394,$K$398,$K$404:$K$406,$K$577:$K$578,$K$782,$K$800,$K$879,$K$885:$K$886,$K$901,$K$907,$K$912,$K$935,$K$941,$K$1052:$K$1056,$K$1092:$K$1094,$K$1101:$K$1104,$K$1109:$K$1112,$K$1150:$K$1154,$K$1159:$K$1164,$K$1176:$K$1180,$K$1187:$K$1190,$K$1194:$K$1196,$K$1201:$K$1203,$K$1207,$K$1213,$K$1221:$K$1230,$K$1251:$K$1264,$K$1269:$K$1276,$K$1293:$K$1303,$K$1310:$K$1312,$K$1335:$K$1344)</f>
        <v>29511398.456078328</v>
      </c>
      <c r="P1375" s="1275"/>
    </row>
    <row r="1376" spans="4:16">
      <c r="J1376" s="355"/>
      <c r="K1376" s="355"/>
      <c r="N1376" s="1263" t="s">
        <v>1367</v>
      </c>
      <c r="O1376" s="1277">
        <f>$O1375-SUM($K$1201:$K$1203,$K$1207:$K$1209,$K$1213:$K$1217,$K$1221:$K$1230,$K$1251:$K$1264,$K$1293:$K$1301,$K$1310:$K$1312,$K$1335:$K$1344)</f>
        <v>34927562.456078283</v>
      </c>
      <c r="P1376" s="1277"/>
    </row>
    <row r="1377" spans="2:16">
      <c r="J1377" s="355"/>
      <c r="K1377" s="355"/>
      <c r="N1377" s="1262" t="s">
        <v>1368</v>
      </c>
      <c r="O1377" s="1277">
        <f>$O1375-SUM($K$1213:$K$1217,$K$1221:$K$1230,$K$1251:$K$1264,$K$1293:$K$1303,$K$1310:$K$1312,$K$1335:$K$1344)</f>
        <v>13012526.456078328</v>
      </c>
      <c r="P1377" s="1203"/>
    </row>
    <row r="1378" spans="2:16">
      <c r="J1378" s="355"/>
      <c r="K1378" s="355"/>
      <c r="N1378" s="1262"/>
      <c r="O1378" s="1277"/>
      <c r="P1378" s="1203"/>
    </row>
    <row r="1379" spans="2:16">
      <c r="J1379" s="355"/>
      <c r="K1379" s="355"/>
      <c r="N1379" s="1262"/>
      <c r="O1379" s="1277"/>
      <c r="P1379" s="1203"/>
    </row>
    <row r="1380" spans="2:16">
      <c r="J1380" s="355"/>
      <c r="K1380" s="355"/>
      <c r="N1380" s="1262"/>
      <c r="O1380" s="1277"/>
      <c r="P1380" s="1203"/>
    </row>
    <row r="1381" spans="2:16">
      <c r="J1381" s="355"/>
      <c r="K1381" s="355"/>
      <c r="M1381" s="1142">
        <f>M1362+J1364</f>
        <v>53238812.226100683</v>
      </c>
    </row>
    <row r="1382" spans="2:16" s="576" customFormat="1">
      <c r="J1382" s="1444"/>
      <c r="K1382" s="1444"/>
      <c r="M1382" s="1236"/>
    </row>
    <row r="1383" spans="2:16">
      <c r="D1383" t="s">
        <v>1389</v>
      </c>
      <c r="J1383" s="355"/>
      <c r="K1383" s="355"/>
    </row>
    <row r="1384" spans="2:16">
      <c r="J1384" s="355"/>
      <c r="K1384" s="355"/>
    </row>
    <row r="1385" spans="2:16">
      <c r="J1385" s="355"/>
      <c r="K1385" s="355"/>
    </row>
    <row r="1386" spans="2:16" ht="15">
      <c r="B1386" s="320" t="s">
        <v>770</v>
      </c>
      <c r="C1386" s="845"/>
      <c r="D1386" s="1265" t="s">
        <v>566</v>
      </c>
      <c r="E1386" s="1266" t="s">
        <v>567</v>
      </c>
      <c r="F1386" s="1267" t="s">
        <v>568</v>
      </c>
      <c r="G1386" s="1267" t="s">
        <v>701</v>
      </c>
      <c r="H1386" s="1268" t="s">
        <v>569</v>
      </c>
      <c r="I1386" s="1504" t="s">
        <v>1391</v>
      </c>
      <c r="J1386" s="355"/>
      <c r="K1386" s="355"/>
    </row>
    <row r="1387" spans="2:16" ht="15">
      <c r="B1387" s="326" t="s">
        <v>423</v>
      </c>
      <c r="C1387" s="358" t="s">
        <v>565</v>
      </c>
      <c r="D1387" s="402" t="s">
        <v>1383</v>
      </c>
      <c r="E1387" s="403" t="s">
        <v>1166</v>
      </c>
      <c r="F1387" s="404">
        <v>1800000000</v>
      </c>
      <c r="G1387" s="421">
        <v>99.872</v>
      </c>
      <c r="H1387" s="1225">
        <v>6.1800860000000002</v>
      </c>
      <c r="I1387" s="1142">
        <v>1797696000</v>
      </c>
      <c r="J1387" s="355"/>
      <c r="K1387" s="355"/>
      <c r="L1387" s="355"/>
    </row>
    <row r="1388" spans="2:16" ht="15">
      <c r="B1388" s="326" t="s">
        <v>423</v>
      </c>
      <c r="C1388" s="405" t="s">
        <v>565</v>
      </c>
      <c r="D1388" s="328" t="s">
        <v>1383</v>
      </c>
      <c r="E1388" s="329" t="s">
        <v>1166</v>
      </c>
      <c r="F1388" s="330">
        <v>200000000</v>
      </c>
      <c r="G1388" s="331">
        <v>99.872</v>
      </c>
      <c r="H1388" s="1226">
        <v>6.1800860000000002</v>
      </c>
      <c r="I1388" s="1142">
        <v>199744000</v>
      </c>
      <c r="J1388" s="355"/>
      <c r="K1388" s="1285"/>
      <c r="L1388" s="355"/>
    </row>
    <row r="1389" spans="2:16" ht="15">
      <c r="B1389" s="326"/>
      <c r="C1389" s="405"/>
      <c r="D1389" s="328"/>
      <c r="E1389" s="329"/>
      <c r="F1389" s="330"/>
      <c r="G1389" s="331"/>
      <c r="H1389" s="1226"/>
      <c r="I1389" s="1142"/>
      <c r="J1389" s="1442"/>
      <c r="K1389" s="1285"/>
      <c r="L1389" s="355"/>
    </row>
    <row r="1390" spans="2:16" ht="15">
      <c r="B1390" s="326"/>
      <c r="C1390" s="365"/>
      <c r="D1390" s="349"/>
      <c r="E1390" s="406"/>
      <c r="F1390" s="350"/>
      <c r="G1390" s="351"/>
      <c r="H1390" s="1441"/>
      <c r="I1390" s="1142"/>
      <c r="J1390" s="355"/>
      <c r="K1390" s="1285"/>
      <c r="L1390" s="355"/>
    </row>
    <row r="1391" spans="2:16" ht="15">
      <c r="B1391" s="334"/>
      <c r="C1391" s="846"/>
      <c r="D1391" s="1269" t="s">
        <v>702</v>
      </c>
      <c r="E1391" s="1270"/>
      <c r="F1391" s="1271">
        <f>SUM(F1387:F1390)</f>
        <v>2000000000</v>
      </c>
      <c r="G1391" s="1272">
        <f>SUMPRODUCT(F1387:F1390,G1387:G1390)/F1391</f>
        <v>99.872</v>
      </c>
      <c r="H1391" s="1273">
        <f>SUMPRODUCT(F1387:F1390,H1387:H1390)/F1391</f>
        <v>6.1800860000000002</v>
      </c>
      <c r="J1391" s="355"/>
      <c r="K1391" s="1285"/>
    </row>
    <row r="1392" spans="2:16">
      <c r="J1392" s="355"/>
      <c r="K1392" s="1285"/>
    </row>
    <row r="1393" spans="2:13" ht="15">
      <c r="B1393" s="320" t="s">
        <v>770</v>
      </c>
      <c r="C1393" s="321"/>
      <c r="D1393" s="322" t="s">
        <v>566</v>
      </c>
      <c r="E1393" s="323" t="s">
        <v>567</v>
      </c>
      <c r="F1393" s="324" t="s">
        <v>568</v>
      </c>
      <c r="G1393" s="324" t="s">
        <v>701</v>
      </c>
      <c r="H1393" s="325" t="s">
        <v>569</v>
      </c>
      <c r="I1393" s="1133"/>
      <c r="J1393" s="355"/>
      <c r="K1393" s="355"/>
    </row>
    <row r="1394" spans="2:13" ht="15">
      <c r="B1394" s="326" t="s">
        <v>423</v>
      </c>
      <c r="C1394" s="358" t="s">
        <v>565</v>
      </c>
      <c r="D1394" s="328" t="s">
        <v>1386</v>
      </c>
      <c r="E1394" s="329" t="s">
        <v>338</v>
      </c>
      <c r="F1394" s="404">
        <v>360000000</v>
      </c>
      <c r="G1394" s="421">
        <v>98.736999999999995</v>
      </c>
      <c r="H1394" s="422">
        <v>6.1</v>
      </c>
      <c r="I1394" s="1221">
        <v>355453200</v>
      </c>
      <c r="J1394" s="355"/>
      <c r="K1394" s="355"/>
    </row>
    <row r="1395" spans="2:13" ht="15">
      <c r="B1395" s="326" t="s">
        <v>423</v>
      </c>
      <c r="C1395" s="405" t="s">
        <v>565</v>
      </c>
      <c r="D1395" s="328" t="s">
        <v>1386</v>
      </c>
      <c r="E1395" s="329" t="s">
        <v>338</v>
      </c>
      <c r="F1395" s="330">
        <v>40000000</v>
      </c>
      <c r="G1395" s="331">
        <v>98.736999999999995</v>
      </c>
      <c r="H1395" s="332">
        <v>6.1</v>
      </c>
      <c r="I1395" s="1221">
        <v>39494800</v>
      </c>
    </row>
    <row r="1396" spans="2:13" ht="15">
      <c r="B1396" s="326"/>
      <c r="C1396" s="405"/>
      <c r="D1396" s="328"/>
      <c r="E1396" s="329"/>
      <c r="F1396" s="330"/>
      <c r="G1396" s="331"/>
      <c r="H1396" s="332"/>
      <c r="I1396" s="572"/>
      <c r="J1396" s="355"/>
      <c r="K1396" s="355"/>
    </row>
    <row r="1397" spans="2:13" ht="15">
      <c r="B1397" s="334"/>
      <c r="C1397" s="334"/>
      <c r="D1397" s="335" t="s">
        <v>702</v>
      </c>
      <c r="E1397" s="336"/>
      <c r="F1397" s="337">
        <f>SUM(F1394:F1396)</f>
        <v>400000000</v>
      </c>
      <c r="G1397" s="1045">
        <f>SUMPRODUCT(F1394:F1396,G1394:G1396)/F1397</f>
        <v>98.736999999999995</v>
      </c>
      <c r="H1397" s="356">
        <f>SUMPRODUCT(F1394:F1396,H1394:H1396)/F1397</f>
        <v>6.1</v>
      </c>
      <c r="I1397" s="1135"/>
      <c r="J1397" s="355"/>
      <c r="K1397" s="355"/>
    </row>
    <row r="1398" spans="2:13">
      <c r="J1398" s="355"/>
      <c r="K1398" s="355"/>
    </row>
    <row r="1399" spans="2:13">
      <c r="J1399" s="355"/>
      <c r="K1399" s="355"/>
    </row>
    <row r="1400" spans="2:13" s="576" customFormat="1">
      <c r="J1400" s="1444"/>
      <c r="K1400" s="1444"/>
      <c r="M1400" s="1236"/>
    </row>
    <row r="1401" spans="2:13">
      <c r="D1401" t="s">
        <v>1390</v>
      </c>
      <c r="J1401" s="355"/>
      <c r="K1401" s="355"/>
    </row>
    <row r="1402" spans="2:13">
      <c r="J1402" s="355"/>
      <c r="K1402" s="355"/>
    </row>
    <row r="1403" spans="2:13" ht="15">
      <c r="B1403" s="320" t="s">
        <v>770</v>
      </c>
      <c r="C1403" s="321"/>
      <c r="D1403" s="322" t="s">
        <v>566</v>
      </c>
      <c r="E1403" s="323" t="s">
        <v>567</v>
      </c>
      <c r="F1403" s="324" t="s">
        <v>568</v>
      </c>
      <c r="G1403" s="324" t="s">
        <v>701</v>
      </c>
      <c r="H1403" s="325" t="s">
        <v>569</v>
      </c>
      <c r="I1403" s="1504" t="s">
        <v>1391</v>
      </c>
      <c r="J1403" s="355"/>
      <c r="K1403" s="355"/>
    </row>
    <row r="1404" spans="2:13" ht="15">
      <c r="B1404" s="326" t="s">
        <v>423</v>
      </c>
      <c r="C1404" s="358" t="s">
        <v>565</v>
      </c>
      <c r="D1404" s="328" t="s">
        <v>1388</v>
      </c>
      <c r="E1404" s="329" t="s">
        <v>338</v>
      </c>
      <c r="F1404" s="404">
        <v>270000000</v>
      </c>
      <c r="G1404" s="421">
        <v>98.522999999999996</v>
      </c>
      <c r="H1404" s="422">
        <v>6.149934</v>
      </c>
      <c r="I1404" s="1221">
        <v>266012100</v>
      </c>
      <c r="J1404" s="355"/>
      <c r="K1404" s="355"/>
    </row>
    <row r="1405" spans="2:13" ht="15">
      <c r="B1405" s="326" t="s">
        <v>423</v>
      </c>
      <c r="C1405" s="405" t="s">
        <v>565</v>
      </c>
      <c r="D1405" s="328" t="s">
        <v>1388</v>
      </c>
      <c r="E1405" s="329" t="s">
        <v>338</v>
      </c>
      <c r="F1405" s="330">
        <v>30000000</v>
      </c>
      <c r="G1405" s="331">
        <v>98.522999999999996</v>
      </c>
      <c r="H1405" s="332">
        <v>6.149934</v>
      </c>
      <c r="I1405" s="1221">
        <v>29556900</v>
      </c>
    </row>
    <row r="1406" spans="2:13" ht="15">
      <c r="B1406" s="326"/>
      <c r="C1406" s="405"/>
      <c r="D1406" s="328"/>
      <c r="E1406" s="329"/>
      <c r="F1406" s="330"/>
      <c r="G1406" s="331"/>
      <c r="H1406" s="332"/>
      <c r="I1406" s="572"/>
      <c r="J1406" s="355"/>
      <c r="K1406" s="355"/>
    </row>
    <row r="1407" spans="2:13" ht="15">
      <c r="B1407" s="334"/>
      <c r="C1407" s="334"/>
      <c r="D1407" s="335" t="s">
        <v>702</v>
      </c>
      <c r="E1407" s="336"/>
      <c r="F1407" s="337">
        <f>SUM(F1404:F1406)</f>
        <v>300000000</v>
      </c>
      <c r="G1407" s="1045">
        <f>SUMPRODUCT(F1404:F1406,G1404:G1406)/F1407</f>
        <v>98.522999999999996</v>
      </c>
      <c r="H1407" s="356">
        <f>SUMPRODUCT(F1404:F1406,H1404:H1406)/F1407</f>
        <v>6.149934</v>
      </c>
      <c r="I1407" s="1135"/>
      <c r="J1407" s="355"/>
      <c r="K1407" s="355"/>
    </row>
    <row r="1410" spans="2:13" s="576" customFormat="1">
      <c r="J1410" s="1444"/>
      <c r="K1410" s="1444"/>
      <c r="M1410" s="1236"/>
    </row>
    <row r="1411" spans="2:13">
      <c r="D1411" t="s">
        <v>1393</v>
      </c>
    </row>
    <row r="1413" spans="2:13" ht="15">
      <c r="B1413" s="320" t="s">
        <v>770</v>
      </c>
      <c r="C1413" s="321"/>
      <c r="D1413" s="322" t="s">
        <v>566</v>
      </c>
      <c r="E1413" s="323" t="s">
        <v>567</v>
      </c>
      <c r="F1413" s="324" t="s">
        <v>568</v>
      </c>
      <c r="G1413" s="324" t="s">
        <v>701</v>
      </c>
      <c r="H1413" s="325" t="s">
        <v>569</v>
      </c>
      <c r="I1413" s="1504" t="s">
        <v>1391</v>
      </c>
      <c r="J1413" s="355"/>
      <c r="K1413" s="355"/>
    </row>
    <row r="1414" spans="2:13" ht="15">
      <c r="B1414" s="326" t="s">
        <v>423</v>
      </c>
      <c r="C1414" s="358" t="s">
        <v>565</v>
      </c>
      <c r="D1414" s="328" t="s">
        <v>1392</v>
      </c>
      <c r="E1414" s="329" t="s">
        <v>267</v>
      </c>
      <c r="F1414" s="404">
        <v>180000000</v>
      </c>
      <c r="G1414" s="421">
        <v>100</v>
      </c>
      <c r="H1414" s="422">
        <v>5</v>
      </c>
      <c r="I1414" s="1221">
        <v>180000000</v>
      </c>
      <c r="J1414" s="355"/>
      <c r="K1414" s="355"/>
    </row>
    <row r="1415" spans="2:13" ht="15">
      <c r="B1415" s="326" t="s">
        <v>423</v>
      </c>
      <c r="C1415" s="405" t="s">
        <v>565</v>
      </c>
      <c r="D1415" s="328" t="s">
        <v>1392</v>
      </c>
      <c r="E1415" s="329" t="s">
        <v>267</v>
      </c>
      <c r="F1415" s="330">
        <v>20000000</v>
      </c>
      <c r="G1415" s="331">
        <v>100</v>
      </c>
      <c r="H1415" s="332">
        <v>5</v>
      </c>
      <c r="I1415" s="1221">
        <v>20000000</v>
      </c>
    </row>
    <row r="1416" spans="2:13" ht="15">
      <c r="B1416" s="326"/>
      <c r="C1416" s="405"/>
      <c r="D1416" s="328"/>
      <c r="E1416" s="329"/>
      <c r="F1416" s="330"/>
      <c r="G1416" s="331"/>
      <c r="H1416" s="332"/>
      <c r="I1416" s="572"/>
      <c r="J1416" s="355"/>
      <c r="K1416" s="355"/>
    </row>
    <row r="1417" spans="2:13" ht="15">
      <c r="B1417" s="334"/>
      <c r="C1417" s="334"/>
      <c r="D1417" s="335" t="s">
        <v>702</v>
      </c>
      <c r="E1417" s="336"/>
      <c r="F1417" s="337">
        <f>SUM(F1414:F1416)</f>
        <v>200000000</v>
      </c>
      <c r="G1417" s="1045">
        <f>SUMPRODUCT(F1414:F1416,G1414:G1416)/F1417</f>
        <v>100</v>
      </c>
      <c r="H1417" s="356">
        <f>SUMPRODUCT(F1414:F1416,H1414:H1416)/F1417</f>
        <v>5</v>
      </c>
      <c r="I1417" s="1135"/>
      <c r="J1417" s="355"/>
      <c r="K1417" s="355"/>
    </row>
    <row r="1420" spans="2:13" s="576" customFormat="1">
      <c r="J1420" s="1444"/>
      <c r="K1420" s="1444"/>
      <c r="M1420" s="1236"/>
    </row>
    <row r="1421" spans="2:13">
      <c r="D1421" t="s">
        <v>1402</v>
      </c>
    </row>
    <row r="1425" spans="1:12" ht="15">
      <c r="A1425" s="1621" t="s">
        <v>1405</v>
      </c>
      <c r="B1425" s="1553" t="s">
        <v>770</v>
      </c>
      <c r="C1425" s="1554"/>
      <c r="D1425" s="322" t="s">
        <v>566</v>
      </c>
      <c r="E1425" s="323" t="s">
        <v>567</v>
      </c>
      <c r="F1425" s="324" t="s">
        <v>568</v>
      </c>
      <c r="G1425" s="324" t="s">
        <v>701</v>
      </c>
      <c r="H1425" s="325" t="s">
        <v>569</v>
      </c>
      <c r="J1425" s="33" t="s">
        <v>1283</v>
      </c>
      <c r="K1425" s="1284">
        <v>7.8</v>
      </c>
    </row>
    <row r="1426" spans="1:12" ht="15">
      <c r="A1426" s="1622">
        <v>42108</v>
      </c>
      <c r="B1426" s="575" t="s">
        <v>423</v>
      </c>
      <c r="C1426" s="574" t="s">
        <v>19</v>
      </c>
      <c r="D1426" s="328" t="s">
        <v>1394</v>
      </c>
      <c r="E1426" s="572" t="s">
        <v>338</v>
      </c>
      <c r="F1426" s="330">
        <v>4500000</v>
      </c>
      <c r="G1426" s="331">
        <v>113.1</v>
      </c>
      <c r="H1426" s="1226">
        <v>0.40560000000000002</v>
      </c>
      <c r="I1426" s="1142">
        <v>5092900</v>
      </c>
      <c r="J1426" s="355">
        <f>(G1426-100)*F1426/100</f>
        <v>589499.99999999977</v>
      </c>
      <c r="K1426" s="496">
        <f>J1426*$K$1186</f>
        <v>4598099.9999999981</v>
      </c>
      <c r="L1426" s="1249"/>
    </row>
    <row r="1427" spans="1:12" ht="15">
      <c r="A1427" s="1622">
        <v>42108</v>
      </c>
      <c r="B1427" s="575" t="s">
        <v>423</v>
      </c>
      <c r="C1427" s="574" t="s">
        <v>19</v>
      </c>
      <c r="D1427" s="328" t="s">
        <v>1394</v>
      </c>
      <c r="E1427" s="572" t="s">
        <v>338</v>
      </c>
      <c r="F1427" s="330">
        <v>500000</v>
      </c>
      <c r="G1427" s="331">
        <v>113.1</v>
      </c>
      <c r="H1427" s="1226">
        <v>0.40560000000000002</v>
      </c>
      <c r="I1427" s="1142">
        <v>565877.78</v>
      </c>
      <c r="J1427" s="355">
        <f t="shared" ref="J1427:J1429" si="24">(G1427-100)*F1427/100</f>
        <v>65499.999999999971</v>
      </c>
      <c r="K1427" s="496">
        <f t="shared" ref="K1427:K1429" si="25">J1427*$K$1186</f>
        <v>510899.99999999977</v>
      </c>
    </row>
    <row r="1428" spans="1:12" ht="15">
      <c r="A1428" s="1622">
        <v>42108</v>
      </c>
      <c r="B1428" s="575" t="s">
        <v>423</v>
      </c>
      <c r="C1428" s="574" t="s">
        <v>19</v>
      </c>
      <c r="D1428" s="328" t="s">
        <v>1394</v>
      </c>
      <c r="E1428" s="572" t="s">
        <v>338</v>
      </c>
      <c r="F1428" s="330">
        <v>9000000</v>
      </c>
      <c r="G1428" s="331">
        <v>113.25</v>
      </c>
      <c r="H1428" s="1226">
        <v>0.13439999999999999</v>
      </c>
      <c r="I1428" s="1142">
        <v>10199300</v>
      </c>
      <c r="J1428" s="355">
        <f t="shared" si="24"/>
        <v>1192500</v>
      </c>
      <c r="K1428" s="496">
        <f t="shared" si="25"/>
        <v>9301500</v>
      </c>
    </row>
    <row r="1429" spans="1:12" ht="15">
      <c r="A1429" s="1622">
        <v>42108</v>
      </c>
      <c r="B1429" s="575" t="s">
        <v>423</v>
      </c>
      <c r="C1429" s="574" t="s">
        <v>19</v>
      </c>
      <c r="D1429" s="328" t="s">
        <v>1394</v>
      </c>
      <c r="E1429" s="572" t="s">
        <v>338</v>
      </c>
      <c r="F1429" s="330">
        <v>1000000</v>
      </c>
      <c r="G1429" s="331">
        <v>113.25</v>
      </c>
      <c r="H1429" s="332">
        <v>0.13439999999999999</v>
      </c>
      <c r="I1429" s="1142">
        <v>1133255.56</v>
      </c>
      <c r="J1429" s="355">
        <f t="shared" si="24"/>
        <v>132500</v>
      </c>
      <c r="K1429" s="496">
        <f t="shared" si="25"/>
        <v>1033500</v>
      </c>
    </row>
    <row r="1430" spans="1:12" ht="15">
      <c r="A1430" s="1622">
        <v>42110</v>
      </c>
      <c r="B1430" s="575" t="s">
        <v>423</v>
      </c>
      <c r="C1430" s="574" t="s">
        <v>19</v>
      </c>
      <c r="D1430" s="328" t="s">
        <v>1394</v>
      </c>
      <c r="E1430" s="572" t="s">
        <v>338</v>
      </c>
      <c r="F1430" s="330">
        <v>5400000</v>
      </c>
      <c r="G1430" s="331">
        <v>113</v>
      </c>
      <c r="H1430" s="332">
        <v>0.13439999999999999</v>
      </c>
      <c r="I1430" s="1142">
        <v>6111180</v>
      </c>
      <c r="J1430" s="355">
        <f t="shared" ref="J1430:J1432" si="26">(G1430-100)*F1430/100</f>
        <v>702000</v>
      </c>
      <c r="K1430" s="496">
        <f t="shared" ref="K1430:K1432" si="27">J1430*$K$1186</f>
        <v>5475600</v>
      </c>
    </row>
    <row r="1431" spans="1:12" ht="15">
      <c r="A1431" s="1622">
        <v>42110</v>
      </c>
      <c r="B1431" s="575" t="s">
        <v>423</v>
      </c>
      <c r="C1431" s="574" t="s">
        <v>19</v>
      </c>
      <c r="D1431" s="328" t="s">
        <v>1394</v>
      </c>
      <c r="E1431" s="572" t="s">
        <v>338</v>
      </c>
      <c r="F1431" s="330">
        <v>600000</v>
      </c>
      <c r="G1431" s="331">
        <v>113</v>
      </c>
      <c r="H1431" s="332">
        <v>0.13439999999999999</v>
      </c>
      <c r="I1431" s="1142">
        <v>679020</v>
      </c>
      <c r="J1431" s="355">
        <f t="shared" si="26"/>
        <v>78000</v>
      </c>
      <c r="K1431" s="496">
        <f t="shared" si="27"/>
        <v>608400</v>
      </c>
    </row>
    <row r="1432" spans="1:12" ht="15">
      <c r="A1432" s="1622">
        <v>42111</v>
      </c>
      <c r="B1432" s="575" t="s">
        <v>423</v>
      </c>
      <c r="C1432" s="574" t="s">
        <v>19</v>
      </c>
      <c r="D1432" s="328" t="s">
        <v>1394</v>
      </c>
      <c r="E1432" s="572" t="s">
        <v>338</v>
      </c>
      <c r="F1432" s="330">
        <v>5400000</v>
      </c>
      <c r="G1432" s="331">
        <v>113</v>
      </c>
      <c r="H1432" s="332">
        <v>0.13439999999999999</v>
      </c>
      <c r="I1432" s="1142">
        <v>6111180</v>
      </c>
      <c r="J1432" s="355">
        <f t="shared" si="26"/>
        <v>702000</v>
      </c>
      <c r="K1432" s="496">
        <f t="shared" si="27"/>
        <v>5475600</v>
      </c>
    </row>
    <row r="1433" spans="1:12" ht="15">
      <c r="A1433" s="1622">
        <v>42111</v>
      </c>
      <c r="B1433" s="575" t="s">
        <v>423</v>
      </c>
      <c r="C1433" s="574" t="s">
        <v>19</v>
      </c>
      <c r="D1433" s="328" t="s">
        <v>1394</v>
      </c>
      <c r="E1433" s="572" t="s">
        <v>338</v>
      </c>
      <c r="F1433" s="330">
        <v>600000</v>
      </c>
      <c r="G1433" s="331">
        <v>113</v>
      </c>
      <c r="H1433" s="332">
        <v>0.13439999999999999</v>
      </c>
      <c r="I1433" s="1142">
        <v>679020</v>
      </c>
      <c r="J1433" s="355">
        <f t="shared" ref="J1433" si="28">(G1433-100)*F1433/100</f>
        <v>78000</v>
      </c>
      <c r="K1433" s="496">
        <f t="shared" ref="K1433" si="29">J1433*$K$1186</f>
        <v>608400</v>
      </c>
    </row>
    <row r="1434" spans="1:12" ht="15">
      <c r="A1434" s="1622">
        <v>42116</v>
      </c>
      <c r="B1434" s="575" t="s">
        <v>423</v>
      </c>
      <c r="C1434" s="574" t="s">
        <v>19</v>
      </c>
      <c r="D1434" s="328" t="s">
        <v>1394</v>
      </c>
      <c r="E1434" s="572" t="s">
        <v>338</v>
      </c>
      <c r="F1434" s="330">
        <v>9000000</v>
      </c>
      <c r="G1434" s="331">
        <v>113.3</v>
      </c>
      <c r="H1434" s="332">
        <v>-0.23910000000000001</v>
      </c>
      <c r="I1434" s="1142">
        <v>10217400</v>
      </c>
      <c r="J1434" s="355">
        <f t="shared" ref="J1434:J1437" si="30">(G1434-100)*F1434/100</f>
        <v>1196999.9999999998</v>
      </c>
      <c r="K1434" s="496">
        <f t="shared" ref="K1434:K1437" si="31">J1434*$K$1186</f>
        <v>9336599.9999999981</v>
      </c>
    </row>
    <row r="1435" spans="1:12" ht="15">
      <c r="A1435" s="1622">
        <v>42116</v>
      </c>
      <c r="B1435" s="575" t="s">
        <v>423</v>
      </c>
      <c r="C1435" s="574" t="s">
        <v>19</v>
      </c>
      <c r="D1435" s="328" t="s">
        <v>1394</v>
      </c>
      <c r="E1435" s="572" t="s">
        <v>338</v>
      </c>
      <c r="F1435" s="330">
        <v>1000000</v>
      </c>
      <c r="G1435" s="331">
        <v>113.3</v>
      </c>
      <c r="H1435" s="332">
        <v>-0.23910000000000001</v>
      </c>
      <c r="I1435" s="1142">
        <v>1135266.67</v>
      </c>
      <c r="J1435" s="355">
        <f t="shared" si="30"/>
        <v>132999.99999999997</v>
      </c>
      <c r="K1435" s="496">
        <f t="shared" si="31"/>
        <v>1037399.9999999998</v>
      </c>
    </row>
    <row r="1436" spans="1:12" ht="15">
      <c r="A1436" s="1622">
        <v>42116</v>
      </c>
      <c r="B1436" s="575" t="s">
        <v>423</v>
      </c>
      <c r="C1436" s="574" t="s">
        <v>19</v>
      </c>
      <c r="D1436" s="328" t="s">
        <v>1394</v>
      </c>
      <c r="E1436" s="572" t="s">
        <v>338</v>
      </c>
      <c r="F1436" s="330">
        <v>4500000</v>
      </c>
      <c r="G1436" s="331">
        <v>113.25</v>
      </c>
      <c r="H1436" s="332">
        <v>-0.14480000000000001</v>
      </c>
      <c r="I1436" s="1142">
        <v>5106450</v>
      </c>
      <c r="J1436" s="355">
        <f t="shared" si="30"/>
        <v>596250</v>
      </c>
      <c r="K1436" s="496">
        <f t="shared" si="31"/>
        <v>4650750</v>
      </c>
    </row>
    <row r="1437" spans="1:12" ht="15">
      <c r="A1437" s="1622">
        <v>42116</v>
      </c>
      <c r="B1437" s="575" t="s">
        <v>423</v>
      </c>
      <c r="C1437" s="574" t="s">
        <v>19</v>
      </c>
      <c r="D1437" s="328" t="s">
        <v>1394</v>
      </c>
      <c r="E1437" s="572" t="s">
        <v>338</v>
      </c>
      <c r="F1437" s="330">
        <v>500000</v>
      </c>
      <c r="G1437" s="331">
        <v>113.25</v>
      </c>
      <c r="H1437" s="332">
        <v>-0.14480000000000001</v>
      </c>
      <c r="I1437" s="1142">
        <v>567383.32999999996</v>
      </c>
      <c r="J1437" s="355">
        <f t="shared" si="30"/>
        <v>66250</v>
      </c>
      <c r="K1437" s="496">
        <f t="shared" si="31"/>
        <v>516750</v>
      </c>
    </row>
    <row r="1438" spans="1:12" ht="15">
      <c r="A1438" s="1622">
        <v>42116</v>
      </c>
      <c r="B1438" s="575" t="s">
        <v>423</v>
      </c>
      <c r="C1438" s="574" t="s">
        <v>19</v>
      </c>
      <c r="D1438" s="328" t="s">
        <v>1394</v>
      </c>
      <c r="E1438" s="572" t="s">
        <v>338</v>
      </c>
      <c r="F1438" s="330">
        <v>1800000</v>
      </c>
      <c r="G1438" s="331">
        <v>113.25</v>
      </c>
      <c r="H1438" s="332">
        <v>-0.14480000000000001</v>
      </c>
      <c r="I1438" s="1142">
        <v>2042580</v>
      </c>
      <c r="J1438" s="355">
        <f t="shared" ref="J1438:J1440" si="32">(G1438-100)*F1438/100</f>
        <v>238500</v>
      </c>
      <c r="K1438" s="496">
        <f t="shared" ref="K1438:K1440" si="33">J1438*$K$1186</f>
        <v>1860300</v>
      </c>
    </row>
    <row r="1439" spans="1:12" ht="15">
      <c r="A1439" s="1622">
        <v>42116</v>
      </c>
      <c r="B1439" s="575" t="s">
        <v>423</v>
      </c>
      <c r="C1439" s="574" t="s">
        <v>19</v>
      </c>
      <c r="D1439" s="328" t="s">
        <v>1394</v>
      </c>
      <c r="E1439" s="572" t="s">
        <v>338</v>
      </c>
      <c r="F1439" s="330">
        <v>200000</v>
      </c>
      <c r="G1439" s="331">
        <v>113.25</v>
      </c>
      <c r="H1439" s="332">
        <v>-0.14480000000000001</v>
      </c>
      <c r="I1439" s="1142">
        <v>226953.33</v>
      </c>
      <c r="J1439" s="355">
        <f t="shared" si="32"/>
        <v>26500</v>
      </c>
      <c r="K1439" s="496">
        <f t="shared" si="33"/>
        <v>206700</v>
      </c>
    </row>
    <row r="1440" spans="1:12" ht="15">
      <c r="A1440" s="1622">
        <v>42116</v>
      </c>
      <c r="B1440" s="575" t="s">
        <v>513</v>
      </c>
      <c r="C1440" s="574" t="s">
        <v>19</v>
      </c>
      <c r="D1440" s="328" t="s">
        <v>1394</v>
      </c>
      <c r="E1440" s="572" t="s">
        <v>338</v>
      </c>
      <c r="F1440" s="330">
        <v>1000000</v>
      </c>
      <c r="G1440" s="331">
        <v>113.2</v>
      </c>
      <c r="H1440" s="332">
        <v>-0.14480000000000001</v>
      </c>
      <c r="I1440" s="1142">
        <v>1134266.67</v>
      </c>
      <c r="J1440" s="355">
        <f t="shared" si="32"/>
        <v>132000.00000000003</v>
      </c>
      <c r="K1440" s="496">
        <f t="shared" si="33"/>
        <v>1029600.0000000002</v>
      </c>
    </row>
    <row r="1441" spans="1:11" ht="15">
      <c r="A1441" s="1622">
        <v>42117</v>
      </c>
      <c r="B1441" s="575" t="s">
        <v>423</v>
      </c>
      <c r="C1441" s="574" t="s">
        <v>19</v>
      </c>
      <c r="D1441" s="328" t="s">
        <v>1394</v>
      </c>
      <c r="E1441" s="572" t="s">
        <v>338</v>
      </c>
      <c r="F1441" s="330">
        <v>9000000</v>
      </c>
      <c r="G1441" s="331">
        <v>113.4</v>
      </c>
      <c r="H1441" s="332">
        <v>-0.54379999999999995</v>
      </c>
      <c r="I1441" s="1142">
        <v>10231500</v>
      </c>
      <c r="J1441" s="355">
        <f t="shared" ref="J1441:J1445" si="34">(G1441-100)*F1441/100</f>
        <v>1206000.0000000005</v>
      </c>
      <c r="K1441" s="496">
        <f t="shared" ref="K1441:K1445" si="35">J1441*$K$1186</f>
        <v>9406800.0000000037</v>
      </c>
    </row>
    <row r="1442" spans="1:11" ht="15">
      <c r="A1442" s="1622">
        <v>42117</v>
      </c>
      <c r="B1442" s="575" t="s">
        <v>423</v>
      </c>
      <c r="C1442" s="574" t="s">
        <v>19</v>
      </c>
      <c r="D1442" s="328" t="s">
        <v>1394</v>
      </c>
      <c r="E1442" s="572" t="s">
        <v>338</v>
      </c>
      <c r="F1442" s="330">
        <v>1000000</v>
      </c>
      <c r="G1442" s="331">
        <v>113.4</v>
      </c>
      <c r="H1442" s="332">
        <v>-0.54379999999999995</v>
      </c>
      <c r="I1442" s="1142">
        <v>1136833.33</v>
      </c>
      <c r="J1442" s="355">
        <f t="shared" si="34"/>
        <v>134000.00000000006</v>
      </c>
      <c r="K1442" s="496">
        <f t="shared" si="35"/>
        <v>1045200.0000000005</v>
      </c>
    </row>
    <row r="1443" spans="1:11" ht="15">
      <c r="A1443" s="1622">
        <v>42117</v>
      </c>
      <c r="B1443" s="575" t="s">
        <v>423</v>
      </c>
      <c r="C1443" s="574" t="s">
        <v>19</v>
      </c>
      <c r="D1443" s="328" t="s">
        <v>1394</v>
      </c>
      <c r="E1443" s="572" t="s">
        <v>338</v>
      </c>
      <c r="F1443" s="330">
        <v>1800000</v>
      </c>
      <c r="G1443" s="331">
        <v>113.5</v>
      </c>
      <c r="H1443" s="332">
        <v>-0.54379999999999995</v>
      </c>
      <c r="I1443" s="1142">
        <v>2048100</v>
      </c>
      <c r="J1443" s="355">
        <f t="shared" si="34"/>
        <v>243000</v>
      </c>
      <c r="K1443" s="496">
        <f t="shared" si="35"/>
        <v>1895400</v>
      </c>
    </row>
    <row r="1444" spans="1:11" ht="15">
      <c r="A1444" s="1622">
        <v>42117</v>
      </c>
      <c r="B1444" s="575" t="s">
        <v>423</v>
      </c>
      <c r="C1444" s="574" t="s">
        <v>19</v>
      </c>
      <c r="D1444" s="328" t="s">
        <v>1394</v>
      </c>
      <c r="E1444" s="572" t="s">
        <v>338</v>
      </c>
      <c r="F1444" s="330">
        <v>200000</v>
      </c>
      <c r="G1444" s="331">
        <v>113.5</v>
      </c>
      <c r="H1444" s="332">
        <v>-0.54379999999999995</v>
      </c>
      <c r="I1444" s="1142">
        <v>227566.67</v>
      </c>
      <c r="J1444" s="355">
        <f t="shared" si="34"/>
        <v>27000</v>
      </c>
      <c r="K1444" s="496">
        <f t="shared" si="35"/>
        <v>210600</v>
      </c>
    </row>
    <row r="1445" spans="1:11" ht="15">
      <c r="A1445" s="1622">
        <v>42117</v>
      </c>
      <c r="B1445" s="575" t="s">
        <v>513</v>
      </c>
      <c r="C1445" s="574" t="s">
        <v>19</v>
      </c>
      <c r="D1445" s="328" t="s">
        <v>1394</v>
      </c>
      <c r="E1445" s="572" t="s">
        <v>338</v>
      </c>
      <c r="F1445" s="330">
        <v>200000</v>
      </c>
      <c r="G1445" s="331">
        <v>113.5</v>
      </c>
      <c r="H1445" s="332">
        <v>-0.54379999999999995</v>
      </c>
      <c r="I1445" s="1142">
        <v>227566.67</v>
      </c>
      <c r="J1445" s="355">
        <f t="shared" si="34"/>
        <v>27000</v>
      </c>
      <c r="K1445" s="496">
        <f t="shared" si="35"/>
        <v>210600</v>
      </c>
    </row>
    <row r="1446" spans="1:11" ht="15">
      <c r="A1446" s="1623">
        <v>42121</v>
      </c>
      <c r="B1446" s="575" t="s">
        <v>423</v>
      </c>
      <c r="C1446" s="574" t="s">
        <v>19</v>
      </c>
      <c r="D1446" s="328" t="s">
        <v>1394</v>
      </c>
      <c r="E1446" s="572" t="s">
        <v>338</v>
      </c>
      <c r="F1446" s="330">
        <v>3600000</v>
      </c>
      <c r="G1446" s="331">
        <v>113</v>
      </c>
      <c r="H1446" s="332">
        <v>0.15379999999999999</v>
      </c>
      <c r="I1446" s="1142">
        <v>4079560</v>
      </c>
      <c r="J1446" s="355">
        <f t="shared" ref="J1446:J1453" si="36">(G1446-100)*F1446/100</f>
        <v>468000</v>
      </c>
      <c r="K1446" s="496">
        <f t="shared" ref="K1446:K1453" si="37">J1446*$K$1186</f>
        <v>3650400</v>
      </c>
    </row>
    <row r="1447" spans="1:11" ht="15">
      <c r="A1447" s="1623">
        <v>42121</v>
      </c>
      <c r="B1447" s="575" t="s">
        <v>423</v>
      </c>
      <c r="C1447" s="574" t="s">
        <v>19</v>
      </c>
      <c r="D1447" s="328" t="s">
        <v>1394</v>
      </c>
      <c r="E1447" s="572" t="s">
        <v>338</v>
      </c>
      <c r="F1447" s="330">
        <v>400000</v>
      </c>
      <c r="G1447" s="331">
        <v>113</v>
      </c>
      <c r="H1447" s="332">
        <v>0.15379999999999999</v>
      </c>
      <c r="I1447" s="1142">
        <v>453284.44</v>
      </c>
      <c r="J1447" s="355">
        <f t="shared" si="36"/>
        <v>52000</v>
      </c>
      <c r="K1447" s="496">
        <f t="shared" si="37"/>
        <v>405600</v>
      </c>
    </row>
    <row r="1448" spans="1:11" ht="15">
      <c r="A1448" s="1623">
        <v>42121</v>
      </c>
      <c r="B1448" s="575" t="s">
        <v>423</v>
      </c>
      <c r="C1448" s="574" t="s">
        <v>19</v>
      </c>
      <c r="D1448" s="328" t="s">
        <v>1394</v>
      </c>
      <c r="E1448" s="572" t="s">
        <v>338</v>
      </c>
      <c r="F1448" s="330">
        <v>3600000</v>
      </c>
      <c r="G1448" s="331">
        <v>113</v>
      </c>
      <c r="H1448" s="332">
        <v>0.15379999999999999</v>
      </c>
      <c r="I1448" s="1142">
        <v>4079560</v>
      </c>
      <c r="J1448" s="355">
        <f t="shared" si="36"/>
        <v>468000</v>
      </c>
      <c r="K1448" s="496">
        <f t="shared" si="37"/>
        <v>3650400</v>
      </c>
    </row>
    <row r="1449" spans="1:11" ht="15">
      <c r="A1449" s="1623">
        <v>42121</v>
      </c>
      <c r="B1449" s="575" t="s">
        <v>423</v>
      </c>
      <c r="C1449" s="574" t="s">
        <v>19</v>
      </c>
      <c r="D1449" s="328" t="s">
        <v>1394</v>
      </c>
      <c r="E1449" s="572" t="s">
        <v>338</v>
      </c>
      <c r="F1449" s="330">
        <v>400000</v>
      </c>
      <c r="G1449" s="331">
        <v>113</v>
      </c>
      <c r="H1449" s="332">
        <v>0.15379999999999999</v>
      </c>
      <c r="I1449" s="1142">
        <v>453284.44</v>
      </c>
      <c r="J1449" s="355">
        <f t="shared" si="36"/>
        <v>52000</v>
      </c>
      <c r="K1449" s="496">
        <f t="shared" si="37"/>
        <v>405600</v>
      </c>
    </row>
    <row r="1450" spans="1:11" ht="15">
      <c r="A1450" s="1623">
        <v>42121</v>
      </c>
      <c r="B1450" s="575" t="s">
        <v>423</v>
      </c>
      <c r="C1450" s="574" t="s">
        <v>19</v>
      </c>
      <c r="D1450" s="328" t="s">
        <v>1394</v>
      </c>
      <c r="E1450" s="572" t="s">
        <v>338</v>
      </c>
      <c r="F1450" s="330">
        <v>1800000</v>
      </c>
      <c r="G1450" s="331">
        <v>113.5</v>
      </c>
      <c r="H1450" s="332">
        <v>0.15379999999999999</v>
      </c>
      <c r="I1450" s="1142">
        <v>2048780</v>
      </c>
      <c r="J1450" s="355">
        <f t="shared" si="36"/>
        <v>243000</v>
      </c>
      <c r="K1450" s="496">
        <f t="shared" si="37"/>
        <v>1895400</v>
      </c>
    </row>
    <row r="1451" spans="1:11" ht="15">
      <c r="A1451" s="1623">
        <v>42121</v>
      </c>
      <c r="B1451" s="575" t="s">
        <v>423</v>
      </c>
      <c r="C1451" s="574" t="s">
        <v>19</v>
      </c>
      <c r="D1451" s="328" t="s">
        <v>1394</v>
      </c>
      <c r="E1451" s="572" t="s">
        <v>338</v>
      </c>
      <c r="F1451" s="330">
        <v>200000</v>
      </c>
      <c r="G1451" s="331">
        <v>113.5</v>
      </c>
      <c r="H1451" s="332">
        <v>0.15379999999999999</v>
      </c>
      <c r="I1451" s="1142">
        <v>227642.22</v>
      </c>
      <c r="J1451" s="355">
        <f t="shared" si="36"/>
        <v>27000</v>
      </c>
      <c r="K1451" s="496">
        <f t="shared" si="37"/>
        <v>210600</v>
      </c>
    </row>
    <row r="1452" spans="1:11" ht="15">
      <c r="A1452" s="1623">
        <v>42121</v>
      </c>
      <c r="B1452" s="575" t="s">
        <v>423</v>
      </c>
      <c r="C1452" s="574" t="s">
        <v>19</v>
      </c>
      <c r="D1452" s="328" t="s">
        <v>1394</v>
      </c>
      <c r="E1452" s="572" t="s">
        <v>338</v>
      </c>
      <c r="F1452" s="330">
        <v>4500000</v>
      </c>
      <c r="G1452" s="331">
        <v>113</v>
      </c>
      <c r="H1452" s="332">
        <v>0.15379999999999999</v>
      </c>
      <c r="I1452" s="1142">
        <v>5099450</v>
      </c>
      <c r="J1452" s="355">
        <f t="shared" si="36"/>
        <v>585000</v>
      </c>
      <c r="K1452" s="496">
        <f t="shared" si="37"/>
        <v>4563000</v>
      </c>
    </row>
    <row r="1453" spans="1:11" ht="15">
      <c r="A1453" s="1623">
        <v>42121</v>
      </c>
      <c r="B1453" s="575" t="s">
        <v>423</v>
      </c>
      <c r="C1453" s="574" t="s">
        <v>19</v>
      </c>
      <c r="D1453" s="328" t="s">
        <v>1394</v>
      </c>
      <c r="E1453" s="572" t="s">
        <v>338</v>
      </c>
      <c r="F1453" s="330">
        <v>500000</v>
      </c>
      <c r="G1453" s="331">
        <v>113</v>
      </c>
      <c r="H1453" s="332">
        <v>0.15379999999999999</v>
      </c>
      <c r="I1453" s="1142">
        <v>566605.56000000006</v>
      </c>
      <c r="J1453" s="355">
        <f t="shared" si="36"/>
        <v>65000</v>
      </c>
      <c r="K1453" s="496">
        <f t="shared" si="37"/>
        <v>507000</v>
      </c>
    </row>
    <row r="1454" spans="1:11" ht="15">
      <c r="A1454" s="1623">
        <v>42122</v>
      </c>
      <c r="B1454" s="575" t="s">
        <v>423</v>
      </c>
      <c r="C1454" s="574" t="s">
        <v>19</v>
      </c>
      <c r="D1454" s="328" t="s">
        <v>1394</v>
      </c>
      <c r="E1454" s="572" t="s">
        <v>338</v>
      </c>
      <c r="F1454" s="330">
        <v>13500000</v>
      </c>
      <c r="G1454" s="331">
        <v>113.15</v>
      </c>
      <c r="H1454" s="332">
        <v>-0.1762</v>
      </c>
      <c r="I1454" s="1142">
        <v>15321150</v>
      </c>
      <c r="J1454" s="355">
        <f t="shared" ref="J1454:J1455" si="38">(G1454-100)*F1454/100</f>
        <v>1775250.0000000009</v>
      </c>
      <c r="K1454" s="496">
        <f t="shared" ref="K1454:K1455" si="39">J1454*$K$1186</f>
        <v>13846950.000000007</v>
      </c>
    </row>
    <row r="1455" spans="1:11" ht="15">
      <c r="A1455" s="1623">
        <v>42122</v>
      </c>
      <c r="B1455" s="575" t="s">
        <v>423</v>
      </c>
      <c r="C1455" s="574" t="s">
        <v>19</v>
      </c>
      <c r="D1455" s="328" t="s">
        <v>1394</v>
      </c>
      <c r="E1455" s="572" t="s">
        <v>338</v>
      </c>
      <c r="F1455" s="330">
        <v>1500000</v>
      </c>
      <c r="G1455" s="331">
        <v>113.15</v>
      </c>
      <c r="H1455" s="332">
        <v>-0.1762</v>
      </c>
      <c r="I1455" s="1142">
        <v>1702350</v>
      </c>
      <c r="J1455" s="355">
        <f t="shared" si="38"/>
        <v>197250.00000000009</v>
      </c>
      <c r="K1455" s="496">
        <f t="shared" si="39"/>
        <v>1538550.0000000007</v>
      </c>
    </row>
    <row r="1456" spans="1:11" ht="15">
      <c r="A1456" s="1623">
        <v>42123</v>
      </c>
      <c r="B1456" s="575" t="s">
        <v>423</v>
      </c>
      <c r="C1456" s="574" t="s">
        <v>19</v>
      </c>
      <c r="D1456" s="328" t="s">
        <v>1394</v>
      </c>
      <c r="E1456" s="572" t="s">
        <v>338</v>
      </c>
      <c r="F1456" s="330">
        <v>14400000</v>
      </c>
      <c r="G1456" s="331">
        <v>113.25</v>
      </c>
      <c r="H1456" s="332">
        <v>-0.41110000000000002</v>
      </c>
      <c r="I1456" s="1142">
        <v>16359680</v>
      </c>
      <c r="J1456" s="355">
        <f t="shared" ref="J1456:J1458" si="40">(G1456-100)*F1456/100</f>
        <v>1908000</v>
      </c>
      <c r="K1456" s="496">
        <f t="shared" ref="K1456:K1458" si="41">J1456*$K$1186</f>
        <v>14882400</v>
      </c>
    </row>
    <row r="1457" spans="1:11" ht="15">
      <c r="A1457" s="1623">
        <v>42123</v>
      </c>
      <c r="B1457" s="575" t="s">
        <v>423</v>
      </c>
      <c r="C1457" s="574" t="s">
        <v>19</v>
      </c>
      <c r="D1457" s="328" t="s">
        <v>1394</v>
      </c>
      <c r="E1457" s="572" t="s">
        <v>338</v>
      </c>
      <c r="F1457" s="330">
        <v>1600000</v>
      </c>
      <c r="G1457" s="331">
        <v>113.25</v>
      </c>
      <c r="H1457" s="332">
        <v>-0.41110000000000002</v>
      </c>
      <c r="I1457" s="1142">
        <v>340826.67</v>
      </c>
      <c r="J1457" s="355">
        <f t="shared" si="40"/>
        <v>212000</v>
      </c>
      <c r="K1457" s="496">
        <f t="shared" si="41"/>
        <v>1653600</v>
      </c>
    </row>
    <row r="1458" spans="1:11" ht="15">
      <c r="A1458" s="1623">
        <v>42123</v>
      </c>
      <c r="B1458" s="575" t="s">
        <v>513</v>
      </c>
      <c r="C1458" s="574" t="s">
        <v>19</v>
      </c>
      <c r="D1458" s="328" t="s">
        <v>1394</v>
      </c>
      <c r="E1458" s="572" t="s">
        <v>338</v>
      </c>
      <c r="F1458" s="330">
        <v>300000</v>
      </c>
      <c r="G1458" s="331">
        <v>113.25</v>
      </c>
      <c r="H1458" s="332">
        <v>-0.41110000000000002</v>
      </c>
      <c r="I1458" s="1142">
        <v>227566.67</v>
      </c>
      <c r="J1458" s="355">
        <f t="shared" si="40"/>
        <v>39750</v>
      </c>
      <c r="K1458" s="496">
        <f t="shared" si="41"/>
        <v>310050</v>
      </c>
    </row>
    <row r="1459" spans="1:11" ht="15">
      <c r="B1459" s="1351"/>
      <c r="C1459" s="574"/>
      <c r="D1459" s="328"/>
      <c r="E1459" s="572"/>
      <c r="F1459" s="330"/>
      <c r="G1459" s="331"/>
      <c r="H1459" s="332"/>
      <c r="I1459" s="1142"/>
      <c r="J1459" s="355"/>
      <c r="K1459" s="496"/>
    </row>
    <row r="1460" spans="1:11" ht="15">
      <c r="B1460" s="1351"/>
      <c r="C1460" s="574"/>
      <c r="D1460" s="328"/>
      <c r="E1460" s="572"/>
      <c r="F1460" s="330"/>
      <c r="G1460" s="331"/>
      <c r="H1460" s="332"/>
      <c r="I1460" s="1142"/>
      <c r="J1460" s="355"/>
      <c r="K1460" s="496">
        <f>SUM(K1426:K1458)</f>
        <v>106538250</v>
      </c>
    </row>
    <row r="1461" spans="1:11" ht="15">
      <c r="B1461" s="1351"/>
      <c r="C1461" s="574"/>
      <c r="D1461" s="328"/>
      <c r="E1461" s="572"/>
      <c r="F1461" s="330"/>
      <c r="G1461" s="331"/>
      <c r="H1461" s="332"/>
      <c r="I1461" s="1142"/>
      <c r="J1461" s="355"/>
      <c r="K1461" s="496"/>
    </row>
    <row r="1462" spans="1:11" ht="15">
      <c r="A1462" s="1348"/>
      <c r="B1462" s="1348"/>
      <c r="C1462" s="335"/>
      <c r="D1462" s="335" t="s">
        <v>702</v>
      </c>
      <c r="E1462" s="336"/>
      <c r="F1462" s="337">
        <f>SUM(F1426:F1461)</f>
        <v>103500000</v>
      </c>
      <c r="G1462" s="1045">
        <f>SUMPRODUCT(F1426:F1461,G1426:G1461)/F1462</f>
        <v>113.19685990338164</v>
      </c>
      <c r="H1462" s="356">
        <f>SUMPRODUCT(F1426:F1461,H1426:H1461)/F1462</f>
        <v>-0.11822115942028985</v>
      </c>
      <c r="J1462" s="355"/>
      <c r="K1462" s="355">
        <f>(K1460*102.5)/103.5</f>
        <v>105508894.92753623</v>
      </c>
    </row>
    <row r="1464" spans="1:11">
      <c r="K1464" s="355">
        <f>K1462-K1460</f>
        <v>-1029355.0724637657</v>
      </c>
    </row>
    <row r="1466" spans="1:11" ht="15">
      <c r="B1466" s="320" t="s">
        <v>770</v>
      </c>
      <c r="C1466" s="321"/>
      <c r="D1466" s="322" t="s">
        <v>566</v>
      </c>
      <c r="E1466" s="323" t="s">
        <v>567</v>
      </c>
      <c r="F1466" s="324" t="s">
        <v>568</v>
      </c>
      <c r="G1466" s="324" t="s">
        <v>701</v>
      </c>
      <c r="H1466" s="325" t="s">
        <v>569</v>
      </c>
      <c r="I1466" s="1504" t="s">
        <v>1391</v>
      </c>
      <c r="J1466" s="355"/>
      <c r="K1466" s="355"/>
    </row>
    <row r="1467" spans="1:11" ht="15">
      <c r="B1467" s="326" t="s">
        <v>423</v>
      </c>
      <c r="C1467" s="358" t="s">
        <v>565</v>
      </c>
      <c r="D1467" s="328" t="s">
        <v>1404</v>
      </c>
      <c r="E1467" s="329" t="s">
        <v>1166</v>
      </c>
      <c r="F1467" s="404">
        <v>1800000000</v>
      </c>
      <c r="G1467" s="331">
        <v>100</v>
      </c>
      <c r="H1467" s="422">
        <v>6.3</v>
      </c>
      <c r="I1467" s="1221">
        <v>1800000000</v>
      </c>
      <c r="J1467" s="355"/>
      <c r="K1467" s="355"/>
    </row>
    <row r="1468" spans="1:11" ht="15">
      <c r="B1468" s="326" t="s">
        <v>423</v>
      </c>
      <c r="C1468" s="405" t="s">
        <v>565</v>
      </c>
      <c r="D1468" s="328" t="s">
        <v>1404</v>
      </c>
      <c r="E1468" s="329" t="s">
        <v>1166</v>
      </c>
      <c r="F1468" s="330">
        <v>200000000</v>
      </c>
      <c r="G1468" s="331">
        <v>100</v>
      </c>
      <c r="H1468" s="422">
        <v>6.3</v>
      </c>
      <c r="I1468" s="1221">
        <v>200000000</v>
      </c>
    </row>
    <row r="1469" spans="1:11" ht="15">
      <c r="B1469" s="326"/>
      <c r="C1469" s="405"/>
      <c r="D1469" s="328"/>
      <c r="E1469" s="329"/>
      <c r="F1469" s="330"/>
      <c r="G1469" s="331"/>
      <c r="H1469" s="332"/>
      <c r="I1469" s="572"/>
      <c r="J1469" s="355"/>
      <c r="K1469" s="355"/>
    </row>
    <row r="1470" spans="1:11" ht="15">
      <c r="B1470" s="334"/>
      <c r="C1470" s="334"/>
      <c r="D1470" s="335" t="s">
        <v>702</v>
      </c>
      <c r="E1470" s="336"/>
      <c r="F1470" s="337">
        <f>SUM(F1467:F1469)</f>
        <v>2000000000</v>
      </c>
      <c r="G1470" s="1045">
        <f>SUMPRODUCT(F1467:F1469,G1467:G1469)/F1470</f>
        <v>100</v>
      </c>
      <c r="H1470" s="356">
        <f>SUMPRODUCT(F1467:F1469,H1467:H1469)/F1470</f>
        <v>6.3</v>
      </c>
      <c r="I1470" s="1135"/>
      <c r="J1470" s="355"/>
      <c r="K1470" s="355"/>
    </row>
    <row r="1480" spans="1:13" s="576" customFormat="1">
      <c r="J1480" s="1444"/>
      <c r="K1480" s="1444"/>
      <c r="M1480" s="1236"/>
    </row>
    <row r="1481" spans="1:13">
      <c r="D1481" t="s">
        <v>1407</v>
      </c>
    </row>
    <row r="1484" spans="1:13" ht="15">
      <c r="A1484" s="1621" t="s">
        <v>1405</v>
      </c>
      <c r="B1484" s="1553" t="s">
        <v>770</v>
      </c>
      <c r="C1484" s="1554"/>
      <c r="D1484" s="322" t="s">
        <v>566</v>
      </c>
      <c r="E1484" s="323" t="s">
        <v>567</v>
      </c>
      <c r="F1484" s="324" t="s">
        <v>568</v>
      </c>
      <c r="G1484" s="324" t="s">
        <v>701</v>
      </c>
      <c r="H1484" s="325" t="s">
        <v>569</v>
      </c>
      <c r="J1484" s="33" t="s">
        <v>1283</v>
      </c>
      <c r="K1484" s="1284">
        <v>7.8</v>
      </c>
    </row>
    <row r="1485" spans="1:13" ht="15">
      <c r="A1485" s="1622" t="s">
        <v>1406</v>
      </c>
      <c r="B1485" s="575" t="s">
        <v>513</v>
      </c>
      <c r="C1485" s="574" t="s">
        <v>19</v>
      </c>
      <c r="D1485" s="328" t="s">
        <v>1394</v>
      </c>
      <c r="E1485" s="572" t="s">
        <v>338</v>
      </c>
      <c r="F1485" s="330">
        <v>1000000</v>
      </c>
      <c r="G1485" s="331">
        <v>108</v>
      </c>
      <c r="H1485" s="1226">
        <v>0.40560000000000002</v>
      </c>
      <c r="I1485" s="1142">
        <v>1100022.22</v>
      </c>
      <c r="J1485" s="355">
        <f>(G1485-100)*F1485/100</f>
        <v>80000</v>
      </c>
      <c r="K1485" s="496">
        <f>J1485*$K$1186</f>
        <v>624000</v>
      </c>
      <c r="L1485" s="1249"/>
    </row>
    <row r="1486" spans="1:13" ht="15">
      <c r="B1486" s="1351"/>
      <c r="C1486" s="574"/>
      <c r="D1486" s="328"/>
      <c r="E1486" s="572"/>
      <c r="F1486" s="330"/>
      <c r="G1486" s="331"/>
      <c r="H1486" s="332"/>
      <c r="I1486" s="1142"/>
      <c r="J1486" s="355"/>
      <c r="K1486" s="496"/>
    </row>
    <row r="1487" spans="1:13" ht="15">
      <c r="B1487" s="1351"/>
      <c r="C1487" s="574"/>
      <c r="D1487" s="328"/>
      <c r="E1487" s="572"/>
      <c r="F1487" s="330"/>
      <c r="G1487" s="331"/>
      <c r="H1487" s="332"/>
      <c r="I1487" s="1142"/>
      <c r="J1487" s="355"/>
      <c r="K1487" s="496"/>
    </row>
    <row r="1488" spans="1:13" ht="15">
      <c r="A1488" s="1348"/>
      <c r="B1488" s="1348"/>
      <c r="C1488" s="335"/>
      <c r="D1488" s="335" t="s">
        <v>702</v>
      </c>
      <c r="E1488" s="336"/>
      <c r="F1488" s="337">
        <f>SUM(F1485:F1487)</f>
        <v>1000000</v>
      </c>
      <c r="G1488" s="1045">
        <f>SUMPRODUCT(F1485:F1487,G1485:G1487)/F1488</f>
        <v>108</v>
      </c>
      <c r="H1488" s="356">
        <f>SUMPRODUCT(F1485:F1487,H1485:H1487)/F1488</f>
        <v>0.40560000000000002</v>
      </c>
      <c r="J1488" s="355"/>
      <c r="K1488" s="355">
        <f>(K1486*102.5)/103.5</f>
        <v>0</v>
      </c>
    </row>
    <row r="1492" spans="2:13" ht="15">
      <c r="B1492" s="320" t="s">
        <v>770</v>
      </c>
      <c r="C1492" s="321"/>
      <c r="D1492" s="322" t="s">
        <v>566</v>
      </c>
      <c r="E1492" s="323" t="s">
        <v>567</v>
      </c>
      <c r="F1492" s="324" t="s">
        <v>568</v>
      </c>
      <c r="G1492" s="324" t="s">
        <v>701</v>
      </c>
      <c r="H1492" s="325" t="s">
        <v>569</v>
      </c>
      <c r="I1492" s="1504" t="s">
        <v>1391</v>
      </c>
      <c r="J1492" s="355"/>
      <c r="K1492" s="355"/>
    </row>
    <row r="1493" spans="2:13" ht="15">
      <c r="B1493" s="326" t="s">
        <v>423</v>
      </c>
      <c r="C1493" s="358" t="s">
        <v>565</v>
      </c>
      <c r="D1493" s="328" t="s">
        <v>1409</v>
      </c>
      <c r="E1493" s="329" t="s">
        <v>338</v>
      </c>
      <c r="F1493" s="404">
        <v>270000000</v>
      </c>
      <c r="G1493" s="331">
        <v>99.575999999999993</v>
      </c>
      <c r="H1493" s="422">
        <v>6.05</v>
      </c>
      <c r="I1493" s="1221">
        <v>269485200</v>
      </c>
      <c r="J1493" s="355"/>
      <c r="K1493" s="355"/>
    </row>
    <row r="1494" spans="2:13" ht="15">
      <c r="B1494" s="326" t="s">
        <v>423</v>
      </c>
      <c r="C1494" s="405" t="s">
        <v>565</v>
      </c>
      <c r="D1494" s="328" t="s">
        <v>1409</v>
      </c>
      <c r="E1494" s="329" t="s">
        <v>338</v>
      </c>
      <c r="F1494" s="330">
        <v>30000000</v>
      </c>
      <c r="G1494" s="331">
        <v>99.575999999999993</v>
      </c>
      <c r="H1494" s="332">
        <v>6.05</v>
      </c>
      <c r="I1494" s="1221">
        <v>29942800</v>
      </c>
    </row>
    <row r="1495" spans="2:13" ht="15">
      <c r="B1495" s="326"/>
      <c r="C1495" s="405"/>
      <c r="D1495" s="328"/>
      <c r="E1495" s="329"/>
      <c r="F1495" s="330"/>
      <c r="G1495" s="331"/>
      <c r="H1495" s="332"/>
      <c r="I1495" s="572"/>
      <c r="J1495" s="355"/>
      <c r="K1495" s="355"/>
    </row>
    <row r="1496" spans="2:13" ht="15">
      <c r="B1496" s="334"/>
      <c r="C1496" s="334"/>
      <c r="D1496" s="335" t="s">
        <v>702</v>
      </c>
      <c r="E1496" s="336"/>
      <c r="F1496" s="337">
        <f>SUM(F1493:F1495)</f>
        <v>300000000</v>
      </c>
      <c r="G1496" s="1045">
        <f>SUMPRODUCT(F1493:F1495,G1493:G1495)/F1496</f>
        <v>99.575999999999993</v>
      </c>
      <c r="H1496" s="356">
        <f>SUMPRODUCT(F1493:F1495,H1493:H1495)/F1496</f>
        <v>6.05</v>
      </c>
      <c r="I1496" s="1135"/>
      <c r="J1496" s="355"/>
      <c r="K1496" s="355"/>
    </row>
    <row r="1500" spans="2:13" s="1680" customFormat="1">
      <c r="M1500" s="1681"/>
    </row>
    <row r="1503" spans="2:13">
      <c r="D1503" t="s">
        <v>1417</v>
      </c>
    </row>
    <row r="1508" spans="2:11" ht="15">
      <c r="B1508" s="320" t="s">
        <v>770</v>
      </c>
      <c r="C1508" s="321"/>
      <c r="D1508" s="322" t="s">
        <v>566</v>
      </c>
      <c r="E1508" s="323" t="s">
        <v>567</v>
      </c>
      <c r="F1508" s="324" t="s">
        <v>568</v>
      </c>
      <c r="G1508" s="324" t="s">
        <v>701</v>
      </c>
      <c r="H1508" s="325" t="s">
        <v>569</v>
      </c>
      <c r="I1508" s="1504" t="s">
        <v>1391</v>
      </c>
      <c r="J1508" s="355"/>
      <c r="K1508" s="355" t="s">
        <v>1414</v>
      </c>
    </row>
    <row r="1509" spans="2:11" ht="15">
      <c r="B1509" s="326" t="s">
        <v>423</v>
      </c>
      <c r="C1509" s="358" t="s">
        <v>565</v>
      </c>
      <c r="D1509" s="355" t="s">
        <v>1414</v>
      </c>
      <c r="E1509" s="329" t="s">
        <v>338</v>
      </c>
      <c r="F1509" s="404">
        <v>63000000</v>
      </c>
      <c r="G1509" s="331">
        <v>100</v>
      </c>
      <c r="H1509" s="422">
        <v>6.25</v>
      </c>
      <c r="I1509" s="1221">
        <v>63000000</v>
      </c>
      <c r="J1509" s="355"/>
      <c r="K1509" s="355" t="s">
        <v>1415</v>
      </c>
    </row>
    <row r="1510" spans="2:11" ht="15">
      <c r="B1510" s="326" t="s">
        <v>423</v>
      </c>
      <c r="C1510" s="405" t="s">
        <v>565</v>
      </c>
      <c r="D1510" s="355" t="s">
        <v>1414</v>
      </c>
      <c r="E1510" s="329" t="s">
        <v>338</v>
      </c>
      <c r="F1510" s="330">
        <v>7000000</v>
      </c>
      <c r="G1510" s="331">
        <v>100</v>
      </c>
      <c r="H1510" s="332">
        <v>6.25</v>
      </c>
      <c r="I1510" s="1221">
        <v>7000000</v>
      </c>
    </row>
    <row r="1511" spans="2:11" ht="15">
      <c r="B1511" s="326"/>
      <c r="C1511" s="405"/>
      <c r="D1511" s="328"/>
      <c r="E1511" s="329"/>
      <c r="F1511" s="330"/>
      <c r="G1511" s="331"/>
      <c r="H1511" s="332"/>
      <c r="I1511" s="572"/>
      <c r="J1511" s="355"/>
      <c r="K1511" s="355"/>
    </row>
    <row r="1512" spans="2:11" ht="15">
      <c r="B1512" s="334"/>
      <c r="C1512" s="334"/>
      <c r="D1512" s="335" t="s">
        <v>702</v>
      </c>
      <c r="E1512" s="336"/>
      <c r="F1512" s="337">
        <f>SUM(F1509:F1511)</f>
        <v>70000000</v>
      </c>
      <c r="G1512" s="1045">
        <f>SUMPRODUCT(F1509:F1511,G1509:G1511)/F1512</f>
        <v>100</v>
      </c>
      <c r="H1512" s="356">
        <f>SUMPRODUCT(F1509:F1511,H1509:H1511)/F1512</f>
        <v>6.25</v>
      </c>
      <c r="I1512" s="1135"/>
      <c r="J1512" s="355"/>
      <c r="K1512" s="355"/>
    </row>
    <row r="1515" spans="2:11" ht="15">
      <c r="B1515" s="320" t="s">
        <v>770</v>
      </c>
      <c r="C1515" s="321"/>
      <c r="D1515" s="322" t="s">
        <v>566</v>
      </c>
      <c r="E1515" s="323" t="s">
        <v>567</v>
      </c>
      <c r="F1515" s="324" t="s">
        <v>568</v>
      </c>
      <c r="G1515" s="324" t="s">
        <v>701</v>
      </c>
      <c r="H1515" s="325" t="s">
        <v>569</v>
      </c>
      <c r="I1515" s="1504" t="s">
        <v>1391</v>
      </c>
      <c r="J1515" s="355"/>
      <c r="K1515" s="355"/>
    </row>
    <row r="1516" spans="2:11" ht="15">
      <c r="B1516" s="326" t="s">
        <v>423</v>
      </c>
      <c r="C1516" s="358" t="s">
        <v>565</v>
      </c>
      <c r="D1516" s="355" t="s">
        <v>1415</v>
      </c>
      <c r="E1516" s="329" t="s">
        <v>338</v>
      </c>
      <c r="F1516" s="404">
        <v>199180000</v>
      </c>
      <c r="G1516" s="331">
        <v>100</v>
      </c>
      <c r="H1516" s="422">
        <v>6.75</v>
      </c>
      <c r="I1516" s="1221">
        <v>199180000</v>
      </c>
      <c r="J1516" s="355"/>
      <c r="K1516" s="355"/>
    </row>
    <row r="1517" spans="2:11" ht="15">
      <c r="B1517" s="326" t="s">
        <v>423</v>
      </c>
      <c r="C1517" s="405" t="s">
        <v>565</v>
      </c>
      <c r="D1517" s="355" t="s">
        <v>1415</v>
      </c>
      <c r="E1517" s="329" t="s">
        <v>338</v>
      </c>
      <c r="F1517" s="330">
        <v>22131000</v>
      </c>
      <c r="G1517" s="331">
        <v>100</v>
      </c>
      <c r="H1517" s="332">
        <v>6.75</v>
      </c>
      <c r="I1517" s="1221">
        <v>22131000</v>
      </c>
    </row>
    <row r="1518" spans="2:11" ht="15">
      <c r="B1518" s="326"/>
      <c r="C1518" s="405"/>
      <c r="D1518" s="328"/>
      <c r="E1518" s="329"/>
      <c r="F1518" s="330"/>
      <c r="G1518" s="331"/>
      <c r="H1518" s="332"/>
      <c r="I1518" s="572"/>
      <c r="J1518" s="355"/>
      <c r="K1518" s="355"/>
    </row>
    <row r="1519" spans="2:11" ht="15">
      <c r="B1519" s="334"/>
      <c r="C1519" s="334"/>
      <c r="D1519" s="335" t="s">
        <v>702</v>
      </c>
      <c r="E1519" s="336"/>
      <c r="F1519" s="337">
        <f>SUM(F1516:F1518)</f>
        <v>221311000</v>
      </c>
      <c r="G1519" s="1045">
        <f>SUMPRODUCT(F1516:F1518,G1516:G1518)/F1519</f>
        <v>100</v>
      </c>
      <c r="H1519" s="356">
        <f>SUMPRODUCT(F1516:F1518,H1516:H1518)/F1519</f>
        <v>6.75</v>
      </c>
      <c r="I1519" s="1135"/>
      <c r="J1519" s="355"/>
      <c r="K1519" s="355"/>
    </row>
    <row r="1522" spans="2:14" ht="15">
      <c r="B1522" s="320" t="s">
        <v>770</v>
      </c>
      <c r="C1522" s="321"/>
      <c r="D1522" s="322" t="s">
        <v>566</v>
      </c>
      <c r="E1522" s="323" t="s">
        <v>567</v>
      </c>
      <c r="F1522" s="324" t="s">
        <v>568</v>
      </c>
      <c r="G1522" s="324" t="s">
        <v>701</v>
      </c>
      <c r="H1522" s="325" t="s">
        <v>569</v>
      </c>
      <c r="I1522" s="1504" t="s">
        <v>1391</v>
      </c>
      <c r="J1522" s="355"/>
      <c r="K1522" s="355" t="s">
        <v>1411</v>
      </c>
      <c r="L1522">
        <v>47880000</v>
      </c>
      <c r="M1522" s="1142">
        <v>99.74</v>
      </c>
      <c r="N1522">
        <v>5.875</v>
      </c>
    </row>
    <row r="1523" spans="2:14" ht="15">
      <c r="B1523" s="326" t="s">
        <v>423</v>
      </c>
      <c r="C1523" s="358" t="s">
        <v>565</v>
      </c>
      <c r="D1523" s="355" t="s">
        <v>1411</v>
      </c>
      <c r="E1523" s="329" t="s">
        <v>338</v>
      </c>
      <c r="F1523" s="404">
        <v>47880000</v>
      </c>
      <c r="G1523" s="331">
        <v>99.74</v>
      </c>
      <c r="H1523" s="422">
        <v>5.875</v>
      </c>
      <c r="I1523" s="1221">
        <v>47755512</v>
      </c>
      <c r="J1523" s="355"/>
      <c r="K1523" s="355" t="s">
        <v>1411</v>
      </c>
      <c r="L1523">
        <v>5320000</v>
      </c>
      <c r="M1523" s="1142">
        <v>99.74</v>
      </c>
      <c r="N1523">
        <v>5.875</v>
      </c>
    </row>
    <row r="1524" spans="2:14" ht="15">
      <c r="B1524" s="326" t="s">
        <v>423</v>
      </c>
      <c r="C1524" s="405" t="s">
        <v>565</v>
      </c>
      <c r="D1524" s="355" t="s">
        <v>1411</v>
      </c>
      <c r="E1524" s="329" t="s">
        <v>338</v>
      </c>
      <c r="F1524" s="330">
        <v>5320000</v>
      </c>
      <c r="G1524" s="331">
        <v>99.74</v>
      </c>
      <c r="H1524" s="332">
        <v>5.875</v>
      </c>
      <c r="I1524" s="1221">
        <v>5306168</v>
      </c>
    </row>
    <row r="1525" spans="2:14" ht="15">
      <c r="B1525" s="326"/>
      <c r="C1525" s="405"/>
      <c r="D1525" s="328"/>
      <c r="E1525" s="329"/>
      <c r="F1525" s="330"/>
      <c r="G1525" s="331"/>
      <c r="H1525" s="332"/>
      <c r="I1525" s="572"/>
      <c r="J1525" s="355"/>
      <c r="K1525" s="355"/>
    </row>
    <row r="1526" spans="2:14" ht="15">
      <c r="B1526" s="334"/>
      <c r="C1526" s="334"/>
      <c r="D1526" s="335" t="s">
        <v>702</v>
      </c>
      <c r="E1526" s="336"/>
      <c r="F1526" s="337">
        <f>SUM(F1523:F1525)</f>
        <v>53200000</v>
      </c>
      <c r="G1526" s="1045">
        <f>SUMPRODUCT(F1523:F1525,G1523:G1525)/F1526</f>
        <v>99.74</v>
      </c>
      <c r="H1526" s="356">
        <f>SUMPRODUCT(F1523:F1525,H1523:H1525)/F1526</f>
        <v>5.875</v>
      </c>
      <c r="I1526" s="1135"/>
      <c r="J1526" s="355"/>
      <c r="K1526" s="355"/>
    </row>
    <row r="1531" spans="2:14" s="1680" customFormat="1">
      <c r="M1531" s="1681"/>
    </row>
    <row r="1534" spans="2:14">
      <c r="D1534" t="s">
        <v>1464</v>
      </c>
    </row>
    <row r="1537" spans="2:11" ht="15">
      <c r="B1537" s="320" t="s">
        <v>770</v>
      </c>
      <c r="C1537" s="321"/>
      <c r="D1537" s="322" t="s">
        <v>566</v>
      </c>
      <c r="E1537" s="323" t="s">
        <v>567</v>
      </c>
      <c r="F1537" s="324" t="s">
        <v>568</v>
      </c>
      <c r="G1537" s="324" t="s">
        <v>701</v>
      </c>
      <c r="H1537" s="325" t="s">
        <v>569</v>
      </c>
      <c r="I1537" s="1504" t="s">
        <v>1391</v>
      </c>
      <c r="J1537" s="355"/>
      <c r="K1537" s="355"/>
    </row>
    <row r="1538" spans="2:11" ht="15">
      <c r="B1538" s="326" t="s">
        <v>423</v>
      </c>
      <c r="C1538" s="358" t="s">
        <v>565</v>
      </c>
      <c r="D1538" s="355" t="s">
        <v>1419</v>
      </c>
      <c r="E1538" s="329" t="s">
        <v>338</v>
      </c>
      <c r="F1538" s="404">
        <v>270000000</v>
      </c>
      <c r="G1538" s="331">
        <v>100</v>
      </c>
      <c r="H1538" s="422">
        <v>6.1</v>
      </c>
      <c r="I1538" s="1221">
        <v>270000000</v>
      </c>
      <c r="J1538" s="355"/>
      <c r="K1538" s="355"/>
    </row>
    <row r="1539" spans="2:11" ht="15">
      <c r="B1539" s="326" t="s">
        <v>423</v>
      </c>
      <c r="C1539" s="405" t="s">
        <v>565</v>
      </c>
      <c r="D1539" s="355" t="s">
        <v>1419</v>
      </c>
      <c r="E1539" s="329" t="s">
        <v>338</v>
      </c>
      <c r="F1539" s="330">
        <v>30000000</v>
      </c>
      <c r="G1539" s="331">
        <v>100</v>
      </c>
      <c r="H1539" s="332">
        <v>6.1</v>
      </c>
      <c r="I1539" s="1221">
        <v>30000000</v>
      </c>
    </row>
    <row r="1540" spans="2:11" ht="15">
      <c r="B1540" s="326"/>
      <c r="C1540" s="405"/>
      <c r="D1540" s="328"/>
      <c r="E1540" s="329"/>
      <c r="F1540" s="330"/>
      <c r="G1540" s="331"/>
      <c r="H1540" s="332"/>
      <c r="I1540" s="572"/>
      <c r="J1540" s="355"/>
      <c r="K1540" s="355"/>
    </row>
    <row r="1541" spans="2:11" ht="15">
      <c r="B1541" s="334"/>
      <c r="C1541" s="334"/>
      <c r="D1541" s="335" t="s">
        <v>702</v>
      </c>
      <c r="E1541" s="336"/>
      <c r="F1541" s="337">
        <f>SUM(F1538:F1540)</f>
        <v>300000000</v>
      </c>
      <c r="G1541" s="1045">
        <f>SUMPRODUCT(F1538:F1540,G1538:G1540)/F1541</f>
        <v>100</v>
      </c>
      <c r="H1541" s="356">
        <f>SUMPRODUCT(F1538:F1540,H1538:H1540)/F1541</f>
        <v>6.1</v>
      </c>
      <c r="I1541" s="1135"/>
      <c r="J1541" s="355"/>
      <c r="K1541" s="355"/>
    </row>
    <row r="1544" spans="2:11" ht="15">
      <c r="B1544" s="320" t="s">
        <v>770</v>
      </c>
      <c r="C1544" s="321"/>
      <c r="D1544" s="322" t="s">
        <v>566</v>
      </c>
      <c r="E1544" s="323" t="s">
        <v>567</v>
      </c>
      <c r="F1544" s="324" t="s">
        <v>568</v>
      </c>
      <c r="G1544" s="324" t="s">
        <v>701</v>
      </c>
      <c r="H1544" s="325" t="s">
        <v>569</v>
      </c>
      <c r="I1544" s="1504" t="s">
        <v>1391</v>
      </c>
      <c r="J1544" s="355"/>
      <c r="K1544" s="355"/>
    </row>
    <row r="1545" spans="2:11" ht="15">
      <c r="B1545" s="326" t="s">
        <v>423</v>
      </c>
      <c r="C1545" s="358" t="s">
        <v>565</v>
      </c>
      <c r="D1545" s="355" t="s">
        <v>1430</v>
      </c>
      <c r="E1545" s="329" t="s">
        <v>338</v>
      </c>
      <c r="F1545" s="404">
        <v>180000000</v>
      </c>
      <c r="G1545" s="331">
        <v>100</v>
      </c>
      <c r="H1545" s="422">
        <v>6.25</v>
      </c>
      <c r="I1545" s="1221">
        <v>180000000</v>
      </c>
      <c r="J1545" s="355"/>
      <c r="K1545" s="355"/>
    </row>
    <row r="1546" spans="2:11" ht="15">
      <c r="B1546" s="326" t="s">
        <v>423</v>
      </c>
      <c r="C1546" s="405" t="s">
        <v>565</v>
      </c>
      <c r="D1546" s="355" t="s">
        <v>1431</v>
      </c>
      <c r="E1546" s="329" t="s">
        <v>338</v>
      </c>
      <c r="F1546" s="330">
        <v>20000000</v>
      </c>
      <c r="G1546" s="331">
        <v>100</v>
      </c>
      <c r="H1546" s="332">
        <v>6.25</v>
      </c>
      <c r="I1546" s="1221">
        <v>20000000</v>
      </c>
      <c r="J1546" s="355"/>
      <c r="K1546" s="355"/>
    </row>
    <row r="1547" spans="2:11" ht="15">
      <c r="B1547" s="326" t="s">
        <v>423</v>
      </c>
      <c r="C1547" s="405" t="s">
        <v>565</v>
      </c>
      <c r="D1547" s="355" t="s">
        <v>1432</v>
      </c>
      <c r="E1547" s="329" t="s">
        <v>338</v>
      </c>
      <c r="F1547" s="330">
        <v>180000000</v>
      </c>
      <c r="G1547" s="331">
        <v>100</v>
      </c>
      <c r="H1547" s="332">
        <v>6.25</v>
      </c>
      <c r="I1547" s="1221">
        <v>180000000</v>
      </c>
      <c r="J1547" s="355"/>
      <c r="K1547" s="355"/>
    </row>
    <row r="1548" spans="2:11" ht="15">
      <c r="B1548" s="326" t="s">
        <v>423</v>
      </c>
      <c r="C1548" s="405" t="s">
        <v>565</v>
      </c>
      <c r="D1548" s="355" t="s">
        <v>1432</v>
      </c>
      <c r="E1548" s="329" t="s">
        <v>338</v>
      </c>
      <c r="F1548" s="330">
        <v>20000000</v>
      </c>
      <c r="G1548" s="331">
        <v>100</v>
      </c>
      <c r="H1548" s="332">
        <v>6.25</v>
      </c>
      <c r="I1548" s="1221">
        <v>20000000</v>
      </c>
    </row>
    <row r="1549" spans="2:11" ht="15">
      <c r="B1549" s="326"/>
      <c r="C1549" s="405"/>
      <c r="D1549" s="328"/>
      <c r="E1549" s="329"/>
      <c r="F1549" s="330"/>
      <c r="G1549" s="331"/>
      <c r="H1549" s="332"/>
      <c r="I1549" s="572"/>
      <c r="J1549" s="355"/>
      <c r="K1549" s="355"/>
    </row>
    <row r="1550" spans="2:11" ht="15">
      <c r="B1550" s="334"/>
      <c r="C1550" s="334"/>
      <c r="D1550" s="335" t="s">
        <v>702</v>
      </c>
      <c r="E1550" s="336"/>
      <c r="F1550" s="337">
        <f>SUM(F1545:F1549)</f>
        <v>400000000</v>
      </c>
      <c r="G1550" s="1045">
        <f>SUMPRODUCT(F1545:F1549,G1545:G1549)/F1550</f>
        <v>100</v>
      </c>
      <c r="H1550" s="356">
        <f>SUMPRODUCT(F1545:F1549,H1545:H1549)/F1550</f>
        <v>6.25</v>
      </c>
      <c r="I1550" s="1135"/>
      <c r="J1550" s="355"/>
      <c r="K1550" s="355"/>
    </row>
    <row r="1553" spans="2:13" ht="15">
      <c r="B1553" s="320" t="s">
        <v>770</v>
      </c>
      <c r="C1553" s="321"/>
      <c r="D1553" s="322" t="s">
        <v>566</v>
      </c>
      <c r="E1553" s="323" t="s">
        <v>567</v>
      </c>
      <c r="F1553" s="324" t="s">
        <v>568</v>
      </c>
      <c r="G1553" s="324" t="s">
        <v>701</v>
      </c>
      <c r="H1553" s="325" t="s">
        <v>569</v>
      </c>
      <c r="I1553" s="1504" t="s">
        <v>1391</v>
      </c>
      <c r="J1553" s="355"/>
      <c r="K1553" s="355"/>
    </row>
    <row r="1554" spans="2:13" ht="15">
      <c r="B1554" s="326" t="s">
        <v>423</v>
      </c>
      <c r="C1554" s="358" t="s">
        <v>565</v>
      </c>
      <c r="D1554" s="355" t="s">
        <v>1460</v>
      </c>
      <c r="E1554" s="329" t="s">
        <v>338</v>
      </c>
      <c r="F1554" s="404">
        <v>360000000</v>
      </c>
      <c r="G1554" s="331">
        <v>100</v>
      </c>
      <c r="H1554" s="422">
        <v>6.1</v>
      </c>
      <c r="I1554" s="1221">
        <v>360000000</v>
      </c>
      <c r="J1554" s="355"/>
      <c r="K1554" s="355"/>
    </row>
    <row r="1555" spans="2:13" ht="15">
      <c r="B1555" s="326" t="s">
        <v>423</v>
      </c>
      <c r="C1555" s="405" t="s">
        <v>565</v>
      </c>
      <c r="D1555" s="355" t="s">
        <v>1460</v>
      </c>
      <c r="E1555" s="329" t="s">
        <v>338</v>
      </c>
      <c r="F1555" s="330">
        <v>40000000</v>
      </c>
      <c r="G1555" s="331">
        <v>100</v>
      </c>
      <c r="H1555" s="332">
        <v>6.1</v>
      </c>
      <c r="I1555" s="1221">
        <v>40000000</v>
      </c>
    </row>
    <row r="1556" spans="2:13" ht="15">
      <c r="B1556" s="326"/>
      <c r="C1556" s="405"/>
      <c r="D1556" s="328"/>
      <c r="E1556" s="329"/>
      <c r="F1556" s="330"/>
      <c r="G1556" s="331"/>
      <c r="H1556" s="332"/>
      <c r="I1556" s="572"/>
      <c r="J1556" s="355"/>
      <c r="K1556" s="355"/>
    </row>
    <row r="1557" spans="2:13" ht="15">
      <c r="B1557" s="334"/>
      <c r="C1557" s="334"/>
      <c r="D1557" s="335" t="s">
        <v>702</v>
      </c>
      <c r="E1557" s="336"/>
      <c r="F1557" s="337">
        <f>SUM(F1554:F1556)</f>
        <v>400000000</v>
      </c>
      <c r="G1557" s="1045">
        <f>SUMPRODUCT(F1554:F1556,G1554:G1556)/F1557</f>
        <v>100</v>
      </c>
      <c r="H1557" s="356">
        <f>SUMPRODUCT(F1554:F1556,H1554:H1556)/F1557</f>
        <v>6.1</v>
      </c>
      <c r="I1557" s="1135"/>
      <c r="J1557" s="355"/>
      <c r="K1557" s="355"/>
    </row>
    <row r="1560" spans="2:13" s="1680" customFormat="1">
      <c r="M1560" s="1681"/>
    </row>
    <row r="1561" spans="2:13">
      <c r="D1561" t="s">
        <v>1497</v>
      </c>
      <c r="M1561" s="1722"/>
    </row>
    <row r="1562" spans="2:13">
      <c r="M1562" s="1722"/>
    </row>
    <row r="1563" spans="2:13">
      <c r="M1563" s="1722"/>
    </row>
    <row r="1564" spans="2:13" ht="15">
      <c r="B1564" s="320" t="s">
        <v>1498</v>
      </c>
      <c r="C1564" s="321"/>
      <c r="D1564" s="322" t="s">
        <v>566</v>
      </c>
      <c r="E1564" s="323" t="s">
        <v>567</v>
      </c>
      <c r="F1564" s="324" t="s">
        <v>568</v>
      </c>
      <c r="G1564" s="324" t="s">
        <v>701</v>
      </c>
      <c r="H1564" s="325" t="s">
        <v>569</v>
      </c>
      <c r="I1564" s="1723" t="s">
        <v>1391</v>
      </c>
      <c r="J1564" s="355"/>
      <c r="K1564" s="355"/>
      <c r="M1564" s="1722"/>
    </row>
    <row r="1565" spans="2:13" ht="15">
      <c r="B1565" s="326" t="s">
        <v>423</v>
      </c>
      <c r="C1565" s="358" t="s">
        <v>565</v>
      </c>
      <c r="D1565" s="355" t="s">
        <v>1483</v>
      </c>
      <c r="E1565" s="329" t="s">
        <v>338</v>
      </c>
      <c r="F1565" s="404">
        <v>360000000</v>
      </c>
      <c r="G1565" s="331">
        <v>98.933999999999997</v>
      </c>
      <c r="H1565" s="422">
        <v>5.9999000000000002</v>
      </c>
      <c r="I1565" s="1724">
        <v>356162400</v>
      </c>
      <c r="J1565" s="355"/>
      <c r="K1565" s="355"/>
      <c r="M1565" s="1722"/>
    </row>
    <row r="1566" spans="2:13" ht="15">
      <c r="B1566" s="326" t="s">
        <v>423</v>
      </c>
      <c r="C1566" s="405" t="s">
        <v>565</v>
      </c>
      <c r="D1566" s="355" t="s">
        <v>1483</v>
      </c>
      <c r="E1566" s="329" t="s">
        <v>338</v>
      </c>
      <c r="F1566" s="330">
        <v>40000000</v>
      </c>
      <c r="G1566" s="331">
        <v>98.933999999999997</v>
      </c>
      <c r="H1566" s="332">
        <v>5.9999000000000002</v>
      </c>
      <c r="I1566" s="1724">
        <v>39573600</v>
      </c>
      <c r="M1566" s="1722"/>
    </row>
    <row r="1567" spans="2:13" ht="15">
      <c r="B1567" s="326"/>
      <c r="C1567" s="405"/>
      <c r="D1567" s="328"/>
      <c r="E1567" s="329"/>
      <c r="F1567" s="330"/>
      <c r="G1567" s="331"/>
      <c r="H1567" s="332"/>
      <c r="I1567" s="572"/>
      <c r="J1567" s="355"/>
      <c r="K1567" s="355"/>
      <c r="M1567" s="1722"/>
    </row>
    <row r="1568" spans="2:13" ht="15">
      <c r="B1568" s="334"/>
      <c r="C1568" s="334"/>
      <c r="D1568" s="335" t="s">
        <v>702</v>
      </c>
      <c r="E1568" s="336"/>
      <c r="F1568" s="337">
        <f>SUM(F1565:F1567)</f>
        <v>400000000</v>
      </c>
      <c r="G1568" s="1045">
        <f>SUMPRODUCT(F1565:F1567,G1565:G1567)/F1568</f>
        <v>98.933999999999997</v>
      </c>
      <c r="H1568" s="356">
        <f>SUMPRODUCT(F1565:F1567,H1565:H1567)/F1568</f>
        <v>5.9999000000000002</v>
      </c>
      <c r="I1568" s="1135"/>
      <c r="J1568" s="355"/>
      <c r="K1568" s="355"/>
      <c r="M1568" s="1722"/>
    </row>
    <row r="1569" spans="2:13">
      <c r="M1569" s="1722"/>
    </row>
    <row r="1570" spans="2:13">
      <c r="M1570" s="1722"/>
    </row>
    <row r="1571" spans="2:13">
      <c r="M1571" s="1722"/>
    </row>
    <row r="1572" spans="2:13">
      <c r="M1572" s="1722"/>
    </row>
    <row r="1573" spans="2:13" s="1680" customFormat="1">
      <c r="M1573" s="1681"/>
    </row>
    <row r="1574" spans="2:13">
      <c r="D1574" t="s">
        <v>1504</v>
      </c>
    </row>
    <row r="1576" spans="2:13" ht="15">
      <c r="B1576" s="320" t="s">
        <v>835</v>
      </c>
      <c r="C1576" s="321"/>
      <c r="D1576" s="322" t="s">
        <v>566</v>
      </c>
      <c r="E1576" s="323" t="s">
        <v>567</v>
      </c>
      <c r="F1576" s="324" t="s">
        <v>568</v>
      </c>
      <c r="G1576" s="324" t="s">
        <v>701</v>
      </c>
      <c r="H1576" s="325" t="s">
        <v>569</v>
      </c>
      <c r="I1576" s="1723" t="s">
        <v>1391</v>
      </c>
      <c r="J1576" s="355"/>
      <c r="K1576" s="355"/>
      <c r="M1576" s="1722"/>
    </row>
    <row r="1577" spans="2:13" ht="15">
      <c r="B1577" s="326" t="s">
        <v>423</v>
      </c>
      <c r="C1577" s="358" t="s">
        <v>565</v>
      </c>
      <c r="D1577" s="355" t="s">
        <v>1501</v>
      </c>
      <c r="E1577" s="329" t="s">
        <v>338</v>
      </c>
      <c r="F1577" s="404">
        <v>360000000</v>
      </c>
      <c r="G1577" s="331">
        <v>99.578000000000003</v>
      </c>
      <c r="H1577" s="422">
        <v>6.05</v>
      </c>
      <c r="I1577" s="1724">
        <v>358480800</v>
      </c>
      <c r="J1577" s="355"/>
      <c r="K1577" s="355"/>
      <c r="M1577" s="1722"/>
    </row>
    <row r="1578" spans="2:13" ht="15">
      <c r="B1578" s="326" t="s">
        <v>423</v>
      </c>
      <c r="C1578" s="405" t="s">
        <v>565</v>
      </c>
      <c r="D1578" s="355" t="s">
        <v>1501</v>
      </c>
      <c r="E1578" s="329" t="s">
        <v>338</v>
      </c>
      <c r="F1578" s="330">
        <v>40000000</v>
      </c>
      <c r="G1578" s="331">
        <v>99.578000000000003</v>
      </c>
      <c r="H1578" s="332">
        <v>6.05</v>
      </c>
      <c r="I1578" s="1724">
        <v>39831200</v>
      </c>
      <c r="M1578" s="1722"/>
    </row>
    <row r="1579" spans="2:13" ht="15">
      <c r="B1579" s="326"/>
      <c r="C1579" s="405"/>
      <c r="D1579" s="328"/>
      <c r="E1579" s="329"/>
      <c r="F1579" s="330"/>
      <c r="G1579" s="331"/>
      <c r="H1579" s="332"/>
      <c r="I1579" s="572"/>
      <c r="J1579" s="355"/>
      <c r="K1579" s="355"/>
      <c r="M1579" s="1722"/>
    </row>
    <row r="1580" spans="2:13" ht="15">
      <c r="B1580" s="334"/>
      <c r="C1580" s="334"/>
      <c r="D1580" s="335" t="s">
        <v>702</v>
      </c>
      <c r="E1580" s="336"/>
      <c r="F1580" s="337">
        <f>SUM(F1577:F1579)</f>
        <v>400000000</v>
      </c>
      <c r="G1580" s="1045">
        <f>SUMPRODUCT(F1577:F1579,G1577:G1579)/F1580</f>
        <v>99.578000000000003</v>
      </c>
      <c r="H1580" s="356">
        <f>SUMPRODUCT(F1577:F1579,H1577:H1579)/F1580</f>
        <v>6.05</v>
      </c>
      <c r="I1580" s="1135"/>
      <c r="J1580" s="355"/>
      <c r="K1580" s="355"/>
      <c r="M1580" s="1722"/>
    </row>
    <row r="1583" spans="2:13" ht="15">
      <c r="B1583" s="320" t="s">
        <v>835</v>
      </c>
      <c r="C1583" s="321"/>
      <c r="D1583" s="322" t="s">
        <v>566</v>
      </c>
      <c r="E1583" s="323" t="s">
        <v>567</v>
      </c>
      <c r="F1583" s="324" t="s">
        <v>568</v>
      </c>
      <c r="G1583" s="324" t="s">
        <v>701</v>
      </c>
      <c r="H1583" s="325" t="s">
        <v>569</v>
      </c>
      <c r="I1583" s="1723" t="s">
        <v>1391</v>
      </c>
      <c r="J1583" s="355"/>
      <c r="K1583" s="355"/>
      <c r="M1583" s="1722"/>
    </row>
    <row r="1584" spans="2:13" ht="15">
      <c r="B1584" s="326" t="s">
        <v>423</v>
      </c>
      <c r="C1584" s="358" t="s">
        <v>565</v>
      </c>
      <c r="D1584" s="355" t="s">
        <v>1503</v>
      </c>
      <c r="E1584" s="329" t="s">
        <v>338</v>
      </c>
      <c r="F1584" s="404">
        <v>447300000</v>
      </c>
      <c r="G1584" s="331">
        <v>98.233000000000004</v>
      </c>
      <c r="H1584" s="422">
        <v>6.2</v>
      </c>
      <c r="I1584" s="1724">
        <v>439396209</v>
      </c>
      <c r="J1584" s="355"/>
      <c r="K1584" s="355"/>
      <c r="M1584" s="1722"/>
    </row>
    <row r="1585" spans="2:13" ht="15">
      <c r="B1585" s="326" t="s">
        <v>423</v>
      </c>
      <c r="C1585" s="405" t="s">
        <v>565</v>
      </c>
      <c r="D1585" s="355" t="s">
        <v>1503</v>
      </c>
      <c r="E1585" s="329" t="s">
        <v>338</v>
      </c>
      <c r="F1585" s="330">
        <v>49700000</v>
      </c>
      <c r="G1585" s="331">
        <v>98.233000000000004</v>
      </c>
      <c r="H1585" s="332">
        <v>6.2</v>
      </c>
      <c r="I1585" s="1724">
        <v>48821801</v>
      </c>
      <c r="M1585" s="1722"/>
    </row>
    <row r="1586" spans="2:13" ht="15">
      <c r="B1586" s="326"/>
      <c r="C1586" s="405"/>
      <c r="D1586" s="328"/>
      <c r="E1586" s="329"/>
      <c r="F1586" s="330"/>
      <c r="G1586" s="331"/>
      <c r="H1586" s="332"/>
      <c r="I1586" s="572"/>
      <c r="J1586" s="355"/>
      <c r="K1586" s="355"/>
      <c r="M1586" s="1722"/>
    </row>
    <row r="1587" spans="2:13" ht="15">
      <c r="B1587" s="334"/>
      <c r="C1587" s="334"/>
      <c r="D1587" s="335" t="s">
        <v>702</v>
      </c>
      <c r="E1587" s="336"/>
      <c r="F1587" s="337">
        <f>SUM(F1584:F1586)</f>
        <v>497000000</v>
      </c>
      <c r="G1587" s="1045">
        <f>SUMPRODUCT(F1584:F1586,G1584:G1586)/F1587</f>
        <v>98.233000000000004</v>
      </c>
      <c r="H1587" s="356">
        <f>SUMPRODUCT(F1584:F1586,H1584:H1586)/F1587</f>
        <v>6.2</v>
      </c>
      <c r="I1587" s="1135"/>
      <c r="J1587" s="355"/>
      <c r="K1587" s="355"/>
      <c r="M1587" s="1722"/>
    </row>
    <row r="1590" spans="2:13" s="1680" customFormat="1">
      <c r="M1590" s="1681"/>
    </row>
    <row r="1591" spans="2:13">
      <c r="D1591" t="s">
        <v>1509</v>
      </c>
    </row>
    <row r="1593" spans="2:13" ht="15">
      <c r="B1593" s="320" t="s">
        <v>770</v>
      </c>
      <c r="C1593" s="321"/>
      <c r="D1593" s="322" t="s">
        <v>566</v>
      </c>
      <c r="E1593" s="323" t="s">
        <v>567</v>
      </c>
      <c r="F1593" s="324" t="s">
        <v>568</v>
      </c>
      <c r="G1593" s="324" t="s">
        <v>701</v>
      </c>
      <c r="H1593" s="325" t="s">
        <v>569</v>
      </c>
      <c r="I1593" s="1723" t="s">
        <v>1391</v>
      </c>
      <c r="J1593" s="355"/>
      <c r="K1593" s="355"/>
      <c r="M1593" s="1722"/>
    </row>
    <row r="1594" spans="2:13" ht="15">
      <c r="B1594" s="326" t="s">
        <v>423</v>
      </c>
      <c r="C1594" s="358" t="s">
        <v>565</v>
      </c>
      <c r="D1594" s="355" t="s">
        <v>1508</v>
      </c>
      <c r="E1594" s="329" t="s">
        <v>338</v>
      </c>
      <c r="F1594" s="404">
        <v>360000000</v>
      </c>
      <c r="G1594" s="331">
        <v>100</v>
      </c>
      <c r="H1594" s="422">
        <v>6.0514999999999999</v>
      </c>
      <c r="I1594" s="1724">
        <v>360000000</v>
      </c>
      <c r="J1594" s="355"/>
      <c r="K1594" s="355"/>
      <c r="M1594" s="1722"/>
    </row>
    <row r="1595" spans="2:13" ht="15">
      <c r="B1595" s="326" t="s">
        <v>423</v>
      </c>
      <c r="C1595" s="405" t="s">
        <v>565</v>
      </c>
      <c r="D1595" s="355" t="s">
        <v>1508</v>
      </c>
      <c r="E1595" s="329" t="s">
        <v>338</v>
      </c>
      <c r="F1595" s="330">
        <v>40000000</v>
      </c>
      <c r="G1595" s="331">
        <v>100</v>
      </c>
      <c r="H1595" s="332">
        <v>6.0514999999999999</v>
      </c>
      <c r="I1595" s="1724">
        <v>40000000</v>
      </c>
      <c r="M1595" s="1722"/>
    </row>
    <row r="1596" spans="2:13" ht="15">
      <c r="B1596" s="326"/>
      <c r="C1596" s="405"/>
      <c r="D1596" s="328"/>
      <c r="E1596" s="329"/>
      <c r="F1596" s="330"/>
      <c r="G1596" s="331"/>
      <c r="H1596" s="332"/>
      <c r="I1596" s="572"/>
      <c r="J1596" s="355"/>
      <c r="K1596" s="355"/>
      <c r="M1596" s="1722"/>
    </row>
    <row r="1597" spans="2:13" ht="15">
      <c r="B1597" s="334"/>
      <c r="C1597" s="334"/>
      <c r="D1597" s="335" t="s">
        <v>702</v>
      </c>
      <c r="E1597" s="336"/>
      <c r="F1597" s="337">
        <f>SUM(F1594:F1596)</f>
        <v>400000000</v>
      </c>
      <c r="G1597" s="1045">
        <f>SUMPRODUCT(F1594:F1596,G1594:G1596)/F1597</f>
        <v>100</v>
      </c>
      <c r="H1597" s="356">
        <f>SUMPRODUCT(F1594:F1596,H1594:H1596)/F1597</f>
        <v>6.0514999999999999</v>
      </c>
      <c r="I1597" s="1135"/>
      <c r="J1597" s="355"/>
      <c r="K1597" s="355"/>
      <c r="M1597" s="1722"/>
    </row>
    <row r="1600" spans="2:13" s="1680" customFormat="1">
      <c r="M1600" s="1681"/>
    </row>
    <row r="1602" spans="2:13">
      <c r="D1602" t="s">
        <v>1533</v>
      </c>
    </row>
    <row r="1604" spans="2:13" ht="15">
      <c r="B1604" s="320" t="s">
        <v>770</v>
      </c>
      <c r="C1604" s="321"/>
      <c r="D1604" s="322" t="s">
        <v>566</v>
      </c>
      <c r="E1604" s="323" t="s">
        <v>567</v>
      </c>
      <c r="F1604" s="324" t="s">
        <v>568</v>
      </c>
      <c r="G1604" s="324" t="s">
        <v>701</v>
      </c>
      <c r="H1604" s="325" t="s">
        <v>569</v>
      </c>
      <c r="I1604" s="1723" t="s">
        <v>1391</v>
      </c>
      <c r="J1604" s="355"/>
      <c r="K1604" s="355"/>
      <c r="M1604" s="1722"/>
    </row>
    <row r="1605" spans="2:13" ht="15">
      <c r="B1605" s="326" t="s">
        <v>423</v>
      </c>
      <c r="C1605" s="358" t="s">
        <v>565</v>
      </c>
      <c r="D1605" s="355" t="s">
        <v>1511</v>
      </c>
      <c r="E1605" s="329" t="s">
        <v>338</v>
      </c>
      <c r="F1605" s="404">
        <v>262800000</v>
      </c>
      <c r="G1605" s="331">
        <v>96.617999999999995</v>
      </c>
      <c r="H1605" s="422">
        <v>6.35</v>
      </c>
      <c r="I1605" s="1724">
        <v>253912104</v>
      </c>
      <c r="J1605" s="355"/>
      <c r="K1605" s="355"/>
      <c r="M1605" s="1722"/>
    </row>
    <row r="1606" spans="2:13" ht="15">
      <c r="B1606" s="326" t="s">
        <v>423</v>
      </c>
      <c r="C1606" s="405" t="s">
        <v>565</v>
      </c>
      <c r="D1606" s="355" t="s">
        <v>1511</v>
      </c>
      <c r="E1606" s="329" t="s">
        <v>338</v>
      </c>
      <c r="F1606" s="330">
        <v>29200000</v>
      </c>
      <c r="G1606" s="331">
        <v>96.617999999999995</v>
      </c>
      <c r="H1606" s="332">
        <v>6.35</v>
      </c>
      <c r="I1606" s="1724">
        <v>28212456</v>
      </c>
      <c r="M1606" s="1722"/>
    </row>
    <row r="1607" spans="2:13" ht="15">
      <c r="B1607" s="326"/>
      <c r="C1607" s="405"/>
      <c r="D1607" s="328"/>
      <c r="E1607" s="329"/>
      <c r="F1607" s="330"/>
      <c r="G1607" s="331"/>
      <c r="H1607" s="332"/>
      <c r="I1607" s="572"/>
      <c r="J1607" s="355"/>
      <c r="K1607" s="355"/>
      <c r="M1607" s="1722"/>
    </row>
    <row r="1608" spans="2:13" ht="15">
      <c r="B1608" s="334"/>
      <c r="C1608" s="334"/>
      <c r="D1608" s="335" t="s">
        <v>702</v>
      </c>
      <c r="E1608" s="336"/>
      <c r="F1608" s="337">
        <f>SUM(F1605:F1607)</f>
        <v>292000000</v>
      </c>
      <c r="G1608" s="1045">
        <f>SUMPRODUCT(F1605:F1607,G1605:G1607)/F1608</f>
        <v>96.617999999999995</v>
      </c>
      <c r="H1608" s="356">
        <f>SUMPRODUCT(F1605:F1607,H1605:H1607)/F1608</f>
        <v>6.35</v>
      </c>
      <c r="I1608" s="1135"/>
      <c r="J1608" s="355"/>
      <c r="K1608" s="355"/>
      <c r="M1608" s="1722"/>
    </row>
    <row r="1614" spans="2:13" ht="15">
      <c r="B1614" s="320" t="s">
        <v>770</v>
      </c>
      <c r="C1614" s="321"/>
      <c r="D1614" s="322" t="s">
        <v>566</v>
      </c>
      <c r="E1614" s="323" t="s">
        <v>567</v>
      </c>
      <c r="F1614" s="324" t="s">
        <v>568</v>
      </c>
      <c r="G1614" s="324" t="s">
        <v>701</v>
      </c>
      <c r="H1614" s="325" t="s">
        <v>569</v>
      </c>
      <c r="I1614" s="1723" t="s">
        <v>1391</v>
      </c>
      <c r="J1614" s="355"/>
      <c r="K1614" s="355"/>
      <c r="M1614" s="1722"/>
    </row>
    <row r="1615" spans="2:13" ht="15">
      <c r="B1615" s="326" t="s">
        <v>423</v>
      </c>
      <c r="C1615" s="358" t="s">
        <v>565</v>
      </c>
      <c r="D1615" s="355" t="s">
        <v>1525</v>
      </c>
      <c r="E1615" s="329" t="s">
        <v>338</v>
      </c>
      <c r="F1615" s="404">
        <v>360000000</v>
      </c>
      <c r="G1615" s="331">
        <v>99.37</v>
      </c>
      <c r="H1615" s="422">
        <v>6.165</v>
      </c>
      <c r="I1615" s="1724">
        <v>357732000</v>
      </c>
      <c r="J1615" s="355"/>
      <c r="K1615" s="355"/>
      <c r="M1615" s="1722"/>
    </row>
    <row r="1616" spans="2:13" ht="15">
      <c r="B1616" s="326" t="s">
        <v>423</v>
      </c>
      <c r="C1616" s="405" t="s">
        <v>565</v>
      </c>
      <c r="D1616" s="355" t="s">
        <v>1525</v>
      </c>
      <c r="E1616" s="329" t="s">
        <v>338</v>
      </c>
      <c r="F1616" s="330">
        <v>40000000</v>
      </c>
      <c r="G1616" s="331">
        <v>99.37</v>
      </c>
      <c r="H1616" s="332">
        <v>6.165</v>
      </c>
      <c r="I1616" s="1724">
        <v>39748000</v>
      </c>
      <c r="M1616" s="1722"/>
    </row>
    <row r="1617" spans="2:13" ht="15">
      <c r="B1617" s="326"/>
      <c r="C1617" s="405"/>
      <c r="D1617" s="328"/>
      <c r="E1617" s="329"/>
      <c r="F1617" s="330"/>
      <c r="G1617" s="331"/>
      <c r="H1617" s="332"/>
      <c r="I1617" s="572"/>
      <c r="J1617" s="355"/>
      <c r="K1617" s="355"/>
      <c r="M1617" s="1722"/>
    </row>
    <row r="1618" spans="2:13" ht="15">
      <c r="B1618" s="334"/>
      <c r="C1618" s="334"/>
      <c r="D1618" s="335" t="s">
        <v>702</v>
      </c>
      <c r="E1618" s="336"/>
      <c r="F1618" s="337">
        <f>SUM(F1615:F1617)</f>
        <v>400000000</v>
      </c>
      <c r="G1618" s="1045">
        <f>SUMPRODUCT(F1615:F1617,G1615:G1617)/F1618</f>
        <v>99.37</v>
      </c>
      <c r="H1618" s="356">
        <f>SUMPRODUCT(F1615:F1617,H1615:H1617)/F1618</f>
        <v>6.165</v>
      </c>
      <c r="I1618" s="1135"/>
      <c r="J1618" s="355"/>
      <c r="K1618" s="355"/>
      <c r="M1618" s="1722"/>
    </row>
    <row r="1624" spans="2:13" ht="15">
      <c r="B1624" s="320" t="s">
        <v>770</v>
      </c>
      <c r="C1624" s="321"/>
      <c r="D1624" s="322" t="s">
        <v>566</v>
      </c>
      <c r="E1624" s="323" t="s">
        <v>567</v>
      </c>
      <c r="F1624" s="324" t="s">
        <v>568</v>
      </c>
      <c r="G1624" s="324" t="s">
        <v>701</v>
      </c>
      <c r="H1624" s="325" t="s">
        <v>569</v>
      </c>
      <c r="I1624" s="1723" t="s">
        <v>1391</v>
      </c>
      <c r="J1624" s="355"/>
      <c r="K1624" s="355"/>
      <c r="M1624" s="1722"/>
    </row>
    <row r="1625" spans="2:13" ht="15">
      <c r="B1625" s="326" t="s">
        <v>423</v>
      </c>
      <c r="C1625" s="358" t="s">
        <v>565</v>
      </c>
      <c r="D1625" s="355" t="s">
        <v>1530</v>
      </c>
      <c r="E1625" s="329" t="s">
        <v>338</v>
      </c>
      <c r="F1625" s="404">
        <v>180000000</v>
      </c>
      <c r="G1625" s="331">
        <v>98.27</v>
      </c>
      <c r="H1625" s="422">
        <v>6</v>
      </c>
      <c r="I1625" s="1724">
        <v>176886000</v>
      </c>
      <c r="J1625" s="355"/>
      <c r="K1625" s="355"/>
      <c r="M1625" s="1722"/>
    </row>
    <row r="1626" spans="2:13" ht="15">
      <c r="B1626" s="326" t="s">
        <v>423</v>
      </c>
      <c r="C1626" s="405" t="s">
        <v>565</v>
      </c>
      <c r="D1626" s="355" t="s">
        <v>1530</v>
      </c>
      <c r="E1626" s="329" t="s">
        <v>338</v>
      </c>
      <c r="F1626" s="330">
        <v>20000000</v>
      </c>
      <c r="G1626" s="331">
        <v>98.27</v>
      </c>
      <c r="H1626" s="332">
        <v>6</v>
      </c>
      <c r="I1626" s="1724">
        <v>19654000</v>
      </c>
      <c r="M1626" s="1722"/>
    </row>
    <row r="1627" spans="2:13" ht="15">
      <c r="B1627" s="326"/>
      <c r="C1627" s="405"/>
      <c r="D1627" s="328"/>
      <c r="E1627" s="329"/>
      <c r="F1627" s="330"/>
      <c r="G1627" s="331"/>
      <c r="H1627" s="332"/>
      <c r="I1627" s="572"/>
      <c r="J1627" s="355"/>
      <c r="K1627" s="355"/>
      <c r="M1627" s="1722"/>
    </row>
    <row r="1628" spans="2:13" ht="15">
      <c r="B1628" s="334"/>
      <c r="C1628" s="334"/>
      <c r="D1628" s="335" t="s">
        <v>702</v>
      </c>
      <c r="E1628" s="336"/>
      <c r="F1628" s="337">
        <f>SUM(F1625:F1627)</f>
        <v>200000000</v>
      </c>
      <c r="G1628" s="1045">
        <f>SUMPRODUCT(F1625:F1627,G1625:G1627)/F1628</f>
        <v>98.27</v>
      </c>
      <c r="H1628" s="356">
        <f>SUMPRODUCT(F1625:F1627,H1625:H1627)/F1628</f>
        <v>6</v>
      </c>
      <c r="I1628" s="1135"/>
      <c r="J1628" s="355"/>
      <c r="K1628" s="355"/>
      <c r="M1628" s="1722"/>
    </row>
    <row r="1632" spans="2:13" s="1680" customFormat="1">
      <c r="M1632" s="1681"/>
    </row>
    <row r="1634" spans="2:13">
      <c r="D1634" t="s">
        <v>1541</v>
      </c>
    </row>
    <row r="1636" spans="2:13" ht="15">
      <c r="B1636" s="320" t="s">
        <v>770</v>
      </c>
      <c r="C1636" s="321"/>
      <c r="D1636" s="322" t="s">
        <v>566</v>
      </c>
      <c r="E1636" s="323" t="s">
        <v>567</v>
      </c>
      <c r="F1636" s="324" t="s">
        <v>568</v>
      </c>
      <c r="G1636" s="324" t="s">
        <v>701</v>
      </c>
      <c r="H1636" s="325" t="s">
        <v>569</v>
      </c>
      <c r="I1636" s="1723" t="s">
        <v>1391</v>
      </c>
      <c r="J1636" s="355"/>
      <c r="K1636" s="355"/>
      <c r="M1636" s="1722"/>
    </row>
    <row r="1637" spans="2:13" ht="15">
      <c r="B1637" s="326" t="s">
        <v>423</v>
      </c>
      <c r="C1637" s="358" t="s">
        <v>565</v>
      </c>
      <c r="D1637" s="355" t="s">
        <v>1539</v>
      </c>
      <c r="E1637" s="329" t="s">
        <v>338</v>
      </c>
      <c r="F1637" s="404">
        <v>270000000</v>
      </c>
      <c r="G1637" s="331">
        <v>100</v>
      </c>
      <c r="H1637" s="422">
        <v>6.6254</v>
      </c>
      <c r="I1637" s="1724">
        <v>270000000</v>
      </c>
      <c r="J1637" s="355"/>
      <c r="K1637" s="355"/>
      <c r="M1637" s="1722"/>
    </row>
    <row r="1638" spans="2:13" ht="15">
      <c r="B1638" s="326" t="s">
        <v>423</v>
      </c>
      <c r="C1638" s="405" t="s">
        <v>565</v>
      </c>
      <c r="D1638" s="355" t="s">
        <v>1539</v>
      </c>
      <c r="E1638" s="329" t="s">
        <v>338</v>
      </c>
      <c r="F1638" s="330">
        <v>30000000</v>
      </c>
      <c r="G1638" s="331">
        <v>100</v>
      </c>
      <c r="H1638" s="332">
        <v>6.6254</v>
      </c>
      <c r="I1638" s="1724">
        <v>30000000</v>
      </c>
      <c r="M1638" s="1722"/>
    </row>
    <row r="1639" spans="2:13" ht="15">
      <c r="B1639" s="326"/>
      <c r="C1639" s="405"/>
      <c r="D1639" s="328"/>
      <c r="E1639" s="329"/>
      <c r="F1639" s="330"/>
      <c r="G1639" s="331"/>
      <c r="H1639" s="332"/>
      <c r="I1639" s="572"/>
      <c r="J1639" s="355"/>
      <c r="K1639" s="355"/>
      <c r="M1639" s="1722"/>
    </row>
    <row r="1640" spans="2:13" ht="15">
      <c r="B1640" s="334"/>
      <c r="C1640" s="334"/>
      <c r="D1640" s="335" t="s">
        <v>702</v>
      </c>
      <c r="E1640" s="336"/>
      <c r="F1640" s="337">
        <f>SUM(F1637:F1639)</f>
        <v>300000000</v>
      </c>
      <c r="G1640" s="1045">
        <f>SUMPRODUCT(F1637:F1639,G1637:G1639)/F1640</f>
        <v>100</v>
      </c>
      <c r="H1640" s="356">
        <f>SUMPRODUCT(F1637:F1639,H1637:H1639)/F1640</f>
        <v>6.6254</v>
      </c>
      <c r="I1640" s="1135"/>
      <c r="J1640" s="355"/>
      <c r="K1640" s="355"/>
      <c r="M1640" s="1722"/>
    </row>
    <row r="1643" spans="2:13" s="1680" customFormat="1">
      <c r="M1643" s="1681"/>
    </row>
    <row r="1646" spans="2:13" ht="14.25">
      <c r="D1646" t="s">
        <v>1546</v>
      </c>
    </row>
    <row r="1648" spans="2:13" ht="15">
      <c r="B1648" s="320" t="s">
        <v>770</v>
      </c>
      <c r="C1648" s="321"/>
      <c r="D1648" s="322" t="s">
        <v>566</v>
      </c>
      <c r="E1648" s="323" t="s">
        <v>567</v>
      </c>
      <c r="F1648" s="324" t="s">
        <v>568</v>
      </c>
      <c r="G1648" s="324" t="s">
        <v>701</v>
      </c>
      <c r="H1648" s="325" t="s">
        <v>569</v>
      </c>
      <c r="I1648" s="1723" t="s">
        <v>1391</v>
      </c>
      <c r="J1648" s="355"/>
      <c r="K1648" s="355"/>
      <c r="M1648" s="1722"/>
    </row>
    <row r="1649" spans="2:13" ht="15">
      <c r="B1649" s="326" t="s">
        <v>423</v>
      </c>
      <c r="C1649" s="358" t="s">
        <v>565</v>
      </c>
      <c r="D1649" s="355" t="s">
        <v>1543</v>
      </c>
      <c r="E1649" s="329" t="s">
        <v>338</v>
      </c>
      <c r="F1649" s="404">
        <v>4000000</v>
      </c>
      <c r="G1649" s="331">
        <v>129.00299999999999</v>
      </c>
      <c r="H1649" s="1802">
        <v>4.05</v>
      </c>
      <c r="I1649" s="1221">
        <v>5233245</v>
      </c>
      <c r="J1649" s="355"/>
      <c r="K1649" s="355"/>
      <c r="M1649" s="1722"/>
    </row>
    <row r="1650" spans="2:13" ht="15">
      <c r="B1650" s="326" t="s">
        <v>423</v>
      </c>
      <c r="C1650" s="405" t="s">
        <v>565</v>
      </c>
      <c r="D1650" s="355" t="s">
        <v>1543</v>
      </c>
      <c r="E1650" s="329" t="s">
        <v>338</v>
      </c>
      <c r="F1650" s="330">
        <v>4000000</v>
      </c>
      <c r="G1650" s="331">
        <v>129.673</v>
      </c>
      <c r="H1650" s="1803">
        <v>4.0199999999999996</v>
      </c>
      <c r="I1650" s="1221">
        <v>5260045</v>
      </c>
      <c r="M1650" s="1722"/>
    </row>
    <row r="1651" spans="2:13" ht="15">
      <c r="B1651" s="326"/>
      <c r="C1651" s="405" t="s">
        <v>565</v>
      </c>
      <c r="D1651" s="328" t="s">
        <v>1543</v>
      </c>
      <c r="E1651" s="329" t="s">
        <v>338</v>
      </c>
      <c r="F1651" s="330">
        <v>10000000</v>
      </c>
      <c r="G1651" s="331">
        <v>130.12299999999999</v>
      </c>
      <c r="H1651" s="1803">
        <v>4</v>
      </c>
      <c r="I1651" s="1221">
        <v>13195112.5</v>
      </c>
      <c r="J1651" s="355"/>
      <c r="K1651" s="355"/>
      <c r="M1651" s="1722"/>
    </row>
    <row r="1652" spans="2:13" ht="15">
      <c r="B1652" s="334"/>
      <c r="C1652" s="334"/>
      <c r="D1652" s="335" t="s">
        <v>702</v>
      </c>
      <c r="E1652" s="336"/>
      <c r="F1652" s="337">
        <f>SUM(F1649:F1651)</f>
        <v>18000000</v>
      </c>
      <c r="G1652" s="1045">
        <f>SUMPRODUCT(F1649:F1651,G1649:G1651)/F1652</f>
        <v>129.77411111111113</v>
      </c>
      <c r="H1652" s="356">
        <f>SUMPRODUCT(F1649:F1651,H1649:H1651)/F1652</f>
        <v>4.0155555555555553</v>
      </c>
      <c r="I1652" s="1135"/>
      <c r="J1652" s="355"/>
      <c r="K1652" s="355"/>
      <c r="M1652" s="1722"/>
    </row>
    <row r="1655" spans="2:13" s="1680" customFormat="1">
      <c r="M1655" s="1681"/>
    </row>
    <row r="1658" spans="2:13" ht="14.25">
      <c r="D1658" t="s">
        <v>1547</v>
      </c>
    </row>
    <row r="1660" spans="2:13" ht="15">
      <c r="B1660" s="320" t="s">
        <v>770</v>
      </c>
      <c r="C1660" s="321"/>
      <c r="D1660" s="322" t="s">
        <v>566</v>
      </c>
      <c r="E1660" s="323" t="s">
        <v>567</v>
      </c>
      <c r="F1660" s="324" t="s">
        <v>568</v>
      </c>
      <c r="G1660" s="324" t="s">
        <v>701</v>
      </c>
      <c r="H1660" s="325" t="s">
        <v>569</v>
      </c>
      <c r="I1660" s="1723" t="s">
        <v>1391</v>
      </c>
      <c r="J1660" s="355"/>
      <c r="K1660" s="355"/>
      <c r="M1660" s="1722"/>
    </row>
    <row r="1661" spans="2:13" ht="15">
      <c r="B1661" s="326" t="s">
        <v>423</v>
      </c>
      <c r="C1661" s="358" t="s">
        <v>565</v>
      </c>
      <c r="D1661" s="355" t="s">
        <v>1544</v>
      </c>
      <c r="E1661" s="329" t="s">
        <v>338</v>
      </c>
      <c r="F1661" s="404">
        <v>50000000</v>
      </c>
      <c r="G1661" s="331">
        <v>100</v>
      </c>
      <c r="H1661" s="1802">
        <v>4.25</v>
      </c>
      <c r="I1661" s="1221">
        <v>50000000</v>
      </c>
      <c r="J1661" s="355"/>
      <c r="K1661" s="355"/>
      <c r="M1661" s="1722"/>
    </row>
    <row r="1662" spans="2:13" ht="15">
      <c r="B1662" s="326" t="s">
        <v>423</v>
      </c>
      <c r="C1662" s="405"/>
      <c r="D1662" s="355"/>
      <c r="E1662" s="329"/>
      <c r="F1662" s="330"/>
      <c r="G1662" s="331"/>
      <c r="H1662" s="1803"/>
      <c r="I1662" s="1221"/>
      <c r="M1662" s="1722"/>
    </row>
    <row r="1663" spans="2:13" ht="15">
      <c r="B1663" s="326"/>
      <c r="C1663" s="405"/>
      <c r="D1663" s="328"/>
      <c r="E1663" s="329"/>
      <c r="F1663" s="330"/>
      <c r="G1663" s="331"/>
      <c r="H1663" s="1803"/>
      <c r="I1663" s="1221"/>
      <c r="J1663" s="355"/>
      <c r="K1663" s="355"/>
      <c r="M1663" s="1722"/>
    </row>
    <row r="1664" spans="2:13" ht="15">
      <c r="B1664" s="334"/>
      <c r="C1664" s="334"/>
      <c r="D1664" s="335" t="s">
        <v>702</v>
      </c>
      <c r="E1664" s="336"/>
      <c r="F1664" s="337">
        <f>SUM(F1661:F1663)</f>
        <v>50000000</v>
      </c>
      <c r="G1664" s="1045">
        <f>SUMPRODUCT(F1661:F1663,G1661:G1663)/F1664</f>
        <v>100</v>
      </c>
      <c r="H1664" s="356">
        <f>SUMPRODUCT(F1661:F1663,H1661:H1663)/F1664</f>
        <v>4.25</v>
      </c>
      <c r="I1664" s="1135"/>
      <c r="J1664" s="355"/>
      <c r="K1664" s="355"/>
      <c r="M1664" s="1722"/>
    </row>
    <row r="1667" spans="13:13" s="1680" customFormat="1">
      <c r="M1667" s="1681"/>
    </row>
  </sheetData>
  <phoneticPr fontId="4" type="noConversion"/>
  <pageMargins left="0.45" right="0.75" top="0.45" bottom="0.56999999999999995" header="0.28999999999999998" footer="0.32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3:AP113"/>
  <sheetViews>
    <sheetView topLeftCell="E1" zoomScale="70" zoomScaleNormal="70" workbookViewId="0">
      <pane xSplit="1" ySplit="6" topLeftCell="F112" activePane="bottomRight" state="frozen"/>
      <selection activeCell="E1" sqref="E1"/>
      <selection pane="topRight" activeCell="F1" sqref="F1"/>
      <selection pane="bottomLeft" activeCell="E7" sqref="E7"/>
      <selection pane="bottomRight" activeCell="O129" sqref="O129"/>
    </sheetView>
  </sheetViews>
  <sheetFormatPr defaultRowHeight="12.75"/>
  <cols>
    <col min="3" max="3" width="10.140625" bestFit="1" customWidth="1"/>
    <col min="6" max="6" width="18.85546875" customWidth="1"/>
    <col min="7" max="7" width="31" customWidth="1"/>
    <col min="8" max="10" width="18.28515625" customWidth="1"/>
    <col min="12" max="12" width="14" customWidth="1"/>
    <col min="13" max="13" width="9.42578125" style="33" customWidth="1"/>
    <col min="14" max="14" width="11" bestFit="1" customWidth="1"/>
    <col min="15" max="15" width="11.140625" customWidth="1"/>
    <col min="16" max="16" width="14.28515625" customWidth="1"/>
    <col min="17" max="17" width="11.85546875" customWidth="1"/>
    <col min="18" max="18" width="16.5703125" customWidth="1"/>
    <col min="19" max="20" width="11" style="637" bestFit="1" customWidth="1"/>
    <col min="21" max="21" width="11.28515625" customWidth="1"/>
    <col min="23" max="23" width="14.85546875" customWidth="1"/>
    <col min="24" max="25" width="15.7109375" customWidth="1"/>
    <col min="27" max="27" width="10.7109375" customWidth="1"/>
    <col min="28" max="28" width="14.7109375" customWidth="1"/>
    <col min="29" max="29" width="9.28515625" bestFit="1" customWidth="1"/>
    <col min="32" max="32" width="10" bestFit="1" customWidth="1"/>
    <col min="33" max="33" width="10.5703125" customWidth="1"/>
    <col min="34" max="36" width="13" customWidth="1"/>
    <col min="37" max="37" width="10.5703125" bestFit="1" customWidth="1"/>
    <col min="38" max="38" width="10.140625" bestFit="1" customWidth="1"/>
    <col min="39" max="39" width="13.140625" customWidth="1"/>
    <col min="41" max="41" width="9.85546875" bestFit="1" customWidth="1"/>
    <col min="42" max="42" width="11" bestFit="1" customWidth="1"/>
  </cols>
  <sheetData>
    <row r="3" spans="1:42">
      <c r="C3" s="40"/>
      <c r="F3" t="s">
        <v>15</v>
      </c>
      <c r="O3" t="s">
        <v>508</v>
      </c>
    </row>
    <row r="5" spans="1:42">
      <c r="A5" s="12"/>
      <c r="B5" s="12"/>
      <c r="C5" s="12"/>
      <c r="D5" s="12"/>
      <c r="E5" s="12"/>
      <c r="F5" s="15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638"/>
      <c r="T5" s="638"/>
      <c r="U5" s="138"/>
      <c r="V5" s="15"/>
      <c r="W5" s="15"/>
      <c r="X5" s="15"/>
      <c r="Y5" s="15"/>
      <c r="Z5" s="15"/>
      <c r="AA5" s="15"/>
      <c r="AB5" s="85">
        <f ca="1">TODAY()</f>
        <v>42654</v>
      </c>
      <c r="AC5" s="15"/>
      <c r="AJ5" s="85"/>
      <c r="AL5" s="85"/>
    </row>
    <row r="6" spans="1:42" ht="38.25">
      <c r="A6" s="10"/>
      <c r="B6" s="10"/>
      <c r="C6" s="10"/>
      <c r="D6" s="10"/>
      <c r="E6" s="8" t="s">
        <v>30</v>
      </c>
      <c r="F6" s="8" t="s">
        <v>31</v>
      </c>
      <c r="G6" s="8" t="s">
        <v>32</v>
      </c>
      <c r="H6" s="8" t="s">
        <v>33</v>
      </c>
      <c r="I6" s="8" t="s">
        <v>34</v>
      </c>
      <c r="J6" s="8" t="s">
        <v>35</v>
      </c>
      <c r="K6" s="8" t="s">
        <v>36</v>
      </c>
      <c r="L6" s="9" t="s">
        <v>37</v>
      </c>
      <c r="M6" s="7" t="s">
        <v>38</v>
      </c>
      <c r="N6" s="7" t="s">
        <v>39</v>
      </c>
      <c r="O6" s="7" t="s">
        <v>40</v>
      </c>
      <c r="P6" s="8" t="s">
        <v>41</v>
      </c>
      <c r="Q6" s="8" t="s">
        <v>64</v>
      </c>
      <c r="R6" s="8" t="s">
        <v>65</v>
      </c>
      <c r="S6" s="639" t="s">
        <v>66</v>
      </c>
      <c r="T6" s="639" t="s">
        <v>67</v>
      </c>
      <c r="U6" s="228" t="s">
        <v>68</v>
      </c>
      <c r="V6" s="10"/>
      <c r="W6" s="80" t="s">
        <v>69</v>
      </c>
      <c r="X6" s="10" t="s">
        <v>70</v>
      </c>
      <c r="Y6" s="10" t="s">
        <v>71</v>
      </c>
      <c r="Z6" s="10"/>
      <c r="AA6" s="10" t="s">
        <v>72</v>
      </c>
      <c r="AB6" s="10" t="s">
        <v>73</v>
      </c>
      <c r="AC6" s="10" t="s">
        <v>74</v>
      </c>
      <c r="AF6" s="29"/>
      <c r="AG6" s="29"/>
      <c r="AH6" s="29"/>
      <c r="AI6" s="29"/>
      <c r="AJ6" s="29"/>
      <c r="AK6" s="29"/>
      <c r="AL6" s="29"/>
      <c r="AO6" s="29"/>
      <c r="AP6" s="29"/>
    </row>
    <row r="7" spans="1:42" ht="51">
      <c r="A7" s="13"/>
      <c r="B7" s="13"/>
      <c r="C7" s="13"/>
      <c r="D7" s="13"/>
      <c r="E7" s="13">
        <v>1</v>
      </c>
      <c r="F7" s="148" t="s">
        <v>89</v>
      </c>
      <c r="G7" s="155" t="s">
        <v>90</v>
      </c>
      <c r="H7" s="155"/>
      <c r="I7" s="155"/>
      <c r="J7" s="155"/>
      <c r="K7" s="26" t="s">
        <v>91</v>
      </c>
      <c r="L7" s="43">
        <v>1000000</v>
      </c>
      <c r="M7" s="26" t="s">
        <v>92</v>
      </c>
      <c r="N7" s="28">
        <v>101.5</v>
      </c>
      <c r="O7" s="30">
        <v>6.9618359999999999</v>
      </c>
      <c r="P7" s="32" t="s">
        <v>93</v>
      </c>
      <c r="Q7" s="32" t="s">
        <v>94</v>
      </c>
      <c r="R7" s="14" t="s">
        <v>95</v>
      </c>
      <c r="S7" s="640">
        <v>39638</v>
      </c>
      <c r="T7" s="640">
        <v>39645</v>
      </c>
      <c r="U7" s="40"/>
      <c r="V7" s="12"/>
      <c r="W7" s="82">
        <v>1034377.36</v>
      </c>
      <c r="X7" s="117"/>
      <c r="Y7" s="55"/>
      <c r="Z7" s="12"/>
      <c r="AA7" s="33">
        <v>7.343</v>
      </c>
      <c r="AB7" s="659">
        <v>41375</v>
      </c>
      <c r="AC7" s="92">
        <f t="shared" ref="AC7:AC40" ca="1" si="0">(AB7-$AB$5)/365</f>
        <v>-3.504109589041096</v>
      </c>
      <c r="AF7" s="161"/>
      <c r="AG7" s="77"/>
      <c r="AH7" s="77"/>
      <c r="AI7" s="77"/>
      <c r="AJ7" s="191"/>
      <c r="AK7" s="191"/>
      <c r="AL7" s="190"/>
      <c r="AM7" s="77"/>
    </row>
    <row r="8" spans="1:42" ht="63.75">
      <c r="A8" s="33"/>
      <c r="B8" s="33"/>
      <c r="C8" s="13"/>
      <c r="D8" s="13"/>
      <c r="E8" s="13">
        <v>2</v>
      </c>
      <c r="F8" s="149" t="s">
        <v>96</v>
      </c>
      <c r="G8" s="155" t="s">
        <v>97</v>
      </c>
      <c r="H8" s="155"/>
      <c r="I8" s="155"/>
      <c r="J8" s="155"/>
      <c r="K8" s="26" t="s">
        <v>91</v>
      </c>
      <c r="L8" s="43">
        <v>500000</v>
      </c>
      <c r="M8" s="26" t="s">
        <v>92</v>
      </c>
      <c r="N8" s="42">
        <v>96.834999999999994</v>
      </c>
      <c r="O8" s="93">
        <v>5.9248250000000002</v>
      </c>
      <c r="P8" s="32" t="s">
        <v>98</v>
      </c>
      <c r="Q8" s="32" t="s">
        <v>100</v>
      </c>
      <c r="R8" s="14" t="s">
        <v>101</v>
      </c>
      <c r="S8" s="640">
        <v>39638</v>
      </c>
      <c r="T8" s="640">
        <v>39645</v>
      </c>
      <c r="U8" s="40"/>
      <c r="W8" s="76">
        <v>495550</v>
      </c>
      <c r="X8" s="110"/>
      <c r="Y8" s="110"/>
      <c r="Z8" s="33"/>
      <c r="AA8" s="33">
        <v>5.25</v>
      </c>
      <c r="AB8" s="659">
        <v>41680</v>
      </c>
      <c r="AC8" s="92">
        <f t="shared" ca="1" si="0"/>
        <v>-2.6684931506849314</v>
      </c>
      <c r="AF8" s="161"/>
      <c r="AG8" s="77"/>
      <c r="AH8" s="77"/>
      <c r="AI8" s="77"/>
      <c r="AJ8" s="191"/>
      <c r="AK8" s="191"/>
      <c r="AL8" s="190"/>
      <c r="AM8" s="77"/>
    </row>
    <row r="9" spans="1:42" ht="51">
      <c r="A9" s="119"/>
      <c r="B9" s="119"/>
      <c r="C9" s="13"/>
      <c r="D9" s="13"/>
      <c r="E9" s="13">
        <v>3</v>
      </c>
      <c r="F9" s="150" t="s">
        <v>102</v>
      </c>
      <c r="G9" s="156" t="s">
        <v>103</v>
      </c>
      <c r="H9" s="156"/>
      <c r="I9" s="156"/>
      <c r="J9" s="156"/>
      <c r="K9" s="13" t="s">
        <v>104</v>
      </c>
      <c r="L9" s="43">
        <v>500000</v>
      </c>
      <c r="M9" s="26" t="s">
        <v>92</v>
      </c>
      <c r="N9" s="42">
        <v>96.56</v>
      </c>
      <c r="O9" s="93">
        <v>6.635796</v>
      </c>
      <c r="P9" s="32" t="s">
        <v>93</v>
      </c>
      <c r="Q9" s="32" t="s">
        <v>94</v>
      </c>
      <c r="R9" s="14" t="s">
        <v>95</v>
      </c>
      <c r="S9" s="640">
        <v>39638</v>
      </c>
      <c r="T9" s="640">
        <v>39645</v>
      </c>
      <c r="U9" s="40"/>
      <c r="V9" s="12"/>
      <c r="W9" s="257">
        <v>489133.33</v>
      </c>
      <c r="X9" s="110"/>
      <c r="Y9" s="133"/>
      <c r="Z9" s="33"/>
      <c r="AA9" s="88">
        <v>6</v>
      </c>
      <c r="AB9" s="659">
        <v>42122</v>
      </c>
      <c r="AC9" s="92">
        <f t="shared" ca="1" si="0"/>
        <v>-1.4575342465753425</v>
      </c>
      <c r="AF9" s="161"/>
      <c r="AG9" s="77"/>
      <c r="AH9" s="77"/>
      <c r="AI9" s="77"/>
      <c r="AJ9" s="191"/>
      <c r="AK9" s="191"/>
      <c r="AL9" s="190"/>
      <c r="AM9" s="77"/>
    </row>
    <row r="10" spans="1:42" ht="38.25">
      <c r="A10" s="13"/>
      <c r="B10" s="13"/>
      <c r="C10" s="13"/>
      <c r="D10" s="13"/>
      <c r="E10" s="13">
        <v>4</v>
      </c>
      <c r="F10" s="150" t="s">
        <v>105</v>
      </c>
      <c r="G10" s="156" t="s">
        <v>106</v>
      </c>
      <c r="H10" s="156"/>
      <c r="I10" s="156"/>
      <c r="J10" s="156"/>
      <c r="K10" s="13" t="s">
        <v>104</v>
      </c>
      <c r="L10" s="43">
        <v>500000</v>
      </c>
      <c r="M10" s="26" t="s">
        <v>92</v>
      </c>
      <c r="N10" s="69">
        <v>98.75</v>
      </c>
      <c r="O10" s="91">
        <v>7.3987730000000003</v>
      </c>
      <c r="P10" s="22" t="s">
        <v>107</v>
      </c>
      <c r="Q10" s="17" t="s">
        <v>108</v>
      </c>
      <c r="R10" s="14" t="s">
        <v>109</v>
      </c>
      <c r="S10" s="640">
        <v>39638</v>
      </c>
      <c r="T10" s="640">
        <v>39645</v>
      </c>
      <c r="U10" s="40"/>
      <c r="V10" s="12"/>
      <c r="W10" s="257">
        <v>498401.04</v>
      </c>
      <c r="X10" s="110"/>
      <c r="Y10" s="133"/>
      <c r="Z10" s="88"/>
      <c r="AA10" s="88">
        <v>7.125</v>
      </c>
      <c r="AB10" s="659">
        <v>41653</v>
      </c>
      <c r="AC10" s="92">
        <f t="shared" ca="1" si="0"/>
        <v>-2.7424657534246575</v>
      </c>
      <c r="AF10" s="161"/>
      <c r="AG10" s="77"/>
      <c r="AH10" s="77"/>
      <c r="AI10" s="77"/>
      <c r="AJ10" s="191"/>
      <c r="AK10" s="191"/>
      <c r="AL10" s="190"/>
      <c r="AM10" s="77"/>
    </row>
    <row r="11" spans="1:42" ht="51">
      <c r="A11" s="13"/>
      <c r="B11" s="13"/>
      <c r="C11" s="374"/>
      <c r="D11" s="375"/>
      <c r="E11" s="13">
        <v>5</v>
      </c>
      <c r="F11" s="149" t="s">
        <v>110</v>
      </c>
      <c r="G11" s="156" t="s">
        <v>111</v>
      </c>
      <c r="H11" s="156"/>
      <c r="I11" s="156"/>
      <c r="J11" s="156"/>
      <c r="K11" s="13" t="s">
        <v>104</v>
      </c>
      <c r="L11" s="43">
        <v>1000000</v>
      </c>
      <c r="M11" s="26" t="s">
        <v>92</v>
      </c>
      <c r="N11" s="69">
        <v>105.21875</v>
      </c>
      <c r="O11" s="62">
        <f>1.09810742</f>
        <v>1.0981074200000001</v>
      </c>
      <c r="P11" s="32" t="s">
        <v>93</v>
      </c>
      <c r="Q11" s="32" t="s">
        <v>94</v>
      </c>
      <c r="R11" s="14" t="s">
        <v>95</v>
      </c>
      <c r="S11" s="640">
        <v>39638</v>
      </c>
      <c r="T11" s="640">
        <v>39645</v>
      </c>
      <c r="U11" s="40"/>
      <c r="V11" s="12"/>
      <c r="W11" s="257">
        <v>1166858.78</v>
      </c>
      <c r="X11" s="110"/>
      <c r="Y11" s="133"/>
      <c r="Z11" s="88"/>
      <c r="AA11" s="88">
        <v>1.875</v>
      </c>
      <c r="AB11" s="659">
        <v>42931</v>
      </c>
      <c r="AC11" s="92">
        <f t="shared" ca="1" si="0"/>
        <v>0.75890410958904109</v>
      </c>
      <c r="AF11" s="161"/>
      <c r="AG11" s="77"/>
      <c r="AH11" s="77"/>
      <c r="AI11" s="77"/>
      <c r="AJ11" s="191"/>
      <c r="AK11" s="54"/>
      <c r="AL11" s="190"/>
      <c r="AM11" s="77"/>
    </row>
    <row r="12" spans="1:42" ht="51">
      <c r="A12" s="13"/>
      <c r="B12" s="13"/>
      <c r="C12" s="13"/>
      <c r="D12" s="13"/>
      <c r="E12" s="13">
        <v>6</v>
      </c>
      <c r="F12" s="149" t="s">
        <v>112</v>
      </c>
      <c r="G12" s="157" t="s">
        <v>113</v>
      </c>
      <c r="H12" s="157"/>
      <c r="I12" s="157"/>
      <c r="J12" s="157"/>
      <c r="K12" s="13" t="s">
        <v>104</v>
      </c>
      <c r="L12" s="43">
        <v>500000</v>
      </c>
      <c r="M12" s="26" t="s">
        <v>92</v>
      </c>
      <c r="N12" s="69">
        <v>91.03</v>
      </c>
      <c r="O12" s="13">
        <v>7.2791030000000001</v>
      </c>
      <c r="P12" s="32" t="s">
        <v>93</v>
      </c>
      <c r="Q12" s="32" t="s">
        <v>94</v>
      </c>
      <c r="R12" s="14" t="s">
        <v>95</v>
      </c>
      <c r="S12" s="640">
        <v>39640</v>
      </c>
      <c r="T12" s="640">
        <v>39647</v>
      </c>
      <c r="U12" s="40"/>
      <c r="V12" s="12"/>
      <c r="W12" s="257">
        <v>456802.78</v>
      </c>
      <c r="X12" s="110"/>
      <c r="Y12" s="133"/>
      <c r="Z12" s="33"/>
      <c r="AA12" s="88">
        <v>5.95</v>
      </c>
      <c r="AB12" s="659">
        <v>43097</v>
      </c>
      <c r="AC12" s="92">
        <f t="shared" ca="1" si="0"/>
        <v>1.2136986301369863</v>
      </c>
      <c r="AF12" s="161"/>
      <c r="AG12" s="77"/>
      <c r="AH12" s="77"/>
      <c r="AI12" s="77"/>
      <c r="AJ12" s="191"/>
      <c r="AK12" s="191"/>
      <c r="AL12" s="190"/>
      <c r="AM12" s="77"/>
    </row>
    <row r="13" spans="1:42" ht="51">
      <c r="A13" s="13"/>
      <c r="B13" s="13"/>
      <c r="C13" s="13"/>
      <c r="D13" s="13"/>
      <c r="E13" s="13">
        <v>7</v>
      </c>
      <c r="F13" s="149" t="s">
        <v>114</v>
      </c>
      <c r="G13" s="156" t="s">
        <v>115</v>
      </c>
      <c r="H13" s="156"/>
      <c r="I13" s="156"/>
      <c r="J13" s="156"/>
      <c r="K13" s="13" t="s">
        <v>104</v>
      </c>
      <c r="L13" s="43">
        <v>1000000</v>
      </c>
      <c r="M13" s="26" t="s">
        <v>92</v>
      </c>
      <c r="N13" s="69">
        <v>96.641999999999996</v>
      </c>
      <c r="O13" s="13">
        <v>6.2783579999999999</v>
      </c>
      <c r="P13" s="32" t="s">
        <v>93</v>
      </c>
      <c r="Q13" s="32" t="s">
        <v>94</v>
      </c>
      <c r="R13" s="14" t="s">
        <v>95</v>
      </c>
      <c r="S13" s="640">
        <v>39640</v>
      </c>
      <c r="T13" s="640">
        <v>39647</v>
      </c>
      <c r="U13" s="40"/>
      <c r="V13" s="12"/>
      <c r="W13" s="82">
        <v>983510.28</v>
      </c>
      <c r="X13" s="110"/>
      <c r="Y13" s="110"/>
      <c r="Z13" s="88"/>
      <c r="AA13" s="88">
        <v>5.75</v>
      </c>
      <c r="AB13" s="659">
        <v>42379</v>
      </c>
      <c r="AC13" s="92">
        <f t="shared" ca="1" si="0"/>
        <v>-0.75342465753424659</v>
      </c>
      <c r="AF13" s="161"/>
      <c r="AG13" s="77"/>
      <c r="AH13" s="77"/>
      <c r="AI13" s="77"/>
      <c r="AJ13" s="191"/>
      <c r="AK13" s="191"/>
      <c r="AL13" s="190"/>
      <c r="AM13" s="77"/>
    </row>
    <row r="14" spans="1:42" ht="51">
      <c r="A14" s="13"/>
      <c r="B14" s="13"/>
      <c r="C14" s="13"/>
      <c r="D14" s="13"/>
      <c r="E14" s="13">
        <v>8</v>
      </c>
      <c r="F14" s="178" t="s">
        <v>522</v>
      </c>
      <c r="G14" s="171" t="s">
        <v>116</v>
      </c>
      <c r="H14" s="171"/>
      <c r="I14" s="171"/>
      <c r="J14" s="171"/>
      <c r="K14" s="169" t="s">
        <v>104</v>
      </c>
      <c r="L14" s="179">
        <v>1000000</v>
      </c>
      <c r="M14" s="173" t="s">
        <v>92</v>
      </c>
      <c r="N14" s="174">
        <v>106.578125</v>
      </c>
      <c r="O14" s="169">
        <v>1.082222</v>
      </c>
      <c r="P14" s="180" t="s">
        <v>93</v>
      </c>
      <c r="Q14" s="180" t="s">
        <v>94</v>
      </c>
      <c r="R14" s="176" t="s">
        <v>95</v>
      </c>
      <c r="S14" s="641">
        <v>39645</v>
      </c>
      <c r="T14" s="641">
        <v>39651</v>
      </c>
      <c r="U14" s="177"/>
      <c r="V14" s="343"/>
      <c r="W14" s="181">
        <v>1160548.97</v>
      </c>
      <c r="X14" s="181"/>
      <c r="Y14" s="182"/>
      <c r="Z14" s="183"/>
      <c r="AA14" s="184">
        <v>2</v>
      </c>
      <c r="AB14" s="828">
        <v>42384</v>
      </c>
      <c r="AC14" s="185">
        <f t="shared" ca="1" si="0"/>
        <v>-0.73972602739726023</v>
      </c>
      <c r="AF14" s="161"/>
      <c r="AG14" s="77"/>
      <c r="AH14" s="77"/>
      <c r="AI14" s="77"/>
      <c r="AJ14" s="191"/>
      <c r="AK14" s="54"/>
      <c r="AL14" s="190"/>
      <c r="AM14" s="77"/>
    </row>
    <row r="15" spans="1:42" ht="51">
      <c r="A15" s="13"/>
      <c r="B15" s="13"/>
      <c r="C15" s="13"/>
      <c r="D15" s="13"/>
      <c r="E15" s="13">
        <v>9</v>
      </c>
      <c r="F15" s="178" t="s">
        <v>523</v>
      </c>
      <c r="G15" s="171" t="s">
        <v>117</v>
      </c>
      <c r="H15" s="171"/>
      <c r="I15" s="171"/>
      <c r="J15" s="171"/>
      <c r="K15" s="169" t="s">
        <v>104</v>
      </c>
      <c r="L15" s="179">
        <v>1000000</v>
      </c>
      <c r="M15" s="173" t="s">
        <v>92</v>
      </c>
      <c r="N15" s="174">
        <v>109.296875</v>
      </c>
      <c r="O15" s="169">
        <v>1.2178629999999999</v>
      </c>
      <c r="P15" s="180" t="s">
        <v>93</v>
      </c>
      <c r="Q15" s="180" t="s">
        <v>94</v>
      </c>
      <c r="R15" s="176" t="s">
        <v>95</v>
      </c>
      <c r="S15" s="641">
        <v>39645</v>
      </c>
      <c r="T15" s="641">
        <v>39651</v>
      </c>
      <c r="U15" s="177"/>
      <c r="V15" s="343"/>
      <c r="W15" s="181">
        <v>1171414.2</v>
      </c>
      <c r="X15" s="181"/>
      <c r="Y15" s="182"/>
      <c r="Z15" s="183"/>
      <c r="AA15" s="184">
        <v>2.375</v>
      </c>
      <c r="AB15" s="828">
        <v>42750</v>
      </c>
      <c r="AC15" s="185">
        <f t="shared" ca="1" si="0"/>
        <v>0.26301369863013696</v>
      </c>
      <c r="AF15" s="161"/>
      <c r="AG15" s="77"/>
      <c r="AH15" s="77"/>
      <c r="AI15" s="77"/>
      <c r="AJ15" s="191"/>
      <c r="AK15" s="54"/>
      <c r="AL15" s="190"/>
      <c r="AM15" s="77"/>
    </row>
    <row r="16" spans="1:42" ht="51">
      <c r="A16" s="13"/>
      <c r="B16" s="13"/>
      <c r="C16" s="13"/>
      <c r="D16" s="13"/>
      <c r="E16" s="13">
        <v>10</v>
      </c>
      <c r="F16" s="178" t="s">
        <v>524</v>
      </c>
      <c r="G16" s="171" t="s">
        <v>512</v>
      </c>
      <c r="H16" s="171"/>
      <c r="I16" s="171"/>
      <c r="J16" s="171"/>
      <c r="K16" s="169" t="s">
        <v>104</v>
      </c>
      <c r="L16" s="179">
        <v>1000000</v>
      </c>
      <c r="M16" s="173" t="s">
        <v>92</v>
      </c>
      <c r="N16" s="174">
        <v>99.546875</v>
      </c>
      <c r="O16" s="169">
        <v>2.9826779999999999</v>
      </c>
      <c r="P16" s="180" t="s">
        <v>93</v>
      </c>
      <c r="Q16" s="180" t="s">
        <v>94</v>
      </c>
      <c r="R16" s="176" t="s">
        <v>95</v>
      </c>
      <c r="S16" s="641">
        <v>39645</v>
      </c>
      <c r="T16" s="641">
        <v>39651</v>
      </c>
      <c r="U16" s="177"/>
      <c r="V16" s="343"/>
      <c r="W16" s="181">
        <v>1009132.9</v>
      </c>
      <c r="X16" s="181"/>
      <c r="Y16" s="182"/>
      <c r="Z16" s="183"/>
      <c r="AA16" s="184">
        <v>2.875</v>
      </c>
      <c r="AB16" s="828">
        <v>41305</v>
      </c>
      <c r="AC16" s="185">
        <f t="shared" ca="1" si="0"/>
        <v>-3.6958904109589041</v>
      </c>
      <c r="AF16" s="161"/>
      <c r="AG16" s="77"/>
      <c r="AH16" s="77"/>
      <c r="AI16" s="77"/>
      <c r="AJ16" s="191"/>
      <c r="AK16" s="54"/>
      <c r="AL16" s="190"/>
      <c r="AM16" s="77"/>
    </row>
    <row r="17" spans="1:39" ht="38.25">
      <c r="A17" s="13"/>
      <c r="B17" s="13"/>
      <c r="C17" s="13"/>
      <c r="D17" s="13"/>
      <c r="E17" s="13">
        <v>11</v>
      </c>
      <c r="F17" s="151" t="s">
        <v>525</v>
      </c>
      <c r="G17" s="158" t="s">
        <v>520</v>
      </c>
      <c r="H17" s="158"/>
      <c r="I17" s="158"/>
      <c r="J17" s="158"/>
      <c r="K17" s="13" t="s">
        <v>104</v>
      </c>
      <c r="L17" s="43">
        <v>1000000</v>
      </c>
      <c r="M17" s="26" t="s">
        <v>92</v>
      </c>
      <c r="N17" s="69">
        <v>106.5625</v>
      </c>
      <c r="O17" s="13">
        <v>3.5046780000000002</v>
      </c>
      <c r="P17" s="22" t="s">
        <v>118</v>
      </c>
      <c r="Q17" s="17" t="s">
        <v>119</v>
      </c>
      <c r="R17" s="29" t="s">
        <v>120</v>
      </c>
      <c r="S17" s="640">
        <v>39645</v>
      </c>
      <c r="T17" s="640">
        <v>39651</v>
      </c>
      <c r="U17" s="40"/>
      <c r="V17" s="12"/>
      <c r="W17" s="257">
        <v>1085157.97</v>
      </c>
      <c r="X17" s="76"/>
      <c r="Y17" s="83"/>
      <c r="Z17" s="88"/>
      <c r="AA17" s="33">
        <v>4.5</v>
      </c>
      <c r="AB17" s="829">
        <v>42415</v>
      </c>
      <c r="AC17" s="92">
        <f t="shared" ca="1" si="0"/>
        <v>-0.65479452054794518</v>
      </c>
      <c r="AF17" s="161"/>
      <c r="AG17" s="77"/>
      <c r="AH17" s="77"/>
      <c r="AI17" s="77"/>
      <c r="AJ17" s="191"/>
      <c r="AK17" s="54"/>
      <c r="AL17" s="190"/>
      <c r="AM17" s="77"/>
    </row>
    <row r="18" spans="1:39" ht="38.25">
      <c r="A18" s="13"/>
      <c r="B18" s="13"/>
      <c r="C18" s="13"/>
      <c r="D18" s="13"/>
      <c r="E18" s="13">
        <v>12</v>
      </c>
      <c r="F18" s="178" t="s">
        <v>526</v>
      </c>
      <c r="G18" s="171" t="s">
        <v>521</v>
      </c>
      <c r="H18" s="171"/>
      <c r="I18" s="171"/>
      <c r="J18" s="171"/>
      <c r="K18" s="169" t="s">
        <v>104</v>
      </c>
      <c r="L18" s="179">
        <v>1000000</v>
      </c>
      <c r="M18" s="173" t="s">
        <v>92</v>
      </c>
      <c r="N18" s="174">
        <v>103.546875</v>
      </c>
      <c r="O18" s="169">
        <v>3.7938420000000002</v>
      </c>
      <c r="P18" s="175" t="s">
        <v>118</v>
      </c>
      <c r="Q18" s="186" t="s">
        <v>119</v>
      </c>
      <c r="R18" s="187" t="s">
        <v>120</v>
      </c>
      <c r="S18" s="641">
        <v>39645</v>
      </c>
      <c r="T18" s="641">
        <v>39651</v>
      </c>
      <c r="U18" s="177"/>
      <c r="V18" s="343"/>
      <c r="W18" s="181">
        <v>1043322.01</v>
      </c>
      <c r="X18" s="181"/>
      <c r="Y18" s="181"/>
      <c r="Z18" s="183"/>
      <c r="AA18" s="184">
        <v>4.25</v>
      </c>
      <c r="AB18" s="828">
        <v>43054</v>
      </c>
      <c r="AC18" s="185">
        <f t="shared" ca="1" si="0"/>
        <v>1.095890410958904</v>
      </c>
      <c r="AF18" s="161"/>
      <c r="AG18" s="77"/>
      <c r="AH18" s="77"/>
      <c r="AI18" s="77"/>
      <c r="AJ18" s="191"/>
      <c r="AK18" s="54"/>
      <c r="AL18" s="190"/>
      <c r="AM18" s="77"/>
    </row>
    <row r="19" spans="1:39" ht="38.25">
      <c r="A19" s="86"/>
      <c r="B19" s="86"/>
      <c r="C19" s="91"/>
      <c r="D19" s="91"/>
      <c r="E19" s="13">
        <v>13</v>
      </c>
      <c r="F19" s="150" t="s">
        <v>105</v>
      </c>
      <c r="G19" s="156" t="s">
        <v>106</v>
      </c>
      <c r="H19" s="156"/>
      <c r="I19" s="156"/>
      <c r="J19" s="156"/>
      <c r="K19" s="26" t="s">
        <v>104</v>
      </c>
      <c r="L19" s="45">
        <v>1500000</v>
      </c>
      <c r="M19" s="26" t="s">
        <v>466</v>
      </c>
      <c r="N19" s="114">
        <v>99</v>
      </c>
      <c r="O19" s="91">
        <v>7.3430939999999998</v>
      </c>
      <c r="P19" s="22" t="s">
        <v>107</v>
      </c>
      <c r="Q19" s="17" t="s">
        <v>121</v>
      </c>
      <c r="R19" s="14" t="s">
        <v>122</v>
      </c>
      <c r="S19" s="640">
        <v>39654</v>
      </c>
      <c r="T19" s="640">
        <v>39660</v>
      </c>
      <c r="U19" s="40"/>
      <c r="V19" s="12"/>
      <c r="W19" s="257">
        <v>1503109.38</v>
      </c>
      <c r="X19" s="98"/>
      <c r="Y19" s="98"/>
      <c r="Z19" s="88"/>
      <c r="AA19" s="88">
        <v>7.125</v>
      </c>
      <c r="AB19" s="659">
        <v>41653</v>
      </c>
      <c r="AC19" s="92">
        <f t="shared" ca="1" si="0"/>
        <v>-2.7424657534246575</v>
      </c>
      <c r="AF19" s="161"/>
      <c r="AG19" s="77"/>
      <c r="AH19" s="77"/>
      <c r="AI19" s="77"/>
      <c r="AJ19" s="191"/>
      <c r="AK19" s="191"/>
      <c r="AL19" s="190"/>
      <c r="AM19" s="77"/>
    </row>
    <row r="20" spans="1:39" ht="38.25">
      <c r="A20" s="86"/>
      <c r="B20" s="86"/>
      <c r="C20" s="91"/>
      <c r="D20" s="91"/>
      <c r="E20" s="13">
        <v>14</v>
      </c>
      <c r="F20" s="178" t="s">
        <v>524</v>
      </c>
      <c r="G20" s="171" t="s">
        <v>512</v>
      </c>
      <c r="H20" s="171"/>
      <c r="I20" s="171"/>
      <c r="J20" s="171"/>
      <c r="K20" s="169" t="s">
        <v>104</v>
      </c>
      <c r="L20" s="179">
        <v>1000000</v>
      </c>
      <c r="M20" s="173" t="s">
        <v>92</v>
      </c>
      <c r="N20" s="174">
        <v>98.3125</v>
      </c>
      <c r="O20" s="169">
        <v>3.281431</v>
      </c>
      <c r="P20" s="175" t="s">
        <v>123</v>
      </c>
      <c r="Q20" s="175" t="s">
        <v>124</v>
      </c>
      <c r="R20" s="176" t="s">
        <v>125</v>
      </c>
      <c r="S20" s="641">
        <v>39654</v>
      </c>
      <c r="T20" s="641">
        <v>39660</v>
      </c>
      <c r="U20" s="177"/>
      <c r="V20" s="343"/>
      <c r="W20" s="181">
        <v>983125</v>
      </c>
      <c r="X20" s="181"/>
      <c r="Y20" s="181"/>
      <c r="Z20" s="183"/>
      <c r="AA20" s="184">
        <v>2.875</v>
      </c>
      <c r="AB20" s="828">
        <v>41305</v>
      </c>
      <c r="AC20" s="185">
        <f t="shared" ca="1" si="0"/>
        <v>-3.6958904109589041</v>
      </c>
      <c r="AF20" s="161"/>
      <c r="AG20" s="77"/>
      <c r="AH20" s="77"/>
      <c r="AI20" s="77"/>
      <c r="AJ20" s="191"/>
      <c r="AK20" s="54"/>
      <c r="AL20" s="190"/>
      <c r="AM20" s="77"/>
    </row>
    <row r="21" spans="1:39" ht="38.25">
      <c r="A21" s="86"/>
      <c r="B21" s="86"/>
      <c r="C21" s="91"/>
      <c r="D21" s="91"/>
      <c r="E21" s="13">
        <v>15</v>
      </c>
      <c r="F21" s="151" t="s">
        <v>525</v>
      </c>
      <c r="G21" s="158" t="s">
        <v>520</v>
      </c>
      <c r="H21" s="158"/>
      <c r="I21" s="158"/>
      <c r="J21" s="158"/>
      <c r="K21" s="13" t="s">
        <v>104</v>
      </c>
      <c r="L21" s="43">
        <v>1000000</v>
      </c>
      <c r="M21" s="26" t="s">
        <v>92</v>
      </c>
      <c r="N21" s="114">
        <v>105</v>
      </c>
      <c r="O21" s="91">
        <v>3.7329110000000001</v>
      </c>
      <c r="P21" s="22" t="s">
        <v>123</v>
      </c>
      <c r="Q21" s="22" t="s">
        <v>124</v>
      </c>
      <c r="R21" s="14" t="s">
        <v>125</v>
      </c>
      <c r="S21" s="640">
        <v>39654</v>
      </c>
      <c r="T21" s="640">
        <v>39660</v>
      </c>
      <c r="U21" s="40"/>
      <c r="V21" s="12"/>
      <c r="W21" s="257">
        <v>1070645.6000000001</v>
      </c>
      <c r="X21" s="98"/>
      <c r="Y21" s="98"/>
      <c r="Z21" s="88"/>
      <c r="AA21" s="33">
        <v>4.5</v>
      </c>
      <c r="AB21" s="829">
        <v>42415</v>
      </c>
      <c r="AC21" s="92">
        <f t="shared" ca="1" si="0"/>
        <v>-0.65479452054794518</v>
      </c>
      <c r="AF21" s="161"/>
      <c r="AG21" s="77"/>
      <c r="AH21" s="77"/>
      <c r="AI21" s="77"/>
      <c r="AJ21" s="191"/>
      <c r="AK21" s="54"/>
      <c r="AL21" s="190"/>
      <c r="AM21" s="77"/>
    </row>
    <row r="22" spans="1:39" ht="38.25">
      <c r="A22" s="86"/>
      <c r="B22" s="86"/>
      <c r="C22" s="91"/>
      <c r="D22" s="91"/>
      <c r="E22" s="13">
        <v>16</v>
      </c>
      <c r="F22" s="149" t="s">
        <v>126</v>
      </c>
      <c r="G22" s="158" t="s">
        <v>127</v>
      </c>
      <c r="H22" s="158"/>
      <c r="I22" s="158"/>
      <c r="J22" s="158"/>
      <c r="K22" s="13" t="s">
        <v>104</v>
      </c>
      <c r="L22" s="45">
        <v>1000000</v>
      </c>
      <c r="M22" s="19" t="s">
        <v>466</v>
      </c>
      <c r="N22" s="114">
        <v>101.375</v>
      </c>
      <c r="O22" s="91">
        <v>7.1764239999999999</v>
      </c>
      <c r="P22" s="32" t="s">
        <v>128</v>
      </c>
      <c r="Q22" s="20" t="s">
        <v>129</v>
      </c>
      <c r="R22" s="14" t="s">
        <v>130</v>
      </c>
      <c r="S22" s="640">
        <v>39660</v>
      </c>
      <c r="T22" s="640">
        <v>39666</v>
      </c>
      <c r="U22" s="40"/>
      <c r="V22" s="12"/>
      <c r="W22" s="257">
        <v>1015001.67</v>
      </c>
      <c r="X22" s="98"/>
      <c r="Y22" s="98"/>
      <c r="Z22" s="88"/>
      <c r="AA22" s="115">
        <v>7.51</v>
      </c>
      <c r="AB22" s="659">
        <v>41486</v>
      </c>
      <c r="AC22" s="92">
        <f t="shared" ca="1" si="0"/>
        <v>-3.2</v>
      </c>
      <c r="AF22" s="161"/>
      <c r="AG22" s="77"/>
      <c r="AH22" s="77"/>
      <c r="AI22" s="77"/>
      <c r="AJ22" s="191"/>
      <c r="AK22" s="191"/>
      <c r="AL22" s="190"/>
      <c r="AM22" s="77"/>
    </row>
    <row r="23" spans="1:39" ht="38.25">
      <c r="A23" s="86"/>
      <c r="B23" s="86"/>
      <c r="C23" s="91"/>
      <c r="D23" s="91"/>
      <c r="E23" s="91">
        <v>17</v>
      </c>
      <c r="F23" s="152" t="s">
        <v>131</v>
      </c>
      <c r="G23" s="158" t="s">
        <v>132</v>
      </c>
      <c r="H23" s="158"/>
      <c r="I23" s="158"/>
      <c r="J23" s="158"/>
      <c r="K23" s="91" t="s">
        <v>104</v>
      </c>
      <c r="L23" s="63">
        <v>1500000</v>
      </c>
      <c r="M23" s="46" t="s">
        <v>466</v>
      </c>
      <c r="N23" s="114">
        <v>104.28125</v>
      </c>
      <c r="O23" s="91">
        <v>3.4836689999999999</v>
      </c>
      <c r="P23" s="52" t="s">
        <v>133</v>
      </c>
      <c r="Q23" s="48" t="s">
        <v>134</v>
      </c>
      <c r="R23" s="109" t="s">
        <v>135</v>
      </c>
      <c r="S23" s="642">
        <v>39660</v>
      </c>
      <c r="T23" s="642">
        <v>39666</v>
      </c>
      <c r="U23" s="54"/>
      <c r="V23" s="55"/>
      <c r="W23" s="110">
        <v>1578597.15</v>
      </c>
      <c r="X23" s="110"/>
      <c r="Y23" s="110"/>
      <c r="Z23" s="115"/>
      <c r="AA23" s="86">
        <v>4.25</v>
      </c>
      <c r="AB23" s="661">
        <v>41958</v>
      </c>
      <c r="AC23" s="104">
        <f t="shared" ca="1" si="0"/>
        <v>-1.9068493150684931</v>
      </c>
      <c r="AD23" s="64"/>
      <c r="AF23" s="161"/>
      <c r="AG23" s="77"/>
      <c r="AH23" s="77"/>
      <c r="AI23" s="77"/>
      <c r="AJ23" s="191"/>
      <c r="AK23" s="54"/>
      <c r="AL23" s="190"/>
      <c r="AM23" s="77"/>
    </row>
    <row r="24" spans="1:39" ht="38.25">
      <c r="A24" s="103"/>
      <c r="B24" s="103"/>
      <c r="C24" s="65"/>
      <c r="D24" s="65"/>
      <c r="E24" s="65">
        <v>18</v>
      </c>
      <c r="F24" s="153" t="s">
        <v>536</v>
      </c>
      <c r="G24" s="159" t="s">
        <v>136</v>
      </c>
      <c r="H24" s="159"/>
      <c r="I24" s="159"/>
      <c r="J24" s="159"/>
      <c r="K24" s="65" t="s">
        <v>104</v>
      </c>
      <c r="L24" s="44">
        <v>1000000</v>
      </c>
      <c r="M24" s="34" t="s">
        <v>92</v>
      </c>
      <c r="N24" s="96">
        <v>99.319000000000003</v>
      </c>
      <c r="O24" s="65">
        <v>6.343</v>
      </c>
      <c r="P24" s="57" t="s">
        <v>137</v>
      </c>
      <c r="Q24" s="58" t="s">
        <v>138</v>
      </c>
      <c r="R24" s="39" t="s">
        <v>139</v>
      </c>
      <c r="S24" s="643">
        <v>39660</v>
      </c>
      <c r="T24" s="643">
        <v>39667</v>
      </c>
      <c r="U24" s="41"/>
      <c r="V24" s="66"/>
      <c r="W24" s="98">
        <v>993190</v>
      </c>
      <c r="X24" s="98">
        <f>SUM(W$7:W24)</f>
        <v>17737878.420000002</v>
      </c>
      <c r="Y24" s="98">
        <f>X24*7.8</f>
        <v>138355451.676</v>
      </c>
      <c r="Z24" s="99"/>
      <c r="AA24" s="99">
        <v>6.25</v>
      </c>
      <c r="AB24" s="662">
        <v>43319</v>
      </c>
      <c r="AC24" s="101">
        <f t="shared" ca="1" si="0"/>
        <v>1.821917808219178</v>
      </c>
      <c r="AF24" s="161"/>
      <c r="AG24" s="77"/>
      <c r="AH24" s="77"/>
      <c r="AI24" s="77"/>
      <c r="AJ24" s="191"/>
      <c r="AK24" s="191"/>
      <c r="AL24" s="190"/>
      <c r="AM24" s="77"/>
    </row>
    <row r="25" spans="1:39" ht="38.25">
      <c r="A25" s="86"/>
      <c r="B25" s="86"/>
      <c r="C25" s="91"/>
      <c r="D25" s="91"/>
      <c r="E25" s="169">
        <v>19</v>
      </c>
      <c r="F25" s="170" t="s">
        <v>140</v>
      </c>
      <c r="G25" s="171" t="s">
        <v>141</v>
      </c>
      <c r="H25" s="171"/>
      <c r="I25" s="171"/>
      <c r="J25" s="171"/>
      <c r="K25" s="169" t="s">
        <v>104</v>
      </c>
      <c r="L25" s="172">
        <v>2000000</v>
      </c>
      <c r="M25" s="173" t="s">
        <v>466</v>
      </c>
      <c r="N25" s="174">
        <v>104.484375</v>
      </c>
      <c r="O25" s="169">
        <v>3.890936</v>
      </c>
      <c r="P25" s="175" t="s">
        <v>123</v>
      </c>
      <c r="Q25" s="175" t="s">
        <v>124</v>
      </c>
      <c r="R25" s="176" t="s">
        <v>125</v>
      </c>
      <c r="S25" s="641">
        <v>39661</v>
      </c>
      <c r="T25" s="641">
        <v>39667</v>
      </c>
      <c r="U25" s="177"/>
      <c r="V25" s="343"/>
      <c r="W25" s="181">
        <v>2110230.98</v>
      </c>
      <c r="X25" s="110"/>
      <c r="Y25" s="110"/>
      <c r="Z25" s="115"/>
      <c r="AA25" s="86">
        <v>4.5</v>
      </c>
      <c r="AB25" s="661">
        <v>42931</v>
      </c>
      <c r="AC25" s="104">
        <f t="shared" ca="1" si="0"/>
        <v>0.75890410958904109</v>
      </c>
      <c r="AF25" s="161"/>
      <c r="AG25" s="77"/>
      <c r="AH25" s="77"/>
      <c r="AI25" s="77"/>
      <c r="AJ25" s="191"/>
      <c r="AK25" s="54"/>
      <c r="AL25" s="190"/>
      <c r="AM25" s="77"/>
    </row>
    <row r="26" spans="1:39" ht="38.25">
      <c r="A26" s="86"/>
      <c r="B26" s="86"/>
      <c r="C26" s="91"/>
      <c r="D26" s="91"/>
      <c r="E26" s="13">
        <v>20</v>
      </c>
      <c r="F26" s="178" t="s">
        <v>526</v>
      </c>
      <c r="G26" s="171" t="s">
        <v>521</v>
      </c>
      <c r="H26" s="171"/>
      <c r="I26" s="171"/>
      <c r="J26" s="171"/>
      <c r="K26" s="169" t="s">
        <v>104</v>
      </c>
      <c r="L26" s="179">
        <v>1000000</v>
      </c>
      <c r="M26" s="173" t="s">
        <v>92</v>
      </c>
      <c r="N26" s="188">
        <v>101.953125</v>
      </c>
      <c r="O26" s="169">
        <v>3.9948039999999998</v>
      </c>
      <c r="P26" s="180" t="s">
        <v>133</v>
      </c>
      <c r="Q26" s="189" t="s">
        <v>134</v>
      </c>
      <c r="R26" s="187" t="s">
        <v>135</v>
      </c>
      <c r="S26" s="641">
        <v>39667</v>
      </c>
      <c r="T26" s="641">
        <v>39673</v>
      </c>
      <c r="U26" s="177"/>
      <c r="V26" s="343"/>
      <c r="W26" s="181">
        <v>1029925.27</v>
      </c>
      <c r="X26" s="110"/>
      <c r="Y26" s="110"/>
      <c r="Z26" s="115"/>
      <c r="AA26" s="33">
        <v>4.25</v>
      </c>
      <c r="AB26" s="829">
        <v>43054</v>
      </c>
      <c r="AC26" s="92">
        <f t="shared" ca="1" si="0"/>
        <v>1.095890410958904</v>
      </c>
      <c r="AF26" s="161"/>
      <c r="AG26" s="77"/>
      <c r="AH26" s="77"/>
      <c r="AI26" s="77"/>
      <c r="AJ26" s="191"/>
      <c r="AK26" s="54"/>
      <c r="AL26" s="190"/>
      <c r="AM26" s="77"/>
    </row>
    <row r="27" spans="1:39" ht="38.25">
      <c r="A27" s="86"/>
      <c r="B27" s="86"/>
      <c r="C27" s="91"/>
      <c r="D27" s="91"/>
      <c r="E27" s="13">
        <v>21</v>
      </c>
      <c r="F27" s="154" t="s">
        <v>142</v>
      </c>
      <c r="G27" s="158" t="s">
        <v>143</v>
      </c>
      <c r="H27" s="158"/>
      <c r="I27" s="158"/>
      <c r="J27" s="158"/>
      <c r="K27" s="13" t="s">
        <v>104</v>
      </c>
      <c r="L27" s="43">
        <v>1000000</v>
      </c>
      <c r="M27" s="26" t="s">
        <v>92</v>
      </c>
      <c r="N27" s="147">
        <v>104.140625</v>
      </c>
      <c r="O27" s="91">
        <v>3.5765359999999999</v>
      </c>
      <c r="P27" s="52" t="s">
        <v>133</v>
      </c>
      <c r="Q27" s="48" t="s">
        <v>134</v>
      </c>
      <c r="R27" s="109" t="s">
        <v>135</v>
      </c>
      <c r="S27" s="642">
        <v>39667</v>
      </c>
      <c r="T27" s="642">
        <v>39673</v>
      </c>
      <c r="U27" s="54"/>
      <c r="V27" s="12"/>
      <c r="W27" s="257">
        <v>1062422.73</v>
      </c>
      <c r="X27" s="110"/>
      <c r="Y27" s="110"/>
      <c r="Z27" s="115"/>
      <c r="AA27" s="33">
        <v>4.25</v>
      </c>
      <c r="AB27" s="829">
        <v>42231</v>
      </c>
      <c r="AC27" s="92">
        <f t="shared" ca="1" si="0"/>
        <v>-1.1589041095890411</v>
      </c>
      <c r="AF27" s="161"/>
      <c r="AG27" s="77"/>
      <c r="AH27" s="77"/>
      <c r="AI27" s="77"/>
      <c r="AJ27" s="191"/>
      <c r="AK27" s="54"/>
      <c r="AL27" s="190"/>
      <c r="AM27" s="77"/>
    </row>
    <row r="28" spans="1:39" ht="38.25">
      <c r="A28" s="86"/>
      <c r="B28" s="86"/>
      <c r="C28" s="91"/>
      <c r="D28" s="91"/>
      <c r="E28" s="13">
        <v>22</v>
      </c>
      <c r="F28" s="149" t="s">
        <v>126</v>
      </c>
      <c r="G28" s="158" t="s">
        <v>127</v>
      </c>
      <c r="H28" s="158"/>
      <c r="I28" s="158"/>
      <c r="J28" s="158"/>
      <c r="K28" s="13" t="s">
        <v>104</v>
      </c>
      <c r="L28" s="45">
        <v>500000</v>
      </c>
      <c r="M28" s="19" t="s">
        <v>466</v>
      </c>
      <c r="N28" s="114">
        <v>101.375</v>
      </c>
      <c r="O28" s="91">
        <v>7.1747909999999999</v>
      </c>
      <c r="P28" s="32" t="s">
        <v>128</v>
      </c>
      <c r="Q28" s="20" t="s">
        <v>129</v>
      </c>
      <c r="R28" s="14" t="s">
        <v>130</v>
      </c>
      <c r="S28" s="642">
        <v>39667</v>
      </c>
      <c r="T28" s="642">
        <v>39673</v>
      </c>
      <c r="U28" s="54"/>
      <c r="V28" s="12"/>
      <c r="W28" s="257">
        <v>508230.97</v>
      </c>
      <c r="X28" s="110"/>
      <c r="Y28" s="110"/>
      <c r="Z28" s="115"/>
      <c r="AA28" s="115">
        <v>7.51</v>
      </c>
      <c r="AB28" s="659">
        <v>41486</v>
      </c>
      <c r="AC28" s="92">
        <f t="shared" ca="1" si="0"/>
        <v>-3.2</v>
      </c>
      <c r="AF28" s="161"/>
      <c r="AG28" s="77"/>
      <c r="AH28" s="77"/>
      <c r="AI28" s="77"/>
      <c r="AJ28" s="191"/>
      <c r="AK28" s="191"/>
      <c r="AL28" s="190"/>
      <c r="AM28" s="77"/>
    </row>
    <row r="29" spans="1:39" ht="38.25">
      <c r="A29" s="86"/>
      <c r="B29" s="86"/>
      <c r="C29" s="91"/>
      <c r="D29" s="91"/>
      <c r="E29" s="13">
        <v>23</v>
      </c>
      <c r="F29" s="154" t="s">
        <v>144</v>
      </c>
      <c r="G29" s="158" t="s">
        <v>145</v>
      </c>
      <c r="H29" s="158"/>
      <c r="I29" s="158"/>
      <c r="J29" s="158"/>
      <c r="K29" s="13" t="s">
        <v>104</v>
      </c>
      <c r="L29" s="63">
        <v>2000000</v>
      </c>
      <c r="M29" s="19" t="s">
        <v>466</v>
      </c>
      <c r="N29" s="114">
        <v>99.941000000000003</v>
      </c>
      <c r="O29" s="91">
        <v>6.5140149999999997</v>
      </c>
      <c r="P29" s="22" t="s">
        <v>107</v>
      </c>
      <c r="Q29" s="17" t="s">
        <v>108</v>
      </c>
      <c r="R29" s="14" t="s">
        <v>109</v>
      </c>
      <c r="S29" s="642">
        <v>39672</v>
      </c>
      <c r="T29" s="642">
        <v>39679</v>
      </c>
      <c r="U29" s="54"/>
      <c r="V29" s="12"/>
      <c r="W29" s="257">
        <v>1998820</v>
      </c>
      <c r="X29" s="110"/>
      <c r="Y29" s="110"/>
      <c r="Z29" s="115"/>
      <c r="AA29" s="115">
        <v>6.5</v>
      </c>
      <c r="AB29" s="659">
        <v>41505</v>
      </c>
      <c r="AC29" s="92">
        <f t="shared" ca="1" si="0"/>
        <v>-3.1479452054794521</v>
      </c>
      <c r="AF29" s="161"/>
      <c r="AG29" s="77"/>
      <c r="AH29" s="77"/>
      <c r="AI29" s="77"/>
      <c r="AJ29" s="191"/>
      <c r="AK29" s="191"/>
      <c r="AL29" s="190"/>
      <c r="AM29" s="77"/>
    </row>
    <row r="30" spans="1:39" ht="38.25">
      <c r="A30" s="103"/>
      <c r="B30" s="103"/>
      <c r="C30" s="65"/>
      <c r="D30" s="65"/>
      <c r="E30" s="65">
        <v>24</v>
      </c>
      <c r="F30" s="164" t="s">
        <v>146</v>
      </c>
      <c r="G30" s="159" t="s">
        <v>147</v>
      </c>
      <c r="H30" s="159"/>
      <c r="I30" s="159"/>
      <c r="J30" s="159"/>
      <c r="K30" s="65" t="s">
        <v>104</v>
      </c>
      <c r="L30" s="95">
        <v>2000000</v>
      </c>
      <c r="M30" s="68" t="s">
        <v>466</v>
      </c>
      <c r="N30" s="96">
        <v>100.84375</v>
      </c>
      <c r="O30" s="65">
        <v>3.1889509999999999</v>
      </c>
      <c r="P30" s="37" t="s">
        <v>148</v>
      </c>
      <c r="Q30" s="38" t="s">
        <v>149</v>
      </c>
      <c r="R30" s="165" t="s">
        <v>150</v>
      </c>
      <c r="S30" s="643">
        <v>39674</v>
      </c>
      <c r="T30" s="643">
        <v>39680</v>
      </c>
      <c r="U30" s="41"/>
      <c r="V30" s="66"/>
      <c r="W30" s="98">
        <v>2020543.48</v>
      </c>
      <c r="X30" s="98"/>
      <c r="Y30" s="98"/>
      <c r="Z30" s="99"/>
      <c r="AA30" s="99">
        <v>3.375</v>
      </c>
      <c r="AB30" s="662">
        <v>41486</v>
      </c>
      <c r="AC30" s="101">
        <f t="shared" ca="1" si="0"/>
        <v>-3.2</v>
      </c>
      <c r="AD30" s="102"/>
      <c r="AE30" s="102"/>
      <c r="AF30" s="162"/>
      <c r="AG30" s="78"/>
      <c r="AH30" s="78"/>
      <c r="AI30" s="78"/>
      <c r="AJ30" s="191"/>
      <c r="AK30" s="54"/>
      <c r="AL30" s="190"/>
      <c r="AM30" s="77"/>
    </row>
    <row r="31" spans="1:39" ht="38.25">
      <c r="A31" s="13"/>
      <c r="B31" s="13"/>
      <c r="C31" s="13"/>
      <c r="D31" s="13"/>
      <c r="E31" s="13">
        <v>25</v>
      </c>
      <c r="F31" s="55" t="s">
        <v>151</v>
      </c>
      <c r="G31" s="53" t="s">
        <v>152</v>
      </c>
      <c r="H31" s="53"/>
      <c r="I31" s="53"/>
      <c r="J31" s="53"/>
      <c r="K31" s="46" t="s">
        <v>104</v>
      </c>
      <c r="L31" s="105">
        <v>1000000</v>
      </c>
      <c r="M31" s="46" t="s">
        <v>466</v>
      </c>
      <c r="N31" s="69">
        <v>92.372</v>
      </c>
      <c r="O31" s="91">
        <v>6.6123368999999999</v>
      </c>
      <c r="P31" s="111" t="s">
        <v>153</v>
      </c>
      <c r="Q31" s="112" t="s">
        <v>154</v>
      </c>
      <c r="R31" s="53" t="s">
        <v>155</v>
      </c>
      <c r="S31" s="642">
        <v>39703</v>
      </c>
      <c r="T31" s="642">
        <v>39709</v>
      </c>
      <c r="U31" s="54"/>
      <c r="V31" s="12"/>
      <c r="W31" s="257">
        <v>948206.11</v>
      </c>
      <c r="X31" s="110"/>
      <c r="Y31" s="110"/>
      <c r="Z31" s="115"/>
      <c r="AA31" s="86">
        <v>5.375</v>
      </c>
      <c r="AB31" s="661">
        <v>42647</v>
      </c>
      <c r="AC31" s="92">
        <f t="shared" ca="1" si="0"/>
        <v>-1.9178082191780823E-2</v>
      </c>
      <c r="AF31" s="161"/>
      <c r="AG31" s="77"/>
      <c r="AH31" s="77"/>
      <c r="AI31" s="77"/>
      <c r="AJ31" s="191"/>
      <c r="AK31" s="191"/>
      <c r="AL31" s="190"/>
      <c r="AM31" s="77"/>
    </row>
    <row r="32" spans="1:39" s="61" customFormat="1">
      <c r="A32" s="258"/>
      <c r="B32" s="258"/>
      <c r="C32" s="62"/>
      <c r="D32" s="62"/>
      <c r="E32" s="62"/>
      <c r="F32" s="263"/>
      <c r="G32" s="264"/>
      <c r="H32" s="264"/>
      <c r="I32" s="264"/>
      <c r="J32" s="264"/>
      <c r="K32" s="62"/>
      <c r="L32" s="282"/>
      <c r="M32" s="283"/>
      <c r="N32" s="252"/>
      <c r="O32" s="62"/>
      <c r="P32" s="284"/>
      <c r="Q32" s="254"/>
      <c r="R32" s="247"/>
      <c r="S32" s="644"/>
      <c r="T32" s="644"/>
      <c r="U32" s="256"/>
      <c r="V32" s="246"/>
      <c r="W32" s="257"/>
      <c r="X32" s="257"/>
      <c r="Y32" s="257"/>
      <c r="Z32" s="285"/>
      <c r="AA32" s="285"/>
      <c r="AB32" s="665"/>
      <c r="AC32" s="259"/>
    </row>
    <row r="33" spans="1:41" ht="38.25">
      <c r="A33" s="13"/>
      <c r="B33" s="13"/>
      <c r="C33" s="13"/>
      <c r="D33" s="13"/>
      <c r="E33" s="13">
        <v>26</v>
      </c>
      <c r="F33" s="55" t="s">
        <v>156</v>
      </c>
      <c r="G33" s="53" t="s">
        <v>157</v>
      </c>
      <c r="H33" s="112" t="s">
        <v>158</v>
      </c>
      <c r="I33" s="112" t="s">
        <v>159</v>
      </c>
      <c r="J33" s="204">
        <f>(AB33-S33)/365</f>
        <v>5.0191780821917806</v>
      </c>
      <c r="K33" s="46" t="s">
        <v>104</v>
      </c>
      <c r="L33" s="105">
        <v>7500000</v>
      </c>
      <c r="M33" s="46" t="s">
        <v>466</v>
      </c>
      <c r="N33" s="69">
        <v>99.991</v>
      </c>
      <c r="O33" s="91">
        <v>4.7120414000000004</v>
      </c>
      <c r="P33" s="203" t="s">
        <v>160</v>
      </c>
      <c r="Q33" s="20" t="s">
        <v>161</v>
      </c>
      <c r="R33" s="29" t="s">
        <v>162</v>
      </c>
      <c r="S33" s="642">
        <v>40289</v>
      </c>
      <c r="T33" s="642">
        <v>40295</v>
      </c>
      <c r="U33" s="229" t="s">
        <v>163</v>
      </c>
      <c r="V33" s="12"/>
      <c r="W33" s="257">
        <v>7499325</v>
      </c>
      <c r="X33" s="110"/>
      <c r="Y33" s="117" t="e">
        <f>W33*#REF!</f>
        <v>#REF!</v>
      </c>
      <c r="Z33" s="115"/>
      <c r="AA33" s="86">
        <v>4.71</v>
      </c>
      <c r="AB33" s="661">
        <v>42121</v>
      </c>
      <c r="AC33" s="92">
        <f t="shared" ca="1" si="0"/>
        <v>-1.4602739726027398</v>
      </c>
      <c r="AF33" s="161"/>
      <c r="AG33" s="77"/>
      <c r="AH33" s="77"/>
      <c r="AI33" s="77"/>
      <c r="AJ33" s="191"/>
      <c r="AK33" s="191"/>
      <c r="AL33" s="190"/>
      <c r="AM33" s="77"/>
    </row>
    <row r="34" spans="1:41" ht="63.75">
      <c r="A34" s="13"/>
      <c r="B34" s="13"/>
      <c r="C34" s="13"/>
      <c r="D34" s="13"/>
      <c r="E34" s="13">
        <v>27</v>
      </c>
      <c r="F34" s="55" t="s">
        <v>164</v>
      </c>
      <c r="G34" s="53" t="s">
        <v>165</v>
      </c>
      <c r="H34" s="112" t="s">
        <v>158</v>
      </c>
      <c r="I34" s="112" t="s">
        <v>166</v>
      </c>
      <c r="J34" s="204">
        <f>(AB34-S34)/365</f>
        <v>5.0191780821917806</v>
      </c>
      <c r="K34" s="46" t="s">
        <v>104</v>
      </c>
      <c r="L34" s="105">
        <v>5000000</v>
      </c>
      <c r="M34" s="46" t="s">
        <v>466</v>
      </c>
      <c r="N34" s="69">
        <v>99.941000000000003</v>
      </c>
      <c r="O34" s="91">
        <v>3.8630895000000001</v>
      </c>
      <c r="P34" s="52" t="s">
        <v>133</v>
      </c>
      <c r="Q34" s="48" t="s">
        <v>167</v>
      </c>
      <c r="R34" s="109" t="s">
        <v>168</v>
      </c>
      <c r="S34" s="642">
        <v>40289</v>
      </c>
      <c r="T34" s="642">
        <v>40295</v>
      </c>
      <c r="U34" s="229" t="s">
        <v>163</v>
      </c>
      <c r="V34" s="12"/>
      <c r="W34" s="257">
        <v>4997050</v>
      </c>
      <c r="X34" s="110"/>
      <c r="Y34" s="117" t="e">
        <f>W34*#REF!</f>
        <v>#REF!</v>
      </c>
      <c r="Z34" s="115"/>
      <c r="AA34" s="86">
        <v>3.85</v>
      </c>
      <c r="AB34" s="661">
        <v>42121</v>
      </c>
      <c r="AC34" s="92">
        <f t="shared" ca="1" si="0"/>
        <v>-1.4602739726027398</v>
      </c>
      <c r="AF34" s="161"/>
      <c r="AG34" s="77"/>
      <c r="AH34" s="77"/>
      <c r="AI34" s="77"/>
      <c r="AJ34" s="191"/>
      <c r="AK34" s="191"/>
      <c r="AL34" s="190"/>
      <c r="AM34" s="77"/>
    </row>
    <row r="35" spans="1:41" ht="38.25">
      <c r="A35" s="13"/>
      <c r="B35" s="13"/>
      <c r="C35" s="13"/>
      <c r="D35" s="13"/>
      <c r="E35" s="13">
        <v>28</v>
      </c>
      <c r="F35" s="55" t="s">
        <v>169</v>
      </c>
      <c r="G35" s="53" t="s">
        <v>170</v>
      </c>
      <c r="H35" s="112" t="s">
        <v>171</v>
      </c>
      <c r="I35" s="112" t="s">
        <v>159</v>
      </c>
      <c r="J35" s="204">
        <f>(AB35-S35)/365</f>
        <v>5.515068493150685</v>
      </c>
      <c r="K35" s="46" t="s">
        <v>104</v>
      </c>
      <c r="L35" s="105">
        <v>7000000</v>
      </c>
      <c r="M35" s="46" t="s">
        <v>466</v>
      </c>
      <c r="N35" s="69">
        <v>99.835999999999999</v>
      </c>
      <c r="O35" s="91">
        <v>4.5340254</v>
      </c>
      <c r="P35" s="203" t="s">
        <v>107</v>
      </c>
      <c r="Q35" s="20" t="s">
        <v>121</v>
      </c>
      <c r="R35" s="14" t="s">
        <v>172</v>
      </c>
      <c r="S35" s="642">
        <v>40294</v>
      </c>
      <c r="T35" s="642">
        <v>40298</v>
      </c>
      <c r="U35" s="229" t="s">
        <v>163</v>
      </c>
      <c r="V35" s="12"/>
      <c r="W35" s="257">
        <v>6988520</v>
      </c>
      <c r="X35" s="110"/>
      <c r="Y35" s="117" t="e">
        <f>W35*#REF!</f>
        <v>#REF!</v>
      </c>
      <c r="Z35" s="115"/>
      <c r="AA35" s="86">
        <v>4.5</v>
      </c>
      <c r="AB35" s="661">
        <v>42307</v>
      </c>
      <c r="AC35" s="92">
        <f t="shared" ca="1" si="0"/>
        <v>-0.9506849315068493</v>
      </c>
      <c r="AF35" s="161"/>
      <c r="AG35" s="77"/>
      <c r="AH35" s="77"/>
      <c r="AI35" s="77"/>
      <c r="AJ35" s="191"/>
      <c r="AK35" s="191"/>
      <c r="AL35" s="190"/>
      <c r="AM35" s="77"/>
    </row>
    <row r="36" spans="1:41" s="102" customFormat="1" ht="38.25">
      <c r="A36" s="65"/>
      <c r="B36" s="65"/>
      <c r="C36" s="65"/>
      <c r="D36" s="65"/>
      <c r="E36" s="65">
        <v>29</v>
      </c>
      <c r="F36" s="66" t="s">
        <v>156</v>
      </c>
      <c r="G36" s="39" t="s">
        <v>157</v>
      </c>
      <c r="H36" s="58" t="s">
        <v>158</v>
      </c>
      <c r="I36" s="58" t="s">
        <v>159</v>
      </c>
      <c r="J36" s="205">
        <f>(AB36-S36)/365</f>
        <v>4.9260273972602739</v>
      </c>
      <c r="K36" s="34" t="s">
        <v>104</v>
      </c>
      <c r="L36" s="140">
        <v>3000000</v>
      </c>
      <c r="M36" s="34" t="s">
        <v>466</v>
      </c>
      <c r="N36" s="96">
        <v>91.76</v>
      </c>
      <c r="O36" s="65">
        <v>6.7046196</v>
      </c>
      <c r="P36" s="37" t="s">
        <v>173</v>
      </c>
      <c r="Q36" s="37" t="s">
        <v>174</v>
      </c>
      <c r="R36" s="39" t="s">
        <v>175</v>
      </c>
      <c r="S36" s="643">
        <v>40323</v>
      </c>
      <c r="T36" s="643">
        <v>40326</v>
      </c>
      <c r="U36" s="245" t="s">
        <v>163</v>
      </c>
      <c r="V36" s="66"/>
      <c r="W36" s="98">
        <v>2764967.5</v>
      </c>
      <c r="X36" s="98"/>
      <c r="Y36" s="78" t="e">
        <f>W36*#REF!</f>
        <v>#REF!</v>
      </c>
      <c r="Z36" s="99"/>
      <c r="AA36" s="103">
        <v>4.71</v>
      </c>
      <c r="AB36" s="662">
        <v>42121</v>
      </c>
      <c r="AC36" s="101">
        <f t="shared" ca="1" si="0"/>
        <v>-1.4602739726027398</v>
      </c>
      <c r="AF36" s="162"/>
      <c r="AG36" s="78"/>
      <c r="AH36" s="78"/>
      <c r="AI36" s="78"/>
      <c r="AJ36" s="280"/>
      <c r="AK36" s="280"/>
      <c r="AL36" s="206"/>
      <c r="AM36" s="78"/>
    </row>
    <row r="37" spans="1:41" s="61" customFormat="1" ht="38.25">
      <c r="A37" s="62"/>
      <c r="B37" s="62"/>
      <c r="C37" s="376"/>
      <c r="D37" s="62"/>
      <c r="E37" s="62">
        <v>30</v>
      </c>
      <c r="F37" s="246" t="s">
        <v>814</v>
      </c>
      <c r="G37" s="247" t="s">
        <v>176</v>
      </c>
      <c r="H37" s="248" t="s">
        <v>177</v>
      </c>
      <c r="I37" s="248" t="s">
        <v>177</v>
      </c>
      <c r="J37" s="249" t="s">
        <v>178</v>
      </c>
      <c r="K37" s="250" t="s">
        <v>465</v>
      </c>
      <c r="L37" s="251">
        <v>1000000</v>
      </c>
      <c r="M37" s="250" t="s">
        <v>466</v>
      </c>
      <c r="N37" s="252">
        <v>100</v>
      </c>
      <c r="O37" s="62">
        <v>6.7989790000000001</v>
      </c>
      <c r="P37" s="253" t="s">
        <v>179</v>
      </c>
      <c r="Q37" s="254" t="s">
        <v>94</v>
      </c>
      <c r="R37" s="255" t="s">
        <v>180</v>
      </c>
      <c r="S37" s="644">
        <v>40535</v>
      </c>
      <c r="T37" s="644">
        <v>40541</v>
      </c>
      <c r="U37" s="286" t="s">
        <v>163</v>
      </c>
      <c r="V37" s="246"/>
      <c r="W37" s="257">
        <v>1014544.44</v>
      </c>
      <c r="X37" s="257"/>
      <c r="Y37" s="82" t="e">
        <f>W37*#REF!</f>
        <v>#REF!</v>
      </c>
      <c r="Z37" s="377"/>
      <c r="AA37" s="258">
        <v>6.8</v>
      </c>
      <c r="AB37" s="665">
        <v>146383</v>
      </c>
      <c r="AC37" s="259">
        <f t="shared" ca="1" si="0"/>
        <v>284.18904109589039</v>
      </c>
      <c r="AF37" s="260"/>
      <c r="AG37" s="82"/>
      <c r="AH37" s="82"/>
      <c r="AI37" s="82"/>
      <c r="AJ37" s="89"/>
      <c r="AK37" s="89"/>
      <c r="AL37" s="261"/>
      <c r="AM37" s="82"/>
    </row>
    <row r="38" spans="1:41" ht="38.25">
      <c r="A38" s="13"/>
      <c r="B38" s="13"/>
      <c r="C38" s="265"/>
      <c r="D38" s="13"/>
      <c r="E38" s="13">
        <v>31</v>
      </c>
      <c r="F38" s="55" t="s">
        <v>814</v>
      </c>
      <c r="G38" s="53" t="s">
        <v>176</v>
      </c>
      <c r="H38" s="17" t="s">
        <v>177</v>
      </c>
      <c r="I38" s="17" t="s">
        <v>177</v>
      </c>
      <c r="J38" s="204" t="s">
        <v>178</v>
      </c>
      <c r="K38" s="46" t="s">
        <v>465</v>
      </c>
      <c r="L38" s="24">
        <v>1000000</v>
      </c>
      <c r="M38" s="46" t="s">
        <v>466</v>
      </c>
      <c r="N38" s="114">
        <v>97.5</v>
      </c>
      <c r="O38" s="91">
        <v>6.9871090000000002</v>
      </c>
      <c r="P38" s="203" t="s">
        <v>179</v>
      </c>
      <c r="Q38" s="20" t="s">
        <v>94</v>
      </c>
      <c r="R38" s="29" t="s">
        <v>180</v>
      </c>
      <c r="S38" s="642">
        <v>40597</v>
      </c>
      <c r="T38" s="642">
        <v>40602</v>
      </c>
      <c r="U38" s="229" t="s">
        <v>163</v>
      </c>
      <c r="V38" s="55"/>
      <c r="W38" s="110">
        <v>1000688.89</v>
      </c>
      <c r="X38" s="110"/>
      <c r="Y38" s="117" t="e">
        <f>W38*#REF!</f>
        <v>#REF!</v>
      </c>
      <c r="Z38" s="378"/>
      <c r="AA38" s="86">
        <v>6.8</v>
      </c>
      <c r="AB38" s="661">
        <v>146383</v>
      </c>
      <c r="AC38" s="92">
        <f t="shared" ca="1" si="0"/>
        <v>284.18904109589039</v>
      </c>
      <c r="AF38" s="161"/>
      <c r="AG38" s="77"/>
      <c r="AH38" s="77"/>
      <c r="AI38" s="77"/>
      <c r="AJ38" s="191"/>
      <c r="AK38" s="191"/>
      <c r="AL38" s="190"/>
      <c r="AM38" s="77"/>
      <c r="AO38" s="83"/>
    </row>
    <row r="39" spans="1:41" ht="25.5">
      <c r="A39" s="13"/>
      <c r="B39" s="13"/>
      <c r="C39" s="265"/>
      <c r="D39" s="13"/>
      <c r="E39" s="13">
        <v>32</v>
      </c>
      <c r="F39" s="55" t="s">
        <v>814</v>
      </c>
      <c r="G39" s="53" t="s">
        <v>176</v>
      </c>
      <c r="H39" s="17" t="s">
        <v>177</v>
      </c>
      <c r="I39" s="17" t="s">
        <v>177</v>
      </c>
      <c r="J39" s="204" t="s">
        <v>178</v>
      </c>
      <c r="K39" s="46" t="s">
        <v>465</v>
      </c>
      <c r="L39" s="24">
        <v>1000000</v>
      </c>
      <c r="M39" s="46" t="s">
        <v>466</v>
      </c>
      <c r="N39" s="114">
        <v>97</v>
      </c>
      <c r="O39" s="91">
        <v>7.0260009999999999</v>
      </c>
      <c r="P39" s="203" t="s">
        <v>179</v>
      </c>
      <c r="Q39" s="20" t="s">
        <v>181</v>
      </c>
      <c r="R39" s="29" t="s">
        <v>182</v>
      </c>
      <c r="S39" s="642">
        <v>40612</v>
      </c>
      <c r="T39" s="642">
        <v>40617</v>
      </c>
      <c r="U39" s="229" t="s">
        <v>163</v>
      </c>
      <c r="V39" s="55"/>
      <c r="W39" s="110">
        <v>998900</v>
      </c>
      <c r="X39" s="110"/>
      <c r="Y39" s="117" t="e">
        <f>W39*#REF!</f>
        <v>#REF!</v>
      </c>
      <c r="Z39" s="378"/>
      <c r="AA39" s="86">
        <v>6.8</v>
      </c>
      <c r="AB39" s="661">
        <v>146383</v>
      </c>
      <c r="AC39" s="92">
        <f t="shared" ca="1" si="0"/>
        <v>284.18904109589039</v>
      </c>
      <c r="AF39" s="161"/>
      <c r="AG39" s="77"/>
      <c r="AH39" s="77"/>
      <c r="AI39" s="77"/>
      <c r="AJ39" s="191"/>
      <c r="AK39" s="191"/>
      <c r="AL39" s="190"/>
      <c r="AM39" s="77"/>
      <c r="AO39" s="83"/>
    </row>
    <row r="40" spans="1:41" ht="38.25">
      <c r="A40" s="310"/>
      <c r="B40" s="13"/>
      <c r="C40" s="13"/>
      <c r="D40" s="13"/>
      <c r="E40" s="13">
        <v>33</v>
      </c>
      <c r="F40" s="55" t="s">
        <v>183</v>
      </c>
      <c r="G40" s="53" t="s">
        <v>176</v>
      </c>
      <c r="H40" s="17" t="s">
        <v>177</v>
      </c>
      <c r="I40" s="17" t="s">
        <v>177</v>
      </c>
      <c r="J40" s="204" t="s">
        <v>178</v>
      </c>
      <c r="K40" s="46" t="s">
        <v>465</v>
      </c>
      <c r="L40" s="24">
        <v>1000000</v>
      </c>
      <c r="M40" s="46" t="s">
        <v>466</v>
      </c>
      <c r="N40" s="69">
        <v>96</v>
      </c>
      <c r="O40" s="91">
        <v>7.1045447900000003</v>
      </c>
      <c r="P40" s="203" t="s">
        <v>160</v>
      </c>
      <c r="Q40" s="20" t="s">
        <v>161</v>
      </c>
      <c r="R40" s="29" t="s">
        <v>162</v>
      </c>
      <c r="S40" s="642">
        <v>40627</v>
      </c>
      <c r="T40" s="642">
        <v>40632</v>
      </c>
      <c r="U40" s="229" t="s">
        <v>163</v>
      </c>
      <c r="V40" s="12"/>
      <c r="W40" s="110">
        <v>991733.33</v>
      </c>
      <c r="X40" s="110"/>
      <c r="Y40" s="117" t="e">
        <f>W40*#REF!</f>
        <v>#REF!</v>
      </c>
      <c r="Z40" s="115"/>
      <c r="AA40" s="86">
        <v>6.8</v>
      </c>
      <c r="AB40" s="661">
        <v>146383</v>
      </c>
      <c r="AC40" s="92">
        <f t="shared" ca="1" si="0"/>
        <v>284.18904109589039</v>
      </c>
      <c r="AF40" s="161"/>
      <c r="AG40" s="77"/>
      <c r="AH40" s="77"/>
      <c r="AI40" s="77"/>
      <c r="AJ40" s="191"/>
      <c r="AK40" s="191"/>
      <c r="AL40" s="190"/>
      <c r="AM40" s="77"/>
      <c r="AO40" s="83"/>
    </row>
    <row r="41" spans="1:41" s="55" customFormat="1" ht="38.25">
      <c r="A41" s="265"/>
      <c r="B41" s="91"/>
      <c r="C41" s="91"/>
      <c r="D41" s="91"/>
      <c r="E41" s="277">
        <v>36</v>
      </c>
      <c r="F41" s="55" t="s">
        <v>247</v>
      </c>
      <c r="G41" s="109" t="s">
        <v>248</v>
      </c>
      <c r="H41" s="112" t="s">
        <v>261</v>
      </c>
      <c r="I41" s="112" t="s">
        <v>261</v>
      </c>
      <c r="J41" s="319">
        <f t="shared" ref="J41:J46" si="1">(AB41-T41)/365</f>
        <v>2.9698630136986299</v>
      </c>
      <c r="K41" s="46" t="s">
        <v>465</v>
      </c>
      <c r="L41" s="341">
        <v>10000000</v>
      </c>
      <c r="M41" s="46" t="s">
        <v>273</v>
      </c>
      <c r="N41" s="114">
        <v>101.15</v>
      </c>
      <c r="O41" s="91">
        <v>5.3750669999999996</v>
      </c>
      <c r="P41" s="227" t="s">
        <v>249</v>
      </c>
      <c r="Q41" s="48" t="s">
        <v>250</v>
      </c>
      <c r="R41" s="109" t="s">
        <v>207</v>
      </c>
      <c r="S41" s="642">
        <v>41254</v>
      </c>
      <c r="T41" s="642">
        <v>41261</v>
      </c>
      <c r="U41" s="229" t="s">
        <v>753</v>
      </c>
      <c r="W41" s="117">
        <v>10132479.449999999</v>
      </c>
      <c r="X41" s="110">
        <v>1.22</v>
      </c>
      <c r="Y41" s="117">
        <f t="shared" ref="Y41:Y46" si="2">X41*W41</f>
        <v>12361624.929</v>
      </c>
      <c r="Z41" s="117"/>
      <c r="AA41" s="86">
        <v>5.8</v>
      </c>
      <c r="AB41" s="642">
        <v>42345</v>
      </c>
      <c r="AC41" s="104">
        <f t="shared" ref="AC41:AC46" si="3">(AB41-S41)/365</f>
        <v>2.989041095890411</v>
      </c>
      <c r="AD41" s="53"/>
      <c r="AF41" s="214"/>
      <c r="AG41" s="215"/>
    </row>
    <row r="42" spans="1:41" s="55" customFormat="1" ht="38.25">
      <c r="A42" s="265"/>
      <c r="B42" s="91"/>
      <c r="C42" s="91"/>
      <c r="D42" s="91"/>
      <c r="E42" s="277">
        <v>37</v>
      </c>
      <c r="F42" s="55" t="s">
        <v>247</v>
      </c>
      <c r="G42" s="109" t="s">
        <v>248</v>
      </c>
      <c r="H42" s="112" t="s">
        <v>261</v>
      </c>
      <c r="I42" s="112" t="s">
        <v>261</v>
      </c>
      <c r="J42" s="319">
        <f t="shared" si="1"/>
        <v>2.9643835616438357</v>
      </c>
      <c r="K42" s="46" t="s">
        <v>465</v>
      </c>
      <c r="L42" s="341">
        <v>4000000</v>
      </c>
      <c r="M42" s="46" t="s">
        <v>273</v>
      </c>
      <c r="N42" s="114">
        <v>101.29</v>
      </c>
      <c r="O42" s="91">
        <v>5.3229069999999998</v>
      </c>
      <c r="P42" s="227" t="s">
        <v>249</v>
      </c>
      <c r="Q42" s="48" t="s">
        <v>250</v>
      </c>
      <c r="R42" s="109" t="s">
        <v>207</v>
      </c>
      <c r="S42" s="642">
        <v>41256</v>
      </c>
      <c r="T42" s="642">
        <v>41263</v>
      </c>
      <c r="U42" s="229" t="s">
        <v>208</v>
      </c>
      <c r="W42" s="117">
        <v>4059863.01</v>
      </c>
      <c r="X42" s="110">
        <v>1.22</v>
      </c>
      <c r="Y42" s="117">
        <f t="shared" si="2"/>
        <v>4953032.8721999992</v>
      </c>
      <c r="Z42" s="117"/>
      <c r="AA42" s="86">
        <v>5.8</v>
      </c>
      <c r="AB42" s="642">
        <v>42345</v>
      </c>
      <c r="AC42" s="104">
        <f t="shared" si="3"/>
        <v>2.9835616438356163</v>
      </c>
      <c r="AD42" s="53"/>
      <c r="AF42" s="214"/>
      <c r="AG42" s="215"/>
    </row>
    <row r="43" spans="1:41" s="55" customFormat="1" ht="38.25">
      <c r="A43" s="265"/>
      <c r="B43" s="91"/>
      <c r="C43" s="91"/>
      <c r="D43" s="91"/>
      <c r="E43" s="277">
        <v>38</v>
      </c>
      <c r="F43" s="55" t="s">
        <v>247</v>
      </c>
      <c r="G43" s="109" t="s">
        <v>248</v>
      </c>
      <c r="H43" s="112" t="s">
        <v>261</v>
      </c>
      <c r="I43" s="112" t="s">
        <v>261</v>
      </c>
      <c r="J43" s="319">
        <f t="shared" si="1"/>
        <v>2.9643835616438357</v>
      </c>
      <c r="K43" s="46" t="s">
        <v>465</v>
      </c>
      <c r="L43" s="341">
        <v>5000000</v>
      </c>
      <c r="M43" s="46" t="s">
        <v>273</v>
      </c>
      <c r="N43" s="114">
        <v>101.4</v>
      </c>
      <c r="O43" s="91">
        <v>5.2826550000000001</v>
      </c>
      <c r="P43" s="227" t="s">
        <v>249</v>
      </c>
      <c r="Q43" s="48" t="s">
        <v>250</v>
      </c>
      <c r="R43" s="109" t="s">
        <v>207</v>
      </c>
      <c r="S43" s="642">
        <v>41256</v>
      </c>
      <c r="T43" s="642">
        <v>41263</v>
      </c>
      <c r="U43" s="229" t="s">
        <v>208</v>
      </c>
      <c r="W43" s="117">
        <v>5074828.7624999993</v>
      </c>
      <c r="X43" s="110">
        <v>1.22</v>
      </c>
      <c r="Y43" s="117">
        <f>X43*W43</f>
        <v>6191291.0902499985</v>
      </c>
      <c r="Z43" s="117"/>
      <c r="AA43" s="86">
        <v>5.8</v>
      </c>
      <c r="AB43" s="642">
        <v>42345</v>
      </c>
      <c r="AC43" s="104">
        <f t="shared" si="3"/>
        <v>2.9835616438356163</v>
      </c>
      <c r="AD43" s="53"/>
      <c r="AF43" s="214"/>
      <c r="AG43" s="215"/>
    </row>
    <row r="44" spans="1:41" s="55" customFormat="1" ht="42.75" customHeight="1">
      <c r="A44" s="265"/>
      <c r="B44" s="91"/>
      <c r="C44" s="91"/>
      <c r="D44" s="91"/>
      <c r="E44" s="277">
        <v>39</v>
      </c>
      <c r="F44" s="55" t="s">
        <v>232</v>
      </c>
      <c r="G44" s="109" t="s">
        <v>229</v>
      </c>
      <c r="H44" s="112" t="s">
        <v>289</v>
      </c>
      <c r="I44" s="112" t="s">
        <v>290</v>
      </c>
      <c r="J44" s="319">
        <f t="shared" si="1"/>
        <v>10.005479452054795</v>
      </c>
      <c r="K44" s="46" t="s">
        <v>465</v>
      </c>
      <c r="L44" s="341">
        <v>30000000</v>
      </c>
      <c r="M44" s="46" t="s">
        <v>466</v>
      </c>
      <c r="N44" s="114">
        <v>99.08</v>
      </c>
      <c r="O44" s="91">
        <v>6.2501100000000003</v>
      </c>
      <c r="P44" s="227" t="s">
        <v>230</v>
      </c>
      <c r="Q44" s="48" t="s">
        <v>209</v>
      </c>
      <c r="R44" s="53" t="s">
        <v>210</v>
      </c>
      <c r="S44" s="642">
        <v>41256</v>
      </c>
      <c r="T44" s="642">
        <v>41263</v>
      </c>
      <c r="U44" s="229" t="s">
        <v>208</v>
      </c>
      <c r="W44" s="117">
        <f>L44*N44/100</f>
        <v>29724000</v>
      </c>
      <c r="X44" s="110">
        <v>7.8</v>
      </c>
      <c r="Y44" s="117">
        <f t="shared" si="2"/>
        <v>231847200</v>
      </c>
      <c r="Z44" s="117"/>
      <c r="AA44" s="86">
        <v>6.125</v>
      </c>
      <c r="AB44" s="661">
        <v>44915</v>
      </c>
      <c r="AC44" s="104">
        <f t="shared" si="3"/>
        <v>10.024657534246575</v>
      </c>
      <c r="AD44" s="53"/>
      <c r="AF44" s="214"/>
      <c r="AG44" s="215"/>
    </row>
    <row r="45" spans="1:41" s="55" customFormat="1" ht="38.25">
      <c r="A45" s="265"/>
      <c r="B45" s="91"/>
      <c r="C45" s="91"/>
      <c r="D45" s="91"/>
      <c r="E45" s="277">
        <v>40</v>
      </c>
      <c r="F45" s="55" t="s">
        <v>247</v>
      </c>
      <c r="G45" s="109" t="s">
        <v>248</v>
      </c>
      <c r="H45" s="112" t="s">
        <v>261</v>
      </c>
      <c r="I45" s="112" t="s">
        <v>261</v>
      </c>
      <c r="J45" s="319">
        <f t="shared" si="1"/>
        <v>2.9534246575342467</v>
      </c>
      <c r="K45" s="46" t="s">
        <v>465</v>
      </c>
      <c r="L45" s="341">
        <v>5000000</v>
      </c>
      <c r="M45" s="46" t="s">
        <v>273</v>
      </c>
      <c r="N45" s="114">
        <v>101.45</v>
      </c>
      <c r="O45" s="91">
        <v>5.2622999999999998</v>
      </c>
      <c r="P45" s="227" t="s">
        <v>249</v>
      </c>
      <c r="Q45" s="48" t="s">
        <v>250</v>
      </c>
      <c r="R45" s="109" t="s">
        <v>207</v>
      </c>
      <c r="S45" s="642">
        <v>41260</v>
      </c>
      <c r="T45" s="642">
        <v>41267</v>
      </c>
      <c r="U45" s="229" t="s">
        <v>208</v>
      </c>
      <c r="W45" s="117">
        <v>5086006.8499999996</v>
      </c>
      <c r="X45" s="110">
        <v>1.22</v>
      </c>
      <c r="Y45" s="117">
        <f t="shared" si="2"/>
        <v>6204928.3569999998</v>
      </c>
      <c r="Z45" s="117"/>
      <c r="AA45" s="86">
        <v>5.8</v>
      </c>
      <c r="AB45" s="642">
        <v>42345</v>
      </c>
      <c r="AC45" s="104">
        <f t="shared" si="3"/>
        <v>2.9726027397260273</v>
      </c>
      <c r="AD45" s="53"/>
      <c r="AF45" s="214"/>
      <c r="AG45" s="215"/>
    </row>
    <row r="46" spans="1:41" s="246" customFormat="1" ht="38.25">
      <c r="A46" s="376"/>
      <c r="B46" s="62"/>
      <c r="C46" s="62"/>
      <c r="D46" s="62"/>
      <c r="E46" s="287">
        <v>41</v>
      </c>
      <c r="F46" s="246" t="s">
        <v>247</v>
      </c>
      <c r="G46" s="255" t="s">
        <v>248</v>
      </c>
      <c r="H46" s="248" t="s">
        <v>261</v>
      </c>
      <c r="I46" s="248" t="s">
        <v>261</v>
      </c>
      <c r="J46" s="249">
        <f t="shared" si="1"/>
        <v>2.9287671232876713</v>
      </c>
      <c r="K46" s="250" t="s">
        <v>465</v>
      </c>
      <c r="L46" s="354">
        <v>1000000</v>
      </c>
      <c r="M46" s="250" t="s">
        <v>273</v>
      </c>
      <c r="N46" s="252">
        <v>101.55</v>
      </c>
      <c r="O46" s="62">
        <v>5.2207049999999997</v>
      </c>
      <c r="P46" s="253" t="s">
        <v>249</v>
      </c>
      <c r="Q46" s="254" t="s">
        <v>250</v>
      </c>
      <c r="R46" s="255" t="s">
        <v>207</v>
      </c>
      <c r="S46" s="644">
        <v>41264</v>
      </c>
      <c r="T46" s="644">
        <v>41276</v>
      </c>
      <c r="U46" s="286" t="s">
        <v>208</v>
      </c>
      <c r="W46" s="82">
        <v>1015500</v>
      </c>
      <c r="X46" s="257">
        <v>1.22</v>
      </c>
      <c r="Y46" s="82">
        <f t="shared" si="2"/>
        <v>1238910</v>
      </c>
      <c r="Z46" s="82"/>
      <c r="AA46" s="258">
        <v>5.8</v>
      </c>
      <c r="AB46" s="644">
        <v>42345</v>
      </c>
      <c r="AC46" s="259">
        <f t="shared" si="3"/>
        <v>2.9616438356164383</v>
      </c>
      <c r="AD46" s="247"/>
      <c r="AF46" s="260"/>
      <c r="AG46" s="261"/>
    </row>
    <row r="47" spans="1:41" s="55" customFormat="1" ht="51">
      <c r="A47" s="265"/>
      <c r="B47" s="91"/>
      <c r="C47" s="91"/>
      <c r="D47" s="91"/>
      <c r="E47" s="277">
        <v>42</v>
      </c>
      <c r="F47" s="55" t="s">
        <v>232</v>
      </c>
      <c r="G47" s="109" t="s">
        <v>229</v>
      </c>
      <c r="H47" s="112" t="s">
        <v>289</v>
      </c>
      <c r="I47" s="112" t="s">
        <v>290</v>
      </c>
      <c r="J47" s="319">
        <f t="shared" ref="J47:J53" si="4">(AB47-T47)/365</f>
        <v>9.8712328767123285</v>
      </c>
      <c r="K47" s="46" t="s">
        <v>465</v>
      </c>
      <c r="L47" s="341">
        <v>2000000</v>
      </c>
      <c r="M47" s="46" t="s">
        <v>466</v>
      </c>
      <c r="N47" s="114">
        <v>95</v>
      </c>
      <c r="O47" s="91">
        <v>6.8282400000000001</v>
      </c>
      <c r="P47" s="227" t="s">
        <v>626</v>
      </c>
      <c r="Q47" s="48" t="s">
        <v>625</v>
      </c>
      <c r="R47" s="109" t="s">
        <v>187</v>
      </c>
      <c r="S47" s="642">
        <v>41309</v>
      </c>
      <c r="T47" s="642">
        <v>41312</v>
      </c>
      <c r="U47" s="229" t="s">
        <v>208</v>
      </c>
      <c r="W47" s="117">
        <v>1915993.06</v>
      </c>
      <c r="X47" s="110">
        <v>7.8</v>
      </c>
      <c r="Y47" s="117">
        <f t="shared" ref="Y47:Y53" si="5">X47*W47</f>
        <v>14944745.868000001</v>
      </c>
      <c r="Z47" s="117"/>
      <c r="AA47" s="86">
        <v>6.125</v>
      </c>
      <c r="AB47" s="661">
        <v>44915</v>
      </c>
      <c r="AC47" s="104">
        <f t="shared" ref="AC47:AC53" si="6">(AB47-S47)/365</f>
        <v>9.8794520547945197</v>
      </c>
      <c r="AD47" s="53"/>
      <c r="AF47" s="214"/>
      <c r="AG47" s="215"/>
    </row>
    <row r="48" spans="1:41" s="55" customFormat="1" ht="42.75" customHeight="1">
      <c r="A48" s="265"/>
      <c r="B48" s="91"/>
      <c r="C48" s="91"/>
      <c r="D48" s="91"/>
      <c r="E48" s="277">
        <v>43</v>
      </c>
      <c r="F48" s="55" t="s">
        <v>232</v>
      </c>
      <c r="G48" s="109" t="s">
        <v>229</v>
      </c>
      <c r="H48" s="112" t="s">
        <v>289</v>
      </c>
      <c r="I48" s="112" t="s">
        <v>290</v>
      </c>
      <c r="J48" s="319">
        <f t="shared" si="4"/>
        <v>9.8712328767123285</v>
      </c>
      <c r="K48" s="46" t="s">
        <v>465</v>
      </c>
      <c r="L48" s="341">
        <v>1000000</v>
      </c>
      <c r="M48" s="46" t="s">
        <v>466</v>
      </c>
      <c r="N48" s="114">
        <v>94.5</v>
      </c>
      <c r="O48" s="91">
        <v>6.90123</v>
      </c>
      <c r="P48" s="227" t="s">
        <v>623</v>
      </c>
      <c r="Q48" s="48" t="s">
        <v>791</v>
      </c>
      <c r="R48" s="53" t="s">
        <v>624</v>
      </c>
      <c r="S48" s="642">
        <v>41309</v>
      </c>
      <c r="T48" s="642">
        <v>41312</v>
      </c>
      <c r="U48" s="229" t="s">
        <v>208</v>
      </c>
      <c r="W48" s="117">
        <v>952996.53</v>
      </c>
      <c r="X48" s="110">
        <v>7.8</v>
      </c>
      <c r="Y48" s="117">
        <f t="shared" si="5"/>
        <v>7433372.9340000004</v>
      </c>
      <c r="Z48" s="117"/>
      <c r="AA48" s="86">
        <v>6.125</v>
      </c>
      <c r="AB48" s="661">
        <v>44915</v>
      </c>
      <c r="AC48" s="104">
        <f t="shared" si="6"/>
        <v>9.8794520547945197</v>
      </c>
      <c r="AD48" s="53"/>
      <c r="AF48" s="214"/>
      <c r="AG48" s="215"/>
    </row>
    <row r="49" spans="1:34" s="55" customFormat="1" ht="38.25">
      <c r="A49" s="265"/>
      <c r="B49" s="91"/>
      <c r="C49" s="91"/>
      <c r="D49" s="91"/>
      <c r="E49" s="277">
        <v>44</v>
      </c>
      <c r="F49" s="55" t="s">
        <v>45</v>
      </c>
      <c r="G49" s="109" t="s">
        <v>47</v>
      </c>
      <c r="H49" s="112" t="s">
        <v>261</v>
      </c>
      <c r="I49" s="112" t="s">
        <v>261</v>
      </c>
      <c r="J49" s="319">
        <f t="shared" si="4"/>
        <v>7.0054794520547947</v>
      </c>
      <c r="K49" s="46" t="s">
        <v>465</v>
      </c>
      <c r="L49" s="341">
        <v>30000000</v>
      </c>
      <c r="M49" s="46" t="s">
        <v>466</v>
      </c>
      <c r="N49" s="114">
        <v>100</v>
      </c>
      <c r="O49" s="91">
        <v>5.7</v>
      </c>
      <c r="P49" s="227" t="s">
        <v>1073</v>
      </c>
      <c r="Q49" s="48" t="s">
        <v>48</v>
      </c>
      <c r="R49" s="53" t="s">
        <v>54</v>
      </c>
      <c r="S49" s="642">
        <v>41333</v>
      </c>
      <c r="T49" s="642">
        <v>41340</v>
      </c>
      <c r="U49" s="229" t="s">
        <v>208</v>
      </c>
      <c r="W49" s="117">
        <v>30000000</v>
      </c>
      <c r="X49" s="110">
        <v>7.8</v>
      </c>
      <c r="Y49" s="117">
        <f t="shared" si="5"/>
        <v>234000000</v>
      </c>
      <c r="Z49" s="117"/>
      <c r="AA49" s="86">
        <v>5.7</v>
      </c>
      <c r="AB49" s="661">
        <v>43897</v>
      </c>
      <c r="AC49" s="104">
        <f t="shared" si="6"/>
        <v>7.0246575342465754</v>
      </c>
      <c r="AD49" s="53"/>
      <c r="AF49" s="214"/>
      <c r="AG49" s="215"/>
    </row>
    <row r="50" spans="1:34" s="55" customFormat="1" ht="38.25">
      <c r="A50" s="265"/>
      <c r="B50" s="91"/>
      <c r="C50" s="91"/>
      <c r="D50" s="91"/>
      <c r="E50" s="277">
        <v>45</v>
      </c>
      <c r="F50" s="55" t="s">
        <v>50</v>
      </c>
      <c r="G50" s="109" t="s">
        <v>17</v>
      </c>
      <c r="H50" s="112" t="s">
        <v>52</v>
      </c>
      <c r="I50" s="112" t="s">
        <v>53</v>
      </c>
      <c r="J50" s="319">
        <f t="shared" si="4"/>
        <v>10.005479452054795</v>
      </c>
      <c r="K50" s="46" t="s">
        <v>465</v>
      </c>
      <c r="L50" s="341">
        <v>10000000</v>
      </c>
      <c r="M50" s="46" t="s">
        <v>466</v>
      </c>
      <c r="N50" s="114">
        <v>100</v>
      </c>
      <c r="O50" s="91">
        <v>5.125</v>
      </c>
      <c r="P50" s="227" t="s">
        <v>1050</v>
      </c>
      <c r="Q50" s="48" t="s">
        <v>7</v>
      </c>
      <c r="R50" s="53" t="s">
        <v>8</v>
      </c>
      <c r="S50" s="642">
        <v>41337</v>
      </c>
      <c r="T50" s="642">
        <f>S50+7</f>
        <v>41344</v>
      </c>
      <c r="U50" s="229" t="s">
        <v>208</v>
      </c>
      <c r="W50" s="117">
        <v>10000000</v>
      </c>
      <c r="X50" s="110">
        <v>7.8</v>
      </c>
      <c r="Y50" s="117">
        <f t="shared" si="5"/>
        <v>78000000</v>
      </c>
      <c r="Z50" s="117"/>
      <c r="AA50" s="86">
        <v>5.125</v>
      </c>
      <c r="AB50" s="661">
        <v>44996</v>
      </c>
      <c r="AC50" s="104">
        <f t="shared" si="6"/>
        <v>10.024657534246575</v>
      </c>
      <c r="AD50" s="53"/>
      <c r="AF50" s="214"/>
      <c r="AG50" s="215"/>
    </row>
    <row r="51" spans="1:34" s="55" customFormat="1" ht="25.5">
      <c r="A51" s="265"/>
      <c r="B51" s="91"/>
      <c r="C51" s="91"/>
      <c r="D51" s="91"/>
      <c r="E51" s="277">
        <v>46</v>
      </c>
      <c r="F51" s="55" t="s">
        <v>718</v>
      </c>
      <c r="G51" s="109" t="s">
        <v>720</v>
      </c>
      <c r="H51" s="112" t="s">
        <v>44</v>
      </c>
      <c r="I51" s="112" t="s">
        <v>721</v>
      </c>
      <c r="J51" s="319">
        <f t="shared" si="4"/>
        <v>9.8849315068493144</v>
      </c>
      <c r="K51" s="46" t="s">
        <v>465</v>
      </c>
      <c r="L51" s="341">
        <v>100000000</v>
      </c>
      <c r="M51" s="46" t="s">
        <v>466</v>
      </c>
      <c r="N51" s="114">
        <v>99.206999999999994</v>
      </c>
      <c r="O51" s="91">
        <v>4.5</v>
      </c>
      <c r="P51" s="227" t="s">
        <v>712</v>
      </c>
      <c r="Q51" s="48" t="s">
        <v>713</v>
      </c>
      <c r="R51" s="53" t="s">
        <v>714</v>
      </c>
      <c r="S51" s="642">
        <v>41379</v>
      </c>
      <c r="T51" s="642">
        <f>S51+7</f>
        <v>41386</v>
      </c>
      <c r="U51" s="229" t="s">
        <v>208</v>
      </c>
      <c r="W51" s="117">
        <v>99207000</v>
      </c>
      <c r="X51" s="110">
        <v>7.8</v>
      </c>
      <c r="Y51" s="117">
        <f t="shared" si="5"/>
        <v>773814600</v>
      </c>
      <c r="Z51" s="117"/>
      <c r="AA51" s="86">
        <v>4.4000000000000004</v>
      </c>
      <c r="AB51" s="661">
        <v>44994</v>
      </c>
      <c r="AC51" s="104">
        <f t="shared" si="6"/>
        <v>9.9041095890410951</v>
      </c>
      <c r="AD51" s="53"/>
      <c r="AF51" s="214"/>
      <c r="AG51" s="215"/>
    </row>
    <row r="52" spans="1:34" s="55" customFormat="1" ht="25.5">
      <c r="A52" s="265"/>
      <c r="B52" s="91"/>
      <c r="C52" s="91"/>
      <c r="D52" s="91"/>
      <c r="E52" s="277">
        <v>47</v>
      </c>
      <c r="F52" s="55" t="s">
        <v>718</v>
      </c>
      <c r="G52" s="109" t="s">
        <v>720</v>
      </c>
      <c r="H52" s="112" t="s">
        <v>44</v>
      </c>
      <c r="I52" s="112" t="s">
        <v>721</v>
      </c>
      <c r="J52" s="319">
        <f t="shared" si="4"/>
        <v>9.8547945205479444</v>
      </c>
      <c r="K52" s="46" t="s">
        <v>465</v>
      </c>
      <c r="L52" s="341">
        <v>50000000</v>
      </c>
      <c r="M52" s="46" t="s">
        <v>466</v>
      </c>
      <c r="N52" s="114">
        <v>99.206999999999994</v>
      </c>
      <c r="O52" s="91">
        <v>4.50014</v>
      </c>
      <c r="P52" s="227" t="s">
        <v>712</v>
      </c>
      <c r="Q52" s="48" t="s">
        <v>713</v>
      </c>
      <c r="R52" s="53" t="s">
        <v>714</v>
      </c>
      <c r="S52" s="642">
        <v>41390</v>
      </c>
      <c r="T52" s="642">
        <f>S52+7</f>
        <v>41397</v>
      </c>
      <c r="U52" s="229" t="s">
        <v>208</v>
      </c>
      <c r="W52" s="117">
        <v>49872388.890000001</v>
      </c>
      <c r="X52" s="110">
        <v>7.8</v>
      </c>
      <c r="Y52" s="117">
        <f t="shared" si="5"/>
        <v>389004633.34200001</v>
      </c>
      <c r="Z52" s="117"/>
      <c r="AA52" s="86">
        <v>4.4000000000000004</v>
      </c>
      <c r="AB52" s="661">
        <v>44994</v>
      </c>
      <c r="AC52" s="104">
        <f t="shared" si="6"/>
        <v>9.8739726027397268</v>
      </c>
      <c r="AD52" s="53"/>
      <c r="AF52" s="214"/>
      <c r="AG52" s="215"/>
    </row>
    <row r="53" spans="1:34" s="55" customFormat="1" ht="38.25">
      <c r="A53" s="265"/>
      <c r="B53" s="91"/>
      <c r="C53" s="91"/>
      <c r="D53" s="91"/>
      <c r="E53" s="277">
        <v>48</v>
      </c>
      <c r="F53" s="55" t="s">
        <v>253</v>
      </c>
      <c r="G53" s="109" t="s">
        <v>252</v>
      </c>
      <c r="H53" s="112" t="s">
        <v>44</v>
      </c>
      <c r="I53" s="112" t="s">
        <v>516</v>
      </c>
      <c r="J53" s="319">
        <f t="shared" si="4"/>
        <v>5.0027397260273974</v>
      </c>
      <c r="K53" s="46" t="s">
        <v>465</v>
      </c>
      <c r="L53" s="341">
        <v>15000000</v>
      </c>
      <c r="M53" s="46" t="s">
        <v>466</v>
      </c>
      <c r="N53" s="114">
        <v>100</v>
      </c>
      <c r="O53" s="91">
        <v>4.625</v>
      </c>
      <c r="P53" s="227" t="s">
        <v>1073</v>
      </c>
      <c r="Q53" s="48" t="s">
        <v>48</v>
      </c>
      <c r="R53" s="53" t="s">
        <v>254</v>
      </c>
      <c r="S53" s="642">
        <v>41390</v>
      </c>
      <c r="T53" s="642">
        <v>41400</v>
      </c>
      <c r="U53" s="229" t="s">
        <v>208</v>
      </c>
      <c r="W53" s="117">
        <v>15000000</v>
      </c>
      <c r="X53" s="110">
        <v>7.8</v>
      </c>
      <c r="Y53" s="117">
        <f t="shared" si="5"/>
        <v>117000000</v>
      </c>
      <c r="Z53" s="117"/>
      <c r="AA53" s="86">
        <v>4.625</v>
      </c>
      <c r="AB53" s="661">
        <v>43226</v>
      </c>
      <c r="AC53" s="104">
        <f t="shared" si="6"/>
        <v>5.0301369863013701</v>
      </c>
      <c r="AD53" s="53"/>
      <c r="AF53" s="214"/>
      <c r="AG53" s="215"/>
    </row>
    <row r="54" spans="1:34" s="55" customFormat="1" ht="39.75" customHeight="1">
      <c r="A54" s="265"/>
      <c r="B54" s="91"/>
      <c r="C54" s="91"/>
      <c r="D54" s="91"/>
      <c r="E54" s="277">
        <v>49</v>
      </c>
      <c r="F54" s="55" t="s">
        <v>21</v>
      </c>
      <c r="G54" s="109" t="s">
        <v>22</v>
      </c>
      <c r="H54" s="112" t="s">
        <v>23</v>
      </c>
      <c r="I54" s="112" t="s">
        <v>24</v>
      </c>
      <c r="J54" s="319">
        <f t="shared" ref="J54:J63" si="7">(AB54-T54)/365</f>
        <v>10.005479452054795</v>
      </c>
      <c r="K54" s="46" t="s">
        <v>465</v>
      </c>
      <c r="L54" s="341">
        <v>10000000</v>
      </c>
      <c r="M54" s="46" t="s">
        <v>466</v>
      </c>
      <c r="N54" s="114">
        <v>98.828000000000003</v>
      </c>
      <c r="O54" s="91">
        <v>4.5219870000000002</v>
      </c>
      <c r="P54" s="227" t="s">
        <v>331</v>
      </c>
      <c r="Q54" s="48" t="s">
        <v>25</v>
      </c>
      <c r="R54" s="53" t="s">
        <v>26</v>
      </c>
      <c r="S54" s="642">
        <v>41407</v>
      </c>
      <c r="T54" s="642">
        <v>41414</v>
      </c>
      <c r="U54" s="229" t="s">
        <v>208</v>
      </c>
      <c r="W54" s="117">
        <v>9882800</v>
      </c>
      <c r="X54" s="110">
        <v>7.8</v>
      </c>
      <c r="Y54" s="117">
        <f t="shared" ref="Y54:Y61" si="8">X54*W54</f>
        <v>77085840</v>
      </c>
      <c r="Z54" s="117"/>
      <c r="AA54" s="86">
        <v>4.375</v>
      </c>
      <c r="AB54" s="661">
        <v>45066</v>
      </c>
      <c r="AC54" s="104">
        <f t="shared" ref="AC54:AC62" si="9">(AB54-S54)/365</f>
        <v>10.024657534246575</v>
      </c>
      <c r="AD54" s="53"/>
      <c r="AF54" s="214"/>
      <c r="AG54" s="215"/>
    </row>
    <row r="55" spans="1:34" s="55" customFormat="1" ht="25.5">
      <c r="A55" s="265"/>
      <c r="B55" s="91"/>
      <c r="C55" s="91"/>
      <c r="D55" s="91"/>
      <c r="E55" s="277">
        <v>50</v>
      </c>
      <c r="F55" s="55" t="s">
        <v>971</v>
      </c>
      <c r="G55" s="109" t="s">
        <v>709</v>
      </c>
      <c r="H55" s="399" t="s">
        <v>973</v>
      </c>
      <c r="I55" s="399" t="s">
        <v>710</v>
      </c>
      <c r="J55" s="319">
        <f t="shared" si="7"/>
        <v>7.8246575342465752</v>
      </c>
      <c r="K55" s="167" t="s">
        <v>91</v>
      </c>
      <c r="L55" s="341">
        <v>2000000</v>
      </c>
      <c r="M55" s="113" t="s">
        <v>466</v>
      </c>
      <c r="N55" s="46">
        <v>102.25</v>
      </c>
      <c r="O55" s="114">
        <v>6.3780799999999997</v>
      </c>
      <c r="P55" s="91" t="s">
        <v>712</v>
      </c>
      <c r="Q55" s="400" t="s">
        <v>713</v>
      </c>
      <c r="R55" s="168" t="s">
        <v>87</v>
      </c>
      <c r="S55" s="642">
        <v>41442</v>
      </c>
      <c r="T55" s="642">
        <v>41445</v>
      </c>
      <c r="U55" s="229" t="s">
        <v>246</v>
      </c>
      <c r="V55" s="229"/>
      <c r="W55" s="117">
        <v>2069375</v>
      </c>
      <c r="X55" s="117">
        <v>7.8</v>
      </c>
      <c r="Y55" s="117">
        <f t="shared" si="8"/>
        <v>16141125</v>
      </c>
      <c r="Z55" s="117"/>
      <c r="AA55" s="423">
        <v>6.75</v>
      </c>
      <c r="AB55" s="661">
        <v>44301</v>
      </c>
      <c r="AC55" s="104">
        <f t="shared" si="9"/>
        <v>7.8328767123287673</v>
      </c>
      <c r="AD55" s="104"/>
      <c r="AE55" s="53"/>
      <c r="AG55" s="214"/>
      <c r="AH55" s="215"/>
    </row>
    <row r="56" spans="1:34" s="55" customFormat="1" ht="38.25">
      <c r="A56" s="265"/>
      <c r="B56" s="91"/>
      <c r="C56" s="91"/>
      <c r="D56" s="91"/>
      <c r="E56" s="277">
        <v>51</v>
      </c>
      <c r="F56" s="55" t="s">
        <v>589</v>
      </c>
      <c r="G56" s="109" t="s">
        <v>75</v>
      </c>
      <c r="H56" s="399" t="s">
        <v>289</v>
      </c>
      <c r="I56" s="399" t="s">
        <v>290</v>
      </c>
      <c r="J56" s="319">
        <f t="shared" si="7"/>
        <v>9.4904109589041088</v>
      </c>
      <c r="K56" s="167" t="s">
        <v>91</v>
      </c>
      <c r="L56" s="341">
        <v>1000000</v>
      </c>
      <c r="M56" s="113" t="s">
        <v>466</v>
      </c>
      <c r="N56" s="46">
        <v>89</v>
      </c>
      <c r="O56" s="114">
        <v>7.7866059999999999</v>
      </c>
      <c r="P56" s="86" t="s">
        <v>583</v>
      </c>
      <c r="Q56" s="400" t="s">
        <v>585</v>
      </c>
      <c r="R56" s="168" t="s">
        <v>586</v>
      </c>
      <c r="S56" s="642">
        <v>41446</v>
      </c>
      <c r="T56" s="642">
        <v>41451</v>
      </c>
      <c r="U56" s="229" t="s">
        <v>246</v>
      </c>
      <c r="V56" s="229"/>
      <c r="W56" s="117">
        <v>891020.83</v>
      </c>
      <c r="X56" s="117">
        <v>7.8</v>
      </c>
      <c r="Y56" s="117">
        <f t="shared" si="8"/>
        <v>6949962.4739999995</v>
      </c>
      <c r="Z56" s="117"/>
      <c r="AA56" s="423">
        <v>6.125</v>
      </c>
      <c r="AB56" s="661">
        <v>44915</v>
      </c>
      <c r="AC56" s="104">
        <f t="shared" si="9"/>
        <v>9.5041095890410965</v>
      </c>
      <c r="AD56" s="104"/>
      <c r="AE56" s="53"/>
      <c r="AG56" s="214"/>
      <c r="AH56" s="215"/>
    </row>
    <row r="57" spans="1:34" s="55" customFormat="1" ht="51">
      <c r="A57" s="265"/>
      <c r="B57" s="91"/>
      <c r="C57" s="91"/>
      <c r="D57" s="91"/>
      <c r="E57" s="277">
        <v>52</v>
      </c>
      <c r="F57" s="55" t="s">
        <v>590</v>
      </c>
      <c r="G57" s="109" t="s">
        <v>711</v>
      </c>
      <c r="H57" s="399" t="s">
        <v>591</v>
      </c>
      <c r="I57" s="399" t="s">
        <v>592</v>
      </c>
      <c r="J57" s="319">
        <f t="shared" si="7"/>
        <v>7.8082191780821919</v>
      </c>
      <c r="K57" s="167" t="s">
        <v>465</v>
      </c>
      <c r="L57" s="341">
        <v>3000000</v>
      </c>
      <c r="M57" s="113" t="s">
        <v>466</v>
      </c>
      <c r="N57" s="46">
        <v>98</v>
      </c>
      <c r="O57" s="114">
        <v>7.0857099999999997</v>
      </c>
      <c r="P57" s="91" t="s">
        <v>331</v>
      </c>
      <c r="Q57" s="400" t="s">
        <v>593</v>
      </c>
      <c r="R57" s="168" t="s">
        <v>594</v>
      </c>
      <c r="S57" s="642">
        <v>41446</v>
      </c>
      <c r="T57" s="642">
        <v>41451</v>
      </c>
      <c r="U57" s="229" t="s">
        <v>246</v>
      </c>
      <c r="V57" s="229"/>
      <c r="W57" s="117">
        <v>2979937.5</v>
      </c>
      <c r="X57" s="117">
        <v>7.8</v>
      </c>
      <c r="Y57" s="117">
        <f t="shared" si="8"/>
        <v>23243512.5</v>
      </c>
      <c r="Z57" s="117"/>
      <c r="AA57" s="423">
        <v>6.75</v>
      </c>
      <c r="AB57" s="661">
        <v>44301</v>
      </c>
      <c r="AC57" s="104">
        <f t="shared" si="9"/>
        <v>7.8219178082191778</v>
      </c>
      <c r="AD57" s="104"/>
      <c r="AE57" s="53"/>
      <c r="AG57" s="214"/>
      <c r="AH57" s="215"/>
    </row>
    <row r="58" spans="1:34" s="55" customFormat="1" ht="51">
      <c r="A58" s="265"/>
      <c r="B58" s="91"/>
      <c r="C58" s="91"/>
      <c r="D58" s="91"/>
      <c r="E58" s="277">
        <v>53</v>
      </c>
      <c r="F58" s="55" t="s">
        <v>971</v>
      </c>
      <c r="G58" s="109" t="s">
        <v>711</v>
      </c>
      <c r="H58" s="399" t="s">
        <v>591</v>
      </c>
      <c r="I58" s="399" t="s">
        <v>592</v>
      </c>
      <c r="J58" s="319">
        <f t="shared" si="7"/>
        <v>7.8082191780821919</v>
      </c>
      <c r="K58" s="167" t="s">
        <v>465</v>
      </c>
      <c r="L58" s="341">
        <v>1500000</v>
      </c>
      <c r="M58" s="113" t="s">
        <v>466</v>
      </c>
      <c r="N58" s="46">
        <v>98.5</v>
      </c>
      <c r="O58" s="114">
        <v>7.0004299999999997</v>
      </c>
      <c r="P58" s="91" t="s">
        <v>331</v>
      </c>
      <c r="Q58" s="400" t="s">
        <v>593</v>
      </c>
      <c r="R58" s="168" t="s">
        <v>594</v>
      </c>
      <c r="S58" s="642">
        <v>41446</v>
      </c>
      <c r="T58" s="642">
        <v>41451</v>
      </c>
      <c r="U58" s="229" t="s">
        <v>246</v>
      </c>
      <c r="V58" s="229"/>
      <c r="W58" s="117">
        <v>1497468.75</v>
      </c>
      <c r="X58" s="117">
        <v>7.8</v>
      </c>
      <c r="Y58" s="117">
        <f t="shared" si="8"/>
        <v>11680256.25</v>
      </c>
      <c r="Z58" s="117"/>
      <c r="AA58" s="423">
        <v>6.75</v>
      </c>
      <c r="AB58" s="661">
        <v>44301</v>
      </c>
      <c r="AC58" s="104">
        <f t="shared" si="9"/>
        <v>7.8219178082191778</v>
      </c>
      <c r="AD58" s="104"/>
      <c r="AE58" s="53"/>
      <c r="AG58" s="214"/>
      <c r="AH58" s="215"/>
    </row>
    <row r="59" spans="1:34" s="741" customFormat="1" ht="38.25">
      <c r="A59" s="823"/>
      <c r="B59" s="740"/>
      <c r="C59" s="740"/>
      <c r="D59" s="740"/>
      <c r="E59" s="759">
        <v>54</v>
      </c>
      <c r="F59" s="761" t="s">
        <v>589</v>
      </c>
      <c r="G59" s="742" t="s">
        <v>229</v>
      </c>
      <c r="H59" s="760" t="s">
        <v>289</v>
      </c>
      <c r="I59" s="760" t="s">
        <v>290</v>
      </c>
      <c r="J59" s="744">
        <f t="shared" si="7"/>
        <v>9.4876712328767123</v>
      </c>
      <c r="K59" s="762" t="s">
        <v>91</v>
      </c>
      <c r="L59" s="746">
        <v>2000000</v>
      </c>
      <c r="M59" s="824" t="s">
        <v>466</v>
      </c>
      <c r="N59" s="745">
        <v>88.5</v>
      </c>
      <c r="O59" s="747">
        <v>7.8685099999999997</v>
      </c>
      <c r="P59" s="753" t="s">
        <v>583</v>
      </c>
      <c r="Q59" s="763" t="s">
        <v>585</v>
      </c>
      <c r="R59" s="764" t="s">
        <v>586</v>
      </c>
      <c r="S59" s="796">
        <v>41449</v>
      </c>
      <c r="T59" s="796">
        <v>41452</v>
      </c>
      <c r="U59" s="750" t="s">
        <v>246</v>
      </c>
      <c r="V59" s="750"/>
      <c r="W59" s="751">
        <v>1772381.94</v>
      </c>
      <c r="X59" s="751">
        <v>7.8</v>
      </c>
      <c r="Y59" s="751">
        <f t="shared" si="8"/>
        <v>13824579.131999999</v>
      </c>
      <c r="Z59" s="751"/>
      <c r="AA59" s="765">
        <v>6.125</v>
      </c>
      <c r="AB59" s="800">
        <v>44915</v>
      </c>
      <c r="AC59" s="754">
        <f t="shared" si="9"/>
        <v>9.4958904109589035</v>
      </c>
      <c r="AD59" s="754"/>
      <c r="AE59" s="798"/>
      <c r="AG59" s="756"/>
      <c r="AH59" s="757"/>
    </row>
    <row r="60" spans="1:34" s="741" customFormat="1" ht="51">
      <c r="A60" s="823"/>
      <c r="B60" s="740"/>
      <c r="C60" s="740"/>
      <c r="D60" s="740"/>
      <c r="E60" s="759">
        <v>55</v>
      </c>
      <c r="F60" s="761" t="s">
        <v>589</v>
      </c>
      <c r="G60" s="742" t="s">
        <v>229</v>
      </c>
      <c r="H60" s="760" t="s">
        <v>289</v>
      </c>
      <c r="I60" s="760" t="s">
        <v>290</v>
      </c>
      <c r="J60" s="744">
        <f t="shared" si="7"/>
        <v>9.4876712328767123</v>
      </c>
      <c r="K60" s="762" t="s">
        <v>91</v>
      </c>
      <c r="L60" s="746">
        <v>1000000</v>
      </c>
      <c r="M60" s="824" t="s">
        <v>466</v>
      </c>
      <c r="N60" s="745">
        <v>87.7</v>
      </c>
      <c r="O60" s="747">
        <v>8.0002800000000001</v>
      </c>
      <c r="P60" s="753" t="s">
        <v>331</v>
      </c>
      <c r="Q60" s="763" t="s">
        <v>595</v>
      </c>
      <c r="R60" s="764" t="s">
        <v>596</v>
      </c>
      <c r="S60" s="796">
        <v>41449</v>
      </c>
      <c r="T60" s="796">
        <v>41452</v>
      </c>
      <c r="U60" s="750" t="s">
        <v>246</v>
      </c>
      <c r="V60" s="750"/>
      <c r="W60" s="751">
        <v>878190.97</v>
      </c>
      <c r="X60" s="751">
        <v>7.8</v>
      </c>
      <c r="Y60" s="751">
        <f t="shared" si="8"/>
        <v>6849889.5659999996</v>
      </c>
      <c r="Z60" s="751"/>
      <c r="AA60" s="765">
        <v>6.125</v>
      </c>
      <c r="AB60" s="800">
        <v>44915</v>
      </c>
      <c r="AC60" s="754">
        <f t="shared" si="9"/>
        <v>9.4958904109589035</v>
      </c>
      <c r="AD60" s="754"/>
      <c r="AE60" s="798"/>
      <c r="AG60" s="756"/>
      <c r="AH60" s="757"/>
    </row>
    <row r="61" spans="1:34" s="741" customFormat="1" ht="25.5">
      <c r="A61" s="823"/>
      <c r="B61" s="740"/>
      <c r="C61" s="740"/>
      <c r="D61" s="740"/>
      <c r="E61" s="759">
        <v>56</v>
      </c>
      <c r="F61" s="761" t="s">
        <v>589</v>
      </c>
      <c r="G61" s="742" t="s">
        <v>229</v>
      </c>
      <c r="H61" s="760" t="s">
        <v>289</v>
      </c>
      <c r="I61" s="760" t="s">
        <v>290</v>
      </c>
      <c r="J61" s="744">
        <f t="shared" si="7"/>
        <v>9.4876712328767123</v>
      </c>
      <c r="K61" s="762" t="s">
        <v>91</v>
      </c>
      <c r="L61" s="746">
        <v>1000000</v>
      </c>
      <c r="M61" s="824" t="s">
        <v>466</v>
      </c>
      <c r="N61" s="745">
        <v>87.7</v>
      </c>
      <c r="O61" s="747">
        <v>8.0002800000000001</v>
      </c>
      <c r="P61" s="753" t="s">
        <v>712</v>
      </c>
      <c r="Q61" s="763" t="s">
        <v>713</v>
      </c>
      <c r="R61" s="764" t="s">
        <v>87</v>
      </c>
      <c r="S61" s="796">
        <v>41449</v>
      </c>
      <c r="T61" s="796">
        <v>41452</v>
      </c>
      <c r="U61" s="750" t="s">
        <v>246</v>
      </c>
      <c r="V61" s="750"/>
      <c r="W61" s="751">
        <v>878190.97</v>
      </c>
      <c r="X61" s="751">
        <v>7.8</v>
      </c>
      <c r="Y61" s="751">
        <f t="shared" si="8"/>
        <v>6849889.5659999996</v>
      </c>
      <c r="Z61" s="751"/>
      <c r="AA61" s="765">
        <v>6.125</v>
      </c>
      <c r="AB61" s="800">
        <v>44915</v>
      </c>
      <c r="AC61" s="754">
        <f t="shared" si="9"/>
        <v>9.4958904109589035</v>
      </c>
      <c r="AD61" s="754"/>
      <c r="AE61" s="798"/>
      <c r="AG61" s="756"/>
      <c r="AH61" s="757"/>
    </row>
    <row r="62" spans="1:34" s="741" customFormat="1" ht="38.25">
      <c r="A62" s="823"/>
      <c r="B62" s="740"/>
      <c r="C62" s="740"/>
      <c r="D62" s="740"/>
      <c r="E62" s="759">
        <v>57</v>
      </c>
      <c r="F62" s="761" t="s">
        <v>360</v>
      </c>
      <c r="G62" s="742" t="s">
        <v>361</v>
      </c>
      <c r="H62" s="760" t="s">
        <v>362</v>
      </c>
      <c r="I62" s="760" t="s">
        <v>363</v>
      </c>
      <c r="J62" s="744">
        <f t="shared" si="7"/>
        <v>4.8520547945205479</v>
      </c>
      <c r="K62" s="762" t="s">
        <v>91</v>
      </c>
      <c r="L62" s="746">
        <v>2000000</v>
      </c>
      <c r="M62" s="824" t="s">
        <v>466</v>
      </c>
      <c r="N62" s="745">
        <v>92.4</v>
      </c>
      <c r="O62" s="747">
        <v>6.3431300000000004</v>
      </c>
      <c r="P62" s="753" t="s">
        <v>775</v>
      </c>
      <c r="Q62" s="763" t="s">
        <v>776</v>
      </c>
      <c r="R62" s="764" t="s">
        <v>364</v>
      </c>
      <c r="S62" s="796">
        <v>41449</v>
      </c>
      <c r="T62" s="796">
        <v>41452</v>
      </c>
      <c r="U62" s="750" t="s">
        <v>246</v>
      </c>
      <c r="V62" s="750"/>
      <c r="W62" s="751">
        <v>1861500</v>
      </c>
      <c r="X62" s="751">
        <v>7.8</v>
      </c>
      <c r="Y62" s="751">
        <f t="shared" ref="Y62:Y68" si="10">X62*W62</f>
        <v>14519700</v>
      </c>
      <c r="Z62" s="751"/>
      <c r="AA62" s="765">
        <v>4.5</v>
      </c>
      <c r="AB62" s="800">
        <v>43223</v>
      </c>
      <c r="AC62" s="754">
        <f t="shared" si="9"/>
        <v>4.86027397260274</v>
      </c>
      <c r="AD62" s="754"/>
      <c r="AE62" s="798"/>
      <c r="AG62" s="756"/>
      <c r="AH62" s="757"/>
    </row>
    <row r="63" spans="1:34" s="741" customFormat="1" ht="38.25">
      <c r="A63" s="823"/>
      <c r="B63" s="740"/>
      <c r="C63" s="740"/>
      <c r="D63" s="740"/>
      <c r="E63" s="759">
        <v>58</v>
      </c>
      <c r="F63" s="761" t="s">
        <v>365</v>
      </c>
      <c r="G63" s="742" t="s">
        <v>367</v>
      </c>
      <c r="H63" s="760" t="s">
        <v>366</v>
      </c>
      <c r="I63" s="760" t="s">
        <v>363</v>
      </c>
      <c r="J63" s="744">
        <f t="shared" si="7"/>
        <v>9.5835616438356173</v>
      </c>
      <c r="K63" s="762" t="s">
        <v>91</v>
      </c>
      <c r="L63" s="746">
        <v>2000000</v>
      </c>
      <c r="M63" s="824" t="s">
        <v>466</v>
      </c>
      <c r="N63" s="745">
        <v>86.2</v>
      </c>
      <c r="O63" s="747">
        <v>6.4539200000000001</v>
      </c>
      <c r="P63" s="753" t="s">
        <v>775</v>
      </c>
      <c r="Q63" s="763" t="s">
        <v>776</v>
      </c>
      <c r="R63" s="764" t="s">
        <v>364</v>
      </c>
      <c r="S63" s="796">
        <v>41449</v>
      </c>
      <c r="T63" s="796">
        <v>41452</v>
      </c>
      <c r="U63" s="750" t="s">
        <v>246</v>
      </c>
      <c r="V63" s="750"/>
      <c r="W63" s="751">
        <v>1762250</v>
      </c>
      <c r="X63" s="751">
        <v>7.8</v>
      </c>
      <c r="Y63" s="751">
        <f t="shared" si="10"/>
        <v>13745550</v>
      </c>
      <c r="Z63" s="751"/>
      <c r="AA63" s="765">
        <v>4.5</v>
      </c>
      <c r="AB63" s="800">
        <v>44950</v>
      </c>
      <c r="AC63" s="754">
        <f t="shared" ref="AC63:AC70" si="11">(AB63-S63)/365</f>
        <v>9.5917808219178085</v>
      </c>
      <c r="AD63" s="754"/>
      <c r="AE63" s="798"/>
      <c r="AG63" s="756"/>
      <c r="AH63" s="757"/>
    </row>
    <row r="64" spans="1:34" s="741" customFormat="1" ht="39.75" customHeight="1">
      <c r="A64" s="823"/>
      <c r="B64" s="740"/>
      <c r="C64" s="740"/>
      <c r="D64" s="740"/>
      <c r="E64" s="759">
        <v>59</v>
      </c>
      <c r="F64" s="741" t="s">
        <v>21</v>
      </c>
      <c r="G64" s="742" t="s">
        <v>22</v>
      </c>
      <c r="H64" s="743" t="s">
        <v>575</v>
      </c>
      <c r="I64" s="743" t="s">
        <v>632</v>
      </c>
      <c r="J64" s="744">
        <f t="shared" ref="J64:J70" si="12">(AB64-T64)/365</f>
        <v>9.9013698630136986</v>
      </c>
      <c r="K64" s="745" t="s">
        <v>465</v>
      </c>
      <c r="L64" s="746">
        <v>4000000</v>
      </c>
      <c r="M64" s="824" t="s">
        <v>466</v>
      </c>
      <c r="N64" s="745">
        <v>87.8</v>
      </c>
      <c r="O64" s="740">
        <v>6.0290400000000002</v>
      </c>
      <c r="P64" s="748" t="s">
        <v>331</v>
      </c>
      <c r="Q64" s="749" t="s">
        <v>25</v>
      </c>
      <c r="R64" s="798" t="s">
        <v>26</v>
      </c>
      <c r="S64" s="796">
        <v>41449</v>
      </c>
      <c r="T64" s="796">
        <v>41452</v>
      </c>
      <c r="U64" s="750" t="s">
        <v>208</v>
      </c>
      <c r="W64" s="751">
        <v>3529986.11</v>
      </c>
      <c r="X64" s="767">
        <v>7.8</v>
      </c>
      <c r="Y64" s="751">
        <f t="shared" si="10"/>
        <v>27533891.658</v>
      </c>
      <c r="Z64" s="751"/>
      <c r="AA64" s="753">
        <v>4.375</v>
      </c>
      <c r="AB64" s="800">
        <v>45066</v>
      </c>
      <c r="AC64" s="754">
        <f t="shared" si="11"/>
        <v>9.9095890410958898</v>
      </c>
      <c r="AD64" s="798"/>
      <c r="AF64" s="756"/>
      <c r="AG64" s="757"/>
    </row>
    <row r="65" spans="1:34" s="741" customFormat="1" ht="39.75" customHeight="1">
      <c r="A65" s="823"/>
      <c r="B65" s="740"/>
      <c r="C65" s="740"/>
      <c r="D65" s="740"/>
      <c r="E65" s="759">
        <v>60</v>
      </c>
      <c r="F65" s="741" t="s">
        <v>76</v>
      </c>
      <c r="G65" s="742" t="s">
        <v>77</v>
      </c>
      <c r="H65" s="743" t="s">
        <v>591</v>
      </c>
      <c r="I65" s="743" t="s">
        <v>52</v>
      </c>
      <c r="J65" s="744">
        <f t="shared" si="12"/>
        <v>4.8493150684931505</v>
      </c>
      <c r="K65" s="745" t="s">
        <v>465</v>
      </c>
      <c r="L65" s="746">
        <v>3000000</v>
      </c>
      <c r="M65" s="824" t="s">
        <v>466</v>
      </c>
      <c r="N65" s="745">
        <v>92.4</v>
      </c>
      <c r="O65" s="740">
        <v>6.3440599999999998</v>
      </c>
      <c r="P65" s="748" t="s">
        <v>775</v>
      </c>
      <c r="Q65" s="749" t="s">
        <v>776</v>
      </c>
      <c r="R65" s="798" t="s">
        <v>364</v>
      </c>
      <c r="S65" s="796">
        <v>41450</v>
      </c>
      <c r="T65" s="796">
        <v>41453</v>
      </c>
      <c r="U65" s="750" t="s">
        <v>246</v>
      </c>
      <c r="W65" s="751">
        <v>2792625</v>
      </c>
      <c r="X65" s="767">
        <v>7.8</v>
      </c>
      <c r="Y65" s="751">
        <f t="shared" si="10"/>
        <v>21782475</v>
      </c>
      <c r="Z65" s="751"/>
      <c r="AA65" s="753">
        <v>4.5</v>
      </c>
      <c r="AB65" s="800">
        <v>43223</v>
      </c>
      <c r="AC65" s="754">
        <f t="shared" si="11"/>
        <v>4.8575342465753426</v>
      </c>
      <c r="AD65" s="798"/>
      <c r="AF65" s="756"/>
      <c r="AG65" s="757"/>
    </row>
    <row r="66" spans="1:34" s="741" customFormat="1" ht="39.75" customHeight="1">
      <c r="A66" s="823"/>
      <c r="B66" s="740"/>
      <c r="C66" s="740"/>
      <c r="D66" s="740"/>
      <c r="E66" s="759">
        <v>61</v>
      </c>
      <c r="F66" s="761" t="s">
        <v>365</v>
      </c>
      <c r="G66" s="742" t="s">
        <v>367</v>
      </c>
      <c r="H66" s="760" t="s">
        <v>366</v>
      </c>
      <c r="I66" s="760" t="s">
        <v>363</v>
      </c>
      <c r="J66" s="744">
        <f t="shared" si="12"/>
        <v>9.580821917808219</v>
      </c>
      <c r="K66" s="762" t="s">
        <v>91</v>
      </c>
      <c r="L66" s="746">
        <v>2000000</v>
      </c>
      <c r="M66" s="824" t="s">
        <v>466</v>
      </c>
      <c r="N66" s="745">
        <v>86.6</v>
      </c>
      <c r="O66" s="747">
        <v>6.3925599999999996</v>
      </c>
      <c r="P66" s="753" t="s">
        <v>775</v>
      </c>
      <c r="Q66" s="763" t="s">
        <v>776</v>
      </c>
      <c r="R66" s="764" t="s">
        <v>364</v>
      </c>
      <c r="S66" s="796">
        <v>41450</v>
      </c>
      <c r="T66" s="796">
        <v>41453</v>
      </c>
      <c r="U66" s="750" t="s">
        <v>246</v>
      </c>
      <c r="V66" s="750"/>
      <c r="W66" s="751">
        <v>1770500</v>
      </c>
      <c r="X66" s="751">
        <v>7.8</v>
      </c>
      <c r="Y66" s="751">
        <f t="shared" si="10"/>
        <v>13809900</v>
      </c>
      <c r="Z66" s="751"/>
      <c r="AA66" s="765">
        <v>4.5</v>
      </c>
      <c r="AB66" s="800">
        <v>44950</v>
      </c>
      <c r="AC66" s="754">
        <f t="shared" si="11"/>
        <v>9.5890410958904102</v>
      </c>
      <c r="AD66" s="798"/>
      <c r="AF66" s="756"/>
      <c r="AG66" s="757"/>
    </row>
    <row r="67" spans="1:34" s="741" customFormat="1" ht="39.75" customHeight="1">
      <c r="A67" s="823"/>
      <c r="B67" s="740"/>
      <c r="C67" s="740"/>
      <c r="D67" s="740"/>
      <c r="E67" s="759">
        <v>62</v>
      </c>
      <c r="F67" s="741" t="s">
        <v>365</v>
      </c>
      <c r="G67" s="742" t="s">
        <v>78</v>
      </c>
      <c r="H67" s="743" t="s">
        <v>79</v>
      </c>
      <c r="I67" s="743" t="s">
        <v>52</v>
      </c>
      <c r="J67" s="744">
        <f t="shared" si="12"/>
        <v>9.580821917808219</v>
      </c>
      <c r="K67" s="745" t="s">
        <v>465</v>
      </c>
      <c r="L67" s="746">
        <v>1000000</v>
      </c>
      <c r="M67" s="824" t="s">
        <v>466</v>
      </c>
      <c r="N67" s="745">
        <v>86.25</v>
      </c>
      <c r="O67" s="740">
        <v>6.4466469999999996</v>
      </c>
      <c r="P67" s="763" t="s">
        <v>601</v>
      </c>
      <c r="Q67" s="764" t="s">
        <v>81</v>
      </c>
      <c r="R67" s="742" t="s">
        <v>82</v>
      </c>
      <c r="S67" s="796">
        <v>41450</v>
      </c>
      <c r="T67" s="796">
        <v>41453</v>
      </c>
      <c r="U67" s="750" t="s">
        <v>246</v>
      </c>
      <c r="W67" s="751">
        <v>881750</v>
      </c>
      <c r="X67" s="767">
        <v>7.8</v>
      </c>
      <c r="Y67" s="751">
        <f t="shared" si="10"/>
        <v>6877650</v>
      </c>
      <c r="Z67" s="751"/>
      <c r="AA67" s="753">
        <v>4.5</v>
      </c>
      <c r="AB67" s="800">
        <v>44950</v>
      </c>
      <c r="AC67" s="754">
        <f t="shared" si="11"/>
        <v>9.5890410958904102</v>
      </c>
      <c r="AD67" s="798"/>
      <c r="AF67" s="756"/>
      <c r="AG67" s="757"/>
    </row>
    <row r="68" spans="1:34" s="741" customFormat="1" ht="39.75" customHeight="1">
      <c r="A68" s="823"/>
      <c r="B68" s="740"/>
      <c r="C68" s="740"/>
      <c r="D68" s="740"/>
      <c r="E68" s="759">
        <v>63</v>
      </c>
      <c r="F68" s="741" t="s">
        <v>365</v>
      </c>
      <c r="G68" s="742" t="s">
        <v>78</v>
      </c>
      <c r="H68" s="743" t="s">
        <v>79</v>
      </c>
      <c r="I68" s="743" t="s">
        <v>52</v>
      </c>
      <c r="J68" s="744">
        <f t="shared" si="12"/>
        <v>9.580821917808219</v>
      </c>
      <c r="K68" s="745" t="s">
        <v>465</v>
      </c>
      <c r="L68" s="746">
        <v>2000000</v>
      </c>
      <c r="M68" s="824" t="s">
        <v>466</v>
      </c>
      <c r="N68" s="745">
        <v>86.55</v>
      </c>
      <c r="O68" s="740">
        <v>6.4002699999999999</v>
      </c>
      <c r="P68" s="748" t="s">
        <v>1063</v>
      </c>
      <c r="Q68" s="749" t="s">
        <v>80</v>
      </c>
      <c r="R68" s="798" t="s">
        <v>83</v>
      </c>
      <c r="S68" s="796">
        <v>41450</v>
      </c>
      <c r="T68" s="796">
        <v>41453</v>
      </c>
      <c r="U68" s="750" t="s">
        <v>246</v>
      </c>
      <c r="W68" s="751">
        <v>1769500</v>
      </c>
      <c r="X68" s="767">
        <v>7.8</v>
      </c>
      <c r="Y68" s="751">
        <f t="shared" si="10"/>
        <v>13802100</v>
      </c>
      <c r="Z68" s="751"/>
      <c r="AA68" s="753">
        <v>4.5</v>
      </c>
      <c r="AB68" s="800">
        <v>44950</v>
      </c>
      <c r="AC68" s="754">
        <f t="shared" si="11"/>
        <v>9.5890410958904102</v>
      </c>
      <c r="AD68" s="798"/>
      <c r="AF68" s="756"/>
      <c r="AG68" s="757"/>
    </row>
    <row r="69" spans="1:34" s="741" customFormat="1" ht="39.75" customHeight="1">
      <c r="A69" s="823"/>
      <c r="B69" s="740"/>
      <c r="C69" s="740"/>
      <c r="D69" s="740"/>
      <c r="E69" s="759">
        <v>64</v>
      </c>
      <c r="F69" s="741" t="s">
        <v>365</v>
      </c>
      <c r="G69" s="742" t="s">
        <v>78</v>
      </c>
      <c r="H69" s="743" t="s">
        <v>79</v>
      </c>
      <c r="I69" s="743" t="s">
        <v>52</v>
      </c>
      <c r="J69" s="744">
        <f t="shared" si="12"/>
        <v>9.580821917808219</v>
      </c>
      <c r="K69" s="745" t="s">
        <v>465</v>
      </c>
      <c r="L69" s="746">
        <v>2000000</v>
      </c>
      <c r="M69" s="824" t="s">
        <v>466</v>
      </c>
      <c r="N69" s="745">
        <v>86.35</v>
      </c>
      <c r="O69" s="740">
        <v>6.4311699999999998</v>
      </c>
      <c r="P69" s="763" t="s">
        <v>84</v>
      </c>
      <c r="Q69" s="764" t="s">
        <v>85</v>
      </c>
      <c r="R69" s="742" t="s">
        <v>86</v>
      </c>
      <c r="S69" s="796">
        <v>41450</v>
      </c>
      <c r="T69" s="796">
        <v>41453</v>
      </c>
      <c r="U69" s="750" t="s">
        <v>246</v>
      </c>
      <c r="W69" s="751">
        <v>1765500</v>
      </c>
      <c r="X69" s="767">
        <v>7.8</v>
      </c>
      <c r="Y69" s="751">
        <f t="shared" ref="Y69:Y74" si="13">X69*W69</f>
        <v>13770900</v>
      </c>
      <c r="Z69" s="751"/>
      <c r="AA69" s="753">
        <v>4.5</v>
      </c>
      <c r="AB69" s="800">
        <v>44950</v>
      </c>
      <c r="AC69" s="754">
        <f t="shared" si="11"/>
        <v>9.5890410958904102</v>
      </c>
      <c r="AD69" s="798"/>
      <c r="AF69" s="756"/>
      <c r="AG69" s="757"/>
    </row>
    <row r="70" spans="1:34" s="741" customFormat="1" ht="38.25">
      <c r="A70" s="823"/>
      <c r="B70" s="740"/>
      <c r="C70" s="740"/>
      <c r="D70" s="740"/>
      <c r="E70" s="759">
        <v>65</v>
      </c>
      <c r="F70" s="761" t="s">
        <v>589</v>
      </c>
      <c r="G70" s="742" t="s">
        <v>229</v>
      </c>
      <c r="H70" s="760" t="s">
        <v>289</v>
      </c>
      <c r="I70" s="760" t="s">
        <v>290</v>
      </c>
      <c r="J70" s="744">
        <f t="shared" si="12"/>
        <v>9.4849315068493159</v>
      </c>
      <c r="K70" s="762" t="s">
        <v>91</v>
      </c>
      <c r="L70" s="746">
        <v>1000000</v>
      </c>
      <c r="M70" s="824" t="s">
        <v>466</v>
      </c>
      <c r="N70" s="745">
        <v>88.4</v>
      </c>
      <c r="O70" s="747">
        <v>7.8852279999999997</v>
      </c>
      <c r="P70" s="753" t="s">
        <v>583</v>
      </c>
      <c r="Q70" s="763" t="s">
        <v>585</v>
      </c>
      <c r="R70" s="764" t="s">
        <v>586</v>
      </c>
      <c r="S70" s="796">
        <v>41450</v>
      </c>
      <c r="T70" s="796">
        <v>41453</v>
      </c>
      <c r="U70" s="750" t="s">
        <v>246</v>
      </c>
      <c r="V70" s="750"/>
      <c r="W70" s="751">
        <v>885361.11</v>
      </c>
      <c r="X70" s="751">
        <v>7.8</v>
      </c>
      <c r="Y70" s="751">
        <f t="shared" si="13"/>
        <v>6905816.6579999998</v>
      </c>
      <c r="Z70" s="751"/>
      <c r="AA70" s="765">
        <v>6.125</v>
      </c>
      <c r="AB70" s="800">
        <v>44915</v>
      </c>
      <c r="AC70" s="754">
        <f t="shared" si="11"/>
        <v>9.493150684931507</v>
      </c>
      <c r="AD70" s="754"/>
      <c r="AE70" s="798"/>
      <c r="AG70" s="756"/>
      <c r="AH70" s="757"/>
    </row>
    <row r="71" spans="1:34" s="741" customFormat="1" ht="38.25">
      <c r="A71" s="823"/>
      <c r="B71" s="740"/>
      <c r="C71" s="740"/>
      <c r="D71" s="740"/>
      <c r="E71" s="759">
        <v>66</v>
      </c>
      <c r="F71" s="761" t="s">
        <v>589</v>
      </c>
      <c r="G71" s="742" t="s">
        <v>229</v>
      </c>
      <c r="H71" s="760" t="s">
        <v>289</v>
      </c>
      <c r="I71" s="760" t="s">
        <v>290</v>
      </c>
      <c r="J71" s="744">
        <f t="shared" ref="J71:J76" si="14">(AB71-T71)/365</f>
        <v>9.4849315068493159</v>
      </c>
      <c r="K71" s="762" t="s">
        <v>91</v>
      </c>
      <c r="L71" s="746">
        <v>1000000</v>
      </c>
      <c r="M71" s="824" t="s">
        <v>466</v>
      </c>
      <c r="N71" s="745">
        <v>87.9</v>
      </c>
      <c r="O71" s="747">
        <v>7.9675399999999996</v>
      </c>
      <c r="P71" s="753" t="s">
        <v>331</v>
      </c>
      <c r="Q71" s="763" t="s">
        <v>25</v>
      </c>
      <c r="R71" s="764" t="s">
        <v>26</v>
      </c>
      <c r="S71" s="796">
        <v>41450</v>
      </c>
      <c r="T71" s="796">
        <v>41453</v>
      </c>
      <c r="U71" s="750" t="s">
        <v>246</v>
      </c>
      <c r="V71" s="750"/>
      <c r="W71" s="751">
        <v>880361.11</v>
      </c>
      <c r="X71" s="751">
        <v>7.8</v>
      </c>
      <c r="Y71" s="751">
        <f t="shared" si="13"/>
        <v>6866816.6579999998</v>
      </c>
      <c r="Z71" s="751"/>
      <c r="AA71" s="765">
        <v>6.125</v>
      </c>
      <c r="AB71" s="800">
        <v>44915</v>
      </c>
      <c r="AC71" s="754">
        <f t="shared" ref="AC71:AC76" si="15">(AB71-S71)/365</f>
        <v>9.493150684931507</v>
      </c>
      <c r="AD71" s="754"/>
      <c r="AE71" s="798"/>
      <c r="AG71" s="756"/>
      <c r="AH71" s="757"/>
    </row>
    <row r="72" spans="1:34" s="741" customFormat="1" ht="51">
      <c r="A72" s="823"/>
      <c r="B72" s="740"/>
      <c r="C72" s="740"/>
      <c r="D72" s="740"/>
      <c r="E72" s="759">
        <v>66</v>
      </c>
      <c r="F72" s="761" t="s">
        <v>589</v>
      </c>
      <c r="G72" s="742" t="s">
        <v>75</v>
      </c>
      <c r="H72" s="760" t="s">
        <v>289</v>
      </c>
      <c r="I72" s="760" t="s">
        <v>290</v>
      </c>
      <c r="J72" s="744">
        <f t="shared" si="14"/>
        <v>9.4739726027397264</v>
      </c>
      <c r="K72" s="762" t="s">
        <v>91</v>
      </c>
      <c r="L72" s="746">
        <v>1000000</v>
      </c>
      <c r="M72" s="824" t="s">
        <v>466</v>
      </c>
      <c r="N72" s="745">
        <v>87.75</v>
      </c>
      <c r="O72" s="747">
        <v>7.99376</v>
      </c>
      <c r="P72" s="740" t="s">
        <v>331</v>
      </c>
      <c r="Q72" s="763" t="s">
        <v>593</v>
      </c>
      <c r="R72" s="764" t="s">
        <v>594</v>
      </c>
      <c r="S72" s="796">
        <v>41451</v>
      </c>
      <c r="T72" s="796">
        <v>41457</v>
      </c>
      <c r="U72" s="750" t="s">
        <v>246</v>
      </c>
      <c r="V72" s="750"/>
      <c r="W72" s="751">
        <v>879541.67</v>
      </c>
      <c r="X72" s="751">
        <v>7.8</v>
      </c>
      <c r="Y72" s="751">
        <f t="shared" si="13"/>
        <v>6860425.0260000005</v>
      </c>
      <c r="Z72" s="751"/>
      <c r="AA72" s="765">
        <v>6.125</v>
      </c>
      <c r="AB72" s="800">
        <v>44915</v>
      </c>
      <c r="AC72" s="754">
        <f t="shared" si="15"/>
        <v>9.4904109589041088</v>
      </c>
      <c r="AD72" s="754"/>
      <c r="AE72" s="798"/>
      <c r="AG72" s="756"/>
      <c r="AH72" s="757"/>
    </row>
    <row r="73" spans="1:34" s="741" customFormat="1" ht="39.75" customHeight="1">
      <c r="A73" s="823"/>
      <c r="B73" s="740"/>
      <c r="C73" s="740"/>
      <c r="D73" s="740"/>
      <c r="E73" s="759">
        <v>67</v>
      </c>
      <c r="F73" s="761" t="s">
        <v>365</v>
      </c>
      <c r="G73" s="742" t="s">
        <v>367</v>
      </c>
      <c r="H73" s="760" t="s">
        <v>879</v>
      </c>
      <c r="I73" s="760" t="s">
        <v>363</v>
      </c>
      <c r="J73" s="744">
        <f t="shared" si="14"/>
        <v>9.5698630136986296</v>
      </c>
      <c r="K73" s="762" t="s">
        <v>91</v>
      </c>
      <c r="L73" s="746">
        <v>3000000</v>
      </c>
      <c r="M73" s="824" t="s">
        <v>466</v>
      </c>
      <c r="N73" s="745">
        <v>87</v>
      </c>
      <c r="O73" s="747">
        <v>6.3328499999999996</v>
      </c>
      <c r="P73" s="753" t="s">
        <v>677</v>
      </c>
      <c r="Q73" s="763" t="s">
        <v>678</v>
      </c>
      <c r="R73" s="764" t="s">
        <v>679</v>
      </c>
      <c r="S73" s="796">
        <v>41452</v>
      </c>
      <c r="T73" s="796">
        <v>41457</v>
      </c>
      <c r="U73" s="750" t="s">
        <v>246</v>
      </c>
      <c r="V73" s="750"/>
      <c r="W73" s="751">
        <v>2669250</v>
      </c>
      <c r="X73" s="751">
        <v>7.8</v>
      </c>
      <c r="Y73" s="751">
        <f t="shared" si="13"/>
        <v>20820150</v>
      </c>
      <c r="Z73" s="751"/>
      <c r="AA73" s="765">
        <v>4.5</v>
      </c>
      <c r="AB73" s="800">
        <v>44950</v>
      </c>
      <c r="AC73" s="754">
        <f t="shared" si="15"/>
        <v>9.5835616438356173</v>
      </c>
      <c r="AD73" s="798"/>
      <c r="AF73" s="756"/>
      <c r="AG73" s="757"/>
    </row>
    <row r="74" spans="1:34" s="741" customFormat="1" ht="39.75" customHeight="1">
      <c r="A74" s="823"/>
      <c r="B74" s="740"/>
      <c r="C74" s="740"/>
      <c r="D74" s="740"/>
      <c r="E74" s="759">
        <v>68</v>
      </c>
      <c r="F74" s="761" t="s">
        <v>365</v>
      </c>
      <c r="G74" s="742" t="s">
        <v>367</v>
      </c>
      <c r="H74" s="760" t="s">
        <v>879</v>
      </c>
      <c r="I74" s="760" t="s">
        <v>363</v>
      </c>
      <c r="J74" s="744">
        <f t="shared" si="14"/>
        <v>9.5698630136986296</v>
      </c>
      <c r="K74" s="762" t="s">
        <v>91</v>
      </c>
      <c r="L74" s="746">
        <v>1000000</v>
      </c>
      <c r="M74" s="824" t="s">
        <v>466</v>
      </c>
      <c r="N74" s="745">
        <v>87</v>
      </c>
      <c r="O74" s="747">
        <v>6.3328499999999996</v>
      </c>
      <c r="P74" s="753" t="s">
        <v>680</v>
      </c>
      <c r="Q74" s="763" t="s">
        <v>681</v>
      </c>
      <c r="R74" s="764" t="s">
        <v>682</v>
      </c>
      <c r="S74" s="796">
        <v>41452</v>
      </c>
      <c r="T74" s="796">
        <v>41457</v>
      </c>
      <c r="U74" s="750" t="s">
        <v>246</v>
      </c>
      <c r="V74" s="750"/>
      <c r="W74" s="751">
        <v>889750</v>
      </c>
      <c r="X74" s="751">
        <v>7.8</v>
      </c>
      <c r="Y74" s="751">
        <f t="shared" si="13"/>
        <v>6940050</v>
      </c>
      <c r="Z74" s="751"/>
      <c r="AA74" s="765">
        <v>4.5</v>
      </c>
      <c r="AB74" s="800">
        <v>44950</v>
      </c>
      <c r="AC74" s="754">
        <f t="shared" si="15"/>
        <v>9.5835616438356173</v>
      </c>
      <c r="AD74" s="798"/>
      <c r="AF74" s="756"/>
      <c r="AG74" s="757"/>
    </row>
    <row r="75" spans="1:34" s="741" customFormat="1" ht="39.75" customHeight="1">
      <c r="A75" s="823"/>
      <c r="B75" s="740"/>
      <c r="C75" s="740"/>
      <c r="D75" s="740"/>
      <c r="E75" s="759">
        <v>69</v>
      </c>
      <c r="F75" s="761" t="s">
        <v>694</v>
      </c>
      <c r="G75" s="742" t="s">
        <v>695</v>
      </c>
      <c r="H75" s="760" t="s">
        <v>742</v>
      </c>
      <c r="I75" s="760" t="s">
        <v>1113</v>
      </c>
      <c r="J75" s="744">
        <f t="shared" si="14"/>
        <v>9.4273972602739722</v>
      </c>
      <c r="K75" s="762" t="s">
        <v>91</v>
      </c>
      <c r="L75" s="746">
        <v>2000000</v>
      </c>
      <c r="M75" s="824" t="s">
        <v>466</v>
      </c>
      <c r="N75" s="745">
        <v>88.272000000000006</v>
      </c>
      <c r="O75" s="747">
        <v>5.6200900000000003</v>
      </c>
      <c r="P75" s="753" t="s">
        <v>691</v>
      </c>
      <c r="Q75" s="763" t="s">
        <v>692</v>
      </c>
      <c r="R75" s="764" t="s">
        <v>693</v>
      </c>
      <c r="S75" s="796">
        <v>41452</v>
      </c>
      <c r="T75" s="796">
        <v>41457</v>
      </c>
      <c r="U75" s="750" t="s">
        <v>246</v>
      </c>
      <c r="V75" s="750"/>
      <c r="W75" s="751">
        <v>1771884.44</v>
      </c>
      <c r="X75" s="751">
        <v>7.8</v>
      </c>
      <c r="Y75" s="751">
        <f t="shared" ref="Y75:Y80" si="16">X75*W75</f>
        <v>13820698.631999999</v>
      </c>
      <c r="Z75" s="751"/>
      <c r="AA75" s="765">
        <v>4</v>
      </c>
      <c r="AB75" s="800">
        <v>44898</v>
      </c>
      <c r="AC75" s="754">
        <f t="shared" si="15"/>
        <v>9.4410958904109581</v>
      </c>
      <c r="AD75" s="798"/>
      <c r="AF75" s="756"/>
      <c r="AG75" s="757"/>
    </row>
    <row r="76" spans="1:34" s="741" customFormat="1" ht="39.75" customHeight="1">
      <c r="A76" s="823"/>
      <c r="B76" s="740"/>
      <c r="C76" s="740"/>
      <c r="D76" s="740"/>
      <c r="E76" s="759">
        <v>70</v>
      </c>
      <c r="F76" s="761" t="s">
        <v>696</v>
      </c>
      <c r="G76" s="742" t="s">
        <v>697</v>
      </c>
      <c r="H76" s="760" t="s">
        <v>79</v>
      </c>
      <c r="I76" s="760" t="s">
        <v>1113</v>
      </c>
      <c r="J76" s="744">
        <f t="shared" si="14"/>
        <v>8.3917808219178074</v>
      </c>
      <c r="K76" s="762" t="s">
        <v>91</v>
      </c>
      <c r="L76" s="746">
        <v>10000000</v>
      </c>
      <c r="M76" s="824" t="s">
        <v>466</v>
      </c>
      <c r="N76" s="745">
        <v>100</v>
      </c>
      <c r="O76" s="747">
        <v>6.125</v>
      </c>
      <c r="P76" s="753" t="s">
        <v>712</v>
      </c>
      <c r="Q76" s="763" t="s">
        <v>713</v>
      </c>
      <c r="R76" s="764" t="s">
        <v>673</v>
      </c>
      <c r="S76" s="796">
        <v>41452</v>
      </c>
      <c r="T76" s="796">
        <v>41467</v>
      </c>
      <c r="U76" s="750" t="s">
        <v>246</v>
      </c>
      <c r="V76" s="750"/>
      <c r="W76" s="751">
        <v>10000000</v>
      </c>
      <c r="X76" s="751">
        <v>7.8</v>
      </c>
      <c r="Y76" s="751">
        <f t="shared" si="16"/>
        <v>78000000</v>
      </c>
      <c r="Z76" s="751"/>
      <c r="AA76" s="765">
        <v>4</v>
      </c>
      <c r="AB76" s="800">
        <v>44530</v>
      </c>
      <c r="AC76" s="754">
        <f t="shared" si="15"/>
        <v>8.4328767123287669</v>
      </c>
      <c r="AD76" s="798"/>
      <c r="AF76" s="756"/>
      <c r="AG76" s="757"/>
    </row>
    <row r="77" spans="1:34" s="741" customFormat="1" ht="39.75" customHeight="1">
      <c r="A77" s="823"/>
      <c r="B77" s="740"/>
      <c r="C77" s="740"/>
      <c r="D77" s="740"/>
      <c r="E77" s="759">
        <v>71</v>
      </c>
      <c r="F77" s="761" t="s">
        <v>365</v>
      </c>
      <c r="G77" s="742" t="s">
        <v>367</v>
      </c>
      <c r="H77" s="760" t="s">
        <v>879</v>
      </c>
      <c r="I77" s="760" t="s">
        <v>363</v>
      </c>
      <c r="J77" s="744">
        <f t="shared" ref="J77:J84" si="17">(AB77-T77)/365</f>
        <v>9.5671232876712331</v>
      </c>
      <c r="K77" s="762" t="s">
        <v>91</v>
      </c>
      <c r="L77" s="746">
        <v>1000000</v>
      </c>
      <c r="M77" s="824" t="s">
        <v>466</v>
      </c>
      <c r="N77" s="745">
        <v>87.8</v>
      </c>
      <c r="O77" s="747">
        <v>6.2111900000000002</v>
      </c>
      <c r="P77" s="753" t="s">
        <v>677</v>
      </c>
      <c r="Q77" s="763" t="s">
        <v>678</v>
      </c>
      <c r="R77" s="764" t="s">
        <v>679</v>
      </c>
      <c r="S77" s="796">
        <v>41453</v>
      </c>
      <c r="T77" s="796">
        <v>41458</v>
      </c>
      <c r="U77" s="750" t="s">
        <v>246</v>
      </c>
      <c r="V77" s="750"/>
      <c r="W77" s="751">
        <v>897875</v>
      </c>
      <c r="X77" s="751">
        <v>7.8</v>
      </c>
      <c r="Y77" s="751">
        <f t="shared" si="16"/>
        <v>7003425</v>
      </c>
      <c r="Z77" s="751"/>
      <c r="AA77" s="765">
        <v>4.5</v>
      </c>
      <c r="AB77" s="800">
        <v>44950</v>
      </c>
      <c r="AC77" s="754">
        <f t="shared" ref="AC77:AC84" si="18">(AB77-S77)/365</f>
        <v>9.580821917808219</v>
      </c>
      <c r="AD77" s="798"/>
      <c r="AF77" s="756"/>
      <c r="AG77" s="757"/>
    </row>
    <row r="78" spans="1:34" s="741" customFormat="1" ht="39.75" customHeight="1">
      <c r="A78" s="823"/>
      <c r="B78" s="740"/>
      <c r="C78" s="740"/>
      <c r="D78" s="740"/>
      <c r="E78" s="759">
        <v>72</v>
      </c>
      <c r="F78" s="761" t="s">
        <v>365</v>
      </c>
      <c r="G78" s="742" t="s">
        <v>367</v>
      </c>
      <c r="H78" s="760" t="s">
        <v>879</v>
      </c>
      <c r="I78" s="760" t="s">
        <v>363</v>
      </c>
      <c r="J78" s="744">
        <f t="shared" si="17"/>
        <v>9.5671232876712331</v>
      </c>
      <c r="K78" s="762" t="s">
        <v>91</v>
      </c>
      <c r="L78" s="746">
        <v>1000000</v>
      </c>
      <c r="M78" s="824" t="s">
        <v>466</v>
      </c>
      <c r="N78" s="745">
        <v>87.87</v>
      </c>
      <c r="O78" s="747">
        <v>6.2005600000000003</v>
      </c>
      <c r="P78" s="753" t="s">
        <v>331</v>
      </c>
      <c r="Q78" s="763" t="s">
        <v>595</v>
      </c>
      <c r="R78" s="764" t="s">
        <v>596</v>
      </c>
      <c r="S78" s="796">
        <v>41453</v>
      </c>
      <c r="T78" s="796">
        <v>41458</v>
      </c>
      <c r="U78" s="750" t="s">
        <v>246</v>
      </c>
      <c r="V78" s="750"/>
      <c r="W78" s="751">
        <v>898575</v>
      </c>
      <c r="X78" s="751">
        <v>7.8</v>
      </c>
      <c r="Y78" s="751">
        <f t="shared" si="16"/>
        <v>7008885</v>
      </c>
      <c r="Z78" s="751"/>
      <c r="AA78" s="765">
        <v>4.5</v>
      </c>
      <c r="AB78" s="800">
        <v>44950</v>
      </c>
      <c r="AC78" s="754">
        <f t="shared" si="18"/>
        <v>9.580821917808219</v>
      </c>
      <c r="AD78" s="798"/>
      <c r="AF78" s="756"/>
      <c r="AG78" s="757"/>
    </row>
    <row r="79" spans="1:34" s="741" customFormat="1" ht="39.75" customHeight="1">
      <c r="A79" s="823"/>
      <c r="B79" s="740"/>
      <c r="C79" s="740"/>
      <c r="D79" s="740"/>
      <c r="E79" s="759">
        <v>73</v>
      </c>
      <c r="F79" s="761" t="s">
        <v>418</v>
      </c>
      <c r="G79" s="742" t="s">
        <v>419</v>
      </c>
      <c r="H79" s="760" t="s">
        <v>1113</v>
      </c>
      <c r="I79" s="760" t="s">
        <v>1113</v>
      </c>
      <c r="J79" s="744">
        <f t="shared" si="17"/>
        <v>4.8712328767123285</v>
      </c>
      <c r="K79" s="762" t="s">
        <v>91</v>
      </c>
      <c r="L79" s="746">
        <v>2000000</v>
      </c>
      <c r="M79" s="824" t="s">
        <v>466</v>
      </c>
      <c r="N79" s="745">
        <v>92</v>
      </c>
      <c r="O79" s="747">
        <v>6.7007700000000003</v>
      </c>
      <c r="P79" s="753" t="s">
        <v>775</v>
      </c>
      <c r="Q79" s="763" t="s">
        <v>776</v>
      </c>
      <c r="R79" s="764" t="s">
        <v>364</v>
      </c>
      <c r="S79" s="796">
        <v>41453</v>
      </c>
      <c r="T79" s="796">
        <v>41458</v>
      </c>
      <c r="U79" s="750" t="s">
        <v>246</v>
      </c>
      <c r="V79" s="750"/>
      <c r="W79" s="751">
        <v>1852402.78</v>
      </c>
      <c r="X79" s="751">
        <v>7.8</v>
      </c>
      <c r="Y79" s="751">
        <f t="shared" si="16"/>
        <v>14448741.684</v>
      </c>
      <c r="Z79" s="751"/>
      <c r="AA79" s="765">
        <v>4.75</v>
      </c>
      <c r="AB79" s="800">
        <v>43236</v>
      </c>
      <c r="AC79" s="754">
        <f t="shared" si="18"/>
        <v>4.8849315068493153</v>
      </c>
      <c r="AD79" s="798"/>
      <c r="AF79" s="756"/>
      <c r="AG79" s="757"/>
    </row>
    <row r="80" spans="1:34" s="741" customFormat="1" ht="39.75" customHeight="1">
      <c r="A80" s="823"/>
      <c r="B80" s="740"/>
      <c r="C80" s="740"/>
      <c r="D80" s="740"/>
      <c r="E80" s="759">
        <v>74</v>
      </c>
      <c r="F80" s="761" t="s">
        <v>418</v>
      </c>
      <c r="G80" s="742" t="s">
        <v>419</v>
      </c>
      <c r="H80" s="760" t="s">
        <v>1113</v>
      </c>
      <c r="I80" s="760" t="s">
        <v>1113</v>
      </c>
      <c r="J80" s="744">
        <f t="shared" si="17"/>
        <v>4.8575342465753426</v>
      </c>
      <c r="K80" s="762" t="s">
        <v>91</v>
      </c>
      <c r="L80" s="746">
        <v>1000000</v>
      </c>
      <c r="M80" s="824" t="s">
        <v>466</v>
      </c>
      <c r="N80" s="745">
        <v>93.59</v>
      </c>
      <c r="O80" s="747">
        <v>6.3010700000000002</v>
      </c>
      <c r="P80" s="753" t="s">
        <v>677</v>
      </c>
      <c r="Q80" s="763" t="s">
        <v>678</v>
      </c>
      <c r="R80" s="764" t="s">
        <v>679</v>
      </c>
      <c r="S80" s="796">
        <v>41457</v>
      </c>
      <c r="T80" s="796">
        <v>41463</v>
      </c>
      <c r="U80" s="750" t="s">
        <v>246</v>
      </c>
      <c r="V80" s="750"/>
      <c r="W80" s="751">
        <v>942761.11</v>
      </c>
      <c r="X80" s="751">
        <v>7.8</v>
      </c>
      <c r="Y80" s="751">
        <f t="shared" si="16"/>
        <v>7353536.6579999998</v>
      </c>
      <c r="Z80" s="751"/>
      <c r="AA80" s="765">
        <v>4.75</v>
      </c>
      <c r="AB80" s="800">
        <v>43236</v>
      </c>
      <c r="AC80" s="754">
        <f t="shared" si="18"/>
        <v>4.8739726027397259</v>
      </c>
      <c r="AD80" s="798"/>
      <c r="AF80" s="756"/>
      <c r="AG80" s="757"/>
    </row>
    <row r="81" spans="1:33" s="741" customFormat="1" ht="39.75" customHeight="1">
      <c r="A81" s="823"/>
      <c r="B81" s="740"/>
      <c r="C81" s="740"/>
      <c r="D81" s="740"/>
      <c r="E81" s="759">
        <v>75</v>
      </c>
      <c r="F81" s="761" t="s">
        <v>418</v>
      </c>
      <c r="G81" s="742" t="s">
        <v>419</v>
      </c>
      <c r="H81" s="760" t="s">
        <v>1113</v>
      </c>
      <c r="I81" s="760" t="s">
        <v>1113</v>
      </c>
      <c r="J81" s="744">
        <f t="shared" si="17"/>
        <v>4.8547945205479452</v>
      </c>
      <c r="K81" s="762" t="s">
        <v>91</v>
      </c>
      <c r="L81" s="746">
        <v>1000000</v>
      </c>
      <c r="M81" s="824" t="s">
        <v>466</v>
      </c>
      <c r="N81" s="768">
        <v>93.200999999999993</v>
      </c>
      <c r="O81" s="753">
        <v>6.4001099999999997</v>
      </c>
      <c r="P81" s="753" t="s">
        <v>331</v>
      </c>
      <c r="Q81" s="763" t="s">
        <v>595</v>
      </c>
      <c r="R81" s="764" t="s">
        <v>596</v>
      </c>
      <c r="S81" s="796">
        <v>41458</v>
      </c>
      <c r="T81" s="796">
        <v>41464</v>
      </c>
      <c r="U81" s="750" t="s">
        <v>246</v>
      </c>
      <c r="V81" s="750"/>
      <c r="W81" s="825">
        <v>939003.06</v>
      </c>
      <c r="X81" s="751">
        <v>7.8</v>
      </c>
      <c r="Y81" s="751">
        <f t="shared" ref="Y81:Y86" si="19">X81*W81</f>
        <v>7324223.8680000007</v>
      </c>
      <c r="Z81" s="751"/>
      <c r="AA81" s="765">
        <v>4.75</v>
      </c>
      <c r="AB81" s="800">
        <v>43236</v>
      </c>
      <c r="AC81" s="754">
        <f t="shared" si="18"/>
        <v>4.8712328767123285</v>
      </c>
      <c r="AD81" s="798"/>
      <c r="AF81" s="756"/>
      <c r="AG81" s="757"/>
    </row>
    <row r="82" spans="1:33" s="741" customFormat="1" ht="39.75" customHeight="1">
      <c r="A82" s="823"/>
      <c r="B82" s="740"/>
      <c r="C82" s="740"/>
      <c r="D82" s="740"/>
      <c r="E82" s="759">
        <v>76</v>
      </c>
      <c r="F82" s="761" t="s">
        <v>589</v>
      </c>
      <c r="G82" s="742" t="s">
        <v>75</v>
      </c>
      <c r="H82" s="760" t="s">
        <v>289</v>
      </c>
      <c r="I82" s="760" t="s">
        <v>290</v>
      </c>
      <c r="J82" s="744">
        <f t="shared" si="17"/>
        <v>9.4547945205479458</v>
      </c>
      <c r="K82" s="762" t="s">
        <v>91</v>
      </c>
      <c r="L82" s="746">
        <v>2000000</v>
      </c>
      <c r="M82" s="824" t="s">
        <v>466</v>
      </c>
      <c r="N82" s="768">
        <v>90.875</v>
      </c>
      <c r="O82" s="753">
        <v>7.4889999999999999</v>
      </c>
      <c r="P82" s="753" t="s">
        <v>775</v>
      </c>
      <c r="Q82" s="763" t="s">
        <v>776</v>
      </c>
      <c r="R82" s="764" t="s">
        <v>364</v>
      </c>
      <c r="S82" s="796">
        <v>41458</v>
      </c>
      <c r="T82" s="796">
        <v>41464</v>
      </c>
      <c r="U82" s="750" t="s">
        <v>246</v>
      </c>
      <c r="V82" s="750"/>
      <c r="W82" s="825">
        <v>1823965.28</v>
      </c>
      <c r="X82" s="751">
        <v>7.8</v>
      </c>
      <c r="Y82" s="751">
        <f t="shared" si="19"/>
        <v>14226929.184</v>
      </c>
      <c r="Z82" s="751"/>
      <c r="AA82" s="765">
        <v>6.125</v>
      </c>
      <c r="AB82" s="800">
        <v>44915</v>
      </c>
      <c r="AC82" s="754">
        <f t="shared" si="18"/>
        <v>9.4712328767123282</v>
      </c>
      <c r="AD82" s="798"/>
      <c r="AF82" s="756"/>
      <c r="AG82" s="757"/>
    </row>
    <row r="83" spans="1:33" s="741" customFormat="1" ht="39.75" customHeight="1">
      <c r="A83" s="823"/>
      <c r="B83" s="740"/>
      <c r="C83" s="740"/>
      <c r="D83" s="740"/>
      <c r="E83" s="759">
        <v>77</v>
      </c>
      <c r="F83" s="761" t="s">
        <v>933</v>
      </c>
      <c r="G83" s="742" t="s">
        <v>695</v>
      </c>
      <c r="H83" s="760" t="s">
        <v>742</v>
      </c>
      <c r="I83" s="760" t="s">
        <v>1113</v>
      </c>
      <c r="J83" s="744">
        <f t="shared" si="17"/>
        <v>9.4082191780821915</v>
      </c>
      <c r="K83" s="762" t="s">
        <v>91</v>
      </c>
      <c r="L83" s="746">
        <v>2000000</v>
      </c>
      <c r="M83" s="824" t="s">
        <v>466</v>
      </c>
      <c r="N83" s="768">
        <v>89.1</v>
      </c>
      <c r="O83" s="753">
        <v>5.4999700000000002</v>
      </c>
      <c r="P83" s="753" t="s">
        <v>775</v>
      </c>
      <c r="Q83" s="763" t="s">
        <v>934</v>
      </c>
      <c r="R83" s="764" t="s">
        <v>935</v>
      </c>
      <c r="S83" s="796">
        <v>41458</v>
      </c>
      <c r="T83" s="796">
        <v>41464</v>
      </c>
      <c r="U83" s="750" t="s">
        <v>246</v>
      </c>
      <c r="V83" s="750"/>
      <c r="W83" s="825">
        <v>1790000</v>
      </c>
      <c r="X83" s="751">
        <v>7.8</v>
      </c>
      <c r="Y83" s="751">
        <f t="shared" si="19"/>
        <v>13962000</v>
      </c>
      <c r="Z83" s="751"/>
      <c r="AA83" s="765">
        <v>4</v>
      </c>
      <c r="AB83" s="800">
        <v>44898</v>
      </c>
      <c r="AC83" s="754">
        <f t="shared" si="18"/>
        <v>9.4246575342465757</v>
      </c>
      <c r="AD83" s="798"/>
      <c r="AF83" s="756"/>
      <c r="AG83" s="757"/>
    </row>
    <row r="84" spans="1:33" s="741" customFormat="1" ht="39.75" customHeight="1">
      <c r="A84" s="823"/>
      <c r="B84" s="740"/>
      <c r="C84" s="740"/>
      <c r="D84" s="740"/>
      <c r="E84" s="759">
        <v>78</v>
      </c>
      <c r="F84" s="761" t="s">
        <v>933</v>
      </c>
      <c r="G84" s="742" t="s">
        <v>695</v>
      </c>
      <c r="H84" s="760" t="s">
        <v>742</v>
      </c>
      <c r="I84" s="760" t="s">
        <v>1113</v>
      </c>
      <c r="J84" s="744">
        <f t="shared" si="17"/>
        <v>9.4082191780821915</v>
      </c>
      <c r="K84" s="762" t="s">
        <v>91</v>
      </c>
      <c r="L84" s="746">
        <v>1000000</v>
      </c>
      <c r="M84" s="824" t="s">
        <v>466</v>
      </c>
      <c r="N84" s="768">
        <v>89.501999999999995</v>
      </c>
      <c r="O84" s="753">
        <v>5.4408500000000002</v>
      </c>
      <c r="P84" s="753" t="s">
        <v>331</v>
      </c>
      <c r="Q84" s="763" t="s">
        <v>595</v>
      </c>
      <c r="R84" s="764" t="s">
        <v>596</v>
      </c>
      <c r="S84" s="796">
        <v>41458</v>
      </c>
      <c r="T84" s="796">
        <v>41464</v>
      </c>
      <c r="U84" s="750" t="s">
        <v>246</v>
      </c>
      <c r="V84" s="750"/>
      <c r="W84" s="825">
        <v>899020</v>
      </c>
      <c r="X84" s="751">
        <v>7.8</v>
      </c>
      <c r="Y84" s="751">
        <f t="shared" si="19"/>
        <v>7012356</v>
      </c>
      <c r="Z84" s="751"/>
      <c r="AA84" s="765">
        <v>4</v>
      </c>
      <c r="AB84" s="800">
        <v>44898</v>
      </c>
      <c r="AC84" s="754">
        <f t="shared" si="18"/>
        <v>9.4246575342465757</v>
      </c>
      <c r="AD84" s="798"/>
      <c r="AF84" s="756"/>
      <c r="AG84" s="757"/>
    </row>
    <row r="85" spans="1:33" s="741" customFormat="1" ht="39.75" customHeight="1">
      <c r="A85" s="823"/>
      <c r="B85" s="740"/>
      <c r="C85" s="740"/>
      <c r="D85" s="740"/>
      <c r="E85" s="759">
        <v>79</v>
      </c>
      <c r="F85" s="761" t="s">
        <v>418</v>
      </c>
      <c r="G85" s="742" t="s">
        <v>419</v>
      </c>
      <c r="H85" s="760" t="s">
        <v>1113</v>
      </c>
      <c r="I85" s="760" t="s">
        <v>1113</v>
      </c>
      <c r="J85" s="744">
        <f t="shared" ref="J85:J90" si="20">(AB85-T85)/365</f>
        <v>4.8547945205479452</v>
      </c>
      <c r="K85" s="762" t="s">
        <v>91</v>
      </c>
      <c r="L85" s="746">
        <v>1000000</v>
      </c>
      <c r="M85" s="824" t="s">
        <v>466</v>
      </c>
      <c r="N85" s="768">
        <v>93.125</v>
      </c>
      <c r="O85" s="753">
        <v>6.4193699999999998</v>
      </c>
      <c r="P85" s="748" t="s">
        <v>107</v>
      </c>
      <c r="Q85" s="763" t="s">
        <v>936</v>
      </c>
      <c r="R85" s="764" t="s">
        <v>937</v>
      </c>
      <c r="S85" s="796">
        <v>41459</v>
      </c>
      <c r="T85" s="796">
        <v>41464</v>
      </c>
      <c r="U85" s="750" t="s">
        <v>246</v>
      </c>
      <c r="V85" s="750"/>
      <c r="W85" s="825">
        <v>938243.06</v>
      </c>
      <c r="X85" s="751">
        <v>7.8</v>
      </c>
      <c r="Y85" s="751">
        <f t="shared" si="19"/>
        <v>7318295.8680000007</v>
      </c>
      <c r="Z85" s="751"/>
      <c r="AA85" s="765">
        <v>4.75</v>
      </c>
      <c r="AB85" s="800">
        <v>43236</v>
      </c>
      <c r="AC85" s="754">
        <f t="shared" ref="AC85:AC90" si="21">(AB85-S85)/365</f>
        <v>4.8684931506849312</v>
      </c>
      <c r="AD85" s="798"/>
      <c r="AF85" s="756"/>
      <c r="AG85" s="757"/>
    </row>
    <row r="86" spans="1:33" s="741" customFormat="1" ht="39.75" customHeight="1">
      <c r="A86" s="823"/>
      <c r="B86" s="740"/>
      <c r="C86" s="740"/>
      <c r="D86" s="740"/>
      <c r="E86" s="759">
        <v>80</v>
      </c>
      <c r="F86" s="761" t="s">
        <v>589</v>
      </c>
      <c r="G86" s="742" t="s">
        <v>75</v>
      </c>
      <c r="H86" s="760" t="s">
        <v>289</v>
      </c>
      <c r="I86" s="760" t="s">
        <v>290</v>
      </c>
      <c r="J86" s="744">
        <f t="shared" si="20"/>
        <v>9.4547945205479458</v>
      </c>
      <c r="K86" s="762" t="s">
        <v>91</v>
      </c>
      <c r="L86" s="746">
        <v>1000000</v>
      </c>
      <c r="M86" s="824" t="s">
        <v>466</v>
      </c>
      <c r="N86" s="768">
        <v>90.95</v>
      </c>
      <c r="O86" s="753">
        <v>7.4771000000000001</v>
      </c>
      <c r="P86" s="753" t="s">
        <v>775</v>
      </c>
      <c r="Q86" s="763" t="s">
        <v>941</v>
      </c>
      <c r="R86" s="764" t="s">
        <v>942</v>
      </c>
      <c r="S86" s="796">
        <v>41459</v>
      </c>
      <c r="T86" s="796">
        <v>41464</v>
      </c>
      <c r="U86" s="750" t="s">
        <v>246</v>
      </c>
      <c r="V86" s="750"/>
      <c r="W86" s="825">
        <v>912732.64</v>
      </c>
      <c r="X86" s="751">
        <v>7.8</v>
      </c>
      <c r="Y86" s="751">
        <f t="shared" si="19"/>
        <v>7119314.5920000002</v>
      </c>
      <c r="Z86" s="751"/>
      <c r="AA86" s="765">
        <v>6.125</v>
      </c>
      <c r="AB86" s="800">
        <v>44915</v>
      </c>
      <c r="AC86" s="754">
        <f t="shared" si="21"/>
        <v>9.4684931506849317</v>
      </c>
      <c r="AD86" s="798"/>
      <c r="AF86" s="756"/>
      <c r="AG86" s="757"/>
    </row>
    <row r="87" spans="1:33" s="741" customFormat="1" ht="39.75" customHeight="1">
      <c r="A87" s="823"/>
      <c r="B87" s="740"/>
      <c r="C87" s="740"/>
      <c r="D87" s="740"/>
      <c r="E87" s="759">
        <v>81</v>
      </c>
      <c r="F87" s="761" t="s">
        <v>365</v>
      </c>
      <c r="G87" s="742" t="s">
        <v>367</v>
      </c>
      <c r="H87" s="760" t="s">
        <v>366</v>
      </c>
      <c r="I87" s="760" t="s">
        <v>363</v>
      </c>
      <c r="J87" s="744">
        <f t="shared" si="20"/>
        <v>9.5479452054794525</v>
      </c>
      <c r="K87" s="762" t="s">
        <v>91</v>
      </c>
      <c r="L87" s="746">
        <v>1000000</v>
      </c>
      <c r="M87" s="824" t="s">
        <v>466</v>
      </c>
      <c r="N87" s="745">
        <v>87.875</v>
      </c>
      <c r="O87" s="745">
        <v>6.2027299999999999</v>
      </c>
      <c r="P87" s="753" t="s">
        <v>680</v>
      </c>
      <c r="Q87" s="763" t="s">
        <v>943</v>
      </c>
      <c r="R87" s="764" t="s">
        <v>944</v>
      </c>
      <c r="S87" s="796">
        <v>41460</v>
      </c>
      <c r="T87" s="796">
        <v>41465</v>
      </c>
      <c r="U87" s="750" t="s">
        <v>246</v>
      </c>
      <c r="V87" s="750"/>
      <c r="W87" s="751">
        <v>899500</v>
      </c>
      <c r="X87" s="751">
        <v>7.8</v>
      </c>
      <c r="Y87" s="751">
        <f t="shared" ref="Y87:Y92" si="22">X87*W87</f>
        <v>7016100</v>
      </c>
      <c r="Z87" s="751"/>
      <c r="AA87" s="765">
        <v>4.5</v>
      </c>
      <c r="AB87" s="800">
        <v>44950</v>
      </c>
      <c r="AC87" s="754">
        <f t="shared" si="21"/>
        <v>9.5616438356164384</v>
      </c>
      <c r="AD87" s="798"/>
      <c r="AF87" s="756"/>
      <c r="AG87" s="757"/>
    </row>
    <row r="88" spans="1:33" s="741" customFormat="1" ht="39.75" customHeight="1">
      <c r="A88" s="823"/>
      <c r="B88" s="740"/>
      <c r="C88" s="740"/>
      <c r="D88" s="740"/>
      <c r="E88" s="759">
        <v>82</v>
      </c>
      <c r="F88" s="761" t="s">
        <v>365</v>
      </c>
      <c r="G88" s="742" t="s">
        <v>367</v>
      </c>
      <c r="H88" s="760" t="s">
        <v>879</v>
      </c>
      <c r="I88" s="760" t="s">
        <v>363</v>
      </c>
      <c r="J88" s="744">
        <f t="shared" si="20"/>
        <v>9.5424657534246577</v>
      </c>
      <c r="K88" s="762" t="s">
        <v>91</v>
      </c>
      <c r="L88" s="746">
        <v>1000000</v>
      </c>
      <c r="M88" s="826" t="s">
        <v>945</v>
      </c>
      <c r="N88" s="745">
        <v>87.25</v>
      </c>
      <c r="O88" s="768">
        <v>6.2989600000000001</v>
      </c>
      <c r="P88" s="753" t="s">
        <v>680</v>
      </c>
      <c r="Q88" s="763" t="s">
        <v>943</v>
      </c>
      <c r="R88" s="764" t="s">
        <v>944</v>
      </c>
      <c r="S88" s="796">
        <v>41464</v>
      </c>
      <c r="T88" s="796">
        <v>41467</v>
      </c>
      <c r="U88" s="750" t="s">
        <v>246</v>
      </c>
      <c r="V88" s="750"/>
      <c r="W88" s="766">
        <v>893500</v>
      </c>
      <c r="X88" s="751">
        <v>7.8</v>
      </c>
      <c r="Y88" s="751">
        <f t="shared" si="22"/>
        <v>6969300</v>
      </c>
      <c r="Z88" s="751"/>
      <c r="AA88" s="765">
        <v>4.5</v>
      </c>
      <c r="AB88" s="800">
        <v>44950</v>
      </c>
      <c r="AC88" s="754">
        <f t="shared" si="21"/>
        <v>9.5506849315068489</v>
      </c>
      <c r="AD88" s="798"/>
      <c r="AF88" s="756"/>
      <c r="AG88" s="757"/>
    </row>
    <row r="89" spans="1:33" s="741" customFormat="1" ht="39.75" customHeight="1">
      <c r="A89" s="823"/>
      <c r="B89" s="740"/>
      <c r="C89" s="740"/>
      <c r="D89" s="740"/>
      <c r="E89" s="759">
        <v>83</v>
      </c>
      <c r="F89" s="761" t="s">
        <v>418</v>
      </c>
      <c r="G89" s="742" t="s">
        <v>419</v>
      </c>
      <c r="H89" s="760" t="s">
        <v>1113</v>
      </c>
      <c r="I89" s="760" t="s">
        <v>1113</v>
      </c>
      <c r="J89" s="744">
        <f t="shared" si="20"/>
        <v>4.838356164383562</v>
      </c>
      <c r="K89" s="762" t="s">
        <v>346</v>
      </c>
      <c r="L89" s="746">
        <v>2000000</v>
      </c>
      <c r="M89" s="824" t="s">
        <v>466</v>
      </c>
      <c r="N89" s="768">
        <v>92.83</v>
      </c>
      <c r="O89" s="753">
        <v>6.4995200000000004</v>
      </c>
      <c r="P89" s="753" t="s">
        <v>775</v>
      </c>
      <c r="Q89" s="763" t="s">
        <v>941</v>
      </c>
      <c r="R89" s="764" t="s">
        <v>942</v>
      </c>
      <c r="S89" s="796">
        <v>41465</v>
      </c>
      <c r="T89" s="796">
        <v>41470</v>
      </c>
      <c r="U89" s="750" t="s">
        <v>246</v>
      </c>
      <c r="V89" s="750"/>
      <c r="W89" s="825">
        <v>1872169.44</v>
      </c>
      <c r="X89" s="751">
        <v>7.8</v>
      </c>
      <c r="Y89" s="751">
        <f t="shared" si="22"/>
        <v>14602921.631999999</v>
      </c>
      <c r="Z89" s="751"/>
      <c r="AA89" s="765">
        <v>4.75</v>
      </c>
      <c r="AB89" s="800">
        <v>43236</v>
      </c>
      <c r="AC89" s="754">
        <f t="shared" si="21"/>
        <v>4.8520547945205479</v>
      </c>
      <c r="AD89" s="798"/>
      <c r="AF89" s="756"/>
      <c r="AG89" s="757"/>
    </row>
    <row r="90" spans="1:33" s="741" customFormat="1" ht="39.75" customHeight="1">
      <c r="A90" s="823"/>
      <c r="B90" s="740"/>
      <c r="C90" s="740"/>
      <c r="D90" s="740"/>
      <c r="E90" s="759">
        <v>84</v>
      </c>
      <c r="F90" s="761" t="s">
        <v>334</v>
      </c>
      <c r="G90" s="742" t="s">
        <v>367</v>
      </c>
      <c r="H90" s="760" t="s">
        <v>366</v>
      </c>
      <c r="I90" s="760" t="s">
        <v>363</v>
      </c>
      <c r="J90" s="744">
        <f t="shared" si="20"/>
        <v>9.5342465753424666</v>
      </c>
      <c r="K90" s="762" t="s">
        <v>346</v>
      </c>
      <c r="L90" s="746">
        <v>1000000</v>
      </c>
      <c r="M90" s="824" t="s">
        <v>466</v>
      </c>
      <c r="N90" s="768">
        <v>87.186000000000007</v>
      </c>
      <c r="O90" s="753">
        <v>6.3101099999999999</v>
      </c>
      <c r="P90" s="753" t="s">
        <v>335</v>
      </c>
      <c r="Q90" s="763" t="s">
        <v>708</v>
      </c>
      <c r="R90" s="764" t="s">
        <v>336</v>
      </c>
      <c r="S90" s="796">
        <v>41465</v>
      </c>
      <c r="T90" s="796">
        <v>41470</v>
      </c>
      <c r="U90" s="750" t="s">
        <v>246</v>
      </c>
      <c r="V90" s="750"/>
      <c r="W90" s="825">
        <v>893235</v>
      </c>
      <c r="X90" s="751">
        <v>7.8</v>
      </c>
      <c r="Y90" s="751">
        <f t="shared" si="22"/>
        <v>6967233</v>
      </c>
      <c r="Z90" s="751"/>
      <c r="AA90" s="765">
        <v>4.5</v>
      </c>
      <c r="AB90" s="800">
        <v>44950</v>
      </c>
      <c r="AC90" s="754">
        <f t="shared" si="21"/>
        <v>9.5479452054794525</v>
      </c>
      <c r="AD90" s="798"/>
      <c r="AF90" s="756"/>
      <c r="AG90" s="757"/>
    </row>
    <row r="91" spans="1:33" s="741" customFormat="1" ht="39.75" customHeight="1">
      <c r="A91" s="823"/>
      <c r="B91" s="740"/>
      <c r="C91" s="740"/>
      <c r="D91" s="740"/>
      <c r="E91" s="759">
        <v>85</v>
      </c>
      <c r="F91" s="761" t="s">
        <v>589</v>
      </c>
      <c r="G91" s="742" t="s">
        <v>75</v>
      </c>
      <c r="H91" s="760" t="s">
        <v>289</v>
      </c>
      <c r="I91" s="760" t="s">
        <v>290</v>
      </c>
      <c r="J91" s="744">
        <f t="shared" ref="J91:J98" si="23">(AB91-T91)/365</f>
        <v>9.4273972602739722</v>
      </c>
      <c r="K91" s="762" t="s">
        <v>346</v>
      </c>
      <c r="L91" s="746">
        <v>1000000</v>
      </c>
      <c r="M91" s="824" t="s">
        <v>466</v>
      </c>
      <c r="N91" s="768">
        <v>89.9</v>
      </c>
      <c r="O91" s="753">
        <v>7.6478000000000002</v>
      </c>
      <c r="P91" s="753" t="s">
        <v>946</v>
      </c>
      <c r="Q91" s="763" t="s">
        <v>947</v>
      </c>
      <c r="R91" s="764" t="s">
        <v>948</v>
      </c>
      <c r="S91" s="796">
        <v>41471</v>
      </c>
      <c r="T91" s="796">
        <v>41474</v>
      </c>
      <c r="U91" s="750" t="s">
        <v>246</v>
      </c>
      <c r="V91" s="750"/>
      <c r="W91" s="825">
        <v>903934.03</v>
      </c>
      <c r="X91" s="751">
        <v>7.8</v>
      </c>
      <c r="Y91" s="751">
        <f t="shared" si="22"/>
        <v>7050685.4340000004</v>
      </c>
      <c r="Z91" s="751"/>
      <c r="AA91" s="765">
        <v>6.125</v>
      </c>
      <c r="AB91" s="800">
        <v>44915</v>
      </c>
      <c r="AC91" s="754">
        <f t="shared" ref="AC91:AC97" si="24">(AB91-S91)/365</f>
        <v>9.4356164383561651</v>
      </c>
      <c r="AD91" s="798"/>
      <c r="AF91" s="756"/>
      <c r="AG91" s="757"/>
    </row>
    <row r="92" spans="1:33" s="741" customFormat="1" ht="39.75" customHeight="1">
      <c r="A92" s="823"/>
      <c r="B92" s="740"/>
      <c r="C92" s="740"/>
      <c r="D92" s="740"/>
      <c r="E92" s="759">
        <v>86</v>
      </c>
      <c r="F92" s="761" t="s">
        <v>589</v>
      </c>
      <c r="G92" s="742" t="s">
        <v>75</v>
      </c>
      <c r="H92" s="760" t="s">
        <v>289</v>
      </c>
      <c r="I92" s="760" t="s">
        <v>290</v>
      </c>
      <c r="J92" s="744">
        <f t="shared" si="23"/>
        <v>9.419178082191781</v>
      </c>
      <c r="K92" s="762" t="s">
        <v>91</v>
      </c>
      <c r="L92" s="746">
        <v>1000000</v>
      </c>
      <c r="M92" s="824" t="s">
        <v>466</v>
      </c>
      <c r="N92" s="768">
        <v>88.36</v>
      </c>
      <c r="O92" s="753">
        <v>7.8999499999999996</v>
      </c>
      <c r="P92" s="753" t="s">
        <v>775</v>
      </c>
      <c r="Q92" s="763" t="s">
        <v>776</v>
      </c>
      <c r="R92" s="764" t="s">
        <v>364</v>
      </c>
      <c r="S92" s="796">
        <v>41472</v>
      </c>
      <c r="T92" s="796">
        <v>41477</v>
      </c>
      <c r="U92" s="750" t="s">
        <v>246</v>
      </c>
      <c r="V92" s="750"/>
      <c r="W92" s="825">
        <v>889044.44</v>
      </c>
      <c r="X92" s="751">
        <v>7.8</v>
      </c>
      <c r="Y92" s="751">
        <f t="shared" si="22"/>
        <v>6934546.6319999993</v>
      </c>
      <c r="Z92" s="751"/>
      <c r="AA92" s="765">
        <v>6.125</v>
      </c>
      <c r="AB92" s="800">
        <v>44915</v>
      </c>
      <c r="AC92" s="754">
        <f t="shared" si="24"/>
        <v>9.4328767123287669</v>
      </c>
      <c r="AD92" s="798"/>
      <c r="AF92" s="756"/>
      <c r="AG92" s="757"/>
    </row>
    <row r="93" spans="1:33" s="741" customFormat="1" ht="39.75" customHeight="1">
      <c r="A93" s="823"/>
      <c r="B93" s="740"/>
      <c r="C93" s="740"/>
      <c r="D93" s="740"/>
      <c r="E93" s="759">
        <v>87</v>
      </c>
      <c r="F93" s="761" t="s">
        <v>589</v>
      </c>
      <c r="G93" s="742" t="s">
        <v>75</v>
      </c>
      <c r="H93" s="760" t="s">
        <v>289</v>
      </c>
      <c r="I93" s="760" t="s">
        <v>290</v>
      </c>
      <c r="J93" s="744">
        <f t="shared" si="23"/>
        <v>9.4</v>
      </c>
      <c r="K93" s="762" t="s">
        <v>91</v>
      </c>
      <c r="L93" s="746">
        <v>1000000</v>
      </c>
      <c r="M93" s="824" t="s">
        <v>466</v>
      </c>
      <c r="N93" s="768">
        <v>87.5</v>
      </c>
      <c r="O93" s="753">
        <v>8.0453499999999991</v>
      </c>
      <c r="P93" s="753" t="s">
        <v>331</v>
      </c>
      <c r="Q93" s="763" t="s">
        <v>595</v>
      </c>
      <c r="R93" s="764" t="s">
        <v>596</v>
      </c>
      <c r="S93" s="796">
        <v>41479</v>
      </c>
      <c r="T93" s="796">
        <v>41484</v>
      </c>
      <c r="U93" s="750" t="s">
        <v>246</v>
      </c>
      <c r="V93" s="750"/>
      <c r="W93" s="825">
        <v>881635.42</v>
      </c>
      <c r="X93" s="751">
        <v>7.8</v>
      </c>
      <c r="Y93" s="751">
        <f t="shared" ref="Y93:Y98" si="25">X93*W93</f>
        <v>6876756.2760000005</v>
      </c>
      <c r="Z93" s="751"/>
      <c r="AA93" s="765">
        <v>6.125</v>
      </c>
      <c r="AB93" s="800">
        <v>44915</v>
      </c>
      <c r="AC93" s="754">
        <f t="shared" si="24"/>
        <v>9.4136986301369863</v>
      </c>
      <c r="AD93" s="798"/>
      <c r="AF93" s="756"/>
      <c r="AG93" s="757"/>
    </row>
    <row r="94" spans="1:33" s="741" customFormat="1" ht="39.75" customHeight="1">
      <c r="A94" s="823"/>
      <c r="B94" s="740"/>
      <c r="C94" s="740"/>
      <c r="D94" s="740"/>
      <c r="E94" s="759">
        <v>88</v>
      </c>
      <c r="F94" s="761" t="s">
        <v>589</v>
      </c>
      <c r="G94" s="742" t="s">
        <v>75</v>
      </c>
      <c r="H94" s="760" t="s">
        <v>289</v>
      </c>
      <c r="I94" s="760" t="s">
        <v>290</v>
      </c>
      <c r="J94" s="744">
        <f t="shared" si="23"/>
        <v>9.3780821917808215</v>
      </c>
      <c r="K94" s="762" t="s">
        <v>91</v>
      </c>
      <c r="L94" s="746">
        <v>1000000</v>
      </c>
      <c r="M94" s="824" t="s">
        <v>466</v>
      </c>
      <c r="N94" s="768">
        <v>85.75</v>
      </c>
      <c r="O94" s="753">
        <v>8.3448700000000002</v>
      </c>
      <c r="P94" s="753" t="s">
        <v>677</v>
      </c>
      <c r="Q94" s="763" t="s">
        <v>678</v>
      </c>
      <c r="R94" s="764" t="s">
        <v>679</v>
      </c>
      <c r="S94" s="796">
        <v>41487</v>
      </c>
      <c r="T94" s="796">
        <v>41492</v>
      </c>
      <c r="U94" s="750" t="s">
        <v>246</v>
      </c>
      <c r="V94" s="750"/>
      <c r="W94" s="825">
        <v>865326.39</v>
      </c>
      <c r="X94" s="751">
        <v>7.8</v>
      </c>
      <c r="Y94" s="751">
        <f t="shared" si="25"/>
        <v>6749545.8420000002</v>
      </c>
      <c r="Z94" s="751"/>
      <c r="AA94" s="765">
        <v>6.125</v>
      </c>
      <c r="AB94" s="800">
        <v>44915</v>
      </c>
      <c r="AC94" s="754">
        <f t="shared" si="24"/>
        <v>9.3917808219178074</v>
      </c>
      <c r="AD94" s="798"/>
      <c r="AF94" s="756"/>
      <c r="AG94" s="757"/>
    </row>
    <row r="95" spans="1:33" s="741" customFormat="1" ht="39.75" customHeight="1">
      <c r="A95" s="823"/>
      <c r="B95" s="740"/>
      <c r="C95" s="740"/>
      <c r="D95" s="740"/>
      <c r="E95" s="759">
        <v>89</v>
      </c>
      <c r="F95" s="761" t="s">
        <v>589</v>
      </c>
      <c r="G95" s="742" t="s">
        <v>75</v>
      </c>
      <c r="H95" s="760" t="s">
        <v>289</v>
      </c>
      <c r="I95" s="760" t="s">
        <v>290</v>
      </c>
      <c r="J95" s="744">
        <f t="shared" si="23"/>
        <v>9.3780821917808215</v>
      </c>
      <c r="K95" s="762" t="s">
        <v>91</v>
      </c>
      <c r="L95" s="746">
        <v>1000000</v>
      </c>
      <c r="M95" s="824" t="s">
        <v>466</v>
      </c>
      <c r="N95" s="768">
        <v>84.85</v>
      </c>
      <c r="O95" s="753">
        <v>8.5005000000000006</v>
      </c>
      <c r="P95" s="753" t="s">
        <v>946</v>
      </c>
      <c r="Q95" s="763" t="s">
        <v>1147</v>
      </c>
      <c r="R95" s="764" t="s">
        <v>1148</v>
      </c>
      <c r="S95" s="796">
        <v>41487</v>
      </c>
      <c r="T95" s="796">
        <v>41492</v>
      </c>
      <c r="U95" s="750" t="s">
        <v>246</v>
      </c>
      <c r="V95" s="750"/>
      <c r="W95" s="825">
        <v>856326.39</v>
      </c>
      <c r="X95" s="751">
        <v>7.8</v>
      </c>
      <c r="Y95" s="751">
        <f t="shared" si="25"/>
        <v>6679345.8420000002</v>
      </c>
      <c r="Z95" s="751"/>
      <c r="AA95" s="765">
        <v>6.125</v>
      </c>
      <c r="AB95" s="800">
        <v>44915</v>
      </c>
      <c r="AC95" s="754">
        <f t="shared" si="24"/>
        <v>9.3917808219178074</v>
      </c>
      <c r="AD95" s="798"/>
      <c r="AF95" s="756"/>
      <c r="AG95" s="757"/>
    </row>
    <row r="96" spans="1:33" s="741" customFormat="1" ht="39.75" customHeight="1">
      <c r="A96" s="823"/>
      <c r="B96" s="740"/>
      <c r="C96" s="740"/>
      <c r="D96" s="740"/>
      <c r="E96" s="759">
        <v>90</v>
      </c>
      <c r="F96" s="761" t="s">
        <v>589</v>
      </c>
      <c r="G96" s="742" t="s">
        <v>75</v>
      </c>
      <c r="H96" s="760" t="s">
        <v>289</v>
      </c>
      <c r="I96" s="760" t="s">
        <v>290</v>
      </c>
      <c r="J96" s="744">
        <f t="shared" si="23"/>
        <v>9.375342465753425</v>
      </c>
      <c r="K96" s="762" t="s">
        <v>91</v>
      </c>
      <c r="L96" s="746">
        <v>1000000</v>
      </c>
      <c r="M96" s="824" t="s">
        <v>466</v>
      </c>
      <c r="N96" s="768">
        <v>82.875</v>
      </c>
      <c r="O96" s="753">
        <v>8.8500200000000007</v>
      </c>
      <c r="P96" s="753" t="s">
        <v>775</v>
      </c>
      <c r="Q96" s="763" t="s">
        <v>941</v>
      </c>
      <c r="R96" s="764" t="s">
        <v>942</v>
      </c>
      <c r="S96" s="796">
        <v>41488</v>
      </c>
      <c r="T96" s="796">
        <v>41493</v>
      </c>
      <c r="U96" s="750" t="s">
        <v>246</v>
      </c>
      <c r="V96" s="750"/>
      <c r="W96" s="825">
        <v>836746.53</v>
      </c>
      <c r="X96" s="751">
        <v>7.8</v>
      </c>
      <c r="Y96" s="751">
        <f t="shared" si="25"/>
        <v>6526622.9340000004</v>
      </c>
      <c r="Z96" s="751"/>
      <c r="AA96" s="765">
        <v>6.125</v>
      </c>
      <c r="AB96" s="800">
        <v>44915</v>
      </c>
      <c r="AC96" s="754">
        <f t="shared" si="24"/>
        <v>9.3890410958904109</v>
      </c>
      <c r="AD96" s="798"/>
      <c r="AF96" s="756"/>
      <c r="AG96" s="757"/>
    </row>
    <row r="97" spans="1:34" s="741" customFormat="1" ht="39.75" customHeight="1">
      <c r="A97" s="823"/>
      <c r="B97" s="740"/>
      <c r="C97" s="740"/>
      <c r="D97" s="740"/>
      <c r="E97" s="759">
        <v>91</v>
      </c>
      <c r="F97" s="761" t="s">
        <v>334</v>
      </c>
      <c r="G97" s="742" t="s">
        <v>367</v>
      </c>
      <c r="H97" s="760" t="s">
        <v>366</v>
      </c>
      <c r="I97" s="760" t="s">
        <v>363</v>
      </c>
      <c r="J97" s="744">
        <f t="shared" si="23"/>
        <v>9.4712328767123282</v>
      </c>
      <c r="K97" s="762" t="s">
        <v>91</v>
      </c>
      <c r="L97" s="746">
        <v>2000000</v>
      </c>
      <c r="M97" s="824" t="s">
        <v>466</v>
      </c>
      <c r="N97" s="768">
        <v>87.58</v>
      </c>
      <c r="O97" s="753">
        <v>6.2586899999999996</v>
      </c>
      <c r="P97" s="753" t="s">
        <v>1063</v>
      </c>
      <c r="Q97" s="763" t="s">
        <v>1149</v>
      </c>
      <c r="R97" s="764" t="s">
        <v>1153</v>
      </c>
      <c r="S97" s="796">
        <v>41488</v>
      </c>
      <c r="T97" s="796">
        <v>41493</v>
      </c>
      <c r="U97" s="750" t="s">
        <v>246</v>
      </c>
      <c r="V97" s="750"/>
      <c r="W97" s="825">
        <v>1754850</v>
      </c>
      <c r="X97" s="751">
        <v>7.8</v>
      </c>
      <c r="Y97" s="751">
        <f t="shared" si="25"/>
        <v>13687830</v>
      </c>
      <c r="Z97" s="751"/>
      <c r="AA97" s="765">
        <v>4.5</v>
      </c>
      <c r="AB97" s="800">
        <v>44950</v>
      </c>
      <c r="AC97" s="754">
        <f t="shared" si="24"/>
        <v>9.4849315068493159</v>
      </c>
      <c r="AD97" s="798"/>
      <c r="AF97" s="756"/>
      <c r="AG97" s="757"/>
    </row>
    <row r="98" spans="1:34" s="741" customFormat="1" ht="39.75" customHeight="1">
      <c r="A98" s="823"/>
      <c r="B98" s="740"/>
      <c r="C98" s="740"/>
      <c r="D98" s="740"/>
      <c r="E98" s="759">
        <v>92</v>
      </c>
      <c r="F98" s="761" t="s">
        <v>232</v>
      </c>
      <c r="G98" s="742" t="s">
        <v>211</v>
      </c>
      <c r="H98" s="760" t="s">
        <v>52</v>
      </c>
      <c r="I98" s="760" t="s">
        <v>1160</v>
      </c>
      <c r="J98" s="744">
        <f t="shared" si="23"/>
        <v>9.3726027397260268</v>
      </c>
      <c r="K98" s="762" t="s">
        <v>465</v>
      </c>
      <c r="L98" s="746">
        <v>1000000</v>
      </c>
      <c r="M98" s="824" t="s">
        <v>466</v>
      </c>
      <c r="N98" s="768">
        <v>82.046999999999997</v>
      </c>
      <c r="O98" s="753">
        <v>9.0000800000000005</v>
      </c>
      <c r="P98" s="753" t="s">
        <v>331</v>
      </c>
      <c r="Q98" s="763" t="s">
        <v>595</v>
      </c>
      <c r="R98" s="764" t="s">
        <v>596</v>
      </c>
      <c r="S98" s="796">
        <v>41491</v>
      </c>
      <c r="T98" s="796">
        <v>41494</v>
      </c>
      <c r="U98" s="750" t="s">
        <v>246</v>
      </c>
      <c r="V98" s="750"/>
      <c r="W98" s="825">
        <v>828636.67</v>
      </c>
      <c r="X98" s="751">
        <v>7.8</v>
      </c>
      <c r="Y98" s="751">
        <f t="shared" si="25"/>
        <v>6463366.0260000005</v>
      </c>
      <c r="Z98" s="751"/>
      <c r="AA98" s="765">
        <v>6.125</v>
      </c>
      <c r="AB98" s="800">
        <v>44915</v>
      </c>
      <c r="AC98" s="754">
        <f t="shared" ref="AC98:AC106" si="26">(AB98-S98)/365</f>
        <v>9.3808219178082197</v>
      </c>
      <c r="AD98" s="798"/>
      <c r="AF98" s="756"/>
      <c r="AG98" s="757"/>
    </row>
    <row r="99" spans="1:34" s="741" customFormat="1" ht="39.75" customHeight="1">
      <c r="A99" s="823"/>
      <c r="B99" s="740"/>
      <c r="C99" s="740"/>
      <c r="D99" s="740"/>
      <c r="E99" s="759">
        <v>93</v>
      </c>
      <c r="F99" s="741" t="s">
        <v>21</v>
      </c>
      <c r="G99" s="742" t="s">
        <v>22</v>
      </c>
      <c r="H99" s="743" t="s">
        <v>23</v>
      </c>
      <c r="I99" s="743" t="s">
        <v>24</v>
      </c>
      <c r="J99" s="744">
        <f t="shared" ref="J99:J106" si="27">(AB99-T99)/365</f>
        <v>9.7534246575342465</v>
      </c>
      <c r="K99" s="745" t="s">
        <v>465</v>
      </c>
      <c r="L99" s="746">
        <v>2000000</v>
      </c>
      <c r="M99" s="762" t="s">
        <v>945</v>
      </c>
      <c r="N99" s="747">
        <v>88.465999999999994</v>
      </c>
      <c r="O99" s="760">
        <v>5.9500460000000004</v>
      </c>
      <c r="P99" s="748" t="s">
        <v>331</v>
      </c>
      <c r="Q99" s="749" t="s">
        <v>595</v>
      </c>
      <c r="R99" s="798" t="s">
        <v>596</v>
      </c>
      <c r="S99" s="796">
        <v>41501</v>
      </c>
      <c r="T99" s="796">
        <v>41506</v>
      </c>
      <c r="U99" s="750" t="s">
        <v>208</v>
      </c>
      <c r="W99" s="751">
        <v>1791195</v>
      </c>
      <c r="X99" s="767">
        <v>7.8</v>
      </c>
      <c r="Y99" s="751">
        <f t="shared" ref="Y99:Y106" si="28">X99*W99</f>
        <v>13971321</v>
      </c>
      <c r="Z99" s="751"/>
      <c r="AA99" s="753">
        <v>4.375</v>
      </c>
      <c r="AB99" s="800">
        <v>45066</v>
      </c>
      <c r="AC99" s="754">
        <f t="shared" si="26"/>
        <v>9.7671232876712324</v>
      </c>
      <c r="AD99" s="798"/>
      <c r="AF99" s="756"/>
      <c r="AG99" s="757"/>
    </row>
    <row r="100" spans="1:34" s="741" customFormat="1" ht="39.75" customHeight="1">
      <c r="A100" s="823"/>
      <c r="B100" s="740"/>
      <c r="C100" s="740"/>
      <c r="D100" s="740"/>
      <c r="E100" s="759">
        <v>94</v>
      </c>
      <c r="F100" s="761" t="s">
        <v>365</v>
      </c>
      <c r="G100" s="742" t="s">
        <v>367</v>
      </c>
      <c r="H100" s="760" t="s">
        <v>366</v>
      </c>
      <c r="I100" s="760" t="s">
        <v>363</v>
      </c>
      <c r="J100" s="744">
        <f t="shared" si="27"/>
        <v>9.4301369863013704</v>
      </c>
      <c r="K100" s="762" t="s">
        <v>91</v>
      </c>
      <c r="L100" s="746">
        <v>3000000</v>
      </c>
      <c r="M100" s="824" t="s">
        <v>466</v>
      </c>
      <c r="N100" s="827">
        <v>86.066000000000003</v>
      </c>
      <c r="O100" s="745">
        <v>6.5000999999999998</v>
      </c>
      <c r="P100" s="753" t="s">
        <v>331</v>
      </c>
      <c r="Q100" s="763" t="s">
        <v>595</v>
      </c>
      <c r="R100" s="764" t="s">
        <v>596</v>
      </c>
      <c r="S100" s="796">
        <v>41505</v>
      </c>
      <c r="T100" s="796">
        <v>41508</v>
      </c>
      <c r="U100" s="750" t="s">
        <v>246</v>
      </c>
      <c r="V100" s="750"/>
      <c r="W100" s="751">
        <v>2592480</v>
      </c>
      <c r="X100" s="751">
        <v>7.8</v>
      </c>
      <c r="Y100" s="751">
        <f t="shared" si="28"/>
        <v>20221344</v>
      </c>
      <c r="Z100" s="751"/>
      <c r="AA100" s="765">
        <v>4.5</v>
      </c>
      <c r="AB100" s="800">
        <v>44950</v>
      </c>
      <c r="AC100" s="754">
        <f t="shared" si="26"/>
        <v>9.4383561643835616</v>
      </c>
      <c r="AD100" s="798"/>
      <c r="AF100" s="756"/>
      <c r="AG100" s="757"/>
    </row>
    <row r="101" spans="1:34" s="741" customFormat="1" ht="39.75" customHeight="1">
      <c r="A101" s="823"/>
      <c r="B101" s="740"/>
      <c r="C101" s="740"/>
      <c r="D101" s="740"/>
      <c r="E101" s="759">
        <v>95</v>
      </c>
      <c r="F101" s="741" t="s">
        <v>21</v>
      </c>
      <c r="G101" s="742" t="s">
        <v>22</v>
      </c>
      <c r="H101" s="743" t="s">
        <v>23</v>
      </c>
      <c r="I101" s="743" t="s">
        <v>24</v>
      </c>
      <c r="J101" s="744">
        <f t="shared" si="27"/>
        <v>9.7342465753424658</v>
      </c>
      <c r="K101" s="745" t="s">
        <v>465</v>
      </c>
      <c r="L101" s="746">
        <v>2000000</v>
      </c>
      <c r="M101" s="762" t="s">
        <v>945</v>
      </c>
      <c r="N101" s="747">
        <v>87.93</v>
      </c>
      <c r="O101" s="760">
        <v>6.0318350000000001</v>
      </c>
      <c r="P101" s="748" t="s">
        <v>946</v>
      </c>
      <c r="Q101" s="749" t="s">
        <v>947</v>
      </c>
      <c r="R101" s="798" t="s">
        <v>948</v>
      </c>
      <c r="S101" s="796">
        <v>41508</v>
      </c>
      <c r="T101" s="796">
        <v>41513</v>
      </c>
      <c r="U101" s="750" t="s">
        <v>208</v>
      </c>
      <c r="W101" s="751">
        <v>1782176.39</v>
      </c>
      <c r="X101" s="767">
        <v>7.8</v>
      </c>
      <c r="Y101" s="751">
        <f t="shared" si="28"/>
        <v>13900975.841999998</v>
      </c>
      <c r="Z101" s="751"/>
      <c r="AA101" s="753">
        <v>4.375</v>
      </c>
      <c r="AB101" s="800">
        <v>45066</v>
      </c>
      <c r="AC101" s="754">
        <f t="shared" si="26"/>
        <v>9.7479452054794518</v>
      </c>
      <c r="AD101" s="798"/>
      <c r="AF101" s="756"/>
      <c r="AG101" s="757"/>
    </row>
    <row r="102" spans="1:34" s="741" customFormat="1" ht="39.75" customHeight="1">
      <c r="A102" s="823"/>
      <c r="B102" s="740"/>
      <c r="C102" s="740"/>
      <c r="D102" s="740"/>
      <c r="E102" s="759">
        <v>96</v>
      </c>
      <c r="F102" s="761" t="s">
        <v>365</v>
      </c>
      <c r="G102" s="742" t="s">
        <v>367</v>
      </c>
      <c r="H102" s="760" t="s">
        <v>366</v>
      </c>
      <c r="I102" s="760" t="s">
        <v>363</v>
      </c>
      <c r="J102" s="744">
        <f t="shared" si="27"/>
        <v>9.4164383561643827</v>
      </c>
      <c r="K102" s="762" t="s">
        <v>91</v>
      </c>
      <c r="L102" s="746">
        <v>2000000</v>
      </c>
      <c r="M102" s="824" t="s">
        <v>466</v>
      </c>
      <c r="N102" s="827">
        <v>85.92</v>
      </c>
      <c r="O102" s="745">
        <v>6.5254200000000004</v>
      </c>
      <c r="P102" s="753" t="s">
        <v>1175</v>
      </c>
      <c r="Q102" s="763" t="s">
        <v>1176</v>
      </c>
      <c r="R102" s="764" t="s">
        <v>1177</v>
      </c>
      <c r="S102" s="796">
        <v>41508</v>
      </c>
      <c r="T102" s="796">
        <v>41513</v>
      </c>
      <c r="U102" s="750" t="s">
        <v>246</v>
      </c>
      <c r="V102" s="750"/>
      <c r="W102" s="751">
        <v>1726650</v>
      </c>
      <c r="X102" s="751">
        <v>7.8</v>
      </c>
      <c r="Y102" s="751">
        <f t="shared" si="28"/>
        <v>13467870</v>
      </c>
      <c r="Z102" s="751"/>
      <c r="AA102" s="765">
        <v>4.5</v>
      </c>
      <c r="AB102" s="800">
        <v>44950</v>
      </c>
      <c r="AC102" s="754">
        <f t="shared" si="26"/>
        <v>9.4301369863013704</v>
      </c>
      <c r="AD102" s="798"/>
      <c r="AF102" s="756"/>
      <c r="AG102" s="757"/>
    </row>
    <row r="103" spans="1:34" s="741" customFormat="1" ht="39.75" customHeight="1">
      <c r="A103" s="823"/>
      <c r="B103" s="740"/>
      <c r="C103" s="740"/>
      <c r="D103" s="740"/>
      <c r="E103" s="759">
        <v>97</v>
      </c>
      <c r="F103" s="761" t="s">
        <v>365</v>
      </c>
      <c r="G103" s="742" t="s">
        <v>367</v>
      </c>
      <c r="H103" s="760" t="s">
        <v>366</v>
      </c>
      <c r="I103" s="760" t="s">
        <v>363</v>
      </c>
      <c r="J103" s="744">
        <f t="shared" si="27"/>
        <v>9.4082191780821915</v>
      </c>
      <c r="K103" s="762" t="s">
        <v>91</v>
      </c>
      <c r="L103" s="746">
        <v>2000000</v>
      </c>
      <c r="M103" s="824" t="s">
        <v>466</v>
      </c>
      <c r="N103" s="827">
        <v>86.216999999999999</v>
      </c>
      <c r="O103" s="745">
        <v>6.48</v>
      </c>
      <c r="P103" s="753" t="s">
        <v>331</v>
      </c>
      <c r="Q103" s="763" t="s">
        <v>595</v>
      </c>
      <c r="R103" s="764" t="s">
        <v>596</v>
      </c>
      <c r="S103" s="796">
        <v>41513</v>
      </c>
      <c r="T103" s="796">
        <v>41516</v>
      </c>
      <c r="U103" s="750" t="s">
        <v>246</v>
      </c>
      <c r="V103" s="750"/>
      <c r="W103" s="751">
        <v>1733340</v>
      </c>
      <c r="X103" s="751">
        <v>7.8</v>
      </c>
      <c r="Y103" s="751">
        <f t="shared" si="28"/>
        <v>13520052</v>
      </c>
      <c r="Z103" s="751"/>
      <c r="AA103" s="765">
        <v>4.5</v>
      </c>
      <c r="AB103" s="800">
        <v>44950</v>
      </c>
      <c r="AC103" s="754">
        <f t="shared" si="26"/>
        <v>9.4164383561643827</v>
      </c>
      <c r="AD103" s="798"/>
      <c r="AF103" s="756"/>
      <c r="AG103" s="757"/>
    </row>
    <row r="104" spans="1:34" s="741" customFormat="1" ht="39.75" customHeight="1">
      <c r="A104" s="823"/>
      <c r="B104" s="740"/>
      <c r="C104" s="740"/>
      <c r="D104" s="740"/>
      <c r="E104" s="759">
        <v>98</v>
      </c>
      <c r="F104" s="761" t="s">
        <v>232</v>
      </c>
      <c r="G104" s="742" t="s">
        <v>211</v>
      </c>
      <c r="H104" s="760" t="s">
        <v>52</v>
      </c>
      <c r="I104" s="760" t="s">
        <v>1160</v>
      </c>
      <c r="J104" s="744">
        <f t="shared" si="27"/>
        <v>9.3123287671232884</v>
      </c>
      <c r="K104" s="762" t="s">
        <v>465</v>
      </c>
      <c r="L104" s="746">
        <v>1000000</v>
      </c>
      <c r="M104" s="824" t="s">
        <v>466</v>
      </c>
      <c r="N104" s="768">
        <v>82.12</v>
      </c>
      <c r="O104" s="753">
        <v>9.0000199999999992</v>
      </c>
      <c r="P104" s="753" t="s">
        <v>331</v>
      </c>
      <c r="Q104" s="763" t="s">
        <v>595</v>
      </c>
      <c r="R104" s="764" t="s">
        <v>596</v>
      </c>
      <c r="S104" s="796">
        <v>41513</v>
      </c>
      <c r="T104" s="796">
        <v>41516</v>
      </c>
      <c r="U104" s="750" t="s">
        <v>246</v>
      </c>
      <c r="V104" s="750"/>
      <c r="W104" s="825">
        <v>833109.72</v>
      </c>
      <c r="X104" s="751">
        <v>7.8</v>
      </c>
      <c r="Y104" s="751">
        <f t="shared" si="28"/>
        <v>6498255.8159999996</v>
      </c>
      <c r="Z104" s="751"/>
      <c r="AA104" s="765">
        <v>6.125</v>
      </c>
      <c r="AB104" s="800">
        <v>44915</v>
      </c>
      <c r="AC104" s="754">
        <f t="shared" si="26"/>
        <v>9.3205479452054796</v>
      </c>
      <c r="AD104" s="798"/>
      <c r="AF104" s="756"/>
      <c r="AG104" s="757"/>
    </row>
    <row r="105" spans="1:34" s="741" customFormat="1" ht="51">
      <c r="A105" s="823"/>
      <c r="B105" s="740"/>
      <c r="C105" s="740"/>
      <c r="D105" s="740"/>
      <c r="E105" s="759">
        <v>99</v>
      </c>
      <c r="F105" s="741" t="s">
        <v>971</v>
      </c>
      <c r="G105" s="742" t="s">
        <v>711</v>
      </c>
      <c r="H105" s="760" t="s">
        <v>591</v>
      </c>
      <c r="I105" s="760" t="s">
        <v>592</v>
      </c>
      <c r="J105" s="744">
        <f t="shared" si="27"/>
        <v>7.6191780821917812</v>
      </c>
      <c r="K105" s="762" t="s">
        <v>465</v>
      </c>
      <c r="L105" s="746">
        <v>2000000</v>
      </c>
      <c r="M105" s="824" t="s">
        <v>466</v>
      </c>
      <c r="N105" s="745">
        <v>100</v>
      </c>
      <c r="O105" s="747">
        <v>6.7482899999999999</v>
      </c>
      <c r="P105" s="740" t="s">
        <v>331</v>
      </c>
      <c r="Q105" s="763" t="s">
        <v>593</v>
      </c>
      <c r="R105" s="764" t="s">
        <v>594</v>
      </c>
      <c r="S105" s="796">
        <v>41514</v>
      </c>
      <c r="T105" s="796">
        <v>41520</v>
      </c>
      <c r="U105" s="750" t="s">
        <v>246</v>
      </c>
      <c r="V105" s="750"/>
      <c r="W105" s="751">
        <v>2051750</v>
      </c>
      <c r="X105" s="751">
        <v>7.8</v>
      </c>
      <c r="Y105" s="751">
        <f t="shared" si="28"/>
        <v>16003650</v>
      </c>
      <c r="Z105" s="751"/>
      <c r="AA105" s="765">
        <v>6.75</v>
      </c>
      <c r="AB105" s="800">
        <v>44301</v>
      </c>
      <c r="AC105" s="754">
        <f t="shared" si="26"/>
        <v>7.6356164383561644</v>
      </c>
      <c r="AD105" s="754"/>
      <c r="AE105" s="798"/>
      <c r="AG105" s="756"/>
      <c r="AH105" s="757"/>
    </row>
    <row r="106" spans="1:34" s="741" customFormat="1" ht="39.75" customHeight="1">
      <c r="A106" s="823"/>
      <c r="B106" s="740"/>
      <c r="C106" s="740"/>
      <c r="D106" s="740"/>
      <c r="E106" s="759">
        <v>100</v>
      </c>
      <c r="F106" s="761" t="s">
        <v>365</v>
      </c>
      <c r="G106" s="742" t="s">
        <v>367</v>
      </c>
      <c r="H106" s="760" t="s">
        <v>366</v>
      </c>
      <c r="I106" s="760" t="s">
        <v>363</v>
      </c>
      <c r="J106" s="744">
        <f t="shared" si="27"/>
        <v>9.3972602739726021</v>
      </c>
      <c r="K106" s="762" t="s">
        <v>91</v>
      </c>
      <c r="L106" s="746">
        <v>3000000</v>
      </c>
      <c r="M106" s="824" t="s">
        <v>466</v>
      </c>
      <c r="N106" s="827">
        <v>86.097999999999999</v>
      </c>
      <c r="O106" s="768">
        <v>6.5000900000000001</v>
      </c>
      <c r="P106" s="753" t="s">
        <v>331</v>
      </c>
      <c r="Q106" s="763" t="s">
        <v>595</v>
      </c>
      <c r="R106" s="764" t="s">
        <v>596</v>
      </c>
      <c r="S106" s="796">
        <v>41514</v>
      </c>
      <c r="T106" s="796">
        <v>41520</v>
      </c>
      <c r="U106" s="750" t="s">
        <v>246</v>
      </c>
      <c r="V106" s="750"/>
      <c r="W106" s="751">
        <v>2597565</v>
      </c>
      <c r="X106" s="751">
        <v>7.8</v>
      </c>
      <c r="Y106" s="751">
        <f t="shared" si="28"/>
        <v>20261007</v>
      </c>
      <c r="Z106" s="751"/>
      <c r="AA106" s="765">
        <v>4.5</v>
      </c>
      <c r="AB106" s="800">
        <v>44950</v>
      </c>
      <c r="AC106" s="754">
        <f t="shared" si="26"/>
        <v>9.4136986301369863</v>
      </c>
      <c r="AD106" s="798"/>
      <c r="AF106" s="756"/>
      <c r="AG106" s="757"/>
    </row>
    <row r="107" spans="1:34" s="741" customFormat="1" ht="39.75" customHeight="1">
      <c r="A107" s="823"/>
      <c r="B107" s="740"/>
      <c r="C107" s="740"/>
      <c r="D107" s="740"/>
      <c r="E107" s="759">
        <v>101</v>
      </c>
      <c r="F107" s="741" t="s">
        <v>21</v>
      </c>
      <c r="G107" s="742" t="s">
        <v>22</v>
      </c>
      <c r="H107" s="743" t="s">
        <v>23</v>
      </c>
      <c r="I107" s="743" t="s">
        <v>24</v>
      </c>
      <c r="J107" s="744">
        <f>(AB107-T107)/365</f>
        <v>9.712328767123287</v>
      </c>
      <c r="K107" s="745" t="s">
        <v>465</v>
      </c>
      <c r="L107" s="746">
        <v>2000000</v>
      </c>
      <c r="M107" s="762" t="s">
        <v>945</v>
      </c>
      <c r="N107" s="747">
        <v>88.094999999999999</v>
      </c>
      <c r="O107" s="760">
        <v>6.0100020000000001</v>
      </c>
      <c r="P107" s="748" t="s">
        <v>331</v>
      </c>
      <c r="Q107" s="749" t="s">
        <v>595</v>
      </c>
      <c r="R107" s="798" t="s">
        <v>596</v>
      </c>
      <c r="S107" s="796">
        <v>41515</v>
      </c>
      <c r="T107" s="796">
        <v>41521</v>
      </c>
      <c r="U107" s="750" t="s">
        <v>208</v>
      </c>
      <c r="W107" s="751">
        <v>1787177.78</v>
      </c>
      <c r="X107" s="767">
        <v>7.8</v>
      </c>
      <c r="Y107" s="751">
        <f t="shared" ref="Y107:Y112" si="29">X107*W107</f>
        <v>13939986.684</v>
      </c>
      <c r="Z107" s="751"/>
      <c r="AA107" s="753">
        <v>4.375</v>
      </c>
      <c r="AB107" s="800">
        <v>45066</v>
      </c>
      <c r="AC107" s="754">
        <f>(AB107-S107)/365</f>
        <v>9.7287671232876711</v>
      </c>
      <c r="AD107" s="798"/>
      <c r="AF107" s="756"/>
      <c r="AG107" s="757"/>
    </row>
    <row r="108" spans="1:34" s="741" customFormat="1" ht="39.75" customHeight="1">
      <c r="A108" s="823"/>
      <c r="B108" s="740"/>
      <c r="C108" s="740"/>
      <c r="D108" s="740"/>
      <c r="E108" s="759">
        <v>102</v>
      </c>
      <c r="F108" s="741" t="s">
        <v>21</v>
      </c>
      <c r="G108" s="742" t="s">
        <v>22</v>
      </c>
      <c r="H108" s="743" t="s">
        <v>23</v>
      </c>
      <c r="I108" s="743" t="s">
        <v>24</v>
      </c>
      <c r="J108" s="744">
        <f>(AB108-T108)/365</f>
        <v>9.706849315068494</v>
      </c>
      <c r="K108" s="745" t="s">
        <v>465</v>
      </c>
      <c r="L108" s="746">
        <v>2000000</v>
      </c>
      <c r="M108" s="762" t="s">
        <v>945</v>
      </c>
      <c r="N108" s="747">
        <v>87.76</v>
      </c>
      <c r="O108" s="760">
        <v>6.0605869999999999</v>
      </c>
      <c r="P108" s="748" t="s">
        <v>946</v>
      </c>
      <c r="Q108" s="749" t="s">
        <v>1182</v>
      </c>
      <c r="R108" s="798" t="s">
        <v>1183</v>
      </c>
      <c r="S108" s="796">
        <v>41520</v>
      </c>
      <c r="T108" s="796">
        <v>41523</v>
      </c>
      <c r="U108" s="750" t="s">
        <v>208</v>
      </c>
      <c r="W108" s="751">
        <v>1780963.89</v>
      </c>
      <c r="X108" s="767">
        <v>7.8</v>
      </c>
      <c r="Y108" s="751">
        <f t="shared" si="29"/>
        <v>13891518.341999998</v>
      </c>
      <c r="Z108" s="751"/>
      <c r="AA108" s="753">
        <v>4.375</v>
      </c>
      <c r="AB108" s="800">
        <v>45066</v>
      </c>
      <c r="AC108" s="754">
        <f>(AB108-S108)/365</f>
        <v>9.7150684931506852</v>
      </c>
      <c r="AD108" s="798"/>
      <c r="AF108" s="756"/>
      <c r="AG108" s="757"/>
    </row>
    <row r="109" spans="1:34" s="741" customFormat="1" ht="39.75" customHeight="1">
      <c r="A109" s="823"/>
      <c r="B109" s="740"/>
      <c r="C109" s="740"/>
      <c r="D109" s="740"/>
      <c r="E109" s="759">
        <v>103</v>
      </c>
      <c r="F109" s="741" t="s">
        <v>21</v>
      </c>
      <c r="G109" s="742" t="s">
        <v>22</v>
      </c>
      <c r="H109" s="743" t="s">
        <v>23</v>
      </c>
      <c r="I109" s="743" t="s">
        <v>24</v>
      </c>
      <c r="J109" s="744">
        <f>(AB109-T109)/365</f>
        <v>9.706849315068494</v>
      </c>
      <c r="K109" s="745" t="s">
        <v>465</v>
      </c>
      <c r="L109" s="746">
        <v>2000000</v>
      </c>
      <c r="M109" s="762" t="s">
        <v>945</v>
      </c>
      <c r="N109" s="747">
        <v>87.495999999999995</v>
      </c>
      <c r="O109" s="760">
        <v>6.1000180000000004</v>
      </c>
      <c r="P109" s="748" t="s">
        <v>331</v>
      </c>
      <c r="Q109" s="749" t="s">
        <v>595</v>
      </c>
      <c r="R109" s="798" t="s">
        <v>596</v>
      </c>
      <c r="S109" s="796">
        <v>41520</v>
      </c>
      <c r="T109" s="796">
        <v>41523</v>
      </c>
      <c r="U109" s="750" t="s">
        <v>208</v>
      </c>
      <c r="W109" s="751">
        <v>1775683.89</v>
      </c>
      <c r="X109" s="767">
        <v>7.8</v>
      </c>
      <c r="Y109" s="751">
        <f t="shared" si="29"/>
        <v>13850334.341999998</v>
      </c>
      <c r="Z109" s="751"/>
      <c r="AA109" s="753">
        <v>4.375</v>
      </c>
      <c r="AB109" s="800">
        <v>45066</v>
      </c>
      <c r="AC109" s="754">
        <f>(AB109-S109)/365</f>
        <v>9.7150684931506852</v>
      </c>
      <c r="AD109" s="798"/>
      <c r="AF109" s="756"/>
      <c r="AG109" s="757"/>
    </row>
    <row r="110" spans="1:34" s="944" customFormat="1" ht="38.25">
      <c r="A110" s="941"/>
      <c r="B110" s="942"/>
      <c r="C110" s="942"/>
      <c r="D110" s="942"/>
      <c r="E110" s="943">
        <v>104</v>
      </c>
      <c r="F110" s="967" t="s">
        <v>1281</v>
      </c>
      <c r="G110" s="945" t="s">
        <v>1285</v>
      </c>
      <c r="H110" s="947" t="s">
        <v>1282</v>
      </c>
      <c r="I110" s="947" t="s">
        <v>516</v>
      </c>
      <c r="J110" s="948" t="s">
        <v>178</v>
      </c>
      <c r="K110" s="949" t="s">
        <v>465</v>
      </c>
      <c r="L110" s="950">
        <v>50000000</v>
      </c>
      <c r="M110" s="964" t="s">
        <v>945</v>
      </c>
      <c r="N110" s="951">
        <v>100</v>
      </c>
      <c r="O110" s="947">
        <v>7.25</v>
      </c>
      <c r="P110" s="965" t="s">
        <v>1224</v>
      </c>
      <c r="Q110" s="966" t="s">
        <v>1225</v>
      </c>
      <c r="R110" s="961" t="s">
        <v>1226</v>
      </c>
      <c r="S110" s="954">
        <v>41739</v>
      </c>
      <c r="T110" s="954">
        <v>41751</v>
      </c>
      <c r="U110" s="955" t="s">
        <v>208</v>
      </c>
      <c r="W110" s="956">
        <v>50000000</v>
      </c>
      <c r="X110" s="957">
        <v>7.8</v>
      </c>
      <c r="Y110" s="956">
        <f t="shared" si="29"/>
        <v>390000000</v>
      </c>
      <c r="Z110" s="956"/>
      <c r="AA110" s="958">
        <v>7.25</v>
      </c>
      <c r="AB110" s="948" t="s">
        <v>178</v>
      </c>
      <c r="AC110" s="948" t="s">
        <v>178</v>
      </c>
      <c r="AD110" s="961"/>
      <c r="AF110" s="962"/>
      <c r="AG110" s="963"/>
    </row>
    <row r="111" spans="1:34" s="741" customFormat="1" ht="39.75" customHeight="1">
      <c r="A111" s="823"/>
      <c r="B111" s="740"/>
      <c r="C111" s="740"/>
      <c r="D111" s="740"/>
      <c r="E111" s="759">
        <v>105</v>
      </c>
      <c r="F111" s="761" t="s">
        <v>1334</v>
      </c>
      <c r="G111" s="742" t="s">
        <v>1335</v>
      </c>
      <c r="H111" s="760" t="s">
        <v>192</v>
      </c>
      <c r="I111" s="760" t="s">
        <v>1336</v>
      </c>
      <c r="J111" s="744">
        <f>(AB111-T111)/365</f>
        <v>5.0027397260273974</v>
      </c>
      <c r="K111" s="745" t="s">
        <v>465</v>
      </c>
      <c r="L111" s="746">
        <v>7000000</v>
      </c>
      <c r="M111" s="762" t="s">
        <v>945</v>
      </c>
      <c r="N111" s="747">
        <v>99.576999999999998</v>
      </c>
      <c r="O111" s="760">
        <v>4.3450340000000001</v>
      </c>
      <c r="P111" s="763" t="s">
        <v>1073</v>
      </c>
      <c r="Q111" s="764" t="s">
        <v>48</v>
      </c>
      <c r="R111" s="798" t="s">
        <v>254</v>
      </c>
      <c r="S111" s="796">
        <v>41864</v>
      </c>
      <c r="T111" s="796">
        <v>41871</v>
      </c>
      <c r="U111" s="750" t="s">
        <v>208</v>
      </c>
      <c r="W111" s="751">
        <v>6970390</v>
      </c>
      <c r="X111" s="767">
        <v>7.8</v>
      </c>
      <c r="Y111" s="751">
        <f t="shared" si="29"/>
        <v>54369042</v>
      </c>
      <c r="Z111" s="751"/>
      <c r="AA111" s="753">
        <v>4.25</v>
      </c>
      <c r="AB111" s="800">
        <v>43697</v>
      </c>
      <c r="AC111" s="754">
        <f>(AB111-S111)/365</f>
        <v>5.021917808219178</v>
      </c>
      <c r="AD111" s="798"/>
      <c r="AF111" s="756"/>
      <c r="AG111" s="757"/>
    </row>
    <row r="112" spans="1:34" s="741" customFormat="1" ht="39.75" customHeight="1">
      <c r="A112" s="823"/>
      <c r="B112" s="740"/>
      <c r="C112" s="740"/>
      <c r="D112" s="740"/>
      <c r="E112" s="759">
        <v>106</v>
      </c>
      <c r="F112" s="761" t="s">
        <v>1357</v>
      </c>
      <c r="G112" s="742" t="s">
        <v>1358</v>
      </c>
      <c r="H112" s="1382" t="s">
        <v>516</v>
      </c>
      <c r="I112" s="760" t="s">
        <v>1361</v>
      </c>
      <c r="J112" s="744">
        <f>(AB112-T112)/365</f>
        <v>10.008219178082191</v>
      </c>
      <c r="K112" s="745" t="s">
        <v>465</v>
      </c>
      <c r="L112" s="746">
        <v>46000000</v>
      </c>
      <c r="M112" s="762" t="s">
        <v>945</v>
      </c>
      <c r="N112" s="1381">
        <v>99.433999999999997</v>
      </c>
      <c r="O112" s="760">
        <v>4.628101</v>
      </c>
      <c r="P112" s="763" t="s">
        <v>1290</v>
      </c>
      <c r="Q112" s="764" t="s">
        <v>1359</v>
      </c>
      <c r="R112" s="742" t="s">
        <v>1360</v>
      </c>
      <c r="S112" s="796">
        <v>41906</v>
      </c>
      <c r="T112" s="796">
        <v>41915</v>
      </c>
      <c r="U112" s="750" t="s">
        <v>208</v>
      </c>
      <c r="W112" s="751">
        <v>45739640</v>
      </c>
      <c r="X112" s="767">
        <v>7.8</v>
      </c>
      <c r="Y112" s="751">
        <f t="shared" si="29"/>
        <v>356769192</v>
      </c>
      <c r="Z112" s="751"/>
      <c r="AA112" s="753">
        <v>4.5</v>
      </c>
      <c r="AB112" s="800">
        <v>45568</v>
      </c>
      <c r="AC112" s="754">
        <f>(AB112-S112)/365</f>
        <v>10.032876712328767</v>
      </c>
      <c r="AD112" s="798"/>
      <c r="AF112" s="756"/>
      <c r="AG112" s="757"/>
    </row>
    <row r="113" spans="1:33" s="1793" customFormat="1" ht="39.75" customHeight="1">
      <c r="A113" s="1777"/>
      <c r="B113" s="1778"/>
      <c r="C113" s="1778"/>
      <c r="D113" s="1778"/>
      <c r="E113" s="1779">
        <v>107</v>
      </c>
      <c r="F113" s="1780" t="s">
        <v>1548</v>
      </c>
      <c r="G113" s="1781" t="s">
        <v>1549</v>
      </c>
      <c r="H113" s="1782" t="s">
        <v>1545</v>
      </c>
      <c r="I113" s="1783" t="s">
        <v>1500</v>
      </c>
      <c r="J113" s="1784">
        <f>(AB113-T113)/365</f>
        <v>33.238356164383561</v>
      </c>
      <c r="K113" s="1785" t="s">
        <v>465</v>
      </c>
      <c r="L113" s="1786">
        <v>50000000</v>
      </c>
      <c r="M113" s="1787" t="s">
        <v>466</v>
      </c>
      <c r="N113" s="1788">
        <v>100</v>
      </c>
      <c r="O113" s="1783">
        <v>4.25</v>
      </c>
      <c r="P113" s="1789" t="s">
        <v>946</v>
      </c>
      <c r="Q113" s="1790" t="s">
        <v>1493</v>
      </c>
      <c r="R113" s="1781" t="s">
        <v>1494</v>
      </c>
      <c r="S113" s="1791">
        <v>42642</v>
      </c>
      <c r="T113" s="1791">
        <v>42654</v>
      </c>
      <c r="U113" s="1792" t="s">
        <v>246</v>
      </c>
      <c r="W113" s="1794">
        <v>50000000</v>
      </c>
      <c r="X113" s="1795">
        <v>7.8</v>
      </c>
      <c r="Y113" s="1794">
        <f t="shared" ref="Y113" si="30">X113*W113</f>
        <v>390000000</v>
      </c>
      <c r="Z113" s="1794"/>
      <c r="AA113" s="1796">
        <v>4.25</v>
      </c>
      <c r="AB113" s="1797">
        <v>54786</v>
      </c>
      <c r="AC113" s="1798">
        <f>(AB113-S113)/365</f>
        <v>33.271232876712325</v>
      </c>
      <c r="AD113" s="1799"/>
      <c r="AF113" s="1800"/>
      <c r="AG113" s="1801"/>
    </row>
  </sheetData>
  <phoneticPr fontId="4" type="noConversion"/>
  <hyperlinks>
    <hyperlink ref="R30" r:id="rId1" display="suenber.hkdb@bloomberg.net"/>
  </hyperlinks>
  <pageMargins left="0.18" right="0.22" top="0.65" bottom="0.69" header="0.5" footer="0.33"/>
  <pageSetup scale="15" orientation="landscape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2:AP130"/>
  <sheetViews>
    <sheetView zoomScale="70" zoomScaleNormal="70" workbookViewId="0">
      <pane xSplit="7" ySplit="6" topLeftCell="H119" activePane="bottomRight" state="frozen"/>
      <selection pane="topRight" activeCell="H1" sqref="H1"/>
      <selection pane="bottomLeft" activeCell="A7" sqref="A7"/>
      <selection pane="bottomRight" activeCell="W121" sqref="W121:W124"/>
    </sheetView>
  </sheetViews>
  <sheetFormatPr defaultRowHeight="12.75" outlineLevelCol="1"/>
  <cols>
    <col min="1" max="2" width="9.140625" hidden="1" customWidth="1" outlineLevel="1"/>
    <col min="3" max="3" width="10.140625" hidden="1" customWidth="1" outlineLevel="1"/>
    <col min="4" max="4" width="9.140625" hidden="1" customWidth="1" outlineLevel="1"/>
    <col min="5" max="5" width="9.140625" collapsed="1"/>
    <col min="6" max="6" width="18.85546875" customWidth="1"/>
    <col min="7" max="7" width="34.28515625" customWidth="1"/>
    <col min="8" max="9" width="14" customWidth="1"/>
    <col min="10" max="10" width="15.5703125" customWidth="1"/>
    <col min="12" max="12" width="14" customWidth="1"/>
    <col min="14" max="14" width="11" bestFit="1" customWidth="1"/>
    <col min="15" max="15" width="11.140625" customWidth="1"/>
    <col min="16" max="16" width="10.7109375" customWidth="1"/>
    <col min="17" max="17" width="11.85546875" customWidth="1"/>
    <col min="18" max="18" width="16.5703125" customWidth="1"/>
    <col min="19" max="19" width="11.42578125" style="637" bestFit="1" customWidth="1"/>
    <col min="20" max="20" width="11" style="637" bestFit="1" customWidth="1"/>
    <col min="21" max="21" width="9.85546875" customWidth="1"/>
    <col min="22" max="22" width="6.28515625" customWidth="1"/>
    <col min="23" max="23" width="14.85546875" customWidth="1"/>
    <col min="24" max="24" width="15.7109375" customWidth="1"/>
    <col min="25" max="25" width="19" customWidth="1"/>
    <col min="27" max="27" width="10.7109375" customWidth="1"/>
    <col min="28" max="28" width="14.7109375" customWidth="1"/>
    <col min="29" max="29" width="10.140625" bestFit="1" customWidth="1"/>
    <col min="32" max="32" width="10" bestFit="1" customWidth="1"/>
    <col min="33" max="33" width="10.5703125" customWidth="1"/>
    <col min="34" max="36" width="13" customWidth="1"/>
    <col min="37" max="37" width="10.5703125" bestFit="1" customWidth="1"/>
    <col min="38" max="38" width="10.140625" bestFit="1" customWidth="1"/>
    <col min="39" max="39" width="13.140625" customWidth="1"/>
    <col min="41" max="41" width="9.85546875" bestFit="1" customWidth="1"/>
    <col min="42" max="42" width="11" bestFit="1" customWidth="1"/>
  </cols>
  <sheetData>
    <row r="2" spans="1:42">
      <c r="F2" s="1" t="s">
        <v>991</v>
      </c>
    </row>
    <row r="3" spans="1:42">
      <c r="C3" s="40"/>
      <c r="F3" t="s">
        <v>15</v>
      </c>
      <c r="O3" t="s">
        <v>508</v>
      </c>
    </row>
    <row r="5" spans="1:42">
      <c r="A5" s="12"/>
      <c r="B5" s="12"/>
      <c r="C5" s="12"/>
      <c r="D5" s="12"/>
      <c r="E5" s="12"/>
      <c r="F5" s="15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638"/>
      <c r="T5" s="638"/>
      <c r="U5" s="138"/>
      <c r="V5" s="15"/>
      <c r="W5" s="15"/>
      <c r="X5" s="15"/>
      <c r="Y5" s="15"/>
      <c r="Z5" s="15"/>
      <c r="AA5" s="15"/>
      <c r="AB5" s="85">
        <f ca="1">TODAY()</f>
        <v>42654</v>
      </c>
      <c r="AC5" s="15"/>
      <c r="AJ5" s="85"/>
      <c r="AL5" s="85"/>
    </row>
    <row r="6" spans="1:42" ht="38.25">
      <c r="A6" s="10" t="s">
        <v>16</v>
      </c>
      <c r="B6" s="10" t="s">
        <v>27</v>
      </c>
      <c r="C6" s="10" t="s">
        <v>28</v>
      </c>
      <c r="D6" s="10" t="s">
        <v>29</v>
      </c>
      <c r="E6" s="8" t="s">
        <v>986</v>
      </c>
      <c r="F6" s="8" t="s">
        <v>987</v>
      </c>
      <c r="G6" s="8" t="s">
        <v>32</v>
      </c>
      <c r="H6" s="8" t="s">
        <v>33</v>
      </c>
      <c r="I6" s="8" t="s">
        <v>34</v>
      </c>
      <c r="J6" s="8" t="s">
        <v>35</v>
      </c>
      <c r="K6" s="8" t="s">
        <v>36</v>
      </c>
      <c r="L6" s="9" t="s">
        <v>37</v>
      </c>
      <c r="M6" s="7" t="s">
        <v>38</v>
      </c>
      <c r="N6" s="7" t="s">
        <v>39</v>
      </c>
      <c r="O6" s="7" t="s">
        <v>40</v>
      </c>
      <c r="P6" s="8" t="s">
        <v>988</v>
      </c>
      <c r="Q6" s="8" t="s">
        <v>64</v>
      </c>
      <c r="R6" s="8" t="s">
        <v>65</v>
      </c>
      <c r="S6" s="639" t="s">
        <v>989</v>
      </c>
      <c r="T6" s="639" t="s">
        <v>67</v>
      </c>
      <c r="U6" s="228" t="s">
        <v>68</v>
      </c>
      <c r="V6" s="10"/>
      <c r="W6" s="80" t="s">
        <v>69</v>
      </c>
      <c r="X6" s="10" t="s">
        <v>70</v>
      </c>
      <c r="Y6" s="10" t="s">
        <v>71</v>
      </c>
      <c r="Z6" s="10"/>
      <c r="AA6" s="10" t="s">
        <v>72</v>
      </c>
      <c r="AB6" s="660" t="s">
        <v>73</v>
      </c>
      <c r="AC6" s="10" t="s">
        <v>74</v>
      </c>
      <c r="AF6" s="29"/>
      <c r="AG6" s="29"/>
      <c r="AH6" s="29"/>
      <c r="AI6" s="29"/>
      <c r="AJ6" s="29"/>
      <c r="AK6" s="29"/>
      <c r="AL6" s="29"/>
      <c r="AO6" s="29"/>
      <c r="AP6" s="29"/>
    </row>
    <row r="7" spans="1:42" s="64" customFormat="1" ht="25.5">
      <c r="A7" s="309"/>
      <c r="B7" s="91"/>
      <c r="C7" s="91"/>
      <c r="D7" s="91"/>
      <c r="E7" s="91">
        <v>1</v>
      </c>
      <c r="F7" s="55" t="s">
        <v>958</v>
      </c>
      <c r="G7" s="53" t="s">
        <v>813</v>
      </c>
      <c r="H7" s="112" t="s">
        <v>1042</v>
      </c>
      <c r="I7" s="112" t="s">
        <v>1042</v>
      </c>
      <c r="J7" s="319" t="s">
        <v>812</v>
      </c>
      <c r="K7" s="46" t="s">
        <v>205</v>
      </c>
      <c r="L7" s="105">
        <v>500000</v>
      </c>
      <c r="M7" s="46" t="s">
        <v>466</v>
      </c>
      <c r="N7" s="114">
        <v>100.5</v>
      </c>
      <c r="O7" s="91">
        <v>6.762524</v>
      </c>
      <c r="P7" s="227" t="s">
        <v>899</v>
      </c>
      <c r="Q7" s="48" t="s">
        <v>206</v>
      </c>
      <c r="R7" s="109" t="s">
        <v>242</v>
      </c>
      <c r="S7" s="642">
        <v>41219</v>
      </c>
      <c r="T7" s="642">
        <v>41222</v>
      </c>
      <c r="U7" s="229" t="s">
        <v>163</v>
      </c>
      <c r="V7" s="55"/>
      <c r="W7" s="110">
        <v>505050</v>
      </c>
      <c r="X7" s="110"/>
      <c r="Y7" s="117" t="e">
        <f>W7*#REF!</f>
        <v>#REF!</v>
      </c>
      <c r="Z7" s="115"/>
      <c r="AA7" s="86">
        <v>6.8</v>
      </c>
      <c r="AB7" s="661" t="s">
        <v>802</v>
      </c>
      <c r="AC7" s="104" t="e">
        <f ca="1">(AB7-$AB$5)/365</f>
        <v>#VALUE!</v>
      </c>
      <c r="AF7" s="214"/>
      <c r="AG7" s="117"/>
      <c r="AH7" s="117"/>
      <c r="AI7" s="117"/>
      <c r="AJ7" s="90"/>
      <c r="AK7" s="90"/>
      <c r="AL7" s="215"/>
      <c r="AM7" s="117"/>
      <c r="AO7" s="133"/>
    </row>
    <row r="8" spans="1:42" s="64" customFormat="1" ht="25.5">
      <c r="A8" s="309"/>
      <c r="B8" s="91"/>
      <c r="C8" s="91"/>
      <c r="D8" s="91"/>
      <c r="E8" s="91">
        <v>2</v>
      </c>
      <c r="F8" s="55" t="s">
        <v>967</v>
      </c>
      <c r="G8" s="53" t="s">
        <v>813</v>
      </c>
      <c r="H8" s="112" t="s">
        <v>1042</v>
      </c>
      <c r="I8" s="112" t="s">
        <v>1042</v>
      </c>
      <c r="J8" s="319" t="s">
        <v>812</v>
      </c>
      <c r="K8" s="46" t="s">
        <v>205</v>
      </c>
      <c r="L8" s="105">
        <v>500000</v>
      </c>
      <c r="M8" s="46" t="s">
        <v>466</v>
      </c>
      <c r="N8" s="114">
        <v>106.8</v>
      </c>
      <c r="O8" s="91">
        <v>6.3213400000000002</v>
      </c>
      <c r="P8" s="227" t="s">
        <v>243</v>
      </c>
      <c r="Q8" s="168" t="s">
        <v>244</v>
      </c>
      <c r="R8" s="109" t="s">
        <v>245</v>
      </c>
      <c r="S8" s="642">
        <v>41242</v>
      </c>
      <c r="T8" s="642">
        <v>41247</v>
      </c>
      <c r="U8" s="229" t="s">
        <v>246</v>
      </c>
      <c r="V8" s="55"/>
      <c r="W8" s="110">
        <v>538911</v>
      </c>
      <c r="X8" s="110"/>
      <c r="Y8" s="117" t="e">
        <f>W8*#REF!</f>
        <v>#REF!</v>
      </c>
      <c r="Z8" s="115"/>
      <c r="AA8" s="86">
        <v>6.8</v>
      </c>
      <c r="AB8" s="661" t="s">
        <v>802</v>
      </c>
      <c r="AC8" s="104" t="e">
        <f ca="1">(AB8-$AB$5)/365</f>
        <v>#VALUE!</v>
      </c>
      <c r="AF8" s="214"/>
      <c r="AG8" s="117"/>
      <c r="AH8" s="117"/>
      <c r="AI8" s="117"/>
      <c r="AJ8" s="90"/>
      <c r="AK8" s="90"/>
      <c r="AL8" s="215"/>
      <c r="AM8" s="117"/>
      <c r="AO8" s="133"/>
    </row>
    <row r="9" spans="1:42" s="55" customFormat="1" ht="42.75" customHeight="1">
      <c r="A9" s="265"/>
      <c r="B9" s="91"/>
      <c r="C9" s="91"/>
      <c r="D9" s="91"/>
      <c r="E9" s="277">
        <v>3</v>
      </c>
      <c r="F9" s="55" t="s">
        <v>232</v>
      </c>
      <c r="G9" s="109" t="s">
        <v>229</v>
      </c>
      <c r="H9" s="112" t="s">
        <v>289</v>
      </c>
      <c r="I9" s="112" t="s">
        <v>290</v>
      </c>
      <c r="J9" s="319">
        <f t="shared" ref="J9:J14" si="0">(AB9-T9)/365</f>
        <v>9.9095890410958898</v>
      </c>
      <c r="K9" s="46" t="s">
        <v>205</v>
      </c>
      <c r="L9" s="341">
        <v>2000000</v>
      </c>
      <c r="M9" s="46" t="s">
        <v>466</v>
      </c>
      <c r="N9" s="114">
        <v>100.25</v>
      </c>
      <c r="O9" s="91">
        <v>6.0900600000000003</v>
      </c>
      <c r="P9" s="227" t="s">
        <v>775</v>
      </c>
      <c r="Q9" s="48" t="s">
        <v>803</v>
      </c>
      <c r="R9" s="53" t="s">
        <v>622</v>
      </c>
      <c r="S9" s="642">
        <v>41292</v>
      </c>
      <c r="T9" s="642">
        <v>41298</v>
      </c>
      <c r="U9" s="229" t="s">
        <v>208</v>
      </c>
      <c r="W9" s="117">
        <v>2016569.44</v>
      </c>
      <c r="X9" s="110">
        <v>7.8</v>
      </c>
      <c r="Y9" s="117">
        <f t="shared" ref="Y9:Y14" si="1">X9*W9</f>
        <v>15729241.631999999</v>
      </c>
      <c r="Z9" s="117"/>
      <c r="AA9" s="86">
        <v>6.125</v>
      </c>
      <c r="AB9" s="661">
        <v>44915</v>
      </c>
      <c r="AC9" s="104">
        <f t="shared" ref="AC9:AC14" si="2">(AB9-S9)/365</f>
        <v>9.9260273972602739</v>
      </c>
      <c r="AD9" s="53"/>
      <c r="AF9" s="214"/>
      <c r="AG9" s="215"/>
    </row>
    <row r="10" spans="1:42" s="55" customFormat="1" ht="38.25">
      <c r="A10" s="265"/>
      <c r="B10" s="91"/>
      <c r="C10" s="91"/>
      <c r="D10" s="91"/>
      <c r="E10" s="277">
        <v>4</v>
      </c>
      <c r="F10" s="55" t="s">
        <v>247</v>
      </c>
      <c r="G10" s="109" t="s">
        <v>248</v>
      </c>
      <c r="H10" s="112" t="s">
        <v>764</v>
      </c>
      <c r="I10" s="112" t="s">
        <v>764</v>
      </c>
      <c r="J10" s="319">
        <f t="shared" si="0"/>
        <v>2.8383561643835615</v>
      </c>
      <c r="K10" s="46" t="s">
        <v>621</v>
      </c>
      <c r="L10" s="341">
        <v>2000000</v>
      </c>
      <c r="M10" s="46" t="s">
        <v>865</v>
      </c>
      <c r="N10" s="114">
        <v>101.6</v>
      </c>
      <c r="O10" s="91">
        <v>5.1834300000000004</v>
      </c>
      <c r="P10" s="227" t="s">
        <v>249</v>
      </c>
      <c r="Q10" s="48" t="s">
        <v>250</v>
      </c>
      <c r="R10" s="109" t="s">
        <v>207</v>
      </c>
      <c r="S10" s="642">
        <v>41304</v>
      </c>
      <c r="T10" s="642">
        <v>41309</v>
      </c>
      <c r="U10" s="229" t="s">
        <v>208</v>
      </c>
      <c r="W10" s="117">
        <v>2050750.68</v>
      </c>
      <c r="X10" s="110">
        <v>1.22</v>
      </c>
      <c r="Y10" s="117">
        <f t="shared" si="1"/>
        <v>2501915.8295999998</v>
      </c>
      <c r="Z10" s="117"/>
      <c r="AA10" s="86">
        <v>5.8</v>
      </c>
      <c r="AB10" s="642">
        <v>42345</v>
      </c>
      <c r="AC10" s="104">
        <f t="shared" si="2"/>
        <v>2.8520547945205479</v>
      </c>
      <c r="AD10" s="53"/>
      <c r="AF10" s="214"/>
      <c r="AG10" s="215"/>
    </row>
    <row r="11" spans="1:42" s="55" customFormat="1" ht="39" customHeight="1">
      <c r="A11" s="265"/>
      <c r="B11" s="91"/>
      <c r="C11" s="91"/>
      <c r="D11" s="91"/>
      <c r="E11" s="277">
        <v>5</v>
      </c>
      <c r="F11" s="55" t="s">
        <v>247</v>
      </c>
      <c r="G11" s="109" t="s">
        <v>248</v>
      </c>
      <c r="H11" s="112" t="s">
        <v>261</v>
      </c>
      <c r="I11" s="112" t="s">
        <v>261</v>
      </c>
      <c r="J11" s="319">
        <f t="shared" si="0"/>
        <v>2.7890410958904108</v>
      </c>
      <c r="K11" s="46" t="s">
        <v>621</v>
      </c>
      <c r="L11" s="341">
        <v>3000000</v>
      </c>
      <c r="M11" s="46" t="s">
        <v>273</v>
      </c>
      <c r="N11" s="114">
        <v>102</v>
      </c>
      <c r="O11" s="91">
        <v>5.019183</v>
      </c>
      <c r="P11" s="227" t="s">
        <v>249</v>
      </c>
      <c r="Q11" s="48" t="s">
        <v>250</v>
      </c>
      <c r="R11" s="109" t="s">
        <v>207</v>
      </c>
      <c r="S11" s="642">
        <v>41324</v>
      </c>
      <c r="T11" s="642">
        <v>41327</v>
      </c>
      <c r="U11" s="229" t="s">
        <v>208</v>
      </c>
      <c r="W11" s="117">
        <v>3096706.85</v>
      </c>
      <c r="X11" s="110">
        <v>1.22</v>
      </c>
      <c r="Y11" s="117">
        <f t="shared" si="1"/>
        <v>3777982.3569999998</v>
      </c>
      <c r="Z11" s="117"/>
      <c r="AA11" s="86">
        <v>5.8</v>
      </c>
      <c r="AB11" s="642">
        <v>42345</v>
      </c>
      <c r="AC11" s="104">
        <f t="shared" si="2"/>
        <v>2.7972602739726029</v>
      </c>
      <c r="AD11" s="53"/>
      <c r="AF11" s="214"/>
      <c r="AG11" s="215"/>
    </row>
    <row r="12" spans="1:42" s="55" customFormat="1" ht="38.25">
      <c r="A12" s="265"/>
      <c r="B12" s="91"/>
      <c r="C12" s="91"/>
      <c r="D12" s="91"/>
      <c r="E12" s="277">
        <v>6</v>
      </c>
      <c r="F12" s="55" t="s">
        <v>247</v>
      </c>
      <c r="G12" s="109" t="s">
        <v>248</v>
      </c>
      <c r="H12" s="112" t="s">
        <v>261</v>
      </c>
      <c r="I12" s="112" t="s">
        <v>261</v>
      </c>
      <c r="J12" s="319">
        <f t="shared" si="0"/>
        <v>2.7780821917808218</v>
      </c>
      <c r="K12" s="46" t="s">
        <v>621</v>
      </c>
      <c r="L12" s="341">
        <v>3000000</v>
      </c>
      <c r="M12" s="46" t="s">
        <v>273</v>
      </c>
      <c r="N12" s="114">
        <v>102.3</v>
      </c>
      <c r="O12" s="91">
        <v>4.9009799999999997</v>
      </c>
      <c r="P12" s="227" t="s">
        <v>249</v>
      </c>
      <c r="Q12" s="48" t="s">
        <v>250</v>
      </c>
      <c r="R12" s="109" t="s">
        <v>207</v>
      </c>
      <c r="S12" s="642">
        <v>41326</v>
      </c>
      <c r="T12" s="642">
        <v>41331</v>
      </c>
      <c r="U12" s="229" t="s">
        <v>208</v>
      </c>
      <c r="W12" s="117">
        <v>3107613.7</v>
      </c>
      <c r="X12" s="110">
        <v>1.22</v>
      </c>
      <c r="Y12" s="117">
        <f t="shared" si="1"/>
        <v>3791288.7140000002</v>
      </c>
      <c r="Z12" s="117"/>
      <c r="AA12" s="86">
        <v>5.8</v>
      </c>
      <c r="AB12" s="642">
        <v>42345</v>
      </c>
      <c r="AC12" s="104">
        <f t="shared" si="2"/>
        <v>2.7917808219178082</v>
      </c>
      <c r="AD12" s="53"/>
      <c r="AF12" s="214"/>
      <c r="AG12" s="215"/>
    </row>
    <row r="13" spans="1:42" s="55" customFormat="1" ht="38.25">
      <c r="A13" s="265"/>
      <c r="B13" s="91"/>
      <c r="C13" s="91"/>
      <c r="D13" s="91"/>
      <c r="E13" s="277">
        <v>7</v>
      </c>
      <c r="F13" s="55" t="s">
        <v>45</v>
      </c>
      <c r="G13" s="109" t="s">
        <v>46</v>
      </c>
      <c r="H13" s="112" t="s">
        <v>261</v>
      </c>
      <c r="I13" s="112" t="s">
        <v>261</v>
      </c>
      <c r="J13" s="319">
        <f t="shared" si="0"/>
        <v>6.9945205479452053</v>
      </c>
      <c r="K13" s="46" t="s">
        <v>55</v>
      </c>
      <c r="L13" s="341">
        <v>2000000</v>
      </c>
      <c r="M13" s="46" t="s">
        <v>466</v>
      </c>
      <c r="N13" s="114">
        <v>102.05</v>
      </c>
      <c r="O13" s="91">
        <v>5.3444950000000002</v>
      </c>
      <c r="P13" s="227" t="s">
        <v>56</v>
      </c>
      <c r="Q13" s="48" t="s">
        <v>57</v>
      </c>
      <c r="R13" s="53" t="s">
        <v>58</v>
      </c>
      <c r="S13" s="642">
        <v>41339</v>
      </c>
      <c r="T13" s="642">
        <v>41344</v>
      </c>
      <c r="U13" s="229" t="s">
        <v>208</v>
      </c>
      <c r="W13" s="117">
        <v>2042266.67</v>
      </c>
      <c r="X13" s="110">
        <v>7.8</v>
      </c>
      <c r="Y13" s="117">
        <f t="shared" si="1"/>
        <v>15929680.025999999</v>
      </c>
      <c r="Z13" s="117"/>
      <c r="AA13" s="86">
        <v>5.7</v>
      </c>
      <c r="AB13" s="661">
        <v>43897</v>
      </c>
      <c r="AC13" s="104">
        <f t="shared" si="2"/>
        <v>7.0082191780821921</v>
      </c>
      <c r="AD13" s="53"/>
      <c r="AF13" s="214"/>
      <c r="AG13" s="215"/>
    </row>
    <row r="14" spans="1:42" s="55" customFormat="1" ht="51">
      <c r="A14" s="265"/>
      <c r="B14" s="91"/>
      <c r="C14" s="91"/>
      <c r="D14" s="91"/>
      <c r="E14" s="277">
        <v>8</v>
      </c>
      <c r="F14" s="55" t="s">
        <v>45</v>
      </c>
      <c r="G14" s="109" t="s">
        <v>47</v>
      </c>
      <c r="H14" s="112" t="s">
        <v>261</v>
      </c>
      <c r="I14" s="112" t="s">
        <v>261</v>
      </c>
      <c r="J14" s="319">
        <f t="shared" si="0"/>
        <v>6.9917808219178079</v>
      </c>
      <c r="K14" s="46" t="s">
        <v>55</v>
      </c>
      <c r="L14" s="341">
        <v>2000000</v>
      </c>
      <c r="M14" s="46" t="s">
        <v>466</v>
      </c>
      <c r="N14" s="114">
        <v>102.6</v>
      </c>
      <c r="O14" s="91">
        <v>5.250432</v>
      </c>
      <c r="P14" s="227" t="s">
        <v>60</v>
      </c>
      <c r="Q14" s="48" t="s">
        <v>61</v>
      </c>
      <c r="R14" s="53" t="s">
        <v>62</v>
      </c>
      <c r="S14" s="642">
        <f>S13+1</f>
        <v>41340</v>
      </c>
      <c r="T14" s="642">
        <f>T13+1</f>
        <v>41345</v>
      </c>
      <c r="U14" s="229" t="s">
        <v>208</v>
      </c>
      <c r="W14" s="117">
        <v>2053583.33</v>
      </c>
      <c r="X14" s="110">
        <v>7.8</v>
      </c>
      <c r="Y14" s="117">
        <f t="shared" si="1"/>
        <v>16017949.973999999</v>
      </c>
      <c r="Z14" s="117"/>
      <c r="AA14" s="86">
        <v>5.7</v>
      </c>
      <c r="AB14" s="661">
        <v>43897</v>
      </c>
      <c r="AC14" s="104">
        <f t="shared" si="2"/>
        <v>7.0054794520547947</v>
      </c>
      <c r="AD14" s="53"/>
      <c r="AF14" s="214"/>
      <c r="AG14" s="215"/>
    </row>
    <row r="15" spans="1:42" s="55" customFormat="1" ht="38.25">
      <c r="A15" s="265"/>
      <c r="B15" s="91"/>
      <c r="C15" s="91"/>
      <c r="D15" s="91"/>
      <c r="E15" s="277">
        <v>9</v>
      </c>
      <c r="F15" s="55" t="s">
        <v>45</v>
      </c>
      <c r="G15" s="109" t="s">
        <v>47</v>
      </c>
      <c r="H15" s="112" t="s">
        <v>261</v>
      </c>
      <c r="I15" s="112" t="s">
        <v>261</v>
      </c>
      <c r="J15" s="319">
        <f t="shared" ref="J15:J23" si="3">(AB15-T15)/365</f>
        <v>6.9863013698630141</v>
      </c>
      <c r="K15" s="46" t="s">
        <v>55</v>
      </c>
      <c r="L15" s="341">
        <v>1000000</v>
      </c>
      <c r="M15" s="46" t="s">
        <v>466</v>
      </c>
      <c r="N15" s="114">
        <v>103</v>
      </c>
      <c r="O15" s="91">
        <v>5.1821080000000004</v>
      </c>
      <c r="P15" s="227" t="s">
        <v>56</v>
      </c>
      <c r="Q15" s="48" t="s">
        <v>57</v>
      </c>
      <c r="R15" s="53" t="s">
        <v>58</v>
      </c>
      <c r="S15" s="642">
        <v>41344</v>
      </c>
      <c r="T15" s="642">
        <v>41347</v>
      </c>
      <c r="U15" s="229" t="s">
        <v>208</v>
      </c>
      <c r="W15" s="117">
        <v>1031108.33</v>
      </c>
      <c r="X15" s="110">
        <v>7.8</v>
      </c>
      <c r="Y15" s="117">
        <f t="shared" ref="Y15:Y23" si="4">X15*W15</f>
        <v>8042644.9739999995</v>
      </c>
      <c r="Z15" s="117"/>
      <c r="AA15" s="86">
        <v>5.7</v>
      </c>
      <c r="AB15" s="661">
        <v>43897</v>
      </c>
      <c r="AC15" s="104">
        <f t="shared" ref="AC15:AC21" si="5">(AB15-S15)/365</f>
        <v>6.9945205479452053</v>
      </c>
      <c r="AD15" s="53"/>
      <c r="AF15" s="214"/>
      <c r="AG15" s="215"/>
    </row>
    <row r="16" spans="1:42" s="55" customFormat="1" ht="25.5">
      <c r="A16" s="265"/>
      <c r="B16" s="91"/>
      <c r="C16" s="91"/>
      <c r="D16" s="91"/>
      <c r="E16" s="277">
        <v>10</v>
      </c>
      <c r="F16" s="55" t="s">
        <v>247</v>
      </c>
      <c r="G16" s="109" t="s">
        <v>248</v>
      </c>
      <c r="H16" s="112" t="s">
        <v>261</v>
      </c>
      <c r="I16" s="112" t="s">
        <v>261</v>
      </c>
      <c r="J16" s="319">
        <f t="shared" si="3"/>
        <v>2.7315068493150685</v>
      </c>
      <c r="K16" s="46" t="s">
        <v>621</v>
      </c>
      <c r="L16" s="341">
        <v>2000000</v>
      </c>
      <c r="M16" s="46" t="s">
        <v>273</v>
      </c>
      <c r="N16" s="114">
        <v>103.15</v>
      </c>
      <c r="O16" s="91">
        <v>4.5572460000000001</v>
      </c>
      <c r="P16" s="227" t="s">
        <v>899</v>
      </c>
      <c r="Q16" s="48" t="s">
        <v>908</v>
      </c>
      <c r="R16" s="109" t="s">
        <v>184</v>
      </c>
      <c r="S16" s="642">
        <v>41345</v>
      </c>
      <c r="T16" s="642">
        <f>S16+3</f>
        <v>41348</v>
      </c>
      <c r="U16" s="229" t="s">
        <v>208</v>
      </c>
      <c r="W16" s="117">
        <v>2094145.21</v>
      </c>
      <c r="X16" s="110">
        <v>1.22</v>
      </c>
      <c r="Y16" s="117">
        <f t="shared" si="4"/>
        <v>2554857.1562000001</v>
      </c>
      <c r="Z16" s="117"/>
      <c r="AA16" s="86">
        <v>5.8</v>
      </c>
      <c r="AB16" s="642">
        <v>42345</v>
      </c>
      <c r="AC16" s="104">
        <f t="shared" si="5"/>
        <v>2.7397260273972601</v>
      </c>
      <c r="AD16" s="53"/>
      <c r="AF16" s="214"/>
      <c r="AG16" s="215"/>
    </row>
    <row r="17" spans="1:41" s="55" customFormat="1" ht="38.25">
      <c r="A17" s="265"/>
      <c r="B17" s="91"/>
      <c r="C17" s="91"/>
      <c r="D17" s="91"/>
      <c r="E17" s="277">
        <v>11</v>
      </c>
      <c r="F17" s="55" t="s">
        <v>50</v>
      </c>
      <c r="G17" s="109" t="s">
        <v>51</v>
      </c>
      <c r="H17" s="112" t="s">
        <v>52</v>
      </c>
      <c r="I17" s="112" t="s">
        <v>53</v>
      </c>
      <c r="J17" s="319">
        <f t="shared" si="3"/>
        <v>9.9835616438356158</v>
      </c>
      <c r="K17" s="46" t="s">
        <v>185</v>
      </c>
      <c r="L17" s="341">
        <v>2000000</v>
      </c>
      <c r="M17" s="46" t="s">
        <v>466</v>
      </c>
      <c r="N17" s="114">
        <v>101.25</v>
      </c>
      <c r="O17" s="91">
        <v>4.9644550000000001</v>
      </c>
      <c r="P17" s="227" t="s">
        <v>1050</v>
      </c>
      <c r="Q17" s="48" t="s">
        <v>7</v>
      </c>
      <c r="R17" s="53" t="s">
        <v>8</v>
      </c>
      <c r="S17" s="642">
        <v>41347</v>
      </c>
      <c r="T17" s="642">
        <v>41352</v>
      </c>
      <c r="U17" s="229" t="s">
        <v>208</v>
      </c>
      <c r="W17" s="117">
        <v>2027277.78</v>
      </c>
      <c r="X17" s="110">
        <v>7.8</v>
      </c>
      <c r="Y17" s="117">
        <f t="shared" si="4"/>
        <v>15812766.684</v>
      </c>
      <c r="Z17" s="117"/>
      <c r="AA17" s="86">
        <v>5.125</v>
      </c>
      <c r="AB17" s="661">
        <v>44996</v>
      </c>
      <c r="AC17" s="104">
        <f t="shared" si="5"/>
        <v>9.9972602739726035</v>
      </c>
      <c r="AD17" s="53"/>
      <c r="AF17" s="214"/>
      <c r="AG17" s="215"/>
    </row>
    <row r="18" spans="1:41" s="55" customFormat="1" ht="38.25">
      <c r="A18" s="265"/>
      <c r="B18" s="91"/>
      <c r="C18" s="91"/>
      <c r="D18" s="91"/>
      <c r="E18" s="277">
        <v>12</v>
      </c>
      <c r="F18" s="55" t="s">
        <v>50</v>
      </c>
      <c r="G18" s="109" t="s">
        <v>51</v>
      </c>
      <c r="H18" s="112" t="s">
        <v>52</v>
      </c>
      <c r="I18" s="112" t="s">
        <v>53</v>
      </c>
      <c r="J18" s="319">
        <f t="shared" si="3"/>
        <v>9.9780821917808211</v>
      </c>
      <c r="K18" s="46" t="s">
        <v>185</v>
      </c>
      <c r="L18" s="341">
        <v>2000000</v>
      </c>
      <c r="M18" s="46" t="s">
        <v>466</v>
      </c>
      <c r="N18" s="114">
        <v>100.8</v>
      </c>
      <c r="O18" s="91">
        <v>5.02182</v>
      </c>
      <c r="P18" s="227" t="s">
        <v>189</v>
      </c>
      <c r="Q18" s="227" t="s">
        <v>188</v>
      </c>
      <c r="R18" s="109" t="s">
        <v>190</v>
      </c>
      <c r="S18" s="642">
        <v>41351</v>
      </c>
      <c r="T18" s="642">
        <f>S18+3</f>
        <v>41354</v>
      </c>
      <c r="U18" s="229" t="s">
        <v>208</v>
      </c>
      <c r="W18" s="117">
        <v>2018847.22</v>
      </c>
      <c r="X18" s="110">
        <v>7.8</v>
      </c>
      <c r="Y18" s="117">
        <f t="shared" si="4"/>
        <v>15747008.316</v>
      </c>
      <c r="Z18" s="117"/>
      <c r="AA18" s="86">
        <v>5.125</v>
      </c>
      <c r="AB18" s="661">
        <v>44996</v>
      </c>
      <c r="AC18" s="104">
        <f t="shared" si="5"/>
        <v>9.9863013698630141</v>
      </c>
      <c r="AD18" s="53"/>
      <c r="AF18" s="214"/>
      <c r="AG18" s="215"/>
    </row>
    <row r="19" spans="1:41" s="55" customFormat="1" ht="38.25">
      <c r="A19" s="265"/>
      <c r="B19" s="91"/>
      <c r="C19" s="91"/>
      <c r="D19" s="91"/>
      <c r="E19" s="277">
        <v>13</v>
      </c>
      <c r="F19" s="55" t="s">
        <v>50</v>
      </c>
      <c r="G19" s="109" t="s">
        <v>51</v>
      </c>
      <c r="H19" s="112" t="s">
        <v>52</v>
      </c>
      <c r="I19" s="112" t="s">
        <v>53</v>
      </c>
      <c r="J19" s="319">
        <f t="shared" si="3"/>
        <v>9.9780821917808211</v>
      </c>
      <c r="K19" s="46" t="s">
        <v>185</v>
      </c>
      <c r="L19" s="341">
        <v>2000000</v>
      </c>
      <c r="M19" s="46" t="s">
        <v>466</v>
      </c>
      <c r="N19" s="114">
        <v>100.75</v>
      </c>
      <c r="O19" s="91">
        <v>5.0282299999999998</v>
      </c>
      <c r="P19" s="227" t="s">
        <v>1050</v>
      </c>
      <c r="Q19" s="48" t="s">
        <v>7</v>
      </c>
      <c r="R19" s="53" t="s">
        <v>8</v>
      </c>
      <c r="S19" s="642">
        <v>41351</v>
      </c>
      <c r="T19" s="642">
        <f>S19+3</f>
        <v>41354</v>
      </c>
      <c r="U19" s="229" t="s">
        <v>208</v>
      </c>
      <c r="W19" s="117">
        <v>2017847.22</v>
      </c>
      <c r="X19" s="110">
        <v>7.8</v>
      </c>
      <c r="Y19" s="117">
        <f t="shared" si="4"/>
        <v>15739208.316</v>
      </c>
      <c r="Z19" s="117"/>
      <c r="AA19" s="86">
        <v>5.125</v>
      </c>
      <c r="AB19" s="661">
        <v>44996</v>
      </c>
      <c r="AC19" s="104">
        <f t="shared" si="5"/>
        <v>9.9863013698630141</v>
      </c>
      <c r="AD19" s="53"/>
      <c r="AF19" s="214"/>
      <c r="AG19" s="215"/>
    </row>
    <row r="20" spans="1:41" s="55" customFormat="1" ht="38.25">
      <c r="A20" s="265"/>
      <c r="B20" s="91"/>
      <c r="C20" s="91"/>
      <c r="D20" s="91"/>
      <c r="E20" s="277">
        <v>14</v>
      </c>
      <c r="F20" s="55" t="s">
        <v>50</v>
      </c>
      <c r="G20" s="109" t="s">
        <v>51</v>
      </c>
      <c r="H20" s="112" t="s">
        <v>52</v>
      </c>
      <c r="I20" s="112" t="s">
        <v>53</v>
      </c>
      <c r="J20" s="319">
        <f t="shared" si="3"/>
        <v>9.9780821917808211</v>
      </c>
      <c r="K20" s="46" t="s">
        <v>185</v>
      </c>
      <c r="L20" s="341">
        <v>2000000</v>
      </c>
      <c r="M20" s="46" t="s">
        <v>466</v>
      </c>
      <c r="N20" s="114">
        <v>100.625</v>
      </c>
      <c r="O20" s="91">
        <v>5.0442600000000004</v>
      </c>
      <c r="P20" s="227" t="s">
        <v>189</v>
      </c>
      <c r="Q20" s="227" t="s">
        <v>188</v>
      </c>
      <c r="R20" s="109" t="s">
        <v>190</v>
      </c>
      <c r="S20" s="642">
        <v>41351</v>
      </c>
      <c r="T20" s="642">
        <f>S20+3</f>
        <v>41354</v>
      </c>
      <c r="U20" s="229" t="s">
        <v>208</v>
      </c>
      <c r="W20" s="117">
        <v>2015347.22</v>
      </c>
      <c r="X20" s="110">
        <v>7.8</v>
      </c>
      <c r="Y20" s="117">
        <f t="shared" si="4"/>
        <v>15719708.316</v>
      </c>
      <c r="Z20" s="117"/>
      <c r="AA20" s="86">
        <v>5.125</v>
      </c>
      <c r="AB20" s="661">
        <v>44996</v>
      </c>
      <c r="AC20" s="104">
        <f t="shared" si="5"/>
        <v>9.9863013698630141</v>
      </c>
      <c r="AD20" s="53"/>
      <c r="AF20" s="214"/>
      <c r="AG20" s="215"/>
    </row>
    <row r="21" spans="1:41" s="55" customFormat="1" ht="42.75" customHeight="1">
      <c r="A21" s="265"/>
      <c r="B21" s="91"/>
      <c r="C21" s="91"/>
      <c r="D21" s="91"/>
      <c r="E21" s="277">
        <v>15</v>
      </c>
      <c r="F21" s="55" t="s">
        <v>50</v>
      </c>
      <c r="G21" s="109" t="s">
        <v>51</v>
      </c>
      <c r="H21" s="112" t="s">
        <v>52</v>
      </c>
      <c r="I21" s="112" t="s">
        <v>53</v>
      </c>
      <c r="J21" s="319">
        <f t="shared" si="3"/>
        <v>9.9753424657534246</v>
      </c>
      <c r="K21" s="46" t="s">
        <v>185</v>
      </c>
      <c r="L21" s="341">
        <v>2000000</v>
      </c>
      <c r="M21" s="46" t="s">
        <v>466</v>
      </c>
      <c r="N21" s="114">
        <v>101</v>
      </c>
      <c r="O21" s="91">
        <v>4.9961900000000004</v>
      </c>
      <c r="P21" s="227" t="s">
        <v>189</v>
      </c>
      <c r="Q21" s="227" t="s">
        <v>188</v>
      </c>
      <c r="R21" s="109" t="s">
        <v>190</v>
      </c>
      <c r="S21" s="642">
        <v>41352</v>
      </c>
      <c r="T21" s="642">
        <f>S21+3</f>
        <v>41355</v>
      </c>
      <c r="U21" s="229" t="s">
        <v>208</v>
      </c>
      <c r="W21" s="117">
        <v>2023131.94</v>
      </c>
      <c r="X21" s="110">
        <v>7.8</v>
      </c>
      <c r="Y21" s="117">
        <f t="shared" si="4"/>
        <v>15780429.131999999</v>
      </c>
      <c r="Z21" s="117"/>
      <c r="AA21" s="86">
        <v>5.125</v>
      </c>
      <c r="AB21" s="661">
        <v>44996</v>
      </c>
      <c r="AC21" s="104">
        <f t="shared" si="5"/>
        <v>9.9835616438356158</v>
      </c>
      <c r="AD21" s="53"/>
      <c r="AF21" s="214"/>
      <c r="AG21" s="215"/>
    </row>
    <row r="22" spans="1:41" s="64" customFormat="1" ht="38.25">
      <c r="A22" s="55"/>
      <c r="B22" s="55"/>
      <c r="C22" s="55"/>
      <c r="D22" s="55"/>
      <c r="E22" s="277">
        <v>16</v>
      </c>
      <c r="F22" s="47" t="s">
        <v>510</v>
      </c>
      <c r="G22" s="48" t="s">
        <v>511</v>
      </c>
      <c r="H22" s="52" t="s">
        <v>192</v>
      </c>
      <c r="I22" s="52" t="s">
        <v>193</v>
      </c>
      <c r="J22" s="319">
        <f t="shared" si="3"/>
        <v>4.7726027397260271</v>
      </c>
      <c r="K22" s="46" t="s">
        <v>185</v>
      </c>
      <c r="L22" s="105">
        <v>500000</v>
      </c>
      <c r="M22" s="46" t="s">
        <v>466</v>
      </c>
      <c r="N22" s="409">
        <v>116.37</v>
      </c>
      <c r="O22" s="55">
        <v>2.3031160000000002</v>
      </c>
      <c r="P22" s="48" t="s">
        <v>375</v>
      </c>
      <c r="Q22" s="48" t="s">
        <v>194</v>
      </c>
      <c r="R22" s="109" t="s">
        <v>195</v>
      </c>
      <c r="S22" s="642">
        <v>41352</v>
      </c>
      <c r="T22" s="642">
        <f>S22+3</f>
        <v>41355</v>
      </c>
      <c r="U22" s="229" t="s">
        <v>208</v>
      </c>
      <c r="V22" s="55"/>
      <c r="W22" s="110">
        <v>588791.67000000004</v>
      </c>
      <c r="X22" s="110">
        <v>7.8</v>
      </c>
      <c r="Y22" s="117">
        <f t="shared" si="4"/>
        <v>4592575.0260000005</v>
      </c>
      <c r="AA22" s="410">
        <v>5.95</v>
      </c>
      <c r="AB22" s="682">
        <v>43097</v>
      </c>
      <c r="AC22" s="104">
        <f ca="1">(AB22-$AB$5)/365</f>
        <v>1.2136986301369863</v>
      </c>
      <c r="AF22" s="411"/>
      <c r="AG22" s="117"/>
      <c r="AH22" s="117"/>
      <c r="AI22" s="117"/>
      <c r="AJ22" s="90"/>
      <c r="AK22" s="90"/>
      <c r="AL22" s="215"/>
      <c r="AM22" s="117"/>
    </row>
    <row r="23" spans="1:41" s="55" customFormat="1" ht="38.25">
      <c r="A23" s="265"/>
      <c r="B23" s="91"/>
      <c r="C23" s="91"/>
      <c r="D23" s="91"/>
      <c r="E23" s="277">
        <v>17</v>
      </c>
      <c r="F23" s="55" t="s">
        <v>45</v>
      </c>
      <c r="G23" s="109" t="s">
        <v>47</v>
      </c>
      <c r="H23" s="112" t="s">
        <v>1125</v>
      </c>
      <c r="I23" s="112" t="s">
        <v>1125</v>
      </c>
      <c r="J23" s="319">
        <f t="shared" si="3"/>
        <v>6.956164383561644</v>
      </c>
      <c r="K23" s="46" t="s">
        <v>55</v>
      </c>
      <c r="L23" s="341">
        <v>2000000</v>
      </c>
      <c r="M23" s="46" t="s">
        <v>466</v>
      </c>
      <c r="N23" s="114">
        <v>102.05</v>
      </c>
      <c r="O23" s="91">
        <v>5.3424300000000002</v>
      </c>
      <c r="P23" s="227" t="s">
        <v>56</v>
      </c>
      <c r="Q23" s="48" t="s">
        <v>57</v>
      </c>
      <c r="R23" s="53" t="s">
        <v>58</v>
      </c>
      <c r="S23" s="642">
        <v>41353</v>
      </c>
      <c r="T23" s="642">
        <v>41358</v>
      </c>
      <c r="U23" s="229" t="s">
        <v>208</v>
      </c>
      <c r="W23" s="117">
        <v>2046700</v>
      </c>
      <c r="X23" s="110">
        <v>7.8</v>
      </c>
      <c r="Y23" s="117">
        <f t="shared" si="4"/>
        <v>15964260</v>
      </c>
      <c r="Z23" s="117"/>
      <c r="AA23" s="86">
        <v>5.7</v>
      </c>
      <c r="AB23" s="661">
        <v>43897</v>
      </c>
      <c r="AC23" s="104">
        <f t="shared" ref="AC23:AC29" si="6">(AB23-S23)/365</f>
        <v>6.9698630136986299</v>
      </c>
      <c r="AD23" s="53"/>
      <c r="AF23" s="214"/>
      <c r="AG23" s="215"/>
    </row>
    <row r="24" spans="1:41" s="55" customFormat="1" ht="51">
      <c r="A24" s="265"/>
      <c r="B24" s="91"/>
      <c r="C24" s="91"/>
      <c r="D24" s="91"/>
      <c r="E24" s="277">
        <v>18</v>
      </c>
      <c r="F24" s="55" t="s">
        <v>45</v>
      </c>
      <c r="G24" s="109" t="s">
        <v>47</v>
      </c>
      <c r="H24" s="112" t="s">
        <v>764</v>
      </c>
      <c r="I24" s="112" t="s">
        <v>764</v>
      </c>
      <c r="J24" s="319">
        <f t="shared" ref="J24:J29" si="7">(AB24-T24)/365</f>
        <v>6.8876712328767127</v>
      </c>
      <c r="K24" s="46" t="s">
        <v>55</v>
      </c>
      <c r="L24" s="341">
        <v>1000000</v>
      </c>
      <c r="M24" s="46" t="s">
        <v>466</v>
      </c>
      <c r="N24" s="114">
        <v>104.5</v>
      </c>
      <c r="O24" s="91">
        <v>4.9203000000000001</v>
      </c>
      <c r="P24" s="227" t="s">
        <v>60</v>
      </c>
      <c r="Q24" s="48" t="s">
        <v>61</v>
      </c>
      <c r="R24" s="53" t="s">
        <v>62</v>
      </c>
      <c r="S24" s="642">
        <v>41380</v>
      </c>
      <c r="T24" s="642">
        <v>41383</v>
      </c>
      <c r="U24" s="229" t="s">
        <v>208</v>
      </c>
      <c r="W24" s="117">
        <v>1051650</v>
      </c>
      <c r="X24" s="110">
        <v>7.8</v>
      </c>
      <c r="Y24" s="117">
        <f t="shared" ref="Y24:Y29" si="8">X24*W24</f>
        <v>8202870</v>
      </c>
      <c r="Z24" s="117"/>
      <c r="AA24" s="86">
        <v>5.7</v>
      </c>
      <c r="AB24" s="661">
        <v>43897</v>
      </c>
      <c r="AC24" s="104">
        <f t="shared" si="6"/>
        <v>6.8958904109589039</v>
      </c>
      <c r="AD24" s="53"/>
      <c r="AF24" s="214"/>
      <c r="AG24" s="215"/>
    </row>
    <row r="25" spans="1:41" s="55" customFormat="1" ht="38.25">
      <c r="A25" s="265"/>
      <c r="B25" s="91"/>
      <c r="C25" s="91"/>
      <c r="D25" s="91"/>
      <c r="E25" s="277">
        <v>19</v>
      </c>
      <c r="F25" s="55" t="s">
        <v>45</v>
      </c>
      <c r="G25" s="109" t="s">
        <v>47</v>
      </c>
      <c r="H25" s="112" t="s">
        <v>764</v>
      </c>
      <c r="I25" s="112" t="s">
        <v>764</v>
      </c>
      <c r="J25" s="319">
        <f t="shared" si="7"/>
        <v>6.8794520547945206</v>
      </c>
      <c r="K25" s="46" t="s">
        <v>55</v>
      </c>
      <c r="L25" s="341">
        <v>1000000</v>
      </c>
      <c r="M25" s="46" t="s">
        <v>466</v>
      </c>
      <c r="N25" s="114">
        <v>105.11</v>
      </c>
      <c r="O25" s="91">
        <v>4.8169430000000002</v>
      </c>
      <c r="P25" s="227" t="s">
        <v>1050</v>
      </c>
      <c r="Q25" s="48" t="s">
        <v>7</v>
      </c>
      <c r="R25" s="53" t="s">
        <v>8</v>
      </c>
      <c r="S25" s="642">
        <v>41381</v>
      </c>
      <c r="T25" s="642">
        <v>41386</v>
      </c>
      <c r="U25" s="229" t="s">
        <v>208</v>
      </c>
      <c r="W25" s="117">
        <v>1058225</v>
      </c>
      <c r="X25" s="110">
        <v>7.8</v>
      </c>
      <c r="Y25" s="117">
        <f t="shared" si="8"/>
        <v>8254155</v>
      </c>
      <c r="Z25" s="117"/>
      <c r="AA25" s="86">
        <v>5.7</v>
      </c>
      <c r="AB25" s="661">
        <v>43897</v>
      </c>
      <c r="AC25" s="104">
        <f t="shared" si="6"/>
        <v>6.8931506849315065</v>
      </c>
      <c r="AD25" s="53"/>
      <c r="AF25" s="214"/>
      <c r="AG25" s="215"/>
    </row>
    <row r="26" spans="1:41" s="55" customFormat="1" ht="38.25">
      <c r="A26" s="265"/>
      <c r="B26" s="91"/>
      <c r="C26" s="91"/>
      <c r="D26" s="91"/>
      <c r="E26" s="277">
        <v>20</v>
      </c>
      <c r="F26" s="55" t="s">
        <v>45</v>
      </c>
      <c r="G26" s="109" t="s">
        <v>47</v>
      </c>
      <c r="H26" s="112" t="s">
        <v>764</v>
      </c>
      <c r="I26" s="112" t="s">
        <v>764</v>
      </c>
      <c r="J26" s="319">
        <f t="shared" si="7"/>
        <v>6.8684931506849312</v>
      </c>
      <c r="K26" s="46" t="s">
        <v>55</v>
      </c>
      <c r="L26" s="341">
        <v>1000000</v>
      </c>
      <c r="M26" s="46" t="s">
        <v>466</v>
      </c>
      <c r="N26" s="114">
        <v>106</v>
      </c>
      <c r="O26" s="91">
        <v>4.6671889999999996</v>
      </c>
      <c r="P26" s="227" t="s">
        <v>1050</v>
      </c>
      <c r="Q26" s="48" t="s">
        <v>7</v>
      </c>
      <c r="R26" s="53" t="s">
        <v>8</v>
      </c>
      <c r="S26" s="642">
        <v>41387</v>
      </c>
      <c r="T26" s="642">
        <v>41390</v>
      </c>
      <c r="U26" s="229" t="s">
        <v>208</v>
      </c>
      <c r="W26" s="117">
        <v>1067758.33</v>
      </c>
      <c r="X26" s="110">
        <v>7.8</v>
      </c>
      <c r="Y26" s="117">
        <f t="shared" si="8"/>
        <v>8328514.9740000004</v>
      </c>
      <c r="Z26" s="117"/>
      <c r="AA26" s="86">
        <v>5.7</v>
      </c>
      <c r="AB26" s="661">
        <v>43897</v>
      </c>
      <c r="AC26" s="104">
        <f t="shared" si="6"/>
        <v>6.8767123287671232</v>
      </c>
      <c r="AD26" s="53"/>
      <c r="AF26" s="214"/>
      <c r="AG26" s="215"/>
    </row>
    <row r="27" spans="1:41" s="55" customFormat="1" ht="30" customHeight="1">
      <c r="A27" s="265"/>
      <c r="B27" s="91"/>
      <c r="C27" s="91"/>
      <c r="D27" s="91"/>
      <c r="E27" s="277">
        <v>21</v>
      </c>
      <c r="F27" s="55" t="s">
        <v>45</v>
      </c>
      <c r="G27" s="109" t="s">
        <v>47</v>
      </c>
      <c r="H27" s="112" t="s">
        <v>261</v>
      </c>
      <c r="I27" s="112" t="s">
        <v>261</v>
      </c>
      <c r="J27" s="319">
        <f t="shared" si="7"/>
        <v>6.8493150684931505</v>
      </c>
      <c r="K27" s="46" t="s">
        <v>55</v>
      </c>
      <c r="L27" s="341">
        <v>2000000</v>
      </c>
      <c r="M27" s="46" t="s">
        <v>466</v>
      </c>
      <c r="N27" s="114">
        <v>107</v>
      </c>
      <c r="O27" s="91">
        <v>4.4991969999999997</v>
      </c>
      <c r="P27" s="227" t="s">
        <v>712</v>
      </c>
      <c r="Q27" s="48" t="s">
        <v>713</v>
      </c>
      <c r="R27" s="53" t="s">
        <v>714</v>
      </c>
      <c r="S27" s="642">
        <v>41390</v>
      </c>
      <c r="T27" s="642">
        <v>41397</v>
      </c>
      <c r="U27" s="229" t="s">
        <v>208</v>
      </c>
      <c r="W27" s="117">
        <v>2157733.33</v>
      </c>
      <c r="X27" s="110">
        <v>7.8</v>
      </c>
      <c r="Y27" s="117">
        <f t="shared" si="8"/>
        <v>16830319.973999999</v>
      </c>
      <c r="Z27" s="117"/>
      <c r="AA27" s="86">
        <v>5.7</v>
      </c>
      <c r="AB27" s="661">
        <v>43897</v>
      </c>
      <c r="AC27" s="104">
        <f t="shared" si="6"/>
        <v>6.8684931506849312</v>
      </c>
      <c r="AD27" s="53"/>
      <c r="AF27" s="214"/>
      <c r="AG27" s="215"/>
    </row>
    <row r="28" spans="1:41" s="55" customFormat="1" ht="38.25">
      <c r="A28" s="265"/>
      <c r="B28" s="91"/>
      <c r="C28" s="91"/>
      <c r="D28" s="91"/>
      <c r="E28" s="277">
        <v>22</v>
      </c>
      <c r="F28" s="55" t="s">
        <v>253</v>
      </c>
      <c r="G28" s="109" t="s">
        <v>252</v>
      </c>
      <c r="H28" s="112" t="s">
        <v>44</v>
      </c>
      <c r="I28" s="112" t="s">
        <v>516</v>
      </c>
      <c r="J28" s="319">
        <f t="shared" si="7"/>
        <v>4.9808219178082194</v>
      </c>
      <c r="K28" s="46" t="s">
        <v>621</v>
      </c>
      <c r="L28" s="341">
        <v>1000000</v>
      </c>
      <c r="M28" s="46" t="s">
        <v>466</v>
      </c>
      <c r="N28" s="114">
        <v>102.27</v>
      </c>
      <c r="O28" s="91">
        <v>4.1157810000000001</v>
      </c>
      <c r="P28" s="227" t="s">
        <v>1050</v>
      </c>
      <c r="Q28" s="48" t="s">
        <v>7</v>
      </c>
      <c r="R28" s="53" t="s">
        <v>8</v>
      </c>
      <c r="S28" s="642">
        <v>41403</v>
      </c>
      <c r="T28" s="642">
        <v>41408</v>
      </c>
      <c r="U28" s="229" t="s">
        <v>208</v>
      </c>
      <c r="W28" s="117">
        <v>1023727.78</v>
      </c>
      <c r="X28" s="110">
        <v>7.8</v>
      </c>
      <c r="Y28" s="117">
        <f t="shared" si="8"/>
        <v>7985076.6840000004</v>
      </c>
      <c r="Z28" s="117"/>
      <c r="AA28" s="86">
        <v>4.625</v>
      </c>
      <c r="AB28" s="661">
        <v>43226</v>
      </c>
      <c r="AC28" s="104">
        <f t="shared" si="6"/>
        <v>4.9945205479452053</v>
      </c>
      <c r="AD28" s="53"/>
      <c r="AF28" s="214"/>
      <c r="AG28" s="215"/>
    </row>
    <row r="29" spans="1:41" s="55" customFormat="1" ht="38.25">
      <c r="A29" s="265"/>
      <c r="B29" s="91"/>
      <c r="C29" s="91"/>
      <c r="D29" s="91"/>
      <c r="E29" s="277">
        <v>23</v>
      </c>
      <c r="F29" s="55" t="s">
        <v>253</v>
      </c>
      <c r="G29" s="109" t="s">
        <v>252</v>
      </c>
      <c r="H29" s="112" t="s">
        <v>44</v>
      </c>
      <c r="I29" s="112" t="s">
        <v>516</v>
      </c>
      <c r="J29" s="319">
        <f t="shared" si="7"/>
        <v>4.978082191780822</v>
      </c>
      <c r="K29" s="46" t="s">
        <v>621</v>
      </c>
      <c r="L29" s="341">
        <v>1000000</v>
      </c>
      <c r="M29" s="46" t="s">
        <v>466</v>
      </c>
      <c r="N29" s="114">
        <v>102.31</v>
      </c>
      <c r="O29" s="91">
        <v>4.106649</v>
      </c>
      <c r="P29" s="227" t="s">
        <v>1050</v>
      </c>
      <c r="Q29" s="48" t="s">
        <v>7</v>
      </c>
      <c r="R29" s="53" t="s">
        <v>8</v>
      </c>
      <c r="S29" s="642">
        <v>41404</v>
      </c>
      <c r="T29" s="642">
        <v>41409</v>
      </c>
      <c r="U29" s="229" t="s">
        <v>208</v>
      </c>
      <c r="W29" s="117">
        <v>1024256.25</v>
      </c>
      <c r="X29" s="110">
        <v>7.8</v>
      </c>
      <c r="Y29" s="117">
        <f t="shared" si="8"/>
        <v>7989198.75</v>
      </c>
      <c r="Z29" s="117"/>
      <c r="AA29" s="86">
        <v>4.625</v>
      </c>
      <c r="AB29" s="661">
        <v>43226</v>
      </c>
      <c r="AC29" s="104">
        <f t="shared" si="6"/>
        <v>4.9917808219178079</v>
      </c>
      <c r="AD29" s="53"/>
      <c r="AF29" s="214"/>
      <c r="AG29" s="215"/>
    </row>
    <row r="30" spans="1:41" s="55" customFormat="1" ht="38.25">
      <c r="A30" s="265"/>
      <c r="B30" s="91"/>
      <c r="C30" s="91"/>
      <c r="D30" s="91"/>
      <c r="E30" s="277">
        <v>24</v>
      </c>
      <c r="F30" s="55" t="s">
        <v>253</v>
      </c>
      <c r="G30" s="109" t="s">
        <v>252</v>
      </c>
      <c r="H30" s="112" t="s">
        <v>44</v>
      </c>
      <c r="I30" s="112" t="s">
        <v>516</v>
      </c>
      <c r="J30" s="319">
        <f>(AB30-T30)/365</f>
        <v>4.9616438356164387</v>
      </c>
      <c r="K30" s="46" t="s">
        <v>621</v>
      </c>
      <c r="L30" s="341">
        <v>1000000</v>
      </c>
      <c r="M30" s="46" t="s">
        <v>466</v>
      </c>
      <c r="N30" s="114">
        <v>102.2</v>
      </c>
      <c r="O30" s="91">
        <v>4.1293759999999997</v>
      </c>
      <c r="P30" s="227" t="s">
        <v>1050</v>
      </c>
      <c r="Q30" s="48" t="s">
        <v>7</v>
      </c>
      <c r="R30" s="53" t="s">
        <v>8</v>
      </c>
      <c r="S30" s="642">
        <v>41410</v>
      </c>
      <c r="T30" s="642">
        <v>41415</v>
      </c>
      <c r="U30" s="229" t="s">
        <v>208</v>
      </c>
      <c r="W30" s="117">
        <v>1023927.08</v>
      </c>
      <c r="X30" s="110">
        <v>7.8</v>
      </c>
      <c r="Y30" s="117">
        <f t="shared" ref="Y30:Y35" si="9">X30*W30</f>
        <v>7986631.2239999995</v>
      </c>
      <c r="Z30" s="117"/>
      <c r="AA30" s="86">
        <v>4.625</v>
      </c>
      <c r="AB30" s="661">
        <v>43226</v>
      </c>
      <c r="AC30" s="104">
        <f>(AB30-S30)/365</f>
        <v>4.9753424657534246</v>
      </c>
      <c r="AD30" s="53"/>
      <c r="AF30" s="214"/>
      <c r="AG30" s="215"/>
    </row>
    <row r="31" spans="1:41" s="55" customFormat="1" ht="39.75" customHeight="1">
      <c r="A31" s="265"/>
      <c r="B31" s="91"/>
      <c r="C31" s="91"/>
      <c r="D31" s="91"/>
      <c r="E31" s="277">
        <v>25</v>
      </c>
      <c r="F31" s="55" t="s">
        <v>21</v>
      </c>
      <c r="G31" s="109" t="s">
        <v>22</v>
      </c>
      <c r="H31" s="112" t="s">
        <v>23</v>
      </c>
      <c r="I31" s="112" t="s">
        <v>24</v>
      </c>
      <c r="J31" s="319">
        <f>(AB31-T31)/365</f>
        <v>9.9945205479452053</v>
      </c>
      <c r="K31" s="46" t="s">
        <v>55</v>
      </c>
      <c r="L31" s="341">
        <v>2000000</v>
      </c>
      <c r="M31" s="46" t="s">
        <v>466</v>
      </c>
      <c r="N31" s="114">
        <v>100.01</v>
      </c>
      <c r="O31" s="91">
        <v>4.3736899999999999</v>
      </c>
      <c r="P31" s="227" t="s">
        <v>56</v>
      </c>
      <c r="Q31" s="48" t="s">
        <v>57</v>
      </c>
      <c r="R31" s="53" t="s">
        <v>957</v>
      </c>
      <c r="S31" s="642">
        <v>41415</v>
      </c>
      <c r="T31" s="642">
        <v>41418</v>
      </c>
      <c r="U31" s="229" t="s">
        <v>208</v>
      </c>
      <c r="W31" s="117">
        <v>2001172.22</v>
      </c>
      <c r="X31" s="110">
        <v>7.8</v>
      </c>
      <c r="Y31" s="117">
        <f t="shared" si="9"/>
        <v>15609143.316</v>
      </c>
      <c r="Z31" s="117"/>
      <c r="AA31" s="86">
        <v>4.375</v>
      </c>
      <c r="AB31" s="661">
        <v>45066</v>
      </c>
      <c r="AC31" s="104">
        <f>(AB31-S31)/365</f>
        <v>10.002739726027396</v>
      </c>
      <c r="AD31" s="53"/>
      <c r="AF31" s="214"/>
      <c r="AG31" s="215"/>
    </row>
    <row r="32" spans="1:41" s="417" customFormat="1" ht="51">
      <c r="A32" s="265"/>
      <c r="B32" s="91"/>
      <c r="C32" s="91"/>
      <c r="D32" s="91"/>
      <c r="E32" s="91">
        <v>26</v>
      </c>
      <c r="F32" s="55" t="s">
        <v>961</v>
      </c>
      <c r="G32" s="53" t="s">
        <v>962</v>
      </c>
      <c r="H32" s="112" t="s">
        <v>963</v>
      </c>
      <c r="I32" s="112" t="s">
        <v>963</v>
      </c>
      <c r="J32" s="233" t="s">
        <v>964</v>
      </c>
      <c r="K32" s="46" t="s">
        <v>55</v>
      </c>
      <c r="L32" s="105">
        <v>500000</v>
      </c>
      <c r="M32" s="46" t="s">
        <v>466</v>
      </c>
      <c r="N32" s="114">
        <v>114.6</v>
      </c>
      <c r="O32" s="91">
        <v>4.3036599999999998</v>
      </c>
      <c r="P32" s="227" t="s">
        <v>331</v>
      </c>
      <c r="Q32" s="48" t="s">
        <v>959</v>
      </c>
      <c r="R32" s="53" t="s">
        <v>965</v>
      </c>
      <c r="S32" s="642">
        <v>41417</v>
      </c>
      <c r="T32" s="642">
        <v>41423</v>
      </c>
      <c r="U32" s="229" t="s">
        <v>246</v>
      </c>
      <c r="V32" s="55"/>
      <c r="W32" s="110">
        <v>577438.89</v>
      </c>
      <c r="X32" s="110">
        <v>7.8</v>
      </c>
      <c r="Y32" s="110">
        <f t="shared" si="9"/>
        <v>4504023.3420000002</v>
      </c>
      <c r="Z32" s="91"/>
      <c r="AA32" s="91">
        <v>6.8</v>
      </c>
      <c r="AB32" s="683" t="s">
        <v>802</v>
      </c>
      <c r="AC32" s="55" t="e">
        <f ca="1">(AB32-$AB$5)/365</f>
        <v>#VALUE!</v>
      </c>
      <c r="AD32" s="55"/>
      <c r="AE32" s="55"/>
      <c r="AF32" s="413"/>
      <c r="AG32" s="110"/>
      <c r="AH32" s="110"/>
      <c r="AI32" s="110"/>
      <c r="AJ32" s="414"/>
      <c r="AK32" s="414"/>
      <c r="AL32" s="415"/>
      <c r="AM32" s="416"/>
      <c r="AO32" s="418"/>
    </row>
    <row r="33" spans="1:34" s="246" customFormat="1" ht="38.25">
      <c r="A33" s="376"/>
      <c r="B33" s="62"/>
      <c r="C33" s="62"/>
      <c r="D33" s="62"/>
      <c r="E33" s="287">
        <v>27</v>
      </c>
      <c r="F33" s="246" t="s">
        <v>253</v>
      </c>
      <c r="G33" s="255" t="s">
        <v>252</v>
      </c>
      <c r="H33" s="248" t="s">
        <v>44</v>
      </c>
      <c r="I33" s="248" t="s">
        <v>516</v>
      </c>
      <c r="J33" s="249">
        <f>(AB33-T33)/365</f>
        <v>4.8794520547945206</v>
      </c>
      <c r="K33" s="250" t="s">
        <v>621</v>
      </c>
      <c r="L33" s="354">
        <v>5000000</v>
      </c>
      <c r="M33" s="250" t="s">
        <v>466</v>
      </c>
      <c r="N33" s="252">
        <v>101</v>
      </c>
      <c r="O33" s="62">
        <v>4.3939339999999998</v>
      </c>
      <c r="P33" s="253" t="s">
        <v>1073</v>
      </c>
      <c r="Q33" s="254" t="s">
        <v>48</v>
      </c>
      <c r="R33" s="247" t="s">
        <v>254</v>
      </c>
      <c r="S33" s="644">
        <v>41442</v>
      </c>
      <c r="T33" s="644">
        <v>41445</v>
      </c>
      <c r="U33" s="286" t="s">
        <v>208</v>
      </c>
      <c r="W33" s="82">
        <v>5078263.8899999997</v>
      </c>
      <c r="X33" s="257">
        <v>7.8</v>
      </c>
      <c r="Y33" s="82">
        <f t="shared" si="9"/>
        <v>39610458.342</v>
      </c>
      <c r="Z33" s="82"/>
      <c r="AA33" s="258">
        <v>4.625</v>
      </c>
      <c r="AB33" s="665">
        <v>43226</v>
      </c>
      <c r="AC33" s="259">
        <f t="shared" ref="AC33:AC38" si="10">(AB33-S33)/365</f>
        <v>4.8876712328767127</v>
      </c>
      <c r="AD33" s="247"/>
      <c r="AF33" s="260"/>
      <c r="AG33" s="261"/>
    </row>
    <row r="34" spans="1:34" s="246" customFormat="1" ht="38.25">
      <c r="A34" s="376"/>
      <c r="B34" s="62"/>
      <c r="C34" s="62"/>
      <c r="D34" s="62"/>
      <c r="E34" s="287">
        <v>28</v>
      </c>
      <c r="F34" s="246" t="s">
        <v>253</v>
      </c>
      <c r="G34" s="255" t="s">
        <v>252</v>
      </c>
      <c r="H34" s="248" t="s">
        <v>44</v>
      </c>
      <c r="I34" s="248" t="s">
        <v>516</v>
      </c>
      <c r="J34" s="249">
        <f>(AB34-T34)/365</f>
        <v>4.8794520547945206</v>
      </c>
      <c r="K34" s="250" t="s">
        <v>621</v>
      </c>
      <c r="L34" s="354">
        <v>2000000</v>
      </c>
      <c r="M34" s="250" t="s">
        <v>466</v>
      </c>
      <c r="N34" s="252">
        <v>101.26</v>
      </c>
      <c r="O34" s="62">
        <v>4.3345880000000001</v>
      </c>
      <c r="P34" s="419" t="s">
        <v>707</v>
      </c>
      <c r="Q34" s="420" t="s">
        <v>708</v>
      </c>
      <c r="R34" s="255" t="s">
        <v>588</v>
      </c>
      <c r="S34" s="644">
        <v>41442</v>
      </c>
      <c r="T34" s="644">
        <v>41445</v>
      </c>
      <c r="U34" s="286" t="s">
        <v>208</v>
      </c>
      <c r="W34" s="82">
        <v>2036505.56</v>
      </c>
      <c r="X34" s="257">
        <v>7.8</v>
      </c>
      <c r="Y34" s="82">
        <f t="shared" si="9"/>
        <v>15884743.368000001</v>
      </c>
      <c r="Z34" s="82"/>
      <c r="AA34" s="258">
        <v>4.625</v>
      </c>
      <c r="AB34" s="665">
        <v>43226</v>
      </c>
      <c r="AC34" s="259">
        <f t="shared" si="10"/>
        <v>4.8876712328767127</v>
      </c>
      <c r="AD34" s="247"/>
      <c r="AF34" s="260"/>
      <c r="AG34" s="261"/>
    </row>
    <row r="35" spans="1:34" s="246" customFormat="1" ht="38.25">
      <c r="A35" s="376"/>
      <c r="B35" s="62"/>
      <c r="C35" s="62"/>
      <c r="D35" s="62"/>
      <c r="E35" s="287">
        <v>29</v>
      </c>
      <c r="F35" s="246" t="s">
        <v>253</v>
      </c>
      <c r="G35" s="255" t="s">
        <v>252</v>
      </c>
      <c r="H35" s="248" t="s">
        <v>764</v>
      </c>
      <c r="I35" s="248" t="s">
        <v>516</v>
      </c>
      <c r="J35" s="249">
        <f>(AB35-T35)/365</f>
        <v>4.8630136986301373</v>
      </c>
      <c r="K35" s="250" t="s">
        <v>621</v>
      </c>
      <c r="L35" s="354">
        <v>5000000</v>
      </c>
      <c r="M35" s="250" t="s">
        <v>466</v>
      </c>
      <c r="N35" s="252">
        <v>100.01</v>
      </c>
      <c r="O35" s="62">
        <v>4.6214519999999997</v>
      </c>
      <c r="P35" s="419" t="s">
        <v>584</v>
      </c>
      <c r="Q35" s="420" t="s">
        <v>585</v>
      </c>
      <c r="R35" s="255" t="s">
        <v>587</v>
      </c>
      <c r="S35" s="644">
        <v>41446</v>
      </c>
      <c r="T35" s="644">
        <v>41451</v>
      </c>
      <c r="U35" s="286" t="s">
        <v>208</v>
      </c>
      <c r="W35" s="82">
        <v>5032618.0599999996</v>
      </c>
      <c r="X35" s="257">
        <v>7.8</v>
      </c>
      <c r="Y35" s="82">
        <f t="shared" si="9"/>
        <v>39254420.867999993</v>
      </c>
      <c r="Z35" s="82"/>
      <c r="AA35" s="258">
        <v>4.625</v>
      </c>
      <c r="AB35" s="665">
        <v>43226</v>
      </c>
      <c r="AC35" s="259">
        <f t="shared" si="10"/>
        <v>4.8767123287671232</v>
      </c>
      <c r="AD35" s="247"/>
      <c r="AF35" s="260"/>
      <c r="AG35" s="261"/>
    </row>
    <row r="36" spans="1:34" s="447" customFormat="1" ht="39.75" customHeight="1">
      <c r="A36" s="429"/>
      <c r="B36" s="430"/>
      <c r="C36" s="430"/>
      <c r="D36" s="430"/>
      <c r="E36" s="431">
        <v>30</v>
      </c>
      <c r="F36" s="432" t="s">
        <v>696</v>
      </c>
      <c r="G36" s="433" t="s">
        <v>697</v>
      </c>
      <c r="H36" s="434" t="s">
        <v>79</v>
      </c>
      <c r="I36" s="434" t="s">
        <v>1113</v>
      </c>
      <c r="J36" s="435">
        <f>(AB36-S36)/365</f>
        <v>8.4027397260273968</v>
      </c>
      <c r="K36" s="436" t="s">
        <v>949</v>
      </c>
      <c r="L36" s="437">
        <v>5000000</v>
      </c>
      <c r="M36" s="436" t="s">
        <v>945</v>
      </c>
      <c r="N36" s="438">
        <v>100.03</v>
      </c>
      <c r="O36" s="438">
        <v>6.11829</v>
      </c>
      <c r="P36" s="439" t="s">
        <v>712</v>
      </c>
      <c r="Q36" s="440" t="s">
        <v>713</v>
      </c>
      <c r="R36" s="441" t="s">
        <v>673</v>
      </c>
      <c r="S36" s="645">
        <v>41463</v>
      </c>
      <c r="T36" s="645">
        <v>41467</v>
      </c>
      <c r="U36" s="442" t="s">
        <v>246</v>
      </c>
      <c r="V36" s="442"/>
      <c r="W36" s="443">
        <v>5001500</v>
      </c>
      <c r="X36" s="443">
        <v>7.8</v>
      </c>
      <c r="Y36" s="443">
        <f t="shared" ref="Y36:Y42" si="11">X36*W36</f>
        <v>39011700</v>
      </c>
      <c r="Z36" s="443"/>
      <c r="AA36" s="444">
        <v>6.125</v>
      </c>
      <c r="AB36" s="684">
        <v>44530</v>
      </c>
      <c r="AC36" s="445">
        <f t="shared" si="10"/>
        <v>8.4027397260273968</v>
      </c>
      <c r="AD36" s="446"/>
      <c r="AF36" s="448"/>
      <c r="AG36" s="449"/>
    </row>
    <row r="37" spans="1:34" s="485" customFormat="1" ht="39.75" customHeight="1">
      <c r="A37" s="467"/>
      <c r="B37" s="468"/>
      <c r="C37" s="468"/>
      <c r="D37" s="468"/>
      <c r="E37" s="469">
        <v>31</v>
      </c>
      <c r="F37" s="470" t="s">
        <v>696</v>
      </c>
      <c r="G37" s="471" t="s">
        <v>697</v>
      </c>
      <c r="H37" s="472" t="s">
        <v>79</v>
      </c>
      <c r="I37" s="472" t="s">
        <v>1113</v>
      </c>
      <c r="J37" s="473">
        <f>(AB37-S37)/365</f>
        <v>8.3616438356164391</v>
      </c>
      <c r="K37" s="474" t="s">
        <v>55</v>
      </c>
      <c r="L37" s="475">
        <v>1000000</v>
      </c>
      <c r="M37" s="474" t="s">
        <v>945</v>
      </c>
      <c r="N37" s="476">
        <v>101.1</v>
      </c>
      <c r="O37" s="476">
        <v>5.7891899999999996</v>
      </c>
      <c r="P37" s="477" t="s">
        <v>712</v>
      </c>
      <c r="Q37" s="478" t="s">
        <v>713</v>
      </c>
      <c r="R37" s="479" t="s">
        <v>673</v>
      </c>
      <c r="S37" s="649">
        <v>41478</v>
      </c>
      <c r="T37" s="649">
        <v>41481</v>
      </c>
      <c r="U37" s="480" t="s">
        <v>246</v>
      </c>
      <c r="V37" s="480"/>
      <c r="W37" s="481">
        <v>1013381.94</v>
      </c>
      <c r="X37" s="481">
        <v>7.8</v>
      </c>
      <c r="Y37" s="481">
        <f t="shared" si="11"/>
        <v>7904379.1319999993</v>
      </c>
      <c r="Z37" s="481"/>
      <c r="AA37" s="482">
        <v>6.125</v>
      </c>
      <c r="AB37" s="685">
        <v>44530</v>
      </c>
      <c r="AC37" s="483">
        <f t="shared" si="10"/>
        <v>8.3616438356164391</v>
      </c>
      <c r="AD37" s="484"/>
      <c r="AF37" s="486"/>
      <c r="AG37" s="487"/>
    </row>
    <row r="38" spans="1:34" s="563" customFormat="1" ht="39.75" customHeight="1">
      <c r="A38" s="561"/>
      <c r="B38" s="541"/>
      <c r="C38" s="541"/>
      <c r="D38" s="541"/>
      <c r="E38" s="562">
        <v>32</v>
      </c>
      <c r="F38" s="563" t="s">
        <v>76</v>
      </c>
      <c r="G38" s="543" t="s">
        <v>77</v>
      </c>
      <c r="H38" s="564" t="s">
        <v>591</v>
      </c>
      <c r="I38" s="564" t="s">
        <v>52</v>
      </c>
      <c r="J38" s="545">
        <f>(AB38-S38)/365</f>
        <v>4.7068493150684931</v>
      </c>
      <c r="K38" s="546" t="s">
        <v>185</v>
      </c>
      <c r="L38" s="547">
        <v>1000000</v>
      </c>
      <c r="M38" s="579" t="s">
        <v>945</v>
      </c>
      <c r="N38" s="548">
        <v>94.5</v>
      </c>
      <c r="O38" s="541">
        <v>5.8543000000000003</v>
      </c>
      <c r="P38" s="566" t="s">
        <v>775</v>
      </c>
      <c r="Q38" s="567" t="s">
        <v>776</v>
      </c>
      <c r="R38" s="568" t="s">
        <v>364</v>
      </c>
      <c r="S38" s="647">
        <v>41505</v>
      </c>
      <c r="T38" s="647">
        <v>41508</v>
      </c>
      <c r="U38" s="553" t="s">
        <v>246</v>
      </c>
      <c r="W38" s="555">
        <v>958625</v>
      </c>
      <c r="X38" s="569">
        <v>7.8</v>
      </c>
      <c r="Y38" s="555">
        <f t="shared" si="11"/>
        <v>7477275</v>
      </c>
      <c r="Z38" s="555"/>
      <c r="AA38" s="550">
        <v>4.5</v>
      </c>
      <c r="AB38" s="686">
        <v>43223</v>
      </c>
      <c r="AC38" s="557">
        <f t="shared" si="10"/>
        <v>4.7068493150684931</v>
      </c>
      <c r="AD38" s="568"/>
      <c r="AF38" s="559"/>
      <c r="AG38" s="560"/>
    </row>
    <row r="39" spans="1:34" s="447" customFormat="1" ht="39.75" customHeight="1">
      <c r="A39" s="429"/>
      <c r="B39" s="430"/>
      <c r="C39" s="430"/>
      <c r="D39" s="430"/>
      <c r="E39" s="431">
        <v>33</v>
      </c>
      <c r="F39" s="432" t="s">
        <v>696</v>
      </c>
      <c r="G39" s="433" t="s">
        <v>697</v>
      </c>
      <c r="H39" s="434" t="s">
        <v>79</v>
      </c>
      <c r="I39" s="434" t="s">
        <v>1113</v>
      </c>
      <c r="J39" s="435">
        <f>(AB39-S39)/365</f>
        <v>8.1890410958904116</v>
      </c>
      <c r="K39" s="436" t="s">
        <v>55</v>
      </c>
      <c r="L39" s="437">
        <v>4000000</v>
      </c>
      <c r="M39" s="436" t="s">
        <v>945</v>
      </c>
      <c r="N39" s="438">
        <v>101</v>
      </c>
      <c r="O39" s="438">
        <v>5.8040700000000003</v>
      </c>
      <c r="P39" s="439" t="s">
        <v>712</v>
      </c>
      <c r="Q39" s="440" t="s">
        <v>713</v>
      </c>
      <c r="R39" s="441" t="s">
        <v>673</v>
      </c>
      <c r="S39" s="645">
        <v>41541</v>
      </c>
      <c r="T39" s="645">
        <v>41544</v>
      </c>
      <c r="U39" s="442" t="s">
        <v>246</v>
      </c>
      <c r="V39" s="442"/>
      <c r="W39" s="443">
        <v>4091041.67</v>
      </c>
      <c r="X39" s="443">
        <v>7.8</v>
      </c>
      <c r="Y39" s="443">
        <f t="shared" si="11"/>
        <v>31910125.026000001</v>
      </c>
      <c r="Z39" s="443"/>
      <c r="AA39" s="444">
        <v>6.125</v>
      </c>
      <c r="AB39" s="684">
        <v>44530</v>
      </c>
      <c r="AC39" s="445">
        <f t="shared" ref="AC39:AC45" si="12">(AB39-S39)/365</f>
        <v>8.1890410958904116</v>
      </c>
      <c r="AD39" s="446"/>
      <c r="AF39" s="448"/>
      <c r="AG39" s="449"/>
    </row>
    <row r="40" spans="1:34" s="500" customFormat="1" ht="39.75" customHeight="1">
      <c r="A40" s="497"/>
      <c r="B40" s="498"/>
      <c r="C40" s="498"/>
      <c r="D40" s="498"/>
      <c r="E40" s="499">
        <v>34</v>
      </c>
      <c r="F40" s="500" t="s">
        <v>21</v>
      </c>
      <c r="G40" s="501" t="s">
        <v>22</v>
      </c>
      <c r="H40" s="502" t="s">
        <v>192</v>
      </c>
      <c r="I40" s="502" t="s">
        <v>1221</v>
      </c>
      <c r="J40" s="503">
        <f>(AB40-T40)/365</f>
        <v>9.580821917808219</v>
      </c>
      <c r="K40" s="504" t="s">
        <v>55</v>
      </c>
      <c r="L40" s="505">
        <v>2000000</v>
      </c>
      <c r="M40" s="504" t="s">
        <v>466</v>
      </c>
      <c r="N40" s="506">
        <v>92.85</v>
      </c>
      <c r="O40" s="498">
        <v>5.3377290000000004</v>
      </c>
      <c r="P40" s="507" t="s">
        <v>677</v>
      </c>
      <c r="Q40" s="508" t="s">
        <v>1219</v>
      </c>
      <c r="R40" s="509" t="s">
        <v>1220</v>
      </c>
      <c r="S40" s="646">
        <v>41564</v>
      </c>
      <c r="T40" s="646">
        <v>41569</v>
      </c>
      <c r="U40" s="510" t="s">
        <v>208</v>
      </c>
      <c r="W40" s="511">
        <v>1893944.44</v>
      </c>
      <c r="X40" s="512">
        <v>7.8</v>
      </c>
      <c r="Y40" s="511">
        <f t="shared" si="11"/>
        <v>14772766.631999999</v>
      </c>
      <c r="Z40" s="511"/>
      <c r="AA40" s="513">
        <v>4.375</v>
      </c>
      <c r="AB40" s="687">
        <v>45066</v>
      </c>
      <c r="AC40" s="514">
        <f t="shared" si="12"/>
        <v>9.5945205479452049</v>
      </c>
      <c r="AD40" s="509"/>
      <c r="AF40" s="515"/>
      <c r="AG40" s="516"/>
    </row>
    <row r="41" spans="1:34" s="563" customFormat="1" ht="39.75" customHeight="1">
      <c r="A41" s="561"/>
      <c r="B41" s="541"/>
      <c r="C41" s="541"/>
      <c r="D41" s="541"/>
      <c r="E41" s="562">
        <v>35</v>
      </c>
      <c r="F41" s="563" t="s">
        <v>76</v>
      </c>
      <c r="G41" s="543" t="s">
        <v>77</v>
      </c>
      <c r="H41" s="564" t="s">
        <v>591</v>
      </c>
      <c r="I41" s="564" t="s">
        <v>52</v>
      </c>
      <c r="J41" s="545">
        <f t="shared" ref="J41:J47" si="13">(AB41-S41)/365</f>
        <v>4.5315068493150683</v>
      </c>
      <c r="K41" s="546" t="s">
        <v>185</v>
      </c>
      <c r="L41" s="547">
        <v>1000000</v>
      </c>
      <c r="M41" s="579" t="s">
        <v>945</v>
      </c>
      <c r="N41" s="548">
        <v>95.5</v>
      </c>
      <c r="O41" s="541">
        <v>5.6409500000000001</v>
      </c>
      <c r="P41" s="566" t="s">
        <v>331</v>
      </c>
      <c r="Q41" s="567" t="s">
        <v>959</v>
      </c>
      <c r="R41" s="568" t="s">
        <v>1222</v>
      </c>
      <c r="S41" s="647">
        <v>41569</v>
      </c>
      <c r="T41" s="647">
        <v>41572</v>
      </c>
      <c r="U41" s="553" t="s">
        <v>246</v>
      </c>
      <c r="W41" s="555">
        <v>976500</v>
      </c>
      <c r="X41" s="569">
        <v>7.8</v>
      </c>
      <c r="Y41" s="555">
        <f t="shared" si="11"/>
        <v>7616700</v>
      </c>
      <c r="Z41" s="555"/>
      <c r="AA41" s="550">
        <v>4.5</v>
      </c>
      <c r="AB41" s="686">
        <v>43223</v>
      </c>
      <c r="AC41" s="557">
        <f t="shared" si="12"/>
        <v>4.5315068493150683</v>
      </c>
      <c r="AD41" s="568"/>
      <c r="AF41" s="559"/>
      <c r="AG41" s="560"/>
    </row>
    <row r="42" spans="1:34" s="563" customFormat="1" ht="39.75" customHeight="1">
      <c r="A42" s="561"/>
      <c r="B42" s="541"/>
      <c r="C42" s="541"/>
      <c r="D42" s="541"/>
      <c r="E42" s="562">
        <v>36</v>
      </c>
      <c r="F42" s="563" t="s">
        <v>76</v>
      </c>
      <c r="G42" s="543" t="s">
        <v>77</v>
      </c>
      <c r="H42" s="564" t="s">
        <v>591</v>
      </c>
      <c r="I42" s="564" t="s">
        <v>52</v>
      </c>
      <c r="J42" s="545">
        <f t="shared" si="13"/>
        <v>4.5315068493150683</v>
      </c>
      <c r="K42" s="546" t="s">
        <v>185</v>
      </c>
      <c r="L42" s="547">
        <v>2000000</v>
      </c>
      <c r="M42" s="579" t="s">
        <v>945</v>
      </c>
      <c r="N42" s="548">
        <v>95.75</v>
      </c>
      <c r="O42" s="541">
        <v>5.5758999999999999</v>
      </c>
      <c r="P42" s="566" t="s">
        <v>775</v>
      </c>
      <c r="Q42" s="567" t="s">
        <v>776</v>
      </c>
      <c r="R42" s="568" t="s">
        <v>364</v>
      </c>
      <c r="S42" s="647">
        <v>41569</v>
      </c>
      <c r="T42" s="647">
        <v>41572</v>
      </c>
      <c r="U42" s="553" t="s">
        <v>246</v>
      </c>
      <c r="W42" s="555">
        <v>1958000</v>
      </c>
      <c r="X42" s="569">
        <v>7.8</v>
      </c>
      <c r="Y42" s="555">
        <f t="shared" si="11"/>
        <v>15272400</v>
      </c>
      <c r="Z42" s="555"/>
      <c r="AA42" s="550">
        <v>4.5</v>
      </c>
      <c r="AB42" s="686">
        <v>43223</v>
      </c>
      <c r="AC42" s="557">
        <f t="shared" si="12"/>
        <v>4.5315068493150683</v>
      </c>
      <c r="AD42" s="568"/>
      <c r="AF42" s="559"/>
      <c r="AG42" s="560"/>
    </row>
    <row r="43" spans="1:34" s="586" customFormat="1" ht="39.75" customHeight="1">
      <c r="A43" s="583"/>
      <c r="B43" s="584"/>
      <c r="C43" s="584"/>
      <c r="D43" s="584"/>
      <c r="E43" s="585">
        <v>37</v>
      </c>
      <c r="F43" s="629" t="s">
        <v>1248</v>
      </c>
      <c r="G43" s="587" t="s">
        <v>248</v>
      </c>
      <c r="H43" s="588" t="s">
        <v>516</v>
      </c>
      <c r="I43" s="588" t="s">
        <v>516</v>
      </c>
      <c r="J43" s="589">
        <f t="shared" si="13"/>
        <v>2.0273972602739727</v>
      </c>
      <c r="K43" s="590" t="s">
        <v>1238</v>
      </c>
      <c r="L43" s="591">
        <v>5000000</v>
      </c>
      <c r="M43" s="592" t="s">
        <v>1106</v>
      </c>
      <c r="N43" s="593">
        <v>102</v>
      </c>
      <c r="O43" s="584">
        <v>4.7463559999999996</v>
      </c>
      <c r="P43" s="594" t="s">
        <v>1133</v>
      </c>
      <c r="Q43" s="595" t="s">
        <v>1134</v>
      </c>
      <c r="R43" s="596" t="s">
        <v>1136</v>
      </c>
      <c r="S43" s="650">
        <v>41605</v>
      </c>
      <c r="T43" s="650">
        <v>41610</v>
      </c>
      <c r="U43" s="597" t="s">
        <v>246</v>
      </c>
      <c r="W43" s="598">
        <v>5241424.66</v>
      </c>
      <c r="X43" s="599">
        <f>1/0.783</f>
        <v>1.277139208173691</v>
      </c>
      <c r="Y43" s="598">
        <f t="shared" ref="Y43:Y48" si="14">X43*W43</f>
        <v>6694028.939974458</v>
      </c>
      <c r="Z43" s="598"/>
      <c r="AA43" s="600">
        <v>5.8</v>
      </c>
      <c r="AB43" s="688">
        <v>42345</v>
      </c>
      <c r="AC43" s="601">
        <f t="shared" si="12"/>
        <v>2.0273972602739727</v>
      </c>
      <c r="AD43" s="596"/>
      <c r="AF43" s="602"/>
      <c r="AG43" s="603"/>
    </row>
    <row r="44" spans="1:34" s="586" customFormat="1" ht="39.75" customHeight="1">
      <c r="A44" s="583"/>
      <c r="B44" s="584"/>
      <c r="C44" s="584"/>
      <c r="D44" s="584"/>
      <c r="E44" s="585">
        <v>38</v>
      </c>
      <c r="F44" s="586" t="s">
        <v>76</v>
      </c>
      <c r="G44" s="587" t="s">
        <v>77</v>
      </c>
      <c r="H44" s="588" t="s">
        <v>591</v>
      </c>
      <c r="I44" s="588" t="s">
        <v>52</v>
      </c>
      <c r="J44" s="589">
        <f t="shared" si="13"/>
        <v>4.4328767123287669</v>
      </c>
      <c r="K44" s="590" t="s">
        <v>1238</v>
      </c>
      <c r="L44" s="591">
        <v>1000000</v>
      </c>
      <c r="M44" s="592" t="s">
        <v>466</v>
      </c>
      <c r="N44" s="593">
        <v>91.75</v>
      </c>
      <c r="O44" s="584">
        <v>6.6867900000000002</v>
      </c>
      <c r="P44" s="594" t="s">
        <v>331</v>
      </c>
      <c r="Q44" s="604" t="s">
        <v>1239</v>
      </c>
      <c r="R44" s="587" t="s">
        <v>1240</v>
      </c>
      <c r="S44" s="650">
        <v>41605</v>
      </c>
      <c r="T44" s="650">
        <v>41611</v>
      </c>
      <c r="U44" s="597" t="s">
        <v>246</v>
      </c>
      <c r="W44" s="598">
        <v>921250</v>
      </c>
      <c r="X44" s="599">
        <v>7.8</v>
      </c>
      <c r="Y44" s="598">
        <f t="shared" si="14"/>
        <v>7185750</v>
      </c>
      <c r="Z44" s="598"/>
      <c r="AA44" s="600">
        <v>4.5</v>
      </c>
      <c r="AB44" s="688">
        <v>43223</v>
      </c>
      <c r="AC44" s="601">
        <f t="shared" si="12"/>
        <v>4.4328767123287669</v>
      </c>
      <c r="AD44" s="596"/>
      <c r="AF44" s="602"/>
      <c r="AG44" s="603"/>
    </row>
    <row r="45" spans="1:34" s="586" customFormat="1" ht="39.75" customHeight="1">
      <c r="A45" s="583"/>
      <c r="B45" s="584"/>
      <c r="C45" s="584"/>
      <c r="D45" s="584"/>
      <c r="E45" s="585">
        <v>39</v>
      </c>
      <c r="F45" s="586" t="s">
        <v>694</v>
      </c>
      <c r="G45" s="587" t="s">
        <v>426</v>
      </c>
      <c r="H45" s="588" t="s">
        <v>1241</v>
      </c>
      <c r="I45" s="588" t="s">
        <v>516</v>
      </c>
      <c r="J45" s="589">
        <f t="shared" si="13"/>
        <v>9.0219178082191789</v>
      </c>
      <c r="K45" s="590" t="s">
        <v>1242</v>
      </c>
      <c r="L45" s="591">
        <v>1000000</v>
      </c>
      <c r="M45" s="592" t="s">
        <v>466</v>
      </c>
      <c r="N45" s="605">
        <v>91.37</v>
      </c>
      <c r="O45" s="593">
        <v>5.2136069999999997</v>
      </c>
      <c r="P45" s="584" t="s">
        <v>1133</v>
      </c>
      <c r="Q45" s="594" t="s">
        <v>1134</v>
      </c>
      <c r="R45" s="604" t="s">
        <v>1136</v>
      </c>
      <c r="S45" s="650">
        <v>41605</v>
      </c>
      <c r="T45" s="650">
        <v>41611</v>
      </c>
      <c r="U45" s="597" t="s">
        <v>246</v>
      </c>
      <c r="V45" s="597"/>
      <c r="W45" s="598">
        <v>913700</v>
      </c>
      <c r="X45" s="599">
        <v>7.8</v>
      </c>
      <c r="Y45" s="598">
        <f t="shared" si="14"/>
        <v>7126860</v>
      </c>
      <c r="Z45" s="598"/>
      <c r="AA45" s="600">
        <v>4</v>
      </c>
      <c r="AB45" s="688">
        <v>44898</v>
      </c>
      <c r="AC45" s="601">
        <f t="shared" si="12"/>
        <v>9.0219178082191789</v>
      </c>
      <c r="AD45" s="601"/>
      <c r="AE45" s="596"/>
      <c r="AG45" s="602"/>
      <c r="AH45" s="603"/>
    </row>
    <row r="46" spans="1:34" s="611" customFormat="1" ht="39.75" customHeight="1">
      <c r="A46" s="608"/>
      <c r="B46" s="609"/>
      <c r="C46" s="609"/>
      <c r="D46" s="609"/>
      <c r="E46" s="610">
        <v>40</v>
      </c>
      <c r="F46" s="611" t="s">
        <v>1237</v>
      </c>
      <c r="G46" s="612" t="s">
        <v>225</v>
      </c>
      <c r="H46" s="613" t="s">
        <v>516</v>
      </c>
      <c r="I46" s="613" t="s">
        <v>516</v>
      </c>
      <c r="J46" s="614">
        <f t="shared" si="13"/>
        <v>2.0136986301369864</v>
      </c>
      <c r="K46" s="615" t="s">
        <v>1238</v>
      </c>
      <c r="L46" s="616">
        <v>10000000</v>
      </c>
      <c r="M46" s="617" t="s">
        <v>1106</v>
      </c>
      <c r="N46" s="618">
        <v>102</v>
      </c>
      <c r="O46" s="609">
        <v>4.7425740000000003</v>
      </c>
      <c r="P46" s="619" t="s">
        <v>1133</v>
      </c>
      <c r="Q46" s="620" t="s">
        <v>1134</v>
      </c>
      <c r="R46" s="621" t="s">
        <v>1136</v>
      </c>
      <c r="S46" s="651">
        <v>41610</v>
      </c>
      <c r="T46" s="651">
        <v>41613</v>
      </c>
      <c r="U46" s="622" t="s">
        <v>246</v>
      </c>
      <c r="W46" s="623">
        <v>10487616.439999999</v>
      </c>
      <c r="X46" s="624">
        <f>1/0.783</f>
        <v>1.277139208173691</v>
      </c>
      <c r="Y46" s="623">
        <f t="shared" si="14"/>
        <v>13394146.155810984</v>
      </c>
      <c r="Z46" s="623"/>
      <c r="AA46" s="625">
        <v>5.8</v>
      </c>
      <c r="AB46" s="689">
        <v>42345</v>
      </c>
      <c r="AC46" s="626">
        <f t="shared" ref="AC46:AC51" si="15">(AB46-S46)/365</f>
        <v>2.0136986301369864</v>
      </c>
      <c r="AD46" s="621"/>
      <c r="AF46" s="627"/>
      <c r="AG46" s="628"/>
    </row>
    <row r="47" spans="1:34" s="611" customFormat="1" ht="39.75" customHeight="1">
      <c r="A47" s="608"/>
      <c r="B47" s="609"/>
      <c r="C47" s="609"/>
      <c r="D47" s="609"/>
      <c r="E47" s="610">
        <v>41</v>
      </c>
      <c r="F47" s="611" t="s">
        <v>694</v>
      </c>
      <c r="G47" s="612" t="s">
        <v>426</v>
      </c>
      <c r="H47" s="613" t="s">
        <v>1241</v>
      </c>
      <c r="I47" s="613" t="s">
        <v>516</v>
      </c>
      <c r="J47" s="614">
        <f t="shared" si="13"/>
        <v>9.0082191780821912</v>
      </c>
      <c r="K47" s="615" t="s">
        <v>1242</v>
      </c>
      <c r="L47" s="616">
        <v>4000000</v>
      </c>
      <c r="M47" s="617" t="s">
        <v>466</v>
      </c>
      <c r="N47" s="618">
        <v>91.668999999999997</v>
      </c>
      <c r="O47" s="609">
        <v>5.1698899999999997</v>
      </c>
      <c r="P47" s="619" t="s">
        <v>331</v>
      </c>
      <c r="Q47" s="620" t="s">
        <v>959</v>
      </c>
      <c r="R47" s="621" t="s">
        <v>1222</v>
      </c>
      <c r="S47" s="651">
        <v>41610</v>
      </c>
      <c r="T47" s="651">
        <v>41613</v>
      </c>
      <c r="U47" s="622" t="s">
        <v>246</v>
      </c>
      <c r="W47" s="623">
        <v>3667648.89</v>
      </c>
      <c r="X47" s="624">
        <v>7.8</v>
      </c>
      <c r="Y47" s="623">
        <f t="shared" si="14"/>
        <v>28607661.342</v>
      </c>
      <c r="Z47" s="623"/>
      <c r="AA47" s="625">
        <v>4</v>
      </c>
      <c r="AB47" s="689">
        <v>44898</v>
      </c>
      <c r="AC47" s="626">
        <f t="shared" si="15"/>
        <v>9.0082191780821912</v>
      </c>
      <c r="AD47" s="621"/>
      <c r="AF47" s="627"/>
      <c r="AG47" s="628"/>
    </row>
    <row r="48" spans="1:34" s="500" customFormat="1" ht="39.75" customHeight="1">
      <c r="A48" s="497"/>
      <c r="B48" s="498"/>
      <c r="C48" s="498"/>
      <c r="D48" s="498"/>
      <c r="E48" s="499">
        <v>42</v>
      </c>
      <c r="F48" s="500" t="s">
        <v>21</v>
      </c>
      <c r="G48" s="501" t="s">
        <v>22</v>
      </c>
      <c r="H48" s="502" t="s">
        <v>192</v>
      </c>
      <c r="I48" s="917" t="s">
        <v>340</v>
      </c>
      <c r="J48" s="503">
        <f t="shared" ref="J48:J56" si="16">(AB48-T48)/365</f>
        <v>9.1123287671232873</v>
      </c>
      <c r="K48" s="504" t="s">
        <v>55</v>
      </c>
      <c r="L48" s="505">
        <v>3000000</v>
      </c>
      <c r="M48" s="504" t="s">
        <v>466</v>
      </c>
      <c r="N48" s="506">
        <v>92.25</v>
      </c>
      <c r="O48" s="498">
        <v>5.4658059999999997</v>
      </c>
      <c r="P48" s="507" t="s">
        <v>677</v>
      </c>
      <c r="Q48" s="508" t="s">
        <v>1219</v>
      </c>
      <c r="R48" s="509" t="s">
        <v>1220</v>
      </c>
      <c r="S48" s="646">
        <v>41737</v>
      </c>
      <c r="T48" s="646">
        <v>41740</v>
      </c>
      <c r="U48" s="510" t="s">
        <v>208</v>
      </c>
      <c r="W48" s="511">
        <v>2818906.25</v>
      </c>
      <c r="X48" s="512">
        <v>7.8</v>
      </c>
      <c r="Y48" s="511">
        <f t="shared" si="14"/>
        <v>21987468.75</v>
      </c>
      <c r="Z48" s="511"/>
      <c r="AA48" s="513">
        <v>4.375</v>
      </c>
      <c r="AB48" s="687">
        <v>45066</v>
      </c>
      <c r="AC48" s="514">
        <f t="shared" si="15"/>
        <v>9.1205479452054803</v>
      </c>
      <c r="AD48" s="509"/>
      <c r="AF48" s="515"/>
      <c r="AG48" s="516"/>
    </row>
    <row r="49" spans="1:33" s="921" customFormat="1" ht="39.75" customHeight="1">
      <c r="A49" s="918"/>
      <c r="B49" s="919"/>
      <c r="C49" s="919"/>
      <c r="D49" s="919"/>
      <c r="E49" s="920">
        <v>43</v>
      </c>
      <c r="F49" s="921" t="s">
        <v>21</v>
      </c>
      <c r="G49" s="922" t="s">
        <v>22</v>
      </c>
      <c r="H49" s="923" t="s">
        <v>192</v>
      </c>
      <c r="I49" s="924" t="s">
        <v>340</v>
      </c>
      <c r="J49" s="925">
        <f t="shared" si="16"/>
        <v>9.1041095890410961</v>
      </c>
      <c r="K49" s="926" t="s">
        <v>55</v>
      </c>
      <c r="L49" s="927">
        <v>7000000</v>
      </c>
      <c r="M49" s="926" t="s">
        <v>466</v>
      </c>
      <c r="N49" s="928">
        <v>92.3</v>
      </c>
      <c r="O49" s="919">
        <v>5.4592679999999998</v>
      </c>
      <c r="P49" s="929" t="s">
        <v>60</v>
      </c>
      <c r="Q49" s="930" t="s">
        <v>1257</v>
      </c>
      <c r="R49" s="931" t="s">
        <v>1258</v>
      </c>
      <c r="S49" s="932">
        <v>41738</v>
      </c>
      <c r="T49" s="932">
        <v>41743</v>
      </c>
      <c r="U49" s="933" t="s">
        <v>208</v>
      </c>
      <c r="W49" s="934">
        <v>6583500</v>
      </c>
      <c r="X49" s="935">
        <v>7.8</v>
      </c>
      <c r="Y49" s="934">
        <f t="shared" ref="Y49" si="17">X49*W49</f>
        <v>51351300</v>
      </c>
      <c r="Z49" s="934"/>
      <c r="AA49" s="936">
        <v>4.375</v>
      </c>
      <c r="AB49" s="937">
        <v>45066</v>
      </c>
      <c r="AC49" s="938">
        <f t="shared" si="15"/>
        <v>9.117808219178082</v>
      </c>
      <c r="AD49" s="931"/>
      <c r="AF49" s="939"/>
      <c r="AG49" s="940"/>
    </row>
    <row r="50" spans="1:33" s="944" customFormat="1" ht="39.75" customHeight="1">
      <c r="A50" s="941"/>
      <c r="B50" s="942"/>
      <c r="C50" s="942"/>
      <c r="D50" s="942"/>
      <c r="E50" s="943">
        <v>44</v>
      </c>
      <c r="F50" s="944" t="s">
        <v>21</v>
      </c>
      <c r="G50" s="945" t="s">
        <v>22</v>
      </c>
      <c r="H50" s="946" t="s">
        <v>192</v>
      </c>
      <c r="I50" s="947" t="s">
        <v>340</v>
      </c>
      <c r="J50" s="948">
        <f t="shared" si="16"/>
        <v>9.1013698630136979</v>
      </c>
      <c r="K50" s="949" t="s">
        <v>55</v>
      </c>
      <c r="L50" s="950">
        <v>2000000</v>
      </c>
      <c r="M50" s="949" t="s">
        <v>466</v>
      </c>
      <c r="N50" s="951">
        <v>93</v>
      </c>
      <c r="O50" s="942">
        <v>5.3565339999999999</v>
      </c>
      <c r="P50" s="952" t="s">
        <v>1278</v>
      </c>
      <c r="Q50" s="953" t="s">
        <v>1279</v>
      </c>
      <c r="R50" s="945" t="s">
        <v>1280</v>
      </c>
      <c r="S50" s="954">
        <v>41739</v>
      </c>
      <c r="T50" s="954">
        <v>41744</v>
      </c>
      <c r="U50" s="955" t="s">
        <v>208</v>
      </c>
      <c r="W50" s="956">
        <v>1895243.06</v>
      </c>
      <c r="X50" s="957">
        <v>7.8</v>
      </c>
      <c r="Y50" s="956">
        <f t="shared" ref="Y50:Y58" si="18">X50*W50</f>
        <v>14782895.868000001</v>
      </c>
      <c r="Z50" s="956"/>
      <c r="AA50" s="958">
        <v>4.375</v>
      </c>
      <c r="AB50" s="959">
        <v>45066</v>
      </c>
      <c r="AC50" s="960">
        <f t="shared" si="15"/>
        <v>9.1150684931506856</v>
      </c>
      <c r="AD50" s="961"/>
      <c r="AF50" s="962"/>
      <c r="AG50" s="963"/>
    </row>
    <row r="51" spans="1:33" s="971" customFormat="1" ht="39.75" customHeight="1">
      <c r="A51" s="968"/>
      <c r="B51" s="969"/>
      <c r="C51" s="969"/>
      <c r="D51" s="969"/>
      <c r="E51" s="970">
        <v>45</v>
      </c>
      <c r="F51" s="971" t="s">
        <v>21</v>
      </c>
      <c r="G51" s="972" t="s">
        <v>22</v>
      </c>
      <c r="H51" s="973" t="s">
        <v>192</v>
      </c>
      <c r="I51" s="974" t="s">
        <v>340</v>
      </c>
      <c r="J51" s="975">
        <f t="shared" si="16"/>
        <v>9.0958904109589049</v>
      </c>
      <c r="K51" s="976" t="s">
        <v>55</v>
      </c>
      <c r="L51" s="977">
        <v>5000000</v>
      </c>
      <c r="M51" s="976" t="s">
        <v>466</v>
      </c>
      <c r="N51" s="978">
        <v>93.3</v>
      </c>
      <c r="O51" s="969">
        <v>5.3131620000000002</v>
      </c>
      <c r="P51" s="979" t="s">
        <v>1278</v>
      </c>
      <c r="Q51" s="980" t="s">
        <v>1279</v>
      </c>
      <c r="R51" s="972" t="s">
        <v>1280</v>
      </c>
      <c r="S51" s="981">
        <v>41743</v>
      </c>
      <c r="T51" s="981">
        <v>41746</v>
      </c>
      <c r="U51" s="982" t="s">
        <v>208</v>
      </c>
      <c r="W51" s="983">
        <v>4754322.92</v>
      </c>
      <c r="X51" s="984">
        <v>7.8</v>
      </c>
      <c r="Y51" s="983">
        <f t="shared" si="18"/>
        <v>37083718.776000001</v>
      </c>
      <c r="Z51" s="983"/>
      <c r="AA51" s="985">
        <v>4.375</v>
      </c>
      <c r="AB51" s="986">
        <v>45066</v>
      </c>
      <c r="AC51" s="987">
        <f t="shared" si="15"/>
        <v>9.1041095890410961</v>
      </c>
      <c r="AD51" s="988"/>
      <c r="AF51" s="989"/>
      <c r="AG51" s="990"/>
    </row>
    <row r="52" spans="1:33" s="994" customFormat="1" ht="39.75" customHeight="1">
      <c r="A52" s="991"/>
      <c r="B52" s="992"/>
      <c r="C52" s="992"/>
      <c r="D52" s="992"/>
      <c r="E52" s="993">
        <v>46</v>
      </c>
      <c r="F52" s="994" t="s">
        <v>21</v>
      </c>
      <c r="G52" s="898" t="s">
        <v>22</v>
      </c>
      <c r="H52" s="995" t="s">
        <v>192</v>
      </c>
      <c r="I52" s="899" t="s">
        <v>340</v>
      </c>
      <c r="J52" s="900">
        <f t="shared" si="16"/>
        <v>9.0958904109589049</v>
      </c>
      <c r="K52" s="996" t="s">
        <v>55</v>
      </c>
      <c r="L52" s="997">
        <v>3000000</v>
      </c>
      <c r="M52" s="996" t="s">
        <v>466</v>
      </c>
      <c r="N52" s="998">
        <v>92.8</v>
      </c>
      <c r="O52" s="992">
        <v>5.3864049999999999</v>
      </c>
      <c r="P52" s="905" t="s">
        <v>583</v>
      </c>
      <c r="Q52" s="906" t="s">
        <v>585</v>
      </c>
      <c r="R52" s="898" t="s">
        <v>586</v>
      </c>
      <c r="S52" s="999">
        <v>41743</v>
      </c>
      <c r="T52" s="999">
        <v>41746</v>
      </c>
      <c r="U52" s="1000" t="s">
        <v>208</v>
      </c>
      <c r="W52" s="909">
        <v>2837593.75</v>
      </c>
      <c r="X52" s="1001">
        <v>7.8</v>
      </c>
      <c r="Y52" s="909">
        <f t="shared" si="18"/>
        <v>22133231.25</v>
      </c>
      <c r="Z52" s="909"/>
      <c r="AA52" s="1002">
        <v>4.375</v>
      </c>
      <c r="AB52" s="911">
        <v>45066</v>
      </c>
      <c r="AC52" s="912">
        <f t="shared" ref="AC52:AC58" si="19">(AB52-S52)/365</f>
        <v>9.1041095890410961</v>
      </c>
      <c r="AD52" s="1003"/>
      <c r="AF52" s="914"/>
      <c r="AG52" s="915"/>
    </row>
    <row r="53" spans="1:33" s="500" customFormat="1" ht="39.75" customHeight="1">
      <c r="A53" s="497"/>
      <c r="B53" s="498"/>
      <c r="C53" s="498"/>
      <c r="D53" s="498"/>
      <c r="E53" s="499">
        <v>47</v>
      </c>
      <c r="F53" s="500" t="s">
        <v>590</v>
      </c>
      <c r="G53" s="501" t="s">
        <v>711</v>
      </c>
      <c r="H53" s="502" t="s">
        <v>591</v>
      </c>
      <c r="I53" s="917" t="s">
        <v>592</v>
      </c>
      <c r="J53" s="503">
        <f t="shared" si="16"/>
        <v>6.7506849315068491</v>
      </c>
      <c r="K53" s="1079" t="s">
        <v>1238</v>
      </c>
      <c r="L53" s="505">
        <v>2000000</v>
      </c>
      <c r="M53" s="504" t="s">
        <v>466</v>
      </c>
      <c r="N53" s="506">
        <v>106.25</v>
      </c>
      <c r="O53" s="498">
        <v>5.6216400000000002</v>
      </c>
      <c r="P53" s="507" t="s">
        <v>712</v>
      </c>
      <c r="Q53" s="508" t="s">
        <v>713</v>
      </c>
      <c r="R53" s="509" t="s">
        <v>714</v>
      </c>
      <c r="S53" s="646">
        <v>41834</v>
      </c>
      <c r="T53" s="646">
        <v>41837</v>
      </c>
      <c r="U53" s="510" t="s">
        <v>246</v>
      </c>
      <c r="W53" s="511">
        <v>2159500</v>
      </c>
      <c r="X53" s="512">
        <v>7.8</v>
      </c>
      <c r="Y53" s="511">
        <f t="shared" si="18"/>
        <v>16844100</v>
      </c>
      <c r="Z53" s="511"/>
      <c r="AA53" s="513">
        <v>6.75</v>
      </c>
      <c r="AB53" s="687">
        <v>44301</v>
      </c>
      <c r="AC53" s="514">
        <f t="shared" si="19"/>
        <v>6.7589041095890412</v>
      </c>
      <c r="AD53" s="509"/>
      <c r="AF53" s="515"/>
      <c r="AG53" s="516"/>
    </row>
    <row r="54" spans="1:33" s="1101" customFormat="1" ht="39.75" customHeight="1">
      <c r="A54" s="1080"/>
      <c r="B54" s="1081"/>
      <c r="C54" s="1081"/>
      <c r="D54" s="1081"/>
      <c r="E54" s="1082">
        <v>48</v>
      </c>
      <c r="F54" s="1083" t="s">
        <v>418</v>
      </c>
      <c r="G54" s="1084" t="s">
        <v>419</v>
      </c>
      <c r="H54" s="1085" t="s">
        <v>1113</v>
      </c>
      <c r="I54" s="1085" t="s">
        <v>1113</v>
      </c>
      <c r="J54" s="1086">
        <f t="shared" si="16"/>
        <v>3.8301369863013699</v>
      </c>
      <c r="K54" s="1087" t="s">
        <v>1238</v>
      </c>
      <c r="L54" s="1088">
        <v>2000000</v>
      </c>
      <c r="M54" s="1087" t="s">
        <v>466</v>
      </c>
      <c r="N54" s="1090">
        <v>98.625</v>
      </c>
      <c r="O54" s="1091">
        <v>5.1483800000000004</v>
      </c>
      <c r="P54" s="1092" t="s">
        <v>775</v>
      </c>
      <c r="Q54" s="1093" t="s">
        <v>1259</v>
      </c>
      <c r="R54" s="1094" t="s">
        <v>364</v>
      </c>
      <c r="S54" s="1094">
        <v>41835</v>
      </c>
      <c r="T54" s="1094">
        <v>41838</v>
      </c>
      <c r="U54" s="1095" t="s">
        <v>246</v>
      </c>
      <c r="V54" s="1096"/>
      <c r="W54" s="1096">
        <v>1988861.11</v>
      </c>
      <c r="X54" s="1104">
        <v>7.8</v>
      </c>
      <c r="Y54" s="1096">
        <f t="shared" si="18"/>
        <v>15513116.658</v>
      </c>
      <c r="Z54" s="1097"/>
      <c r="AA54" s="1097">
        <v>4.75</v>
      </c>
      <c r="AB54" s="1098">
        <v>43236</v>
      </c>
      <c r="AC54" s="1099">
        <f t="shared" si="19"/>
        <v>3.8383561643835615</v>
      </c>
      <c r="AE54" s="1102"/>
      <c r="AF54" s="1103"/>
    </row>
    <row r="55" spans="1:33" s="1101" customFormat="1" ht="39.75" customHeight="1">
      <c r="A55" s="1080"/>
      <c r="B55" s="1081"/>
      <c r="C55" s="1081"/>
      <c r="D55" s="1081"/>
      <c r="E55" s="1082">
        <v>49</v>
      </c>
      <c r="F55" s="1083" t="s">
        <v>418</v>
      </c>
      <c r="G55" s="1084" t="s">
        <v>419</v>
      </c>
      <c r="H55" s="1085" t="s">
        <v>1113</v>
      </c>
      <c r="I55" s="1085" t="s">
        <v>1113</v>
      </c>
      <c r="J55" s="1086">
        <f t="shared" si="16"/>
        <v>3.8301369863013699</v>
      </c>
      <c r="K55" s="1087" t="s">
        <v>1238</v>
      </c>
      <c r="L55" s="1088">
        <v>500000</v>
      </c>
      <c r="M55" s="1087" t="s">
        <v>466</v>
      </c>
      <c r="N55" s="1090">
        <v>98.62</v>
      </c>
      <c r="O55" s="1091">
        <v>5.1498499999999998</v>
      </c>
      <c r="P55" s="1092" t="s">
        <v>60</v>
      </c>
      <c r="Q55" s="1093" t="s">
        <v>1257</v>
      </c>
      <c r="R55" s="1094" t="s">
        <v>1258</v>
      </c>
      <c r="S55" s="1094">
        <v>41835</v>
      </c>
      <c r="T55" s="1094">
        <v>41838</v>
      </c>
      <c r="U55" s="1095" t="s">
        <v>246</v>
      </c>
      <c r="V55" s="1096"/>
      <c r="W55" s="1096">
        <v>497190.28</v>
      </c>
      <c r="X55" s="1104">
        <v>7.8</v>
      </c>
      <c r="Y55" s="1096">
        <f t="shared" si="18"/>
        <v>3878084.1840000004</v>
      </c>
      <c r="Z55" s="1097"/>
      <c r="AA55" s="1097">
        <v>4.75</v>
      </c>
      <c r="AB55" s="1098">
        <v>43236</v>
      </c>
      <c r="AC55" s="1099">
        <f t="shared" si="19"/>
        <v>3.8383561643835615</v>
      </c>
      <c r="AE55" s="1102"/>
      <c r="AF55" s="1103"/>
    </row>
    <row r="56" spans="1:33" s="1101" customFormat="1" ht="39.75" customHeight="1">
      <c r="A56" s="1080"/>
      <c r="B56" s="1081"/>
      <c r="C56" s="1081"/>
      <c r="D56" s="1081"/>
      <c r="E56" s="1082">
        <v>50</v>
      </c>
      <c r="F56" s="1083" t="s">
        <v>418</v>
      </c>
      <c r="G56" s="1084" t="s">
        <v>419</v>
      </c>
      <c r="H56" s="1085" t="s">
        <v>1113</v>
      </c>
      <c r="I56" s="1085" t="s">
        <v>1113</v>
      </c>
      <c r="J56" s="1086">
        <f t="shared" si="16"/>
        <v>3.8301369863013699</v>
      </c>
      <c r="K56" s="1087" t="s">
        <v>1238</v>
      </c>
      <c r="L56" s="1088">
        <v>500000</v>
      </c>
      <c r="M56" s="1087" t="s">
        <v>466</v>
      </c>
      <c r="N56" s="1090">
        <v>98.625</v>
      </c>
      <c r="O56" s="1091">
        <v>5.1498499999999998</v>
      </c>
      <c r="P56" s="1092" t="s">
        <v>938</v>
      </c>
      <c r="Q56" s="1093" t="s">
        <v>7</v>
      </c>
      <c r="R56" s="1094" t="s">
        <v>8</v>
      </c>
      <c r="S56" s="1094">
        <v>41835</v>
      </c>
      <c r="T56" s="1094">
        <v>41838</v>
      </c>
      <c r="U56" s="1095" t="s">
        <v>246</v>
      </c>
      <c r="V56" s="1096"/>
      <c r="W56" s="1096">
        <v>497215.28</v>
      </c>
      <c r="X56" s="1104">
        <v>7.8</v>
      </c>
      <c r="Y56" s="1096">
        <f t="shared" si="18"/>
        <v>3878279.1840000004</v>
      </c>
      <c r="Z56" s="1097"/>
      <c r="AA56" s="1097">
        <v>4.75</v>
      </c>
      <c r="AB56" s="1098">
        <v>43236</v>
      </c>
      <c r="AC56" s="1099">
        <f t="shared" si="19"/>
        <v>3.8383561643835615</v>
      </c>
      <c r="AE56" s="1102"/>
      <c r="AF56" s="1103"/>
    </row>
    <row r="57" spans="1:33" s="1101" customFormat="1" ht="39.75" customHeight="1">
      <c r="A57" s="1080"/>
      <c r="B57" s="1081"/>
      <c r="C57" s="1081"/>
      <c r="D57" s="1081"/>
      <c r="E57" s="1082">
        <v>51</v>
      </c>
      <c r="F57" s="1101" t="s">
        <v>590</v>
      </c>
      <c r="G57" s="1084" t="s">
        <v>711</v>
      </c>
      <c r="H57" s="1105" t="s">
        <v>591</v>
      </c>
      <c r="I57" s="1085" t="s">
        <v>592</v>
      </c>
      <c r="J57" s="1086">
        <f t="shared" ref="J57:J58" si="20">(AB57-T57)/365</f>
        <v>6.7479452054794518</v>
      </c>
      <c r="K57" s="1087" t="s">
        <v>1238</v>
      </c>
      <c r="L57" s="1088">
        <v>1000000</v>
      </c>
      <c r="M57" s="1089" t="s">
        <v>466</v>
      </c>
      <c r="N57" s="1090">
        <v>106.2</v>
      </c>
      <c r="O57" s="1081">
        <v>5.6299599999999996</v>
      </c>
      <c r="P57" s="1106" t="s">
        <v>60</v>
      </c>
      <c r="Q57" s="1107" t="s">
        <v>1257</v>
      </c>
      <c r="R57" s="1100" t="s">
        <v>1258</v>
      </c>
      <c r="S57" s="1094">
        <v>41835</v>
      </c>
      <c r="T57" s="1094">
        <v>41838</v>
      </c>
      <c r="U57" s="1095" t="s">
        <v>246</v>
      </c>
      <c r="W57" s="1096">
        <v>1079437.5</v>
      </c>
      <c r="X57" s="1104">
        <v>7.8</v>
      </c>
      <c r="Y57" s="1096">
        <f t="shared" si="18"/>
        <v>8419612.5</v>
      </c>
      <c r="Z57" s="1096"/>
      <c r="AA57" s="1091">
        <v>6.75</v>
      </c>
      <c r="AB57" s="1098">
        <v>44301</v>
      </c>
      <c r="AC57" s="1099">
        <f t="shared" si="19"/>
        <v>6.7561643835616438</v>
      </c>
      <c r="AD57" s="1100"/>
      <c r="AF57" s="1102"/>
      <c r="AG57" s="1103"/>
    </row>
    <row r="58" spans="1:33" s="1101" customFormat="1" ht="39.75" customHeight="1">
      <c r="A58" s="1080"/>
      <c r="B58" s="1081"/>
      <c r="C58" s="1081"/>
      <c r="D58" s="1081"/>
      <c r="E58" s="1082">
        <v>52</v>
      </c>
      <c r="F58" s="1083" t="s">
        <v>365</v>
      </c>
      <c r="G58" s="1084" t="s">
        <v>367</v>
      </c>
      <c r="H58" s="1085" t="s">
        <v>879</v>
      </c>
      <c r="I58" s="1085" t="s">
        <v>363</v>
      </c>
      <c r="J58" s="1086">
        <f t="shared" si="20"/>
        <v>8.5260273972602736</v>
      </c>
      <c r="K58" s="1087" t="s">
        <v>1238</v>
      </c>
      <c r="L58" s="1088">
        <v>1000000</v>
      </c>
      <c r="M58" s="1089" t="s">
        <v>466</v>
      </c>
      <c r="N58" s="1090">
        <v>91.4</v>
      </c>
      <c r="O58" s="1091">
        <v>5.7934200000000002</v>
      </c>
      <c r="P58" s="1092" t="s">
        <v>677</v>
      </c>
      <c r="Q58" s="1093" t="s">
        <v>1219</v>
      </c>
      <c r="R58" s="1094" t="s">
        <v>1220</v>
      </c>
      <c r="S58" s="1094">
        <v>41835</v>
      </c>
      <c r="T58" s="1094">
        <v>41838</v>
      </c>
      <c r="U58" s="1095" t="s">
        <v>246</v>
      </c>
      <c r="V58" s="1096"/>
      <c r="W58" s="1096">
        <v>935750</v>
      </c>
      <c r="X58" s="1096">
        <v>7.8</v>
      </c>
      <c r="Y58" s="1096">
        <f t="shared" si="18"/>
        <v>7298850</v>
      </c>
      <c r="Z58" s="1097"/>
      <c r="AA58" s="1091">
        <v>4.5</v>
      </c>
      <c r="AB58" s="1098">
        <v>44950</v>
      </c>
      <c r="AC58" s="1099">
        <f t="shared" si="19"/>
        <v>8.5342465753424666</v>
      </c>
      <c r="AE58" s="1102"/>
      <c r="AF58" s="1103"/>
    </row>
    <row r="59" spans="1:33" s="1128" customFormat="1" ht="39.75" customHeight="1">
      <c r="A59" s="1108"/>
      <c r="B59" s="1109"/>
      <c r="C59" s="1109"/>
      <c r="D59" s="1109"/>
      <c r="E59" s="1110">
        <v>53</v>
      </c>
      <c r="F59" s="1111" t="s">
        <v>365</v>
      </c>
      <c r="G59" s="1112" t="s">
        <v>367</v>
      </c>
      <c r="H59" s="1113" t="s">
        <v>366</v>
      </c>
      <c r="I59" s="1113" t="s">
        <v>363</v>
      </c>
      <c r="J59" s="1114">
        <f t="shared" ref="J59:J60" si="21">(AB59-T59)/365</f>
        <v>8.5150684931506841</v>
      </c>
      <c r="K59" s="1115" t="s">
        <v>1238</v>
      </c>
      <c r="L59" s="1116">
        <v>1000000</v>
      </c>
      <c r="M59" s="1117" t="s">
        <v>466</v>
      </c>
      <c r="N59" s="1118">
        <v>91.48</v>
      </c>
      <c r="O59" s="1119">
        <v>5.7821999999999996</v>
      </c>
      <c r="P59" s="1120" t="s">
        <v>775</v>
      </c>
      <c r="Q59" s="1121" t="s">
        <v>1259</v>
      </c>
      <c r="R59" s="1241" t="s">
        <v>1339</v>
      </c>
      <c r="S59" s="1122">
        <v>41837</v>
      </c>
      <c r="T59" s="1122">
        <v>41842</v>
      </c>
      <c r="U59" s="1123" t="s">
        <v>246</v>
      </c>
      <c r="V59" s="1124"/>
      <c r="W59" s="1124">
        <v>937050</v>
      </c>
      <c r="X59" s="1124">
        <v>7.8</v>
      </c>
      <c r="Y59" s="1124">
        <f t="shared" ref="Y59:Y60" si="22">X59*W59</f>
        <v>7308990</v>
      </c>
      <c r="Z59" s="1125"/>
      <c r="AA59" s="1119">
        <v>4.5</v>
      </c>
      <c r="AB59" s="1126">
        <v>44950</v>
      </c>
      <c r="AC59" s="1127">
        <f t="shared" ref="AC59:AC60" si="23">(AB59-S59)/365</f>
        <v>8.5287671232876718</v>
      </c>
      <c r="AE59" s="1129"/>
      <c r="AF59" s="1130"/>
    </row>
    <row r="60" spans="1:33" s="1146" customFormat="1" ht="39.75" customHeight="1">
      <c r="A60" s="1143"/>
      <c r="B60" s="1144"/>
      <c r="C60" s="1144"/>
      <c r="D60" s="1144"/>
      <c r="E60" s="1145">
        <v>54</v>
      </c>
      <c r="F60" s="1146" t="s">
        <v>590</v>
      </c>
      <c r="G60" s="875" t="s">
        <v>711</v>
      </c>
      <c r="H60" s="893" t="s">
        <v>591</v>
      </c>
      <c r="I60" s="1076" t="s">
        <v>340</v>
      </c>
      <c r="J60" s="876">
        <f t="shared" si="21"/>
        <v>6.7178082191780826</v>
      </c>
      <c r="K60" s="877" t="s">
        <v>1238</v>
      </c>
      <c r="L60" s="1147">
        <v>1000000</v>
      </c>
      <c r="M60" s="1148" t="s">
        <v>466</v>
      </c>
      <c r="N60" s="1149">
        <v>106.375</v>
      </c>
      <c r="O60" s="1144">
        <v>5.5954600000000001</v>
      </c>
      <c r="P60" s="1150" t="s">
        <v>775</v>
      </c>
      <c r="Q60" s="1151" t="s">
        <v>1259</v>
      </c>
      <c r="R60" s="1152" t="s">
        <v>364</v>
      </c>
      <c r="S60" s="1153">
        <v>41844</v>
      </c>
      <c r="T60" s="1153">
        <v>41849</v>
      </c>
      <c r="U60" s="1154" t="s">
        <v>246</v>
      </c>
      <c r="W60" s="886">
        <v>1083250</v>
      </c>
      <c r="X60" s="1155">
        <v>7.8</v>
      </c>
      <c r="Y60" s="886">
        <f t="shared" si="22"/>
        <v>8449350</v>
      </c>
      <c r="Z60" s="886"/>
      <c r="AA60" s="881">
        <v>6.75</v>
      </c>
      <c r="AB60" s="888">
        <v>44301</v>
      </c>
      <c r="AC60" s="889">
        <f t="shared" si="23"/>
        <v>6.7315068493150685</v>
      </c>
      <c r="AD60" s="1152"/>
      <c r="AF60" s="891"/>
      <c r="AG60" s="892"/>
    </row>
    <row r="61" spans="1:33" s="1128" customFormat="1" ht="39.75" customHeight="1">
      <c r="A61" s="1108"/>
      <c r="B61" s="1109"/>
      <c r="C61" s="1109"/>
      <c r="D61" s="1109"/>
      <c r="E61" s="1110">
        <v>55</v>
      </c>
      <c r="F61" s="1111" t="s">
        <v>365</v>
      </c>
      <c r="G61" s="1112" t="s">
        <v>367</v>
      </c>
      <c r="H61" s="1113" t="s">
        <v>366</v>
      </c>
      <c r="I61" s="1113" t="s">
        <v>363</v>
      </c>
      <c r="J61" s="1114">
        <f t="shared" ref="J61" si="24">(AB61-T61)/365</f>
        <v>8.4958904109589035</v>
      </c>
      <c r="K61" s="1115" t="s">
        <v>1238</v>
      </c>
      <c r="L61" s="1116">
        <v>1000000</v>
      </c>
      <c r="M61" s="1117" t="s">
        <v>466</v>
      </c>
      <c r="N61" s="1118">
        <v>91.644999999999996</v>
      </c>
      <c r="O61" s="1119">
        <v>5.7583200000000003</v>
      </c>
      <c r="P61" s="1120" t="s">
        <v>677</v>
      </c>
      <c r="Q61" s="1121" t="s">
        <v>1219</v>
      </c>
      <c r="R61" s="1122" t="s">
        <v>1220</v>
      </c>
      <c r="S61" s="1122">
        <v>41844</v>
      </c>
      <c r="T61" s="1122">
        <v>41849</v>
      </c>
      <c r="U61" s="1123" t="s">
        <v>246</v>
      </c>
      <c r="V61" s="1124"/>
      <c r="W61" s="1124">
        <v>917075</v>
      </c>
      <c r="X61" s="1124">
        <v>7.8</v>
      </c>
      <c r="Y61" s="1124">
        <f t="shared" ref="Y61" si="25">X61*W61</f>
        <v>7153185</v>
      </c>
      <c r="Z61" s="1125"/>
      <c r="AA61" s="1119">
        <v>4.5</v>
      </c>
      <c r="AB61" s="1126">
        <v>44950</v>
      </c>
      <c r="AC61" s="1127">
        <f t="shared" ref="AC61" si="26">(AB61-S61)/365</f>
        <v>8.5095890410958912</v>
      </c>
      <c r="AE61" s="1129"/>
      <c r="AF61" s="1130"/>
    </row>
    <row r="62" spans="1:33" s="1128" customFormat="1" ht="39.75" customHeight="1">
      <c r="A62" s="1108"/>
      <c r="B62" s="1109"/>
      <c r="C62" s="1109"/>
      <c r="D62" s="1109"/>
      <c r="E62" s="1110">
        <v>56</v>
      </c>
      <c r="F62" s="1111" t="s">
        <v>365</v>
      </c>
      <c r="G62" s="1112" t="s">
        <v>367</v>
      </c>
      <c r="H62" s="1113" t="s">
        <v>366</v>
      </c>
      <c r="I62" s="1113" t="s">
        <v>363</v>
      </c>
      <c r="J62" s="1114">
        <f t="shared" ref="J62:J63" si="27">(AB62-T62)/365</f>
        <v>8.4958904109589035</v>
      </c>
      <c r="K62" s="1115" t="s">
        <v>1238</v>
      </c>
      <c r="L62" s="1116">
        <v>1000000</v>
      </c>
      <c r="M62" s="1117" t="s">
        <v>466</v>
      </c>
      <c r="N62" s="1118">
        <v>91.61</v>
      </c>
      <c r="O62" s="1119">
        <v>5.7638759999999998</v>
      </c>
      <c r="P62" s="1120" t="s">
        <v>938</v>
      </c>
      <c r="Q62" s="1121" t="s">
        <v>1315</v>
      </c>
      <c r="R62" s="1122" t="s">
        <v>1316</v>
      </c>
      <c r="S62" s="1122">
        <v>41844</v>
      </c>
      <c r="T62" s="1122">
        <v>41849</v>
      </c>
      <c r="U62" s="1123" t="s">
        <v>246</v>
      </c>
      <c r="V62" s="1124"/>
      <c r="W62" s="1124">
        <v>916725</v>
      </c>
      <c r="X62" s="1124">
        <v>7.8</v>
      </c>
      <c r="Y62" s="1124">
        <f t="shared" ref="Y62" si="28">X62*W62</f>
        <v>7150455</v>
      </c>
      <c r="Z62" s="1125"/>
      <c r="AA62" s="1119">
        <v>4.5</v>
      </c>
      <c r="AB62" s="1126">
        <v>44950</v>
      </c>
      <c r="AC62" s="1127">
        <f t="shared" ref="AC62:AC63" si="29">(AB62-S62)/365</f>
        <v>8.5095890410958912</v>
      </c>
      <c r="AE62" s="1129"/>
      <c r="AF62" s="1130"/>
    </row>
    <row r="63" spans="1:33" s="1101" customFormat="1" ht="39.75" customHeight="1">
      <c r="A63" s="1080"/>
      <c r="B63" s="1081"/>
      <c r="C63" s="1081"/>
      <c r="D63" s="1081"/>
      <c r="E63" s="1082">
        <v>57</v>
      </c>
      <c r="F63" s="1083" t="s">
        <v>418</v>
      </c>
      <c r="G63" s="1084" t="s">
        <v>419</v>
      </c>
      <c r="H63" s="1085" t="s">
        <v>1113</v>
      </c>
      <c r="I63" s="1085" t="s">
        <v>1113</v>
      </c>
      <c r="J63" s="1086">
        <f t="shared" si="27"/>
        <v>3.7972602739726029</v>
      </c>
      <c r="K63" s="1087" t="s">
        <v>1238</v>
      </c>
      <c r="L63" s="1088">
        <v>1000000</v>
      </c>
      <c r="M63" s="1087" t="s">
        <v>466</v>
      </c>
      <c r="N63" s="1090">
        <v>98.85</v>
      </c>
      <c r="O63" s="1091">
        <v>5.0849599999999997</v>
      </c>
      <c r="P63" s="1092" t="s">
        <v>775</v>
      </c>
      <c r="Q63" s="1093" t="s">
        <v>1259</v>
      </c>
      <c r="R63" s="1094" t="s">
        <v>1339</v>
      </c>
      <c r="S63" s="1094">
        <v>41845</v>
      </c>
      <c r="T63" s="1094">
        <v>41850</v>
      </c>
      <c r="U63" s="1095" t="s">
        <v>246</v>
      </c>
      <c r="V63" s="1096"/>
      <c r="W63" s="1096">
        <v>998263.89</v>
      </c>
      <c r="X63" s="1104">
        <v>7.8</v>
      </c>
      <c r="Y63" s="1096">
        <f>X63*W63</f>
        <v>7786458.3420000002</v>
      </c>
      <c r="Z63" s="1097"/>
      <c r="AA63" s="1097">
        <v>4.75</v>
      </c>
      <c r="AB63" s="1098">
        <v>43236</v>
      </c>
      <c r="AC63" s="1099">
        <f t="shared" si="29"/>
        <v>3.8109589041095893</v>
      </c>
      <c r="AE63" s="1102"/>
      <c r="AF63" s="1103"/>
    </row>
    <row r="64" spans="1:33" s="1198" customFormat="1" ht="39.75" customHeight="1">
      <c r="A64" s="1178"/>
      <c r="B64" s="1179"/>
      <c r="C64" s="1179"/>
      <c r="D64" s="1179"/>
      <c r="E64" s="1180">
        <v>58</v>
      </c>
      <c r="F64" s="1181" t="s">
        <v>232</v>
      </c>
      <c r="G64" s="1182" t="s">
        <v>211</v>
      </c>
      <c r="H64" s="1183" t="s">
        <v>1323</v>
      </c>
      <c r="I64" s="1183" t="s">
        <v>1160</v>
      </c>
      <c r="J64" s="1184">
        <f t="shared" ref="J64:J71" si="30">(AB64-T64)/365</f>
        <v>8.3780821917808215</v>
      </c>
      <c r="K64" s="1185" t="s">
        <v>1238</v>
      </c>
      <c r="L64" s="1186">
        <v>5000000</v>
      </c>
      <c r="M64" s="1187" t="s">
        <v>466</v>
      </c>
      <c r="N64" s="1188">
        <v>95</v>
      </c>
      <c r="O64" s="1189">
        <v>6.9202500000000002</v>
      </c>
      <c r="P64" s="1190" t="s">
        <v>775</v>
      </c>
      <c r="Q64" s="1191" t="s">
        <v>1259</v>
      </c>
      <c r="R64" s="1192" t="s">
        <v>1339</v>
      </c>
      <c r="S64" s="1192">
        <v>41852</v>
      </c>
      <c r="T64" s="1192">
        <v>41857</v>
      </c>
      <c r="U64" s="1193" t="s">
        <v>246</v>
      </c>
      <c r="V64" s="1194"/>
      <c r="W64" s="1194">
        <v>4789131.9400000004</v>
      </c>
      <c r="X64" s="1194">
        <v>7.8</v>
      </c>
      <c r="Y64" s="1194">
        <f t="shared" ref="Y64" si="31">X64*W64</f>
        <v>37355229.131999999</v>
      </c>
      <c r="Z64" s="1195"/>
      <c r="AA64" s="1189">
        <v>6.125</v>
      </c>
      <c r="AB64" s="1196">
        <v>44915</v>
      </c>
      <c r="AC64" s="1197">
        <f t="shared" ref="AC64:AC69" si="32">(AB64-S64)/365</f>
        <v>8.3917808219178074</v>
      </c>
      <c r="AE64" s="1199"/>
      <c r="AF64" s="1200"/>
    </row>
    <row r="65" spans="1:33" s="944" customFormat="1" ht="39.75" customHeight="1">
      <c r="A65" s="941"/>
      <c r="B65" s="942"/>
      <c r="C65" s="942"/>
      <c r="D65" s="942"/>
      <c r="E65" s="943">
        <v>59</v>
      </c>
      <c r="F65" s="967" t="s">
        <v>232</v>
      </c>
      <c r="G65" s="945" t="s">
        <v>211</v>
      </c>
      <c r="H65" s="947" t="s">
        <v>1323</v>
      </c>
      <c r="I65" s="947" t="s">
        <v>1160</v>
      </c>
      <c r="J65" s="948">
        <f t="shared" si="30"/>
        <v>8.375342465753425</v>
      </c>
      <c r="K65" s="964" t="s">
        <v>1238</v>
      </c>
      <c r="L65" s="950">
        <v>1000000</v>
      </c>
      <c r="M65" s="949" t="s">
        <v>466</v>
      </c>
      <c r="N65" s="951">
        <v>95</v>
      </c>
      <c r="O65" s="958">
        <v>6.9204299999999996</v>
      </c>
      <c r="P65" s="952" t="s">
        <v>712</v>
      </c>
      <c r="Q65" s="953" t="s">
        <v>713</v>
      </c>
      <c r="R65" s="954" t="s">
        <v>673</v>
      </c>
      <c r="S65" s="954">
        <v>41855</v>
      </c>
      <c r="T65" s="954">
        <v>41858</v>
      </c>
      <c r="U65" s="955" t="s">
        <v>246</v>
      </c>
      <c r="V65" s="956"/>
      <c r="W65" s="956">
        <v>957996.53</v>
      </c>
      <c r="X65" s="956">
        <v>7.8</v>
      </c>
      <c r="Y65" s="956">
        <f t="shared" ref="Y65" si="33">X65*W65</f>
        <v>7472372.9340000004</v>
      </c>
      <c r="Z65" s="1013"/>
      <c r="AA65" s="958">
        <v>6.125</v>
      </c>
      <c r="AB65" s="959">
        <v>44915</v>
      </c>
      <c r="AC65" s="960">
        <f t="shared" si="32"/>
        <v>8.3835616438356162</v>
      </c>
      <c r="AE65" s="962"/>
      <c r="AF65" s="963"/>
    </row>
    <row r="66" spans="1:33" s="944" customFormat="1" ht="39.75" customHeight="1">
      <c r="A66" s="941"/>
      <c r="B66" s="942"/>
      <c r="C66" s="942"/>
      <c r="D66" s="942"/>
      <c r="E66" s="943">
        <v>60</v>
      </c>
      <c r="F66" s="967" t="s">
        <v>232</v>
      </c>
      <c r="G66" s="945" t="s">
        <v>211</v>
      </c>
      <c r="H66" s="947" t="s">
        <v>1323</v>
      </c>
      <c r="I66" s="947" t="s">
        <v>1160</v>
      </c>
      <c r="J66" s="948">
        <f t="shared" si="30"/>
        <v>8.375342465753425</v>
      </c>
      <c r="K66" s="964" t="s">
        <v>1238</v>
      </c>
      <c r="L66" s="950">
        <v>2000000</v>
      </c>
      <c r="M66" s="949" t="s">
        <v>466</v>
      </c>
      <c r="N66" s="951">
        <v>95.15</v>
      </c>
      <c r="O66" s="958">
        <v>6.8957800000000002</v>
      </c>
      <c r="P66" s="952" t="s">
        <v>712</v>
      </c>
      <c r="Q66" s="953" t="s">
        <v>713</v>
      </c>
      <c r="R66" s="954" t="s">
        <v>673</v>
      </c>
      <c r="S66" s="954">
        <v>41855</v>
      </c>
      <c r="T66" s="954">
        <v>41858</v>
      </c>
      <c r="U66" s="955" t="s">
        <v>246</v>
      </c>
      <c r="V66" s="956"/>
      <c r="W66" s="956">
        <v>1918993.06</v>
      </c>
      <c r="X66" s="956">
        <v>7.8</v>
      </c>
      <c r="Y66" s="956">
        <f t="shared" ref="Y66:Y68" si="34">X66*W66</f>
        <v>14968145.868000001</v>
      </c>
      <c r="Z66" s="1013"/>
      <c r="AA66" s="958">
        <v>6.125</v>
      </c>
      <c r="AB66" s="959">
        <v>44915</v>
      </c>
      <c r="AC66" s="960">
        <f t="shared" si="32"/>
        <v>8.3835616438356162</v>
      </c>
      <c r="AE66" s="962"/>
      <c r="AF66" s="963"/>
    </row>
    <row r="67" spans="1:33" s="1209" customFormat="1" ht="38.25">
      <c r="A67" s="1206"/>
      <c r="B67" s="1207"/>
      <c r="C67" s="1207"/>
      <c r="D67" s="1207"/>
      <c r="E67" s="1208">
        <v>61</v>
      </c>
      <c r="F67" s="1209" t="s">
        <v>45</v>
      </c>
      <c r="G67" s="1024" t="s">
        <v>46</v>
      </c>
      <c r="H67" s="1210" t="s">
        <v>261</v>
      </c>
      <c r="I67" s="1210" t="s">
        <v>261</v>
      </c>
      <c r="J67" s="1026">
        <f t="shared" si="30"/>
        <v>5.5835616438356164</v>
      </c>
      <c r="K67" s="1211" t="s">
        <v>55</v>
      </c>
      <c r="L67" s="1212">
        <v>2000000</v>
      </c>
      <c r="M67" s="1211" t="s">
        <v>466</v>
      </c>
      <c r="N67" s="1213">
        <v>103.6</v>
      </c>
      <c r="O67" s="1207">
        <v>4.9527669999999997</v>
      </c>
      <c r="P67" s="1031" t="s">
        <v>1046</v>
      </c>
      <c r="Q67" s="1032" t="s">
        <v>1328</v>
      </c>
      <c r="R67" s="1219" t="s">
        <v>1329</v>
      </c>
      <c r="S67" s="1215">
        <v>41856</v>
      </c>
      <c r="T67" s="1215">
        <v>41859</v>
      </c>
      <c r="U67" s="1216" t="s">
        <v>208</v>
      </c>
      <c r="W67" s="1037">
        <v>2119816.67</v>
      </c>
      <c r="X67" s="1217">
        <v>7.8</v>
      </c>
      <c r="Y67" s="1037">
        <f t="shared" ref="Y67" si="35">X67*W67</f>
        <v>16534570.025999999</v>
      </c>
      <c r="Z67" s="1037"/>
      <c r="AA67" s="1218">
        <v>5.7</v>
      </c>
      <c r="AB67" s="1039">
        <v>43897</v>
      </c>
      <c r="AC67" s="1040">
        <f t="shared" si="32"/>
        <v>5.5917808219178085</v>
      </c>
      <c r="AD67" s="1214"/>
      <c r="AF67" s="1042"/>
      <c r="AG67" s="1043"/>
    </row>
    <row r="68" spans="1:33" s="1146" customFormat="1" ht="38.25">
      <c r="A68" s="1143"/>
      <c r="B68" s="1144"/>
      <c r="C68" s="1144"/>
      <c r="D68" s="1144"/>
      <c r="E68" s="1145">
        <v>62</v>
      </c>
      <c r="F68" s="1146" t="s">
        <v>45</v>
      </c>
      <c r="G68" s="875" t="s">
        <v>46</v>
      </c>
      <c r="H68" s="893" t="s">
        <v>261</v>
      </c>
      <c r="I68" s="893" t="s">
        <v>261</v>
      </c>
      <c r="J68" s="876">
        <f t="shared" si="30"/>
        <v>5.5753424657534243</v>
      </c>
      <c r="K68" s="1148" t="s">
        <v>55</v>
      </c>
      <c r="L68" s="1147">
        <v>10000000</v>
      </c>
      <c r="M68" s="1148" t="s">
        <v>466</v>
      </c>
      <c r="N68" s="1149">
        <v>103.65</v>
      </c>
      <c r="O68" s="1144">
        <v>4.9417410000000004</v>
      </c>
      <c r="P68" s="882" t="s">
        <v>1175</v>
      </c>
      <c r="Q68" s="1077" t="s">
        <v>1176</v>
      </c>
      <c r="R68" s="1220" t="s">
        <v>1177</v>
      </c>
      <c r="S68" s="1153">
        <v>41857</v>
      </c>
      <c r="T68" s="1153">
        <v>41862</v>
      </c>
      <c r="U68" s="1154" t="s">
        <v>208</v>
      </c>
      <c r="W68" s="886">
        <v>10608833.33</v>
      </c>
      <c r="X68" s="1155">
        <v>7.8</v>
      </c>
      <c r="Y68" s="886">
        <f t="shared" si="34"/>
        <v>82748899.973999992</v>
      </c>
      <c r="Z68" s="886"/>
      <c r="AA68" s="881">
        <v>5.7</v>
      </c>
      <c r="AB68" s="888">
        <v>43897</v>
      </c>
      <c r="AC68" s="889">
        <f t="shared" si="32"/>
        <v>5.5890410958904111</v>
      </c>
      <c r="AD68" s="1152"/>
      <c r="AF68" s="891"/>
      <c r="AG68" s="892"/>
    </row>
    <row r="69" spans="1:33" s="994" customFormat="1" ht="38.25">
      <c r="A69" s="991"/>
      <c r="B69" s="992"/>
      <c r="C69" s="992"/>
      <c r="D69" s="992"/>
      <c r="E69" s="993">
        <v>63</v>
      </c>
      <c r="F69" s="994" t="s">
        <v>45</v>
      </c>
      <c r="G69" s="898" t="s">
        <v>46</v>
      </c>
      <c r="H69" s="995" t="s">
        <v>261</v>
      </c>
      <c r="I69" s="995" t="s">
        <v>261</v>
      </c>
      <c r="J69" s="900">
        <f t="shared" si="30"/>
        <v>5.5726027397260278</v>
      </c>
      <c r="K69" s="996" t="s">
        <v>55</v>
      </c>
      <c r="L69" s="997">
        <v>6000000</v>
      </c>
      <c r="M69" s="996" t="s">
        <v>466</v>
      </c>
      <c r="N69" s="998">
        <v>103.8</v>
      </c>
      <c r="O69" s="992">
        <v>4.9109970000000001</v>
      </c>
      <c r="P69" s="905" t="s">
        <v>1175</v>
      </c>
      <c r="Q69" s="906" t="s">
        <v>1176</v>
      </c>
      <c r="R69" s="1223" t="s">
        <v>1177</v>
      </c>
      <c r="S69" s="999">
        <v>41858</v>
      </c>
      <c r="T69" s="999">
        <v>41863</v>
      </c>
      <c r="U69" s="1000" t="s">
        <v>208</v>
      </c>
      <c r="W69" s="909">
        <v>6375250</v>
      </c>
      <c r="X69" s="1001">
        <v>7.8</v>
      </c>
      <c r="Y69" s="909">
        <f t="shared" ref="Y69" si="36">X69*W69</f>
        <v>49726950</v>
      </c>
      <c r="Z69" s="909"/>
      <c r="AA69" s="1002">
        <v>5.7</v>
      </c>
      <c r="AB69" s="911">
        <v>43897</v>
      </c>
      <c r="AC69" s="912">
        <f t="shared" si="32"/>
        <v>5.5863013698630137</v>
      </c>
      <c r="AD69" s="1003"/>
      <c r="AF69" s="914"/>
      <c r="AG69" s="915"/>
    </row>
    <row r="70" spans="1:33" s="1101" customFormat="1" ht="39.75" customHeight="1">
      <c r="A70" s="1080"/>
      <c r="B70" s="1081"/>
      <c r="C70" s="1081"/>
      <c r="D70" s="1081"/>
      <c r="E70" s="1082">
        <v>64</v>
      </c>
      <c r="F70" s="1083" t="s">
        <v>418</v>
      </c>
      <c r="G70" s="1084" t="s">
        <v>419</v>
      </c>
      <c r="H70" s="1085" t="s">
        <v>1113</v>
      </c>
      <c r="I70" s="1085" t="s">
        <v>1113</v>
      </c>
      <c r="J70" s="1086">
        <f t="shared" si="30"/>
        <v>3.7452054794520548</v>
      </c>
      <c r="K70" s="1087" t="s">
        <v>1238</v>
      </c>
      <c r="L70" s="1088">
        <v>2000000</v>
      </c>
      <c r="M70" s="1087" t="s">
        <v>466</v>
      </c>
      <c r="N70" s="1090">
        <v>98.5</v>
      </c>
      <c r="O70" s="1091">
        <v>5.1937100000000003</v>
      </c>
      <c r="P70" s="1092" t="s">
        <v>60</v>
      </c>
      <c r="Q70" s="1093" t="s">
        <v>1257</v>
      </c>
      <c r="R70" s="1094" t="s">
        <v>1258</v>
      </c>
      <c r="S70" s="1094">
        <v>41864</v>
      </c>
      <c r="T70" s="1094">
        <v>41869</v>
      </c>
      <c r="U70" s="1095" t="s">
        <v>246</v>
      </c>
      <c r="V70" s="1096"/>
      <c r="W70" s="1096">
        <v>1994277.78</v>
      </c>
      <c r="X70" s="1104">
        <v>7.8</v>
      </c>
      <c r="Y70" s="1096">
        <f>X70*W70</f>
        <v>15555366.684</v>
      </c>
      <c r="Z70" s="1097"/>
      <c r="AA70" s="1097">
        <v>4.75</v>
      </c>
      <c r="AB70" s="1098">
        <v>43236</v>
      </c>
      <c r="AC70" s="1099">
        <f>(AB70-S70)/365</f>
        <v>3.7589041095890412</v>
      </c>
      <c r="AE70" s="1102"/>
      <c r="AF70" s="1103"/>
    </row>
    <row r="71" spans="1:33" s="1101" customFormat="1" ht="39.75" customHeight="1">
      <c r="A71" s="1080"/>
      <c r="B71" s="1081"/>
      <c r="C71" s="1081"/>
      <c r="D71" s="1081"/>
      <c r="E71" s="1082">
        <v>65</v>
      </c>
      <c r="F71" s="1083" t="s">
        <v>418</v>
      </c>
      <c r="G71" s="1084" t="s">
        <v>419</v>
      </c>
      <c r="H71" s="1085" t="s">
        <v>1113</v>
      </c>
      <c r="I71" s="1085" t="s">
        <v>1113</v>
      </c>
      <c r="J71" s="1086">
        <f t="shared" si="30"/>
        <v>3.7452054794520548</v>
      </c>
      <c r="K71" s="1087" t="s">
        <v>1238</v>
      </c>
      <c r="L71" s="1088">
        <v>1000000</v>
      </c>
      <c r="M71" s="1087" t="s">
        <v>466</v>
      </c>
      <c r="N71" s="1090">
        <v>98.51</v>
      </c>
      <c r="O71" s="1091">
        <v>5.1907110000000003</v>
      </c>
      <c r="P71" s="1092" t="s">
        <v>1046</v>
      </c>
      <c r="Q71" s="1093" t="s">
        <v>1332</v>
      </c>
      <c r="R71" s="1224" t="s">
        <v>1333</v>
      </c>
      <c r="S71" s="1094">
        <v>41864</v>
      </c>
      <c r="T71" s="1094">
        <v>41869</v>
      </c>
      <c r="U71" s="1095" t="s">
        <v>246</v>
      </c>
      <c r="V71" s="1096"/>
      <c r="W71" s="1096">
        <v>997238.89</v>
      </c>
      <c r="X71" s="1104">
        <v>7.8</v>
      </c>
      <c r="Y71" s="1096">
        <f>X71*W71</f>
        <v>7778463.3420000002</v>
      </c>
      <c r="Z71" s="1097"/>
      <c r="AA71" s="1097">
        <v>4.75</v>
      </c>
      <c r="AB71" s="1098">
        <v>43236</v>
      </c>
      <c r="AC71" s="1099">
        <f>(AB71-S71)/365</f>
        <v>3.7589041095890412</v>
      </c>
      <c r="AE71" s="1102"/>
      <c r="AF71" s="1103"/>
    </row>
    <row r="72" spans="1:33" s="1101" customFormat="1" ht="39.75" customHeight="1">
      <c r="A72" s="1080"/>
      <c r="B72" s="1081"/>
      <c r="C72" s="1081"/>
      <c r="D72" s="1081"/>
      <c r="E72" s="1082">
        <v>66</v>
      </c>
      <c r="F72" s="1083" t="s">
        <v>1281</v>
      </c>
      <c r="G72" s="1084" t="s">
        <v>1285</v>
      </c>
      <c r="H72" s="1085" t="s">
        <v>1338</v>
      </c>
      <c r="I72" s="1085" t="s">
        <v>516</v>
      </c>
      <c r="J72" s="1086" t="s">
        <v>1337</v>
      </c>
      <c r="K72" s="1087" t="s">
        <v>1238</v>
      </c>
      <c r="L72" s="1088">
        <v>5000000</v>
      </c>
      <c r="M72" s="1087" t="s">
        <v>466</v>
      </c>
      <c r="N72" s="1090">
        <v>105</v>
      </c>
      <c r="O72" s="1091">
        <v>6.0038499999999999</v>
      </c>
      <c r="P72" s="1092" t="s">
        <v>677</v>
      </c>
      <c r="Q72" s="1093" t="s">
        <v>1219</v>
      </c>
      <c r="R72" s="1224" t="s">
        <v>1220</v>
      </c>
      <c r="S72" s="1094">
        <v>41866</v>
      </c>
      <c r="T72" s="1094">
        <v>41871</v>
      </c>
      <c r="U72" s="1095" t="s">
        <v>246</v>
      </c>
      <c r="V72" s="1096"/>
      <c r="W72" s="1096">
        <v>5368819.4400000004</v>
      </c>
      <c r="X72" s="1104">
        <v>7.8</v>
      </c>
      <c r="Y72" s="1096">
        <f>X72*W72</f>
        <v>41876791.631999999</v>
      </c>
      <c r="Z72" s="1097"/>
      <c r="AA72" s="1097">
        <v>7.25</v>
      </c>
      <c r="AB72" s="1098" t="s">
        <v>1337</v>
      </c>
      <c r="AC72" s="1099" t="e">
        <f>(AB72-S72)/365</f>
        <v>#VALUE!</v>
      </c>
      <c r="AE72" s="1102"/>
      <c r="AF72" s="1103"/>
    </row>
    <row r="73" spans="1:33" s="1128" customFormat="1" ht="39.75" customHeight="1">
      <c r="A73" s="1108"/>
      <c r="B73" s="1109"/>
      <c r="C73" s="1109"/>
      <c r="D73" s="1109"/>
      <c r="E73" s="1110">
        <v>67</v>
      </c>
      <c r="F73" s="1111" t="s">
        <v>365</v>
      </c>
      <c r="G73" s="1112" t="s">
        <v>367</v>
      </c>
      <c r="H73" s="1113" t="s">
        <v>366</v>
      </c>
      <c r="I73" s="1113" t="s">
        <v>363</v>
      </c>
      <c r="J73" s="1114">
        <f t="shared" ref="J73:J74" si="37">(AB73-T73)/365</f>
        <v>8.4328767123287669</v>
      </c>
      <c r="K73" s="1115" t="s">
        <v>1238</v>
      </c>
      <c r="L73" s="1116">
        <v>1000000</v>
      </c>
      <c r="M73" s="1117" t="s">
        <v>466</v>
      </c>
      <c r="N73" s="1118">
        <v>91.5</v>
      </c>
      <c r="O73" s="1119">
        <v>5.7884599999999997</v>
      </c>
      <c r="P73" s="1120" t="s">
        <v>1175</v>
      </c>
      <c r="Q73" s="1121" t="s">
        <v>1176</v>
      </c>
      <c r="R73" s="1122" t="s">
        <v>1177</v>
      </c>
      <c r="S73" s="1122">
        <v>41869</v>
      </c>
      <c r="T73" s="1122">
        <v>41872</v>
      </c>
      <c r="U73" s="1123" t="s">
        <v>246</v>
      </c>
      <c r="V73" s="1124"/>
      <c r="W73" s="1124">
        <v>918375</v>
      </c>
      <c r="X73" s="1124">
        <v>7.8</v>
      </c>
      <c r="Y73" s="1124">
        <f>X73*W73</f>
        <v>7163325</v>
      </c>
      <c r="Z73" s="1125"/>
      <c r="AA73" s="1119">
        <v>4.5</v>
      </c>
      <c r="AB73" s="1126">
        <v>44950</v>
      </c>
      <c r="AC73" s="1127">
        <f t="shared" ref="AC73:AC74" si="38">(AB73-S73)/365</f>
        <v>8.4410958904109581</v>
      </c>
      <c r="AE73" s="1129"/>
      <c r="AF73" s="1130"/>
    </row>
    <row r="74" spans="1:33" s="741" customFormat="1" ht="39.75" customHeight="1">
      <c r="A74" s="823"/>
      <c r="B74" s="740"/>
      <c r="C74" s="740"/>
      <c r="D74" s="740"/>
      <c r="E74" s="759">
        <v>68</v>
      </c>
      <c r="F74" s="741" t="s">
        <v>590</v>
      </c>
      <c r="G74" s="742" t="s">
        <v>711</v>
      </c>
      <c r="H74" s="743" t="s">
        <v>591</v>
      </c>
      <c r="I74" s="760" t="s">
        <v>340</v>
      </c>
      <c r="J74" s="744">
        <f t="shared" si="37"/>
        <v>6.6520547945205477</v>
      </c>
      <c r="K74" s="762" t="s">
        <v>1238</v>
      </c>
      <c r="L74" s="746">
        <v>2500000</v>
      </c>
      <c r="M74" s="745" t="s">
        <v>466</v>
      </c>
      <c r="N74" s="747">
        <v>106</v>
      </c>
      <c r="O74" s="740">
        <v>5.6528499999999999</v>
      </c>
      <c r="P74" s="748" t="s">
        <v>677</v>
      </c>
      <c r="Q74" s="749" t="s">
        <v>1219</v>
      </c>
      <c r="R74" s="798" t="s">
        <v>1220</v>
      </c>
      <c r="S74" s="796">
        <v>41870</v>
      </c>
      <c r="T74" s="796">
        <v>41873</v>
      </c>
      <c r="U74" s="750" t="s">
        <v>246</v>
      </c>
      <c r="W74" s="751">
        <v>2709531.25</v>
      </c>
      <c r="X74" s="767">
        <v>7.8</v>
      </c>
      <c r="Y74" s="751">
        <f t="shared" ref="Y74" si="39">X74*W74</f>
        <v>21134343.75</v>
      </c>
      <c r="Z74" s="751"/>
      <c r="AA74" s="753">
        <v>6.75</v>
      </c>
      <c r="AB74" s="800">
        <v>44301</v>
      </c>
      <c r="AC74" s="754">
        <f t="shared" si="38"/>
        <v>6.6602739726027398</v>
      </c>
      <c r="AD74" s="798"/>
      <c r="AF74" s="756"/>
      <c r="AG74" s="757"/>
    </row>
    <row r="75" spans="1:33" s="741" customFormat="1" ht="39.75" customHeight="1">
      <c r="A75" s="823"/>
      <c r="B75" s="740"/>
      <c r="C75" s="740"/>
      <c r="D75" s="740"/>
      <c r="E75" s="759">
        <v>69</v>
      </c>
      <c r="F75" s="741" t="s">
        <v>590</v>
      </c>
      <c r="G75" s="742" t="s">
        <v>711</v>
      </c>
      <c r="H75" s="743" t="s">
        <v>591</v>
      </c>
      <c r="I75" s="760" t="s">
        <v>340</v>
      </c>
      <c r="J75" s="744">
        <f t="shared" ref="J75" si="40">(AB75-T75)/365</f>
        <v>6.6520547945205477</v>
      </c>
      <c r="K75" s="762" t="s">
        <v>1238</v>
      </c>
      <c r="L75" s="746">
        <v>2000000</v>
      </c>
      <c r="M75" s="745" t="s">
        <v>466</v>
      </c>
      <c r="N75" s="747">
        <v>106</v>
      </c>
      <c r="O75" s="740">
        <v>5.6528489999999998</v>
      </c>
      <c r="P75" s="748" t="s">
        <v>1175</v>
      </c>
      <c r="Q75" s="749" t="s">
        <v>1176</v>
      </c>
      <c r="R75" s="798" t="s">
        <v>1177</v>
      </c>
      <c r="S75" s="796">
        <v>41870</v>
      </c>
      <c r="T75" s="796">
        <v>41873</v>
      </c>
      <c r="U75" s="750" t="s">
        <v>246</v>
      </c>
      <c r="W75" s="751">
        <v>2167625</v>
      </c>
      <c r="X75" s="767">
        <v>7.8</v>
      </c>
      <c r="Y75" s="751">
        <f t="shared" ref="Y75" si="41">X75*W75</f>
        <v>16907475</v>
      </c>
      <c r="Z75" s="751"/>
      <c r="AA75" s="753">
        <v>6.75</v>
      </c>
      <c r="AB75" s="800">
        <v>44301</v>
      </c>
      <c r="AC75" s="754">
        <f t="shared" ref="AC75" si="42">(AB75-S75)/365</f>
        <v>6.6602739726027398</v>
      </c>
      <c r="AD75" s="798"/>
      <c r="AF75" s="756"/>
      <c r="AG75" s="757"/>
    </row>
    <row r="76" spans="1:33" s="741" customFormat="1" ht="39.75" customHeight="1">
      <c r="A76" s="823"/>
      <c r="B76" s="740"/>
      <c r="C76" s="740"/>
      <c r="D76" s="740"/>
      <c r="E76" s="759">
        <v>70</v>
      </c>
      <c r="F76" s="761" t="s">
        <v>1281</v>
      </c>
      <c r="G76" s="742" t="s">
        <v>1285</v>
      </c>
      <c r="H76" s="760" t="s">
        <v>1338</v>
      </c>
      <c r="I76" s="760" t="s">
        <v>516</v>
      </c>
      <c r="J76" s="744" t="s">
        <v>1337</v>
      </c>
      <c r="K76" s="762" t="s">
        <v>1238</v>
      </c>
      <c r="L76" s="746">
        <v>2000000</v>
      </c>
      <c r="M76" s="762" t="s">
        <v>466</v>
      </c>
      <c r="N76" s="747">
        <v>105</v>
      </c>
      <c r="O76" s="753">
        <v>6.002643</v>
      </c>
      <c r="P76" s="763" t="s">
        <v>1073</v>
      </c>
      <c r="Q76" s="764" t="s">
        <v>48</v>
      </c>
      <c r="R76" s="1242" t="s">
        <v>254</v>
      </c>
      <c r="S76" s="796">
        <v>41870</v>
      </c>
      <c r="T76" s="796">
        <v>41873</v>
      </c>
      <c r="U76" s="750" t="s">
        <v>246</v>
      </c>
      <c r="V76" s="751"/>
      <c r="W76" s="751">
        <v>2148333.33</v>
      </c>
      <c r="X76" s="767">
        <v>7.8</v>
      </c>
      <c r="Y76" s="751">
        <f>X76*W76</f>
        <v>16756999.973999999</v>
      </c>
      <c r="Z76" s="765"/>
      <c r="AA76" s="765">
        <v>7.25</v>
      </c>
      <c r="AB76" s="800" t="s">
        <v>1337</v>
      </c>
      <c r="AC76" s="754" t="e">
        <f>(AB76-S76)/365</f>
        <v>#VALUE!</v>
      </c>
      <c r="AE76" s="756"/>
      <c r="AF76" s="757"/>
    </row>
    <row r="77" spans="1:33" s="741" customFormat="1" ht="39.75" customHeight="1">
      <c r="A77" s="823"/>
      <c r="B77" s="740"/>
      <c r="C77" s="740"/>
      <c r="D77" s="740"/>
      <c r="E77" s="759">
        <v>71</v>
      </c>
      <c r="F77" s="761" t="s">
        <v>365</v>
      </c>
      <c r="G77" s="742" t="s">
        <v>367</v>
      </c>
      <c r="H77" s="760" t="s">
        <v>366</v>
      </c>
      <c r="I77" s="760" t="s">
        <v>363</v>
      </c>
      <c r="J77" s="744">
        <f>(AB77-T77)/365</f>
        <v>8.4301369863013704</v>
      </c>
      <c r="K77" s="762" t="s">
        <v>1238</v>
      </c>
      <c r="L77" s="746">
        <v>1000000</v>
      </c>
      <c r="M77" s="745" t="s">
        <v>466</v>
      </c>
      <c r="N77" s="747">
        <v>91.4</v>
      </c>
      <c r="O77" s="753">
        <v>5.8047899999999997</v>
      </c>
      <c r="P77" s="763" t="s">
        <v>1175</v>
      </c>
      <c r="Q77" s="764" t="s">
        <v>1176</v>
      </c>
      <c r="R77" s="796" t="s">
        <v>1177</v>
      </c>
      <c r="S77" s="796">
        <v>41870</v>
      </c>
      <c r="T77" s="796">
        <v>41873</v>
      </c>
      <c r="U77" s="750" t="s">
        <v>246</v>
      </c>
      <c r="V77" s="751"/>
      <c r="W77" s="751">
        <v>917500</v>
      </c>
      <c r="X77" s="751">
        <v>7.8</v>
      </c>
      <c r="Y77" s="751">
        <f>X77*W77</f>
        <v>7156500</v>
      </c>
      <c r="Z77" s="765"/>
      <c r="AA77" s="753">
        <v>4.5</v>
      </c>
      <c r="AB77" s="800">
        <v>44950</v>
      </c>
      <c r="AC77" s="754">
        <f t="shared" ref="AC77" si="43">(AB77-S77)/365</f>
        <v>8.4383561643835616</v>
      </c>
      <c r="AE77" s="756"/>
      <c r="AF77" s="757"/>
    </row>
    <row r="78" spans="1:33" s="611" customFormat="1" ht="39.75" customHeight="1">
      <c r="A78" s="608"/>
      <c r="B78" s="609"/>
      <c r="C78" s="609"/>
      <c r="D78" s="609"/>
      <c r="E78" s="610">
        <v>72</v>
      </c>
      <c r="F78" s="834" t="s">
        <v>1281</v>
      </c>
      <c r="G78" s="612" t="s">
        <v>1285</v>
      </c>
      <c r="H78" s="835" t="s">
        <v>1338</v>
      </c>
      <c r="I78" s="835" t="s">
        <v>516</v>
      </c>
      <c r="J78" s="614" t="s">
        <v>1337</v>
      </c>
      <c r="K78" s="615" t="s">
        <v>1238</v>
      </c>
      <c r="L78" s="616">
        <v>5000000</v>
      </c>
      <c r="M78" s="615" t="s">
        <v>466</v>
      </c>
      <c r="N78" s="837">
        <v>105</v>
      </c>
      <c r="O78" s="625">
        <v>6.002643</v>
      </c>
      <c r="P78" s="1243" t="s">
        <v>775</v>
      </c>
      <c r="Q78" s="838" t="s">
        <v>1259</v>
      </c>
      <c r="R78" s="1244" t="s">
        <v>1339</v>
      </c>
      <c r="S78" s="651">
        <v>41871</v>
      </c>
      <c r="T78" s="651">
        <v>41876</v>
      </c>
      <c r="U78" s="622" t="s">
        <v>246</v>
      </c>
      <c r="V78" s="623"/>
      <c r="W78" s="623">
        <v>5373854.1699999999</v>
      </c>
      <c r="X78" s="624">
        <v>7.8</v>
      </c>
      <c r="Y78" s="623">
        <f>X78*W78</f>
        <v>41916062.526000001</v>
      </c>
      <c r="Z78" s="1245"/>
      <c r="AA78" s="1245">
        <v>7.25</v>
      </c>
      <c r="AB78" s="689" t="s">
        <v>1337</v>
      </c>
      <c r="AC78" s="626" t="e">
        <f>(AB78-S78)/365</f>
        <v>#VALUE!</v>
      </c>
      <c r="AE78" s="627"/>
      <c r="AF78" s="628"/>
    </row>
    <row r="79" spans="1:33" s="1260" customFormat="1" ht="39.75" customHeight="1">
      <c r="A79" s="1253"/>
      <c r="B79" s="523"/>
      <c r="C79" s="523"/>
      <c r="D79" s="523"/>
      <c r="E79" s="1254">
        <v>73</v>
      </c>
      <c r="F79" s="524" t="s">
        <v>1281</v>
      </c>
      <c r="G79" s="525" t="s">
        <v>1285</v>
      </c>
      <c r="H79" s="526" t="s">
        <v>1338</v>
      </c>
      <c r="I79" s="526" t="s">
        <v>516</v>
      </c>
      <c r="J79" s="527" t="s">
        <v>1337</v>
      </c>
      <c r="K79" s="528" t="s">
        <v>1238</v>
      </c>
      <c r="L79" s="1255">
        <v>1000000</v>
      </c>
      <c r="M79" s="528" t="s">
        <v>466</v>
      </c>
      <c r="N79" s="529">
        <v>105</v>
      </c>
      <c r="O79" s="535">
        <v>6.0002360000000001</v>
      </c>
      <c r="P79" s="1256" t="s">
        <v>1073</v>
      </c>
      <c r="Q79" s="813" t="s">
        <v>48</v>
      </c>
      <c r="R79" s="1257" t="s">
        <v>254</v>
      </c>
      <c r="S79" s="814">
        <v>41872</v>
      </c>
      <c r="T79" s="814">
        <v>41877</v>
      </c>
      <c r="U79" s="530" t="s">
        <v>246</v>
      </c>
      <c r="V79" s="533"/>
      <c r="W79" s="533">
        <v>1074972.22</v>
      </c>
      <c r="X79" s="534">
        <v>7.8</v>
      </c>
      <c r="Y79" s="533">
        <f>X79*W79</f>
        <v>8384783.3159999996</v>
      </c>
      <c r="Z79" s="1258"/>
      <c r="AA79" s="1258">
        <v>7.25</v>
      </c>
      <c r="AB79" s="1259" t="s">
        <v>1337</v>
      </c>
      <c r="AC79" s="536" t="e">
        <f>(AB79-S79)/365</f>
        <v>#VALUE!</v>
      </c>
      <c r="AE79" s="537"/>
      <c r="AF79" s="538"/>
    </row>
    <row r="80" spans="1:33" s="1260" customFormat="1" ht="39.75" customHeight="1">
      <c r="A80" s="1253"/>
      <c r="B80" s="523"/>
      <c r="C80" s="523"/>
      <c r="D80" s="523"/>
      <c r="E80" s="1254">
        <v>74</v>
      </c>
      <c r="F80" s="524" t="s">
        <v>1334</v>
      </c>
      <c r="G80" s="525" t="s">
        <v>1335</v>
      </c>
      <c r="H80" s="526" t="s">
        <v>192</v>
      </c>
      <c r="I80" s="526" t="s">
        <v>1336</v>
      </c>
      <c r="J80" s="527">
        <f>(AB80-T80)/365</f>
        <v>4.9863013698630141</v>
      </c>
      <c r="K80" s="528" t="s">
        <v>1238</v>
      </c>
      <c r="L80" s="1255">
        <v>7000000</v>
      </c>
      <c r="M80" s="528" t="s">
        <v>945</v>
      </c>
      <c r="N80" s="529">
        <v>100.155</v>
      </c>
      <c r="O80" s="526">
        <v>4.2150299999999996</v>
      </c>
      <c r="P80" s="1256" t="s">
        <v>1073</v>
      </c>
      <c r="Q80" s="813" t="s">
        <v>48</v>
      </c>
      <c r="R80" s="1261" t="s">
        <v>254</v>
      </c>
      <c r="S80" s="814">
        <v>41872</v>
      </c>
      <c r="T80" s="814">
        <v>41877</v>
      </c>
      <c r="U80" s="530" t="s">
        <v>208</v>
      </c>
      <c r="W80" s="533">
        <v>7015808.3300000001</v>
      </c>
      <c r="X80" s="534">
        <v>7.8</v>
      </c>
      <c r="Y80" s="533">
        <f>X80*W80</f>
        <v>54723304.973999999</v>
      </c>
      <c r="Z80" s="533"/>
      <c r="AA80" s="535">
        <v>4.25</v>
      </c>
      <c r="AB80" s="1259">
        <v>43697</v>
      </c>
      <c r="AC80" s="536">
        <f>(AB80-S80)/365</f>
        <v>5</v>
      </c>
      <c r="AD80" s="1261"/>
      <c r="AF80" s="537"/>
      <c r="AG80" s="538"/>
    </row>
    <row r="81" spans="1:33" s="1146" customFormat="1" ht="16.5">
      <c r="A81" s="1143"/>
      <c r="B81" s="1144"/>
      <c r="C81" s="1144"/>
      <c r="D81" s="1144"/>
      <c r="E81" s="1145">
        <v>75</v>
      </c>
      <c r="F81" s="1146" t="s">
        <v>718</v>
      </c>
      <c r="G81" s="875" t="s">
        <v>720</v>
      </c>
      <c r="H81" s="893" t="s">
        <v>44</v>
      </c>
      <c r="I81" s="893" t="s">
        <v>279</v>
      </c>
      <c r="J81" s="876">
        <f t="shared" ref="J81" si="44">(AB81-T81)/365</f>
        <v>8.5506849315068489</v>
      </c>
      <c r="K81" s="877" t="s">
        <v>1238</v>
      </c>
      <c r="L81" s="1147">
        <v>135000000</v>
      </c>
      <c r="M81" s="1148" t="s">
        <v>466</v>
      </c>
      <c r="N81" s="1149">
        <v>96.894999999999996</v>
      </c>
      <c r="O81" s="1144">
        <v>4.8499999999999996</v>
      </c>
      <c r="P81" s="1282" t="s">
        <v>1349</v>
      </c>
      <c r="Q81" s="1151"/>
      <c r="R81" s="1152"/>
      <c r="S81" s="1153">
        <v>41872</v>
      </c>
      <c r="T81" s="1153">
        <v>41873</v>
      </c>
      <c r="U81" s="1154" t="s">
        <v>208</v>
      </c>
      <c r="W81" s="886">
        <v>130808250</v>
      </c>
      <c r="X81" s="1155">
        <v>7.8</v>
      </c>
      <c r="Y81" s="886">
        <f t="shared" ref="Y81" si="45">X81*W81</f>
        <v>1020304350</v>
      </c>
      <c r="Z81" s="886"/>
      <c r="AA81" s="881">
        <v>4.4000000000000004</v>
      </c>
      <c r="AB81" s="888">
        <v>44994</v>
      </c>
      <c r="AC81" s="889">
        <f t="shared" ref="AC81" si="46">(AB81-S81)/365</f>
        <v>8.5534246575342472</v>
      </c>
      <c r="AD81" s="1152"/>
      <c r="AF81" s="891"/>
      <c r="AG81" s="892"/>
    </row>
    <row r="82" spans="1:33" s="1146" customFormat="1" ht="16.5">
      <c r="A82" s="1143"/>
      <c r="B82" s="1144"/>
      <c r="C82" s="1144"/>
      <c r="D82" s="1144"/>
      <c r="E82" s="1145">
        <v>75</v>
      </c>
      <c r="F82" s="1146" t="s">
        <v>718</v>
      </c>
      <c r="G82" s="875" t="s">
        <v>720</v>
      </c>
      <c r="H82" s="893" t="s">
        <v>44</v>
      </c>
      <c r="I82" s="893" t="s">
        <v>279</v>
      </c>
      <c r="J82" s="876">
        <f t="shared" ref="J82:J83" si="47">(AB82-T82)/365</f>
        <v>8.5506849315068489</v>
      </c>
      <c r="K82" s="877" t="s">
        <v>1238</v>
      </c>
      <c r="L82" s="1147">
        <v>15000000</v>
      </c>
      <c r="M82" s="1148" t="s">
        <v>466</v>
      </c>
      <c r="N82" s="1149">
        <v>96.894999999999996</v>
      </c>
      <c r="O82" s="1144">
        <v>4.8499999999999996</v>
      </c>
      <c r="P82" s="1282" t="s">
        <v>1349</v>
      </c>
      <c r="Q82" s="1151"/>
      <c r="R82" s="1152"/>
      <c r="S82" s="1153">
        <v>41872</v>
      </c>
      <c r="T82" s="1153">
        <v>41873</v>
      </c>
      <c r="U82" s="1154" t="s">
        <v>208</v>
      </c>
      <c r="W82" s="886">
        <v>14534250</v>
      </c>
      <c r="X82" s="1155">
        <v>7.8</v>
      </c>
      <c r="Y82" s="886">
        <f t="shared" ref="Y82:Y83" si="48">X82*W82</f>
        <v>113367150</v>
      </c>
      <c r="Z82" s="886"/>
      <c r="AA82" s="881">
        <v>4.4000000000000004</v>
      </c>
      <c r="AB82" s="888">
        <v>44994</v>
      </c>
      <c r="AC82" s="889">
        <f t="shared" ref="AC82:AC83" si="49">(AB82-S82)/365</f>
        <v>8.5534246575342472</v>
      </c>
      <c r="AD82" s="1152"/>
      <c r="AF82" s="891"/>
      <c r="AG82" s="892"/>
    </row>
    <row r="83" spans="1:33" s="1146" customFormat="1" ht="16.5">
      <c r="A83" s="1143"/>
      <c r="B83" s="1144"/>
      <c r="C83" s="1144"/>
      <c r="D83" s="1144"/>
      <c r="E83" s="1145">
        <v>76</v>
      </c>
      <c r="F83" s="1278" t="s">
        <v>232</v>
      </c>
      <c r="G83" s="875" t="s">
        <v>211</v>
      </c>
      <c r="H83" s="1076" t="s">
        <v>1350</v>
      </c>
      <c r="I83" s="1076" t="s">
        <v>592</v>
      </c>
      <c r="J83" s="876">
        <f t="shared" si="47"/>
        <v>8.3342465753424655</v>
      </c>
      <c r="K83" s="877" t="s">
        <v>1238</v>
      </c>
      <c r="L83" s="1147">
        <v>37800000</v>
      </c>
      <c r="M83" s="1279" t="s">
        <v>466</v>
      </c>
      <c r="N83" s="1280">
        <v>96.075000000000003</v>
      </c>
      <c r="O83" s="881">
        <v>6.75</v>
      </c>
      <c r="P83" s="1282" t="s">
        <v>1349</v>
      </c>
      <c r="Q83" s="882"/>
      <c r="R83" s="1077"/>
      <c r="S83" s="1153">
        <v>41872</v>
      </c>
      <c r="T83" s="1153">
        <v>41873</v>
      </c>
      <c r="U83" s="1154" t="s">
        <v>246</v>
      </c>
      <c r="V83" s="1154"/>
      <c r="W83" s="1281">
        <v>36316350</v>
      </c>
      <c r="X83" s="886">
        <v>7.8</v>
      </c>
      <c r="Y83" s="886">
        <f t="shared" si="48"/>
        <v>283267530</v>
      </c>
      <c r="Z83" s="886"/>
      <c r="AA83" s="887">
        <v>6.125</v>
      </c>
      <c r="AB83" s="888">
        <v>44915</v>
      </c>
      <c r="AC83" s="889">
        <f t="shared" si="49"/>
        <v>8.3369863013698637</v>
      </c>
      <c r="AD83" s="1152"/>
      <c r="AF83" s="891"/>
      <c r="AG83" s="892"/>
    </row>
    <row r="84" spans="1:33" s="1146" customFormat="1" ht="16.5">
      <c r="A84" s="1143"/>
      <c r="B84" s="1144"/>
      <c r="C84" s="1144"/>
      <c r="D84" s="1144"/>
      <c r="E84" s="1145">
        <v>76</v>
      </c>
      <c r="F84" s="1278" t="s">
        <v>232</v>
      </c>
      <c r="G84" s="875" t="s">
        <v>211</v>
      </c>
      <c r="H84" s="1076" t="s">
        <v>1350</v>
      </c>
      <c r="I84" s="1076" t="s">
        <v>592</v>
      </c>
      <c r="J84" s="876">
        <f t="shared" ref="J84" si="50">(AB84-T84)/365</f>
        <v>8.3342465753424655</v>
      </c>
      <c r="K84" s="877" t="s">
        <v>1238</v>
      </c>
      <c r="L84" s="1147">
        <v>4200000</v>
      </c>
      <c r="M84" s="1279" t="s">
        <v>466</v>
      </c>
      <c r="N84" s="1280">
        <v>96.075000000000003</v>
      </c>
      <c r="O84" s="881">
        <v>6.75</v>
      </c>
      <c r="P84" s="1282" t="s">
        <v>1349</v>
      </c>
      <c r="Q84" s="882"/>
      <c r="R84" s="1077"/>
      <c r="S84" s="1153">
        <v>41872</v>
      </c>
      <c r="T84" s="1153">
        <v>41873</v>
      </c>
      <c r="U84" s="1154" t="s">
        <v>246</v>
      </c>
      <c r="V84" s="1154"/>
      <c r="W84" s="1281">
        <v>4035150</v>
      </c>
      <c r="X84" s="886">
        <v>7.8</v>
      </c>
      <c r="Y84" s="886">
        <f t="shared" ref="Y84" si="51">X84*W84</f>
        <v>31474170</v>
      </c>
      <c r="Z84" s="886"/>
      <c r="AA84" s="887">
        <v>6.125</v>
      </c>
      <c r="AB84" s="888">
        <v>44915</v>
      </c>
      <c r="AC84" s="889">
        <f t="shared" ref="AC84" si="52">(AB84-S84)/365</f>
        <v>8.3369863013698637</v>
      </c>
      <c r="AD84" s="1152"/>
      <c r="AF84" s="891"/>
      <c r="AG84" s="892"/>
    </row>
    <row r="85" spans="1:33" s="944" customFormat="1" ht="39.75" customHeight="1">
      <c r="A85" s="941"/>
      <c r="B85" s="942"/>
      <c r="C85" s="942"/>
      <c r="D85" s="942"/>
      <c r="E85" s="943">
        <v>77</v>
      </c>
      <c r="F85" s="967" t="s">
        <v>1281</v>
      </c>
      <c r="G85" s="945" t="s">
        <v>1285</v>
      </c>
      <c r="H85" s="947" t="s">
        <v>1338</v>
      </c>
      <c r="I85" s="947" t="s">
        <v>516</v>
      </c>
      <c r="J85" s="948" t="s">
        <v>1337</v>
      </c>
      <c r="K85" s="964" t="s">
        <v>1238</v>
      </c>
      <c r="L85" s="950">
        <v>10000000</v>
      </c>
      <c r="M85" s="964" t="s">
        <v>466</v>
      </c>
      <c r="N85" s="951">
        <v>104.5</v>
      </c>
      <c r="O85" s="958">
        <v>6.1199700000000004</v>
      </c>
      <c r="P85" s="952" t="s">
        <v>583</v>
      </c>
      <c r="Q85" s="953" t="s">
        <v>585</v>
      </c>
      <c r="R85" s="1283" t="s">
        <v>586</v>
      </c>
      <c r="S85" s="1283">
        <v>41877</v>
      </c>
      <c r="T85" s="954">
        <v>41880</v>
      </c>
      <c r="U85" s="955" t="s">
        <v>246</v>
      </c>
      <c r="V85" s="956"/>
      <c r="W85" s="956">
        <v>10705763.890000001</v>
      </c>
      <c r="X85" s="957">
        <v>7.8</v>
      </c>
      <c r="Y85" s="956">
        <f t="shared" ref="Y85:Y90" si="53">X85*W85</f>
        <v>83504958.342000008</v>
      </c>
      <c r="Z85" s="1013"/>
      <c r="AA85" s="1013">
        <v>7.25</v>
      </c>
      <c r="AB85" s="959" t="s">
        <v>1337</v>
      </c>
      <c r="AC85" s="960" t="s">
        <v>1337</v>
      </c>
      <c r="AE85" s="962"/>
      <c r="AF85" s="963"/>
    </row>
    <row r="86" spans="1:33" s="944" customFormat="1" ht="39.75" customHeight="1">
      <c r="A86" s="941"/>
      <c r="B86" s="942"/>
      <c r="C86" s="942"/>
      <c r="D86" s="942"/>
      <c r="E86" s="943">
        <v>78</v>
      </c>
      <c r="F86" s="967" t="s">
        <v>1281</v>
      </c>
      <c r="G86" s="945" t="s">
        <v>1285</v>
      </c>
      <c r="H86" s="947" t="s">
        <v>1338</v>
      </c>
      <c r="I86" s="947" t="s">
        <v>516</v>
      </c>
      <c r="J86" s="948" t="s">
        <v>1337</v>
      </c>
      <c r="K86" s="964" t="s">
        <v>1238</v>
      </c>
      <c r="L86" s="950">
        <v>500000</v>
      </c>
      <c r="M86" s="964" t="s">
        <v>466</v>
      </c>
      <c r="N86" s="951">
        <v>105</v>
      </c>
      <c r="O86" s="958">
        <v>5.9984320000000002</v>
      </c>
      <c r="P86" s="952" t="s">
        <v>1073</v>
      </c>
      <c r="Q86" s="953" t="s">
        <v>48</v>
      </c>
      <c r="R86" s="1283" t="s">
        <v>254</v>
      </c>
      <c r="S86" s="1283">
        <v>41877</v>
      </c>
      <c r="T86" s="954">
        <v>41880</v>
      </c>
      <c r="U86" s="955" t="s">
        <v>246</v>
      </c>
      <c r="V86" s="956"/>
      <c r="W86" s="956">
        <v>537788.18999999994</v>
      </c>
      <c r="X86" s="957">
        <v>7.8</v>
      </c>
      <c r="Y86" s="956">
        <f t="shared" si="53"/>
        <v>4194747.8819999993</v>
      </c>
      <c r="Z86" s="1013"/>
      <c r="AA86" s="1013">
        <v>7.25</v>
      </c>
      <c r="AB86" s="959" t="s">
        <v>1337</v>
      </c>
      <c r="AC86" s="960" t="s">
        <v>1337</v>
      </c>
      <c r="AE86" s="962"/>
      <c r="AF86" s="963"/>
    </row>
    <row r="87" spans="1:33" s="944" customFormat="1" ht="39.75" customHeight="1">
      <c r="A87" s="941"/>
      <c r="B87" s="942"/>
      <c r="C87" s="942"/>
      <c r="D87" s="942"/>
      <c r="E87" s="943">
        <v>79</v>
      </c>
      <c r="F87" s="967" t="s">
        <v>1281</v>
      </c>
      <c r="G87" s="945" t="s">
        <v>1285</v>
      </c>
      <c r="H87" s="947" t="s">
        <v>1338</v>
      </c>
      <c r="I87" s="947" t="s">
        <v>516</v>
      </c>
      <c r="J87" s="948" t="s">
        <v>1337</v>
      </c>
      <c r="K87" s="964" t="s">
        <v>1238</v>
      </c>
      <c r="L87" s="950">
        <v>500000</v>
      </c>
      <c r="M87" s="964" t="s">
        <v>466</v>
      </c>
      <c r="N87" s="951">
        <v>104.8</v>
      </c>
      <c r="O87" s="958">
        <v>6.0469600000000003</v>
      </c>
      <c r="P87" s="952" t="s">
        <v>1175</v>
      </c>
      <c r="Q87" s="953" t="s">
        <v>1176</v>
      </c>
      <c r="R87" s="1283" t="s">
        <v>1177</v>
      </c>
      <c r="S87" s="1283">
        <v>41877</v>
      </c>
      <c r="T87" s="954">
        <v>41880</v>
      </c>
      <c r="U87" s="955" t="s">
        <v>246</v>
      </c>
      <c r="V87" s="956"/>
      <c r="W87" s="956">
        <v>536788.18999999994</v>
      </c>
      <c r="X87" s="957">
        <v>7.8</v>
      </c>
      <c r="Y87" s="956">
        <f t="shared" si="53"/>
        <v>4186947.8819999993</v>
      </c>
      <c r="Z87" s="1013"/>
      <c r="AA87" s="1013">
        <v>7.25</v>
      </c>
      <c r="AB87" s="959" t="s">
        <v>1337</v>
      </c>
      <c r="AC87" s="960" t="s">
        <v>1337</v>
      </c>
      <c r="AE87" s="962"/>
      <c r="AF87" s="963"/>
    </row>
    <row r="88" spans="1:33" s="741" customFormat="1" ht="39.75" customHeight="1">
      <c r="A88" s="823"/>
      <c r="B88" s="740"/>
      <c r="C88" s="740"/>
      <c r="D88" s="740"/>
      <c r="E88" s="759">
        <v>80</v>
      </c>
      <c r="F88" s="761" t="s">
        <v>365</v>
      </c>
      <c r="G88" s="742" t="s">
        <v>367</v>
      </c>
      <c r="H88" s="760" t="s">
        <v>366</v>
      </c>
      <c r="I88" s="760" t="s">
        <v>363</v>
      </c>
      <c r="J88" s="744">
        <f>(AB88-T88)/365</f>
        <v>8.3972602739726021</v>
      </c>
      <c r="K88" s="762" t="s">
        <v>1238</v>
      </c>
      <c r="L88" s="746">
        <v>1000000</v>
      </c>
      <c r="M88" s="745" t="s">
        <v>466</v>
      </c>
      <c r="N88" s="747">
        <v>91</v>
      </c>
      <c r="O88" s="753">
        <v>5.8729100000000001</v>
      </c>
      <c r="P88" s="763" t="s">
        <v>677</v>
      </c>
      <c r="Q88" s="764" t="s">
        <v>1219</v>
      </c>
      <c r="R88" s="796" t="s">
        <v>1220</v>
      </c>
      <c r="S88" s="1242">
        <v>41879</v>
      </c>
      <c r="T88" s="796">
        <v>41885</v>
      </c>
      <c r="U88" s="750" t="s">
        <v>246</v>
      </c>
      <c r="V88" s="751"/>
      <c r="W88" s="751">
        <v>914875</v>
      </c>
      <c r="X88" s="751">
        <v>7.8</v>
      </c>
      <c r="Y88" s="751">
        <f t="shared" si="53"/>
        <v>7136025</v>
      </c>
      <c r="Z88" s="765"/>
      <c r="AA88" s="753">
        <v>4.5</v>
      </c>
      <c r="AB88" s="800">
        <v>44950</v>
      </c>
      <c r="AC88" s="754">
        <f t="shared" ref="AC88" si="54">(AB88-S88)/365</f>
        <v>8.4136986301369863</v>
      </c>
      <c r="AE88" s="756"/>
      <c r="AF88" s="757"/>
    </row>
    <row r="89" spans="1:33" s="611" customFormat="1" ht="39.75" customHeight="1">
      <c r="A89" s="608"/>
      <c r="B89" s="609"/>
      <c r="C89" s="609"/>
      <c r="D89" s="609"/>
      <c r="E89" s="610">
        <v>81</v>
      </c>
      <c r="F89" s="834" t="s">
        <v>1281</v>
      </c>
      <c r="G89" s="612" t="s">
        <v>1285</v>
      </c>
      <c r="H89" s="835" t="s">
        <v>1338</v>
      </c>
      <c r="I89" s="835" t="s">
        <v>516</v>
      </c>
      <c r="J89" s="614" t="s">
        <v>1337</v>
      </c>
      <c r="K89" s="615" t="s">
        <v>1238</v>
      </c>
      <c r="L89" s="616">
        <v>3000000</v>
      </c>
      <c r="M89" s="615" t="s">
        <v>466</v>
      </c>
      <c r="N89" s="837">
        <v>104.45</v>
      </c>
      <c r="O89" s="625">
        <v>6.1295000000000002</v>
      </c>
      <c r="P89" s="1243" t="s">
        <v>1133</v>
      </c>
      <c r="Q89" s="838" t="s">
        <v>684</v>
      </c>
      <c r="R89" s="1244" t="s">
        <v>1351</v>
      </c>
      <c r="S89" s="1244">
        <v>41883</v>
      </c>
      <c r="T89" s="1244">
        <v>41886</v>
      </c>
      <c r="U89" s="622" t="s">
        <v>246</v>
      </c>
      <c r="V89" s="623"/>
      <c r="W89" s="623">
        <v>3213250</v>
      </c>
      <c r="X89" s="624">
        <v>7.8</v>
      </c>
      <c r="Y89" s="623">
        <f t="shared" si="53"/>
        <v>25063350</v>
      </c>
      <c r="Z89" s="1245"/>
      <c r="AA89" s="1245">
        <v>7.25</v>
      </c>
      <c r="AB89" s="689" t="s">
        <v>1337</v>
      </c>
      <c r="AC89" s="626" t="s">
        <v>1337</v>
      </c>
      <c r="AE89" s="627"/>
      <c r="AF89" s="628"/>
    </row>
    <row r="90" spans="1:33" s="1333" customFormat="1" ht="39.75" customHeight="1">
      <c r="A90" s="1312"/>
      <c r="B90" s="1313"/>
      <c r="C90" s="1313"/>
      <c r="D90" s="1313"/>
      <c r="E90" s="1314">
        <v>82</v>
      </c>
      <c r="F90" s="1315" t="s">
        <v>365</v>
      </c>
      <c r="G90" s="1316" t="s">
        <v>367</v>
      </c>
      <c r="H90" s="1317" t="s">
        <v>366</v>
      </c>
      <c r="I90" s="1317" t="s">
        <v>363</v>
      </c>
      <c r="J90" s="1318">
        <f>(AB90-T90)/365</f>
        <v>8.3917808219178074</v>
      </c>
      <c r="K90" s="1319" t="s">
        <v>1238</v>
      </c>
      <c r="L90" s="1320">
        <v>1000000</v>
      </c>
      <c r="M90" s="1321" t="s">
        <v>466</v>
      </c>
      <c r="N90" s="1322">
        <v>90.9</v>
      </c>
      <c r="O90" s="1323">
        <v>5.8898000000000001</v>
      </c>
      <c r="P90" s="1324" t="s">
        <v>677</v>
      </c>
      <c r="Q90" s="1325" t="s">
        <v>1219</v>
      </c>
      <c r="R90" s="1326" t="s">
        <v>1220</v>
      </c>
      <c r="S90" s="1327">
        <v>41884</v>
      </c>
      <c r="T90" s="1326">
        <v>41887</v>
      </c>
      <c r="U90" s="1328" t="s">
        <v>246</v>
      </c>
      <c r="V90" s="1329"/>
      <c r="W90" s="1329">
        <v>914125</v>
      </c>
      <c r="X90" s="1329">
        <v>7.8</v>
      </c>
      <c r="Y90" s="1329">
        <f t="shared" si="53"/>
        <v>7130175</v>
      </c>
      <c r="Z90" s="1330"/>
      <c r="AA90" s="1323">
        <v>4.5</v>
      </c>
      <c r="AB90" s="1331">
        <v>44950</v>
      </c>
      <c r="AC90" s="1332">
        <f t="shared" ref="AC90" si="55">(AB90-S90)/365</f>
        <v>8.4</v>
      </c>
      <c r="AE90" s="1334"/>
      <c r="AF90" s="1335"/>
    </row>
    <row r="91" spans="1:33" s="1146" customFormat="1" ht="39.75" customHeight="1">
      <c r="A91" s="1143"/>
      <c r="B91" s="1144"/>
      <c r="C91" s="1144"/>
      <c r="D91" s="1144"/>
      <c r="E91" s="1145">
        <v>83</v>
      </c>
      <c r="F91" s="1278" t="s">
        <v>1281</v>
      </c>
      <c r="G91" s="875" t="s">
        <v>1285</v>
      </c>
      <c r="H91" s="1076" t="s">
        <v>1338</v>
      </c>
      <c r="I91" s="1076" t="s">
        <v>516</v>
      </c>
      <c r="J91" s="876" t="s">
        <v>1337</v>
      </c>
      <c r="K91" s="877" t="s">
        <v>1238</v>
      </c>
      <c r="L91" s="1147">
        <v>2000000</v>
      </c>
      <c r="M91" s="877" t="s">
        <v>466</v>
      </c>
      <c r="N91" s="1149">
        <v>104.5</v>
      </c>
      <c r="O91" s="881">
        <v>6.1151229999999996</v>
      </c>
      <c r="P91" s="882" t="s">
        <v>1046</v>
      </c>
      <c r="Q91" s="1077" t="s">
        <v>1332</v>
      </c>
      <c r="R91" s="1336" t="s">
        <v>1333</v>
      </c>
      <c r="S91" s="1336">
        <v>41885</v>
      </c>
      <c r="T91" s="1336">
        <v>41890</v>
      </c>
      <c r="U91" s="1154" t="s">
        <v>246</v>
      </c>
      <c r="V91" s="886"/>
      <c r="W91" s="886">
        <v>2144777.7799999998</v>
      </c>
      <c r="X91" s="1155">
        <v>7.8</v>
      </c>
      <c r="Y91" s="886">
        <f t="shared" ref="Y91:Y92" si="56">X91*W91</f>
        <v>16729266.683999998</v>
      </c>
      <c r="Z91" s="887"/>
      <c r="AA91" s="887">
        <v>7.25</v>
      </c>
      <c r="AB91" s="888" t="s">
        <v>1337</v>
      </c>
      <c r="AC91" s="889" t="s">
        <v>1337</v>
      </c>
      <c r="AE91" s="891"/>
      <c r="AF91" s="892"/>
    </row>
    <row r="92" spans="1:33" s="1333" customFormat="1" ht="39.75" customHeight="1">
      <c r="A92" s="1312"/>
      <c r="B92" s="1313"/>
      <c r="C92" s="1313"/>
      <c r="D92" s="1313"/>
      <c r="E92" s="1314">
        <v>84</v>
      </c>
      <c r="F92" s="1315" t="s">
        <v>365</v>
      </c>
      <c r="G92" s="1316" t="s">
        <v>367</v>
      </c>
      <c r="H92" s="1317" t="s">
        <v>366</v>
      </c>
      <c r="I92" s="1317" t="s">
        <v>363</v>
      </c>
      <c r="J92" s="1318">
        <f>(AB92-T92)/365</f>
        <v>8.3808219178082197</v>
      </c>
      <c r="K92" s="1319" t="s">
        <v>1238</v>
      </c>
      <c r="L92" s="1320">
        <v>2000000</v>
      </c>
      <c r="M92" s="1321" t="s">
        <v>466</v>
      </c>
      <c r="N92" s="1322">
        <v>90.9</v>
      </c>
      <c r="O92" s="1323">
        <v>5.8912500000000003</v>
      </c>
      <c r="P92" s="1324" t="s">
        <v>677</v>
      </c>
      <c r="Q92" s="1325" t="s">
        <v>1219</v>
      </c>
      <c r="R92" s="1326" t="s">
        <v>1220</v>
      </c>
      <c r="S92" s="1327">
        <v>41886</v>
      </c>
      <c r="T92" s="1326">
        <v>41891</v>
      </c>
      <c r="U92" s="1328" t="s">
        <v>246</v>
      </c>
      <c r="V92" s="1329"/>
      <c r="W92" s="1329">
        <v>1829250</v>
      </c>
      <c r="X92" s="1329">
        <v>7.8</v>
      </c>
      <c r="Y92" s="1329">
        <f t="shared" si="56"/>
        <v>14268150</v>
      </c>
      <c r="Z92" s="1330"/>
      <c r="AA92" s="1323">
        <v>4.5</v>
      </c>
      <c r="AB92" s="1331">
        <v>44950</v>
      </c>
      <c r="AC92" s="1332">
        <f t="shared" ref="AC92" si="57">(AB92-S92)/365</f>
        <v>8.3945205479452056</v>
      </c>
      <c r="AE92" s="1334"/>
      <c r="AF92" s="1335"/>
    </row>
    <row r="93" spans="1:33" s="1333" customFormat="1" ht="39.75" customHeight="1">
      <c r="A93" s="1312"/>
      <c r="B93" s="1313"/>
      <c r="C93" s="1313"/>
      <c r="D93" s="1313"/>
      <c r="E93" s="1314">
        <v>85</v>
      </c>
      <c r="F93" s="1315" t="s">
        <v>365</v>
      </c>
      <c r="G93" s="1316" t="s">
        <v>367</v>
      </c>
      <c r="H93" s="1317" t="s">
        <v>366</v>
      </c>
      <c r="I93" s="1317" t="s">
        <v>363</v>
      </c>
      <c r="J93" s="1318">
        <f>(AB93-T93)/365</f>
        <v>8.3808219178082197</v>
      </c>
      <c r="K93" s="1319" t="s">
        <v>1238</v>
      </c>
      <c r="L93" s="1320">
        <v>2000000</v>
      </c>
      <c r="M93" s="1321" t="s">
        <v>466</v>
      </c>
      <c r="N93" s="1322">
        <v>90.95</v>
      </c>
      <c r="O93" s="1317">
        <v>5.8831499999999997</v>
      </c>
      <c r="P93" s="1324" t="s">
        <v>331</v>
      </c>
      <c r="Q93" s="1325" t="s">
        <v>25</v>
      </c>
      <c r="R93" s="1326" t="s">
        <v>26</v>
      </c>
      <c r="S93" s="1327">
        <v>41886</v>
      </c>
      <c r="T93" s="1326">
        <v>41891</v>
      </c>
      <c r="U93" s="1328" t="s">
        <v>246</v>
      </c>
      <c r="V93" s="1329"/>
      <c r="W93" s="1329">
        <v>1830250</v>
      </c>
      <c r="X93" s="1329">
        <v>7.8</v>
      </c>
      <c r="Y93" s="1329">
        <f t="shared" ref="Y93:Y95" si="58">X93*W93</f>
        <v>14275950</v>
      </c>
      <c r="Z93" s="1330"/>
      <c r="AA93" s="1323">
        <v>4.5</v>
      </c>
      <c r="AB93" s="1331">
        <v>44950</v>
      </c>
      <c r="AC93" s="1332">
        <f t="shared" ref="AC93" si="59">(AB93-S93)/365</f>
        <v>8.3945205479452056</v>
      </c>
      <c r="AE93" s="1334"/>
      <c r="AF93" s="1335"/>
    </row>
    <row r="94" spans="1:33" s="1209" customFormat="1" ht="39.75" customHeight="1">
      <c r="A94" s="1206"/>
      <c r="B94" s="1207"/>
      <c r="C94" s="1207"/>
      <c r="D94" s="1207"/>
      <c r="E94" s="1208">
        <v>86</v>
      </c>
      <c r="F94" s="1344" t="s">
        <v>1281</v>
      </c>
      <c r="G94" s="1024" t="s">
        <v>1285</v>
      </c>
      <c r="H94" s="1025" t="s">
        <v>1338</v>
      </c>
      <c r="I94" s="1025" t="s">
        <v>516</v>
      </c>
      <c r="J94" s="1026" t="s">
        <v>1337</v>
      </c>
      <c r="K94" s="1027" t="s">
        <v>1238</v>
      </c>
      <c r="L94" s="1212">
        <v>1000000</v>
      </c>
      <c r="M94" s="1027" t="s">
        <v>466</v>
      </c>
      <c r="N94" s="1213">
        <v>104.4</v>
      </c>
      <c r="O94" s="1218">
        <v>6.1385800000000001</v>
      </c>
      <c r="P94" s="1031" t="s">
        <v>677</v>
      </c>
      <c r="Q94" s="1032" t="s">
        <v>1219</v>
      </c>
      <c r="R94" s="1345" t="s">
        <v>1220</v>
      </c>
      <c r="S94" s="1345">
        <v>41887</v>
      </c>
      <c r="T94" s="1345">
        <v>41892</v>
      </c>
      <c r="U94" s="1216" t="s">
        <v>246</v>
      </c>
      <c r="V94" s="1037"/>
      <c r="W94" s="1037">
        <v>1071791.67</v>
      </c>
      <c r="X94" s="1217">
        <v>7.8</v>
      </c>
      <c r="Y94" s="1037">
        <f t="shared" si="58"/>
        <v>8359975.0259999996</v>
      </c>
      <c r="Z94" s="1038"/>
      <c r="AA94" s="1038">
        <v>7.25</v>
      </c>
      <c r="AB94" s="1039" t="s">
        <v>1337</v>
      </c>
      <c r="AC94" s="1040" t="s">
        <v>1337</v>
      </c>
      <c r="AE94" s="1042"/>
      <c r="AF94" s="1043"/>
    </row>
    <row r="95" spans="1:33" s="1209" customFormat="1" ht="39.75" customHeight="1">
      <c r="A95" s="1206"/>
      <c r="B95" s="1207"/>
      <c r="C95" s="1207"/>
      <c r="D95" s="1207"/>
      <c r="E95" s="1208">
        <v>87</v>
      </c>
      <c r="F95" s="1344" t="s">
        <v>365</v>
      </c>
      <c r="G95" s="1024" t="s">
        <v>367</v>
      </c>
      <c r="H95" s="1025" t="s">
        <v>366</v>
      </c>
      <c r="I95" s="1025" t="s">
        <v>363</v>
      </c>
      <c r="J95" s="1026">
        <f>(AB95-T95)/365</f>
        <v>8.3780821917808215</v>
      </c>
      <c r="K95" s="1027" t="s">
        <v>1238</v>
      </c>
      <c r="L95" s="1212">
        <v>1000000</v>
      </c>
      <c r="M95" s="1211" t="s">
        <v>466</v>
      </c>
      <c r="N95" s="1213">
        <v>91</v>
      </c>
      <c r="O95" s="1218">
        <v>5.8754299999999997</v>
      </c>
      <c r="P95" s="1031" t="s">
        <v>331</v>
      </c>
      <c r="Q95" s="1032" t="s">
        <v>25</v>
      </c>
      <c r="R95" s="1215" t="s">
        <v>26</v>
      </c>
      <c r="S95" s="1345">
        <v>41887</v>
      </c>
      <c r="T95" s="1345">
        <v>41892</v>
      </c>
      <c r="U95" s="1216" t="s">
        <v>246</v>
      </c>
      <c r="V95" s="1037"/>
      <c r="W95" s="1037">
        <v>915750</v>
      </c>
      <c r="X95" s="1037">
        <v>7.8</v>
      </c>
      <c r="Y95" s="1037">
        <f t="shared" si="58"/>
        <v>7142850</v>
      </c>
      <c r="Z95" s="1038"/>
      <c r="AA95" s="1218">
        <v>4.5</v>
      </c>
      <c r="AB95" s="1039">
        <v>44950</v>
      </c>
      <c r="AC95" s="1040">
        <f t="shared" ref="AC95:AC96" si="60">(AB95-S95)/365</f>
        <v>8.3917808219178074</v>
      </c>
      <c r="AE95" s="1042"/>
      <c r="AF95" s="1043"/>
    </row>
    <row r="96" spans="1:33" s="1209" customFormat="1" ht="39.75" customHeight="1">
      <c r="A96" s="1206"/>
      <c r="B96" s="1207"/>
      <c r="C96" s="1207"/>
      <c r="D96" s="1207"/>
      <c r="E96" s="1208">
        <v>88</v>
      </c>
      <c r="F96" s="1344" t="s">
        <v>365</v>
      </c>
      <c r="G96" s="1024" t="s">
        <v>367</v>
      </c>
      <c r="H96" s="1025" t="s">
        <v>366</v>
      </c>
      <c r="I96" s="1025" t="s">
        <v>363</v>
      </c>
      <c r="J96" s="1026">
        <f>(AB96-T96)/365</f>
        <v>8.3780821917808215</v>
      </c>
      <c r="K96" s="1027" t="s">
        <v>1238</v>
      </c>
      <c r="L96" s="1212">
        <v>1000000</v>
      </c>
      <c r="M96" s="1211" t="s">
        <v>466</v>
      </c>
      <c r="N96" s="1213">
        <v>91</v>
      </c>
      <c r="O96" s="1025">
        <v>5.875426</v>
      </c>
      <c r="P96" s="1031" t="s">
        <v>1046</v>
      </c>
      <c r="Q96" s="1032" t="s">
        <v>1332</v>
      </c>
      <c r="R96" s="1215" t="s">
        <v>1333</v>
      </c>
      <c r="S96" s="1345">
        <v>41887</v>
      </c>
      <c r="T96" s="1345">
        <v>41892</v>
      </c>
      <c r="U96" s="1216" t="s">
        <v>246</v>
      </c>
      <c r="V96" s="1037"/>
      <c r="W96" s="1037">
        <v>915750</v>
      </c>
      <c r="X96" s="1037">
        <v>7.8</v>
      </c>
      <c r="Y96" s="1037">
        <f t="shared" ref="Y96:Y97" si="61">X96*W96</f>
        <v>7142850</v>
      </c>
      <c r="Z96" s="1038"/>
      <c r="AA96" s="1218">
        <v>4.5</v>
      </c>
      <c r="AB96" s="1039">
        <v>44950</v>
      </c>
      <c r="AC96" s="1040">
        <f t="shared" si="60"/>
        <v>8.3917808219178074</v>
      </c>
      <c r="AE96" s="1042"/>
      <c r="AF96" s="1043"/>
    </row>
    <row r="97" spans="1:33" s="1209" customFormat="1" ht="39.75" customHeight="1">
      <c r="A97" s="1206"/>
      <c r="B97" s="1207"/>
      <c r="C97" s="1207"/>
      <c r="D97" s="1207"/>
      <c r="E97" s="1208">
        <v>89</v>
      </c>
      <c r="F97" s="1344" t="s">
        <v>365</v>
      </c>
      <c r="G97" s="1024" t="s">
        <v>367</v>
      </c>
      <c r="H97" s="1025" t="s">
        <v>366</v>
      </c>
      <c r="I97" s="1025" t="s">
        <v>363</v>
      </c>
      <c r="J97" s="1026">
        <f>(AB97-T97)/365</f>
        <v>8.3780821917808215</v>
      </c>
      <c r="K97" s="1027" t="s">
        <v>1238</v>
      </c>
      <c r="L97" s="1212">
        <v>1000000</v>
      </c>
      <c r="M97" s="1211" t="s">
        <v>466</v>
      </c>
      <c r="N97" s="1213">
        <v>91.1</v>
      </c>
      <c r="O97" s="1218">
        <v>5.8592599999999999</v>
      </c>
      <c r="P97" s="1031" t="s">
        <v>331</v>
      </c>
      <c r="Q97" s="1032" t="s">
        <v>25</v>
      </c>
      <c r="R97" s="1215" t="s">
        <v>26</v>
      </c>
      <c r="S97" s="1345">
        <v>41887</v>
      </c>
      <c r="T97" s="1345">
        <v>41892</v>
      </c>
      <c r="U97" s="1216" t="s">
        <v>246</v>
      </c>
      <c r="V97" s="1037"/>
      <c r="W97" s="1037">
        <v>916750</v>
      </c>
      <c r="X97" s="1037">
        <v>7.8</v>
      </c>
      <c r="Y97" s="1037">
        <f t="shared" si="61"/>
        <v>7150650</v>
      </c>
      <c r="Z97" s="1038"/>
      <c r="AA97" s="1218">
        <v>4.5</v>
      </c>
      <c r="AB97" s="1039">
        <v>44950</v>
      </c>
      <c r="AC97" s="1040">
        <f t="shared" ref="AC97" si="62">(AB97-S97)/365</f>
        <v>8.3917808219178074</v>
      </c>
      <c r="AE97" s="1042"/>
      <c r="AF97" s="1043"/>
    </row>
    <row r="98" spans="1:33" s="1209" customFormat="1" ht="39.75" customHeight="1">
      <c r="A98" s="1206"/>
      <c r="B98" s="1207"/>
      <c r="C98" s="1207"/>
      <c r="D98" s="1207"/>
      <c r="E98" s="1208">
        <v>90</v>
      </c>
      <c r="F98" s="1344" t="s">
        <v>365</v>
      </c>
      <c r="G98" s="1024" t="s">
        <v>367</v>
      </c>
      <c r="H98" s="1025" t="s">
        <v>366</v>
      </c>
      <c r="I98" s="1025" t="s">
        <v>363</v>
      </c>
      <c r="J98" s="1026">
        <f>(AB98-T98)/365</f>
        <v>8.3780821917808215</v>
      </c>
      <c r="K98" s="1027" t="s">
        <v>1238</v>
      </c>
      <c r="L98" s="1212">
        <v>15000000</v>
      </c>
      <c r="M98" s="1211" t="s">
        <v>466</v>
      </c>
      <c r="N98" s="1213">
        <v>91.15</v>
      </c>
      <c r="O98" s="1218">
        <v>5.8511850000000001</v>
      </c>
      <c r="P98" s="1031" t="s">
        <v>1046</v>
      </c>
      <c r="Q98" s="1032" t="s">
        <v>1332</v>
      </c>
      <c r="R98" s="1215" t="s">
        <v>1333</v>
      </c>
      <c r="S98" s="1345">
        <v>41887</v>
      </c>
      <c r="T98" s="1345">
        <v>41892</v>
      </c>
      <c r="U98" s="1216" t="s">
        <v>246</v>
      </c>
      <c r="V98" s="1037"/>
      <c r="W98" s="1037">
        <v>13758750</v>
      </c>
      <c r="X98" s="1037">
        <v>7.8</v>
      </c>
      <c r="Y98" s="1037">
        <f t="shared" ref="Y98:Y100" si="63">X98*W98</f>
        <v>107318250</v>
      </c>
      <c r="Z98" s="1038"/>
      <c r="AA98" s="1218">
        <v>4.5</v>
      </c>
      <c r="AB98" s="1039">
        <v>44950</v>
      </c>
      <c r="AC98" s="1040">
        <f t="shared" ref="AC98" si="64">(AB98-S98)/365</f>
        <v>8.3917808219178074</v>
      </c>
      <c r="AE98" s="1042"/>
      <c r="AF98" s="1043"/>
    </row>
    <row r="99" spans="1:33" s="770" customFormat="1" ht="39.75" customHeight="1">
      <c r="A99" s="1355"/>
      <c r="B99" s="769"/>
      <c r="C99" s="769"/>
      <c r="D99" s="769"/>
      <c r="E99" s="781">
        <v>91</v>
      </c>
      <c r="F99" s="783" t="s">
        <v>1281</v>
      </c>
      <c r="G99" s="771" t="s">
        <v>1285</v>
      </c>
      <c r="H99" s="782" t="s">
        <v>1338</v>
      </c>
      <c r="I99" s="782" t="s">
        <v>516</v>
      </c>
      <c r="J99" s="772" t="s">
        <v>1337</v>
      </c>
      <c r="K99" s="784" t="s">
        <v>1238</v>
      </c>
      <c r="L99" s="773">
        <v>1000000</v>
      </c>
      <c r="M99" s="784" t="s">
        <v>466</v>
      </c>
      <c r="N99" s="774">
        <v>103.75</v>
      </c>
      <c r="O99" s="777">
        <v>6.2947600000000001</v>
      </c>
      <c r="P99" s="785" t="s">
        <v>775</v>
      </c>
      <c r="Q99" s="786" t="s">
        <v>1259</v>
      </c>
      <c r="R99" s="1356" t="s">
        <v>1339</v>
      </c>
      <c r="S99" s="1356">
        <v>41898</v>
      </c>
      <c r="T99" s="1356">
        <v>41901</v>
      </c>
      <c r="U99" s="775" t="s">
        <v>246</v>
      </c>
      <c r="V99" s="776"/>
      <c r="W99" s="776">
        <v>1067104.17</v>
      </c>
      <c r="X99" s="788">
        <v>7.8</v>
      </c>
      <c r="Y99" s="776">
        <f t="shared" si="63"/>
        <v>8323412.5259999996</v>
      </c>
      <c r="Z99" s="787"/>
      <c r="AA99" s="787">
        <v>7.25</v>
      </c>
      <c r="AB99" s="1357" t="s">
        <v>1337</v>
      </c>
      <c r="AC99" s="778" t="s">
        <v>1337</v>
      </c>
      <c r="AE99" s="779"/>
      <c r="AF99" s="780"/>
    </row>
    <row r="100" spans="1:33" s="770" customFormat="1" ht="39.75" customHeight="1">
      <c r="A100" s="1355"/>
      <c r="B100" s="769"/>
      <c r="C100" s="769"/>
      <c r="D100" s="769"/>
      <c r="E100" s="781">
        <v>92</v>
      </c>
      <c r="F100" s="783" t="s">
        <v>1281</v>
      </c>
      <c r="G100" s="771" t="s">
        <v>1285</v>
      </c>
      <c r="H100" s="782" t="s">
        <v>1338</v>
      </c>
      <c r="I100" s="782" t="s">
        <v>516</v>
      </c>
      <c r="J100" s="772" t="s">
        <v>1337</v>
      </c>
      <c r="K100" s="784" t="s">
        <v>1238</v>
      </c>
      <c r="L100" s="773">
        <v>1000000</v>
      </c>
      <c r="M100" s="784" t="s">
        <v>466</v>
      </c>
      <c r="N100" s="774">
        <v>103</v>
      </c>
      <c r="O100" s="777">
        <v>6.4809000000000001</v>
      </c>
      <c r="P100" s="785" t="s">
        <v>775</v>
      </c>
      <c r="Q100" s="786" t="s">
        <v>1259</v>
      </c>
      <c r="R100" s="1356" t="s">
        <v>1339</v>
      </c>
      <c r="S100" s="1356">
        <v>41899</v>
      </c>
      <c r="T100" s="1356">
        <v>41904</v>
      </c>
      <c r="U100" s="775" t="s">
        <v>246</v>
      </c>
      <c r="V100" s="776"/>
      <c r="W100" s="776">
        <v>1060208.33</v>
      </c>
      <c r="X100" s="788">
        <v>7.8</v>
      </c>
      <c r="Y100" s="776">
        <f t="shared" si="63"/>
        <v>8269624.9740000004</v>
      </c>
      <c r="Z100" s="787"/>
      <c r="AA100" s="787">
        <v>7.25</v>
      </c>
      <c r="AB100" s="1357" t="s">
        <v>1337</v>
      </c>
      <c r="AC100" s="778" t="s">
        <v>1337</v>
      </c>
      <c r="AE100" s="779"/>
      <c r="AF100" s="780"/>
    </row>
    <row r="101" spans="1:33" s="770" customFormat="1" ht="39.75" customHeight="1">
      <c r="A101" s="1355"/>
      <c r="B101" s="769"/>
      <c r="C101" s="769"/>
      <c r="D101" s="769"/>
      <c r="E101" s="781">
        <v>93</v>
      </c>
      <c r="F101" s="783" t="s">
        <v>1281</v>
      </c>
      <c r="G101" s="771" t="s">
        <v>1285</v>
      </c>
      <c r="H101" s="782" t="s">
        <v>1338</v>
      </c>
      <c r="I101" s="782" t="s">
        <v>516</v>
      </c>
      <c r="J101" s="772" t="s">
        <v>1337</v>
      </c>
      <c r="K101" s="784" t="s">
        <v>1238</v>
      </c>
      <c r="L101" s="773">
        <v>2000000</v>
      </c>
      <c r="M101" s="784" t="s">
        <v>466</v>
      </c>
      <c r="N101" s="774">
        <v>102.75</v>
      </c>
      <c r="O101" s="777">
        <v>6.5437599999999998</v>
      </c>
      <c r="P101" s="785" t="s">
        <v>1311</v>
      </c>
      <c r="Q101" s="786" t="s">
        <v>1355</v>
      </c>
      <c r="R101" s="1356" t="s">
        <v>1356</v>
      </c>
      <c r="S101" s="1356">
        <v>41899</v>
      </c>
      <c r="T101" s="1356">
        <v>41904</v>
      </c>
      <c r="U101" s="775" t="s">
        <v>246</v>
      </c>
      <c r="V101" s="776"/>
      <c r="W101" s="776">
        <v>2115416.67</v>
      </c>
      <c r="X101" s="788">
        <v>7.8</v>
      </c>
      <c r="Y101" s="776">
        <f t="shared" ref="Y101" si="65">X101*W101</f>
        <v>16500250.025999999</v>
      </c>
      <c r="Z101" s="787"/>
      <c r="AA101" s="787">
        <v>7.25</v>
      </c>
      <c r="AB101" s="1357" t="s">
        <v>1337</v>
      </c>
      <c r="AC101" s="778" t="s">
        <v>1337</v>
      </c>
      <c r="AE101" s="779"/>
      <c r="AF101" s="780"/>
    </row>
    <row r="102" spans="1:33" s="770" customFormat="1" ht="39.75" customHeight="1">
      <c r="A102" s="1355"/>
      <c r="B102" s="769"/>
      <c r="C102" s="769"/>
      <c r="D102" s="769"/>
      <c r="E102" s="781">
        <v>94</v>
      </c>
      <c r="F102" s="783" t="s">
        <v>1281</v>
      </c>
      <c r="G102" s="771" t="s">
        <v>1285</v>
      </c>
      <c r="H102" s="782" t="s">
        <v>1338</v>
      </c>
      <c r="I102" s="782" t="s">
        <v>516</v>
      </c>
      <c r="J102" s="772" t="s">
        <v>1337</v>
      </c>
      <c r="K102" s="784" t="s">
        <v>1238</v>
      </c>
      <c r="L102" s="773">
        <v>3000000</v>
      </c>
      <c r="M102" s="784" t="s">
        <v>466</v>
      </c>
      <c r="N102" s="774">
        <v>102.75</v>
      </c>
      <c r="O102" s="777">
        <v>6.5434510000000001</v>
      </c>
      <c r="P102" s="785" t="s">
        <v>1311</v>
      </c>
      <c r="Q102" s="786" t="s">
        <v>1355</v>
      </c>
      <c r="R102" s="1356" t="s">
        <v>1356</v>
      </c>
      <c r="S102" s="1356">
        <v>41900</v>
      </c>
      <c r="T102" s="1356">
        <v>41905</v>
      </c>
      <c r="U102" s="775" t="s">
        <v>246</v>
      </c>
      <c r="V102" s="776"/>
      <c r="W102" s="776">
        <v>3173729.17</v>
      </c>
      <c r="X102" s="788">
        <v>7.8</v>
      </c>
      <c r="Y102" s="776">
        <f t="shared" ref="Y102" si="66">X102*W102</f>
        <v>24755087.526000001</v>
      </c>
      <c r="Z102" s="787"/>
      <c r="AA102" s="787">
        <v>7.25</v>
      </c>
      <c r="AB102" s="1357" t="s">
        <v>1337</v>
      </c>
      <c r="AC102" s="778" t="s">
        <v>1337</v>
      </c>
      <c r="AE102" s="779"/>
      <c r="AF102" s="780"/>
    </row>
    <row r="103" spans="1:33" s="770" customFormat="1" ht="39.75" customHeight="1">
      <c r="A103" s="1355"/>
      <c r="B103" s="769"/>
      <c r="C103" s="769"/>
      <c r="D103" s="769"/>
      <c r="E103" s="781">
        <v>95</v>
      </c>
      <c r="F103" s="783" t="s">
        <v>1281</v>
      </c>
      <c r="G103" s="771" t="s">
        <v>1285</v>
      </c>
      <c r="H103" s="782" t="s">
        <v>1338</v>
      </c>
      <c r="I103" s="782" t="s">
        <v>516</v>
      </c>
      <c r="J103" s="772" t="s">
        <v>1337</v>
      </c>
      <c r="K103" s="784" t="s">
        <v>1238</v>
      </c>
      <c r="L103" s="773">
        <v>1000000</v>
      </c>
      <c r="M103" s="784" t="s">
        <v>466</v>
      </c>
      <c r="N103" s="774">
        <v>102.875</v>
      </c>
      <c r="O103" s="777">
        <v>6.5119800000000003</v>
      </c>
      <c r="P103" s="785" t="s">
        <v>775</v>
      </c>
      <c r="Q103" s="786" t="s">
        <v>1259</v>
      </c>
      <c r="R103" s="1356" t="s">
        <v>1339</v>
      </c>
      <c r="S103" s="1356">
        <v>41900</v>
      </c>
      <c r="T103" s="1356">
        <v>41905</v>
      </c>
      <c r="U103" s="775" t="s">
        <v>246</v>
      </c>
      <c r="V103" s="776"/>
      <c r="W103" s="776">
        <v>1059159.72</v>
      </c>
      <c r="X103" s="788">
        <v>7.8</v>
      </c>
      <c r="Y103" s="776">
        <f t="shared" ref="Y103" si="67">X103*W103</f>
        <v>8261445.8159999996</v>
      </c>
      <c r="Z103" s="787"/>
      <c r="AA103" s="787">
        <v>7.25</v>
      </c>
      <c r="AB103" s="1357" t="s">
        <v>1337</v>
      </c>
      <c r="AC103" s="778" t="s">
        <v>1337</v>
      </c>
      <c r="AE103" s="779"/>
      <c r="AF103" s="780"/>
    </row>
    <row r="104" spans="1:33" s="770" customFormat="1" ht="39.75" customHeight="1">
      <c r="A104" s="1355"/>
      <c r="B104" s="769"/>
      <c r="C104" s="769"/>
      <c r="D104" s="769"/>
      <c r="E104" s="781">
        <v>96</v>
      </c>
      <c r="F104" s="783" t="s">
        <v>1281</v>
      </c>
      <c r="G104" s="771" t="s">
        <v>1285</v>
      </c>
      <c r="H104" s="782" t="s">
        <v>1338</v>
      </c>
      <c r="I104" s="782" t="s">
        <v>516</v>
      </c>
      <c r="J104" s="772" t="s">
        <v>1337</v>
      </c>
      <c r="K104" s="784" t="s">
        <v>1238</v>
      </c>
      <c r="L104" s="773">
        <v>3000000</v>
      </c>
      <c r="M104" s="784" t="s">
        <v>466</v>
      </c>
      <c r="N104" s="774">
        <v>103</v>
      </c>
      <c r="O104" s="777">
        <v>6.4802200000000001</v>
      </c>
      <c r="P104" s="785" t="s">
        <v>677</v>
      </c>
      <c r="Q104" s="786" t="s">
        <v>1219</v>
      </c>
      <c r="R104" s="1356" t="s">
        <v>1220</v>
      </c>
      <c r="S104" s="1356">
        <v>41901</v>
      </c>
      <c r="T104" s="1356">
        <v>41906</v>
      </c>
      <c r="U104" s="775" t="s">
        <v>246</v>
      </c>
      <c r="V104" s="776"/>
      <c r="W104" s="776">
        <v>3181833.33</v>
      </c>
      <c r="X104" s="788">
        <v>7.8</v>
      </c>
      <c r="Y104" s="776">
        <f t="shared" ref="Y104" si="68">X104*W104</f>
        <v>24818299.973999999</v>
      </c>
      <c r="Z104" s="787"/>
      <c r="AA104" s="787">
        <v>7.25</v>
      </c>
      <c r="AB104" s="1357" t="s">
        <v>1337</v>
      </c>
      <c r="AC104" s="778" t="s">
        <v>1337</v>
      </c>
      <c r="AE104" s="779"/>
      <c r="AF104" s="780"/>
    </row>
    <row r="105" spans="1:33" s="1378" customFormat="1" ht="39.75" customHeight="1">
      <c r="A105" s="1358"/>
      <c r="B105" s="1359"/>
      <c r="C105" s="1359"/>
      <c r="D105" s="1359"/>
      <c r="E105" s="1360">
        <v>97</v>
      </c>
      <c r="F105" s="1361" t="s">
        <v>1281</v>
      </c>
      <c r="G105" s="1362" t="s">
        <v>1285</v>
      </c>
      <c r="H105" s="1363" t="s">
        <v>1338</v>
      </c>
      <c r="I105" s="1363" t="s">
        <v>516</v>
      </c>
      <c r="J105" s="1364" t="s">
        <v>1337</v>
      </c>
      <c r="K105" s="1365" t="s">
        <v>1238</v>
      </c>
      <c r="L105" s="1366">
        <v>1000000</v>
      </c>
      <c r="M105" s="1365" t="s">
        <v>466</v>
      </c>
      <c r="N105" s="1367">
        <v>102.75</v>
      </c>
      <c r="O105" s="1368">
        <v>6.5425300000000002</v>
      </c>
      <c r="P105" s="1369" t="s">
        <v>1175</v>
      </c>
      <c r="Q105" s="1370" t="s">
        <v>1176</v>
      </c>
      <c r="R105" s="1371" t="s">
        <v>1177</v>
      </c>
      <c r="S105" s="1371">
        <v>41905</v>
      </c>
      <c r="T105" s="1371">
        <v>41908</v>
      </c>
      <c r="U105" s="1372" t="s">
        <v>246</v>
      </c>
      <c r="V105" s="1373"/>
      <c r="W105" s="1373">
        <v>1058513.8899999999</v>
      </c>
      <c r="X105" s="1374">
        <v>7.8</v>
      </c>
      <c r="Y105" s="1373">
        <f t="shared" ref="Y105" si="69">X105*W105</f>
        <v>8256408.3419999992</v>
      </c>
      <c r="Z105" s="1375"/>
      <c r="AA105" s="1375">
        <v>7.25</v>
      </c>
      <c r="AB105" s="1376" t="s">
        <v>1337</v>
      </c>
      <c r="AC105" s="1377" t="s">
        <v>1337</v>
      </c>
      <c r="AE105" s="1379"/>
      <c r="AF105" s="1380"/>
    </row>
    <row r="106" spans="1:33" s="1378" customFormat="1" ht="39.75" customHeight="1">
      <c r="A106" s="1358"/>
      <c r="B106" s="1359"/>
      <c r="C106" s="1359"/>
      <c r="D106" s="1359"/>
      <c r="E106" s="1360">
        <v>98</v>
      </c>
      <c r="F106" s="1361" t="s">
        <v>1281</v>
      </c>
      <c r="G106" s="1362" t="s">
        <v>1285</v>
      </c>
      <c r="H106" s="1363" t="s">
        <v>1338</v>
      </c>
      <c r="I106" s="1363" t="s">
        <v>516</v>
      </c>
      <c r="J106" s="1364" t="s">
        <v>1337</v>
      </c>
      <c r="K106" s="1365" t="s">
        <v>1238</v>
      </c>
      <c r="L106" s="1366">
        <v>3000000</v>
      </c>
      <c r="M106" s="1365" t="s">
        <v>466</v>
      </c>
      <c r="N106" s="1367">
        <v>102.75</v>
      </c>
      <c r="O106" s="1368">
        <v>6.54162</v>
      </c>
      <c r="P106" s="1369" t="s">
        <v>1311</v>
      </c>
      <c r="Q106" s="1370" t="s">
        <v>1355</v>
      </c>
      <c r="R106" s="1371" t="s">
        <v>1356</v>
      </c>
      <c r="S106" s="1371">
        <v>41906</v>
      </c>
      <c r="T106" s="1371">
        <v>41911</v>
      </c>
      <c r="U106" s="1372" t="s">
        <v>246</v>
      </c>
      <c r="V106" s="1373"/>
      <c r="W106" s="1373">
        <v>3177354.17</v>
      </c>
      <c r="X106" s="1374">
        <v>7.8</v>
      </c>
      <c r="Y106" s="1373">
        <f t="shared" ref="Y106" si="70">X106*W106</f>
        <v>24783362.526000001</v>
      </c>
      <c r="Z106" s="1375"/>
      <c r="AA106" s="1375">
        <v>7.25</v>
      </c>
      <c r="AB106" s="1376" t="s">
        <v>1337</v>
      </c>
      <c r="AC106" s="1377" t="s">
        <v>1337</v>
      </c>
      <c r="AE106" s="1379"/>
      <c r="AF106" s="1380"/>
    </row>
    <row r="107" spans="1:33" s="611" customFormat="1" ht="39.75" customHeight="1">
      <c r="A107" s="608"/>
      <c r="B107" s="609"/>
      <c r="C107" s="609"/>
      <c r="D107" s="609"/>
      <c r="E107" s="610">
        <v>99</v>
      </c>
      <c r="F107" s="834" t="s">
        <v>1281</v>
      </c>
      <c r="G107" s="612" t="s">
        <v>1285</v>
      </c>
      <c r="H107" s="835" t="s">
        <v>1338</v>
      </c>
      <c r="I107" s="835" t="s">
        <v>516</v>
      </c>
      <c r="J107" s="614" t="s">
        <v>1337</v>
      </c>
      <c r="K107" s="615" t="s">
        <v>1238</v>
      </c>
      <c r="L107" s="616">
        <v>1000000</v>
      </c>
      <c r="M107" s="615" t="s">
        <v>466</v>
      </c>
      <c r="N107" s="837">
        <v>102.65</v>
      </c>
      <c r="O107" s="625">
        <v>6.5657500000000004</v>
      </c>
      <c r="P107" s="1243" t="s">
        <v>1175</v>
      </c>
      <c r="Q107" s="838" t="s">
        <v>1176</v>
      </c>
      <c r="R107" s="1244" t="s">
        <v>1177</v>
      </c>
      <c r="S107" s="1244">
        <v>41908</v>
      </c>
      <c r="T107" s="1244">
        <v>41915</v>
      </c>
      <c r="U107" s="622" t="s">
        <v>246</v>
      </c>
      <c r="V107" s="623"/>
      <c r="W107" s="623">
        <v>1058923.6100000001</v>
      </c>
      <c r="X107" s="624">
        <v>7.8</v>
      </c>
      <c r="Y107" s="623">
        <f t="shared" ref="Y107" si="71">X107*W107</f>
        <v>8259604.1580000008</v>
      </c>
      <c r="Z107" s="1245"/>
      <c r="AA107" s="1245">
        <v>7.25</v>
      </c>
      <c r="AB107" s="689" t="s">
        <v>1337</v>
      </c>
      <c r="AC107" s="626" t="s">
        <v>1337</v>
      </c>
      <c r="AE107" s="627"/>
      <c r="AF107" s="628"/>
    </row>
    <row r="108" spans="1:33" s="611" customFormat="1" ht="39.75" customHeight="1">
      <c r="A108" s="608"/>
      <c r="B108" s="609"/>
      <c r="C108" s="609"/>
      <c r="D108" s="609"/>
      <c r="E108" s="610">
        <v>100</v>
      </c>
      <c r="F108" s="834" t="s">
        <v>1281</v>
      </c>
      <c r="G108" s="612" t="s">
        <v>1285</v>
      </c>
      <c r="H108" s="835" t="s">
        <v>1338</v>
      </c>
      <c r="I108" s="835" t="s">
        <v>516</v>
      </c>
      <c r="J108" s="614" t="s">
        <v>1337</v>
      </c>
      <c r="K108" s="615" t="s">
        <v>1238</v>
      </c>
      <c r="L108" s="616">
        <v>1000000</v>
      </c>
      <c r="M108" s="615" t="s">
        <v>466</v>
      </c>
      <c r="N108" s="837">
        <v>102.6</v>
      </c>
      <c r="O108" s="625">
        <v>6.5784320000000003</v>
      </c>
      <c r="P108" s="1243" t="s">
        <v>1073</v>
      </c>
      <c r="Q108" s="838" t="s">
        <v>48</v>
      </c>
      <c r="R108" s="1244" t="s">
        <v>254</v>
      </c>
      <c r="S108" s="1244">
        <v>41908</v>
      </c>
      <c r="T108" s="1244">
        <v>41915</v>
      </c>
      <c r="U108" s="622" t="s">
        <v>246</v>
      </c>
      <c r="V108" s="623"/>
      <c r="W108" s="623">
        <v>1058423.6100000001</v>
      </c>
      <c r="X108" s="624">
        <v>7.8</v>
      </c>
      <c r="Y108" s="623">
        <f t="shared" ref="Y108:Y109" si="72">X108*W108</f>
        <v>8255704.1580000008</v>
      </c>
      <c r="Z108" s="1245"/>
      <c r="AA108" s="1245">
        <v>7.25</v>
      </c>
      <c r="AB108" s="689" t="s">
        <v>1337</v>
      </c>
      <c r="AC108" s="626" t="s">
        <v>1337</v>
      </c>
      <c r="AE108" s="627"/>
      <c r="AF108" s="628"/>
    </row>
    <row r="109" spans="1:33" s="741" customFormat="1" ht="39.75" customHeight="1">
      <c r="A109" s="823"/>
      <c r="B109" s="740"/>
      <c r="C109" s="740"/>
      <c r="D109" s="740"/>
      <c r="E109" s="759">
        <v>101</v>
      </c>
      <c r="F109" s="761" t="s">
        <v>1357</v>
      </c>
      <c r="G109" s="742" t="s">
        <v>1358</v>
      </c>
      <c r="H109" s="1382" t="s">
        <v>516</v>
      </c>
      <c r="I109" s="760" t="s">
        <v>1361</v>
      </c>
      <c r="J109" s="744">
        <f t="shared" ref="J109:J114" si="73">(AB109-T109)/365</f>
        <v>9.9698630136986299</v>
      </c>
      <c r="K109" s="745" t="s">
        <v>1238</v>
      </c>
      <c r="L109" s="746">
        <v>5000000</v>
      </c>
      <c r="M109" s="762" t="s">
        <v>945</v>
      </c>
      <c r="N109" s="1381">
        <v>99.57</v>
      </c>
      <c r="O109" s="760">
        <v>4.5975099999999998</v>
      </c>
      <c r="P109" s="763" t="s">
        <v>775</v>
      </c>
      <c r="Q109" s="764" t="s">
        <v>1259</v>
      </c>
      <c r="R109" s="742" t="s">
        <v>1339</v>
      </c>
      <c r="S109" s="796">
        <v>41926</v>
      </c>
      <c r="T109" s="796">
        <v>41929</v>
      </c>
      <c r="U109" s="750" t="s">
        <v>208</v>
      </c>
      <c r="W109" s="751">
        <v>4986625</v>
      </c>
      <c r="X109" s="767">
        <v>7.8</v>
      </c>
      <c r="Y109" s="751">
        <f t="shared" si="72"/>
        <v>38895675</v>
      </c>
      <c r="Z109" s="751"/>
      <c r="AA109" s="753">
        <v>4.5</v>
      </c>
      <c r="AB109" s="800">
        <v>45568</v>
      </c>
      <c r="AC109" s="754">
        <f t="shared" ref="AC109:AC114" si="74">(AB109-S109)/365</f>
        <v>9.9780821917808211</v>
      </c>
      <c r="AD109" s="798"/>
      <c r="AF109" s="756"/>
      <c r="AG109" s="757"/>
    </row>
    <row r="110" spans="1:33" s="741" customFormat="1" ht="39.75" customHeight="1">
      <c r="A110" s="823"/>
      <c r="B110" s="740"/>
      <c r="C110" s="740"/>
      <c r="D110" s="740"/>
      <c r="E110" s="759">
        <v>102</v>
      </c>
      <c r="F110" s="761" t="s">
        <v>1357</v>
      </c>
      <c r="G110" s="742" t="s">
        <v>1358</v>
      </c>
      <c r="H110" s="1382" t="s">
        <v>516</v>
      </c>
      <c r="I110" s="760" t="s">
        <v>1361</v>
      </c>
      <c r="J110" s="744">
        <f t="shared" si="73"/>
        <v>9.9698630136986299</v>
      </c>
      <c r="K110" s="745" t="s">
        <v>1238</v>
      </c>
      <c r="L110" s="746">
        <v>2000000</v>
      </c>
      <c r="M110" s="762" t="s">
        <v>945</v>
      </c>
      <c r="N110" s="1381">
        <v>99.576999999999998</v>
      </c>
      <c r="O110" s="760">
        <v>4.5959099999999999</v>
      </c>
      <c r="P110" s="763" t="s">
        <v>691</v>
      </c>
      <c r="Q110" s="764" t="s">
        <v>1364</v>
      </c>
      <c r="R110" s="742" t="s">
        <v>1365</v>
      </c>
      <c r="S110" s="796">
        <v>41926</v>
      </c>
      <c r="T110" s="796">
        <v>41929</v>
      </c>
      <c r="U110" s="750" t="s">
        <v>208</v>
      </c>
      <c r="W110" s="751">
        <v>1995040</v>
      </c>
      <c r="X110" s="767">
        <v>7.8</v>
      </c>
      <c r="Y110" s="751">
        <f t="shared" ref="Y110" si="75">X110*W110</f>
        <v>15561312</v>
      </c>
      <c r="Z110" s="751"/>
      <c r="AA110" s="753">
        <v>4.5</v>
      </c>
      <c r="AB110" s="800">
        <v>45568</v>
      </c>
      <c r="AC110" s="754">
        <f t="shared" si="74"/>
        <v>9.9780821917808211</v>
      </c>
      <c r="AD110" s="798"/>
      <c r="AF110" s="756"/>
      <c r="AG110" s="757"/>
    </row>
    <row r="111" spans="1:33" s="741" customFormat="1" ht="39.75" customHeight="1">
      <c r="A111" s="823"/>
      <c r="B111" s="740"/>
      <c r="C111" s="740"/>
      <c r="D111" s="740"/>
      <c r="E111" s="759">
        <v>103</v>
      </c>
      <c r="F111" s="761" t="s">
        <v>1357</v>
      </c>
      <c r="G111" s="742" t="s">
        <v>1358</v>
      </c>
      <c r="H111" s="1382" t="s">
        <v>516</v>
      </c>
      <c r="I111" s="760" t="s">
        <v>1361</v>
      </c>
      <c r="J111" s="744">
        <f t="shared" si="73"/>
        <v>9.9698630136986299</v>
      </c>
      <c r="K111" s="745" t="s">
        <v>1238</v>
      </c>
      <c r="L111" s="746">
        <v>5000000</v>
      </c>
      <c r="M111" s="762" t="s">
        <v>945</v>
      </c>
      <c r="N111" s="1381">
        <v>99.46</v>
      </c>
      <c r="O111" s="760">
        <v>4.62263</v>
      </c>
      <c r="P111" s="763" t="s">
        <v>775</v>
      </c>
      <c r="Q111" s="764" t="s">
        <v>1259</v>
      </c>
      <c r="R111" s="742" t="s">
        <v>1339</v>
      </c>
      <c r="S111" s="796">
        <v>41927</v>
      </c>
      <c r="T111" s="796">
        <v>41929</v>
      </c>
      <c r="U111" s="750" t="s">
        <v>208</v>
      </c>
      <c r="W111" s="751">
        <v>4981750</v>
      </c>
      <c r="X111" s="767">
        <v>7.8</v>
      </c>
      <c r="Y111" s="751">
        <f t="shared" ref="Y111:Y113" si="76">X111*W111</f>
        <v>38857650</v>
      </c>
      <c r="Z111" s="751"/>
      <c r="AA111" s="753">
        <v>4.5</v>
      </c>
      <c r="AB111" s="800">
        <v>45568</v>
      </c>
      <c r="AC111" s="754">
        <f t="shared" si="74"/>
        <v>9.9753424657534246</v>
      </c>
      <c r="AD111" s="798"/>
      <c r="AF111" s="756"/>
      <c r="AG111" s="757"/>
    </row>
    <row r="112" spans="1:33" s="611" customFormat="1" ht="39.75" customHeight="1">
      <c r="A112" s="608"/>
      <c r="B112" s="609"/>
      <c r="C112" s="609"/>
      <c r="D112" s="609"/>
      <c r="E112" s="610">
        <v>104</v>
      </c>
      <c r="F112" s="834" t="s">
        <v>1357</v>
      </c>
      <c r="G112" s="612" t="s">
        <v>1358</v>
      </c>
      <c r="H112" s="1426" t="s">
        <v>516</v>
      </c>
      <c r="I112" s="835" t="s">
        <v>1361</v>
      </c>
      <c r="J112" s="614">
        <f t="shared" si="73"/>
        <v>9.9589041095890405</v>
      </c>
      <c r="K112" s="618" t="s">
        <v>1238</v>
      </c>
      <c r="L112" s="616">
        <v>5000000</v>
      </c>
      <c r="M112" s="615" t="s">
        <v>945</v>
      </c>
      <c r="N112" s="1427">
        <v>99.55</v>
      </c>
      <c r="O112" s="835">
        <v>4.6021700000000001</v>
      </c>
      <c r="P112" s="1243" t="s">
        <v>775</v>
      </c>
      <c r="Q112" s="838" t="s">
        <v>1259</v>
      </c>
      <c r="R112" s="612" t="s">
        <v>1339</v>
      </c>
      <c r="S112" s="651">
        <v>41928</v>
      </c>
      <c r="T112" s="651">
        <v>41933</v>
      </c>
      <c r="U112" s="622" t="s">
        <v>208</v>
      </c>
      <c r="W112" s="623">
        <v>4988750</v>
      </c>
      <c r="X112" s="624">
        <v>7.8</v>
      </c>
      <c r="Y112" s="623">
        <f t="shared" si="76"/>
        <v>38912250</v>
      </c>
      <c r="Z112" s="623"/>
      <c r="AA112" s="625">
        <v>4.5</v>
      </c>
      <c r="AB112" s="689">
        <v>45568</v>
      </c>
      <c r="AC112" s="626">
        <f t="shared" si="74"/>
        <v>9.9726027397260282</v>
      </c>
      <c r="AD112" s="621"/>
      <c r="AF112" s="627"/>
      <c r="AG112" s="628"/>
    </row>
    <row r="113" spans="1:41" s="611" customFormat="1" ht="39.75" customHeight="1">
      <c r="A113" s="608"/>
      <c r="B113" s="609"/>
      <c r="C113" s="609"/>
      <c r="D113" s="609"/>
      <c r="E113" s="610">
        <v>105</v>
      </c>
      <c r="F113" s="834" t="s">
        <v>1357</v>
      </c>
      <c r="G113" s="612" t="s">
        <v>1358</v>
      </c>
      <c r="H113" s="1426" t="s">
        <v>516</v>
      </c>
      <c r="I113" s="835" t="s">
        <v>1361</v>
      </c>
      <c r="J113" s="614">
        <f t="shared" si="73"/>
        <v>9.9589041095890405</v>
      </c>
      <c r="K113" s="618" t="s">
        <v>1238</v>
      </c>
      <c r="L113" s="616">
        <v>2000000</v>
      </c>
      <c r="M113" s="615" t="s">
        <v>945</v>
      </c>
      <c r="N113" s="1427">
        <v>99.55</v>
      </c>
      <c r="O113" s="835">
        <v>4.6902169999999996</v>
      </c>
      <c r="P113" s="1243" t="s">
        <v>938</v>
      </c>
      <c r="Q113" s="838" t="s">
        <v>1315</v>
      </c>
      <c r="R113" s="612" t="s">
        <v>1316</v>
      </c>
      <c r="S113" s="651">
        <v>41928</v>
      </c>
      <c r="T113" s="651">
        <v>41933</v>
      </c>
      <c r="U113" s="622" t="s">
        <v>208</v>
      </c>
      <c r="W113" s="623">
        <v>1995500</v>
      </c>
      <c r="X113" s="624">
        <v>7.8</v>
      </c>
      <c r="Y113" s="623">
        <f t="shared" si="76"/>
        <v>15564900</v>
      </c>
      <c r="Z113" s="623"/>
      <c r="AA113" s="625">
        <v>4.5</v>
      </c>
      <c r="AB113" s="689">
        <v>45568</v>
      </c>
      <c r="AC113" s="626">
        <f t="shared" si="74"/>
        <v>9.9726027397260282</v>
      </c>
      <c r="AD113" s="621"/>
      <c r="AF113" s="627"/>
      <c r="AG113" s="628"/>
    </row>
    <row r="114" spans="1:41" s="611" customFormat="1" ht="39.75" customHeight="1">
      <c r="A114" s="608"/>
      <c r="B114" s="609"/>
      <c r="C114" s="609"/>
      <c r="D114" s="609"/>
      <c r="E114" s="610">
        <v>106</v>
      </c>
      <c r="F114" s="834" t="s">
        <v>1357</v>
      </c>
      <c r="G114" s="612" t="s">
        <v>1358</v>
      </c>
      <c r="H114" s="1426" t="s">
        <v>516</v>
      </c>
      <c r="I114" s="835" t="s">
        <v>1361</v>
      </c>
      <c r="J114" s="614">
        <f t="shared" si="73"/>
        <v>9.9589041095890405</v>
      </c>
      <c r="K114" s="618" t="s">
        <v>1238</v>
      </c>
      <c r="L114" s="616">
        <v>2000000</v>
      </c>
      <c r="M114" s="615" t="s">
        <v>1369</v>
      </c>
      <c r="N114" s="1427">
        <v>99.57</v>
      </c>
      <c r="O114" s="835">
        <v>4.5975950000000001</v>
      </c>
      <c r="P114" s="1243" t="s">
        <v>1311</v>
      </c>
      <c r="Q114" s="838" t="s">
        <v>1355</v>
      </c>
      <c r="R114" s="612" t="s">
        <v>1356</v>
      </c>
      <c r="S114" s="651">
        <v>41928</v>
      </c>
      <c r="T114" s="651">
        <v>41933</v>
      </c>
      <c r="U114" s="622" t="s">
        <v>208</v>
      </c>
      <c r="W114" s="623">
        <v>1995900</v>
      </c>
      <c r="X114" s="624">
        <v>7.8</v>
      </c>
      <c r="Y114" s="623">
        <f t="shared" ref="Y114" si="77">X114*W114</f>
        <v>15568020</v>
      </c>
      <c r="Z114" s="623"/>
      <c r="AA114" s="625">
        <v>4.5</v>
      </c>
      <c r="AB114" s="689">
        <v>45568</v>
      </c>
      <c r="AC114" s="626">
        <f t="shared" si="74"/>
        <v>9.9726027397260282</v>
      </c>
      <c r="AD114" s="621"/>
      <c r="AF114" s="627"/>
      <c r="AG114" s="628"/>
    </row>
    <row r="115" spans="1:41" s="1198" customFormat="1" ht="39.75" customHeight="1">
      <c r="A115" s="1178"/>
      <c r="B115" s="1179"/>
      <c r="C115" s="1179"/>
      <c r="D115" s="1179"/>
      <c r="E115" s="1180">
        <v>107</v>
      </c>
      <c r="F115" s="1181" t="s">
        <v>1357</v>
      </c>
      <c r="G115" s="1182" t="s">
        <v>1358</v>
      </c>
      <c r="H115" s="1423" t="s">
        <v>516</v>
      </c>
      <c r="I115" s="1183" t="s">
        <v>1361</v>
      </c>
      <c r="J115" s="1184">
        <f t="shared" ref="J115" si="78">(AB115-T115)/365</f>
        <v>9.956164383561644</v>
      </c>
      <c r="K115" s="1187" t="s">
        <v>1238</v>
      </c>
      <c r="L115" s="1186">
        <v>10000000</v>
      </c>
      <c r="M115" s="1185" t="s">
        <v>1369</v>
      </c>
      <c r="N115" s="1424">
        <v>99.6</v>
      </c>
      <c r="O115" s="1183">
        <v>4.5907539999999996</v>
      </c>
      <c r="P115" s="1190" t="s">
        <v>1311</v>
      </c>
      <c r="Q115" s="1191" t="s">
        <v>1355</v>
      </c>
      <c r="R115" s="1182" t="s">
        <v>1356</v>
      </c>
      <c r="S115" s="1192">
        <v>41929</v>
      </c>
      <c r="T115" s="1192">
        <v>41934</v>
      </c>
      <c r="U115" s="1193" t="s">
        <v>208</v>
      </c>
      <c r="W115" s="1194">
        <v>9983750</v>
      </c>
      <c r="X115" s="1425">
        <v>7.8</v>
      </c>
      <c r="Y115" s="1194">
        <f t="shared" ref="Y115" si="79">X115*W115</f>
        <v>77873250</v>
      </c>
      <c r="Z115" s="1194"/>
      <c r="AA115" s="1189">
        <v>4.5</v>
      </c>
      <c r="AB115" s="1196">
        <v>45568</v>
      </c>
      <c r="AC115" s="1197">
        <f t="shared" ref="AC115" si="80">(AB115-S115)/365</f>
        <v>9.9698630136986299</v>
      </c>
      <c r="AD115" s="1205"/>
      <c r="AF115" s="1199"/>
      <c r="AG115" s="1200"/>
    </row>
    <row r="116" spans="1:41" s="1198" customFormat="1" ht="39.75" customHeight="1">
      <c r="A116" s="1178"/>
      <c r="B116" s="1179"/>
      <c r="C116" s="1179"/>
      <c r="D116" s="1179"/>
      <c r="E116" s="1180">
        <v>108</v>
      </c>
      <c r="F116" s="1181" t="s">
        <v>1357</v>
      </c>
      <c r="G116" s="1182" t="s">
        <v>1358</v>
      </c>
      <c r="H116" s="1423" t="s">
        <v>516</v>
      </c>
      <c r="I116" s="1183" t="s">
        <v>1361</v>
      </c>
      <c r="J116" s="1184">
        <f t="shared" ref="J116" si="81">(AB116-T116)/365</f>
        <v>9.956164383561644</v>
      </c>
      <c r="K116" s="1187" t="s">
        <v>1238</v>
      </c>
      <c r="L116" s="1186">
        <v>5000000</v>
      </c>
      <c r="M116" s="1185" t="s">
        <v>1369</v>
      </c>
      <c r="N116" s="1424">
        <v>99.65</v>
      </c>
      <c r="O116" s="1183">
        <v>4.5793189999999999</v>
      </c>
      <c r="P116" s="1190" t="s">
        <v>1311</v>
      </c>
      <c r="Q116" s="1191" t="s">
        <v>1355</v>
      </c>
      <c r="R116" s="1182" t="s">
        <v>1356</v>
      </c>
      <c r="S116" s="1192">
        <v>41929</v>
      </c>
      <c r="T116" s="1192">
        <v>41934</v>
      </c>
      <c r="U116" s="1193" t="s">
        <v>208</v>
      </c>
      <c r="W116" s="1194">
        <v>4994375</v>
      </c>
      <c r="X116" s="1425">
        <v>7.8</v>
      </c>
      <c r="Y116" s="1194">
        <f t="shared" ref="Y116" si="82">X116*W116</f>
        <v>38956125</v>
      </c>
      <c r="Z116" s="1194"/>
      <c r="AA116" s="1189">
        <v>4.5</v>
      </c>
      <c r="AB116" s="1196">
        <v>45568</v>
      </c>
      <c r="AC116" s="1197">
        <f t="shared" ref="AC116" si="83">(AB116-S116)/365</f>
        <v>9.9698630136986299</v>
      </c>
      <c r="AD116" s="1205"/>
      <c r="AF116" s="1199"/>
      <c r="AG116" s="1200"/>
    </row>
    <row r="117" spans="1:41" s="994" customFormat="1" ht="39.75" customHeight="1">
      <c r="A117" s="991"/>
      <c r="B117" s="992"/>
      <c r="C117" s="992"/>
      <c r="D117" s="992"/>
      <c r="E117" s="993">
        <v>109</v>
      </c>
      <c r="F117" s="916" t="s">
        <v>1357</v>
      </c>
      <c r="G117" s="898" t="s">
        <v>1358</v>
      </c>
      <c r="H117" s="1428" t="s">
        <v>516</v>
      </c>
      <c r="I117" s="899" t="s">
        <v>1361</v>
      </c>
      <c r="J117" s="900">
        <f t="shared" ref="J117" si="84">(AB117-T117)/365</f>
        <v>9.9534246575342458</v>
      </c>
      <c r="K117" s="996" t="s">
        <v>1238</v>
      </c>
      <c r="L117" s="997">
        <v>3000000</v>
      </c>
      <c r="M117" s="901" t="s">
        <v>1369</v>
      </c>
      <c r="N117" s="1429">
        <v>99.8</v>
      </c>
      <c r="O117" s="899">
        <v>4.5450530000000002</v>
      </c>
      <c r="P117" s="905" t="s">
        <v>1311</v>
      </c>
      <c r="Q117" s="906" t="s">
        <v>1355</v>
      </c>
      <c r="R117" s="898" t="s">
        <v>1356</v>
      </c>
      <c r="S117" s="999">
        <v>41932</v>
      </c>
      <c r="T117" s="999">
        <v>41935</v>
      </c>
      <c r="U117" s="1000" t="s">
        <v>208</v>
      </c>
      <c r="W117" s="909">
        <v>3001500</v>
      </c>
      <c r="X117" s="1001">
        <v>7.8</v>
      </c>
      <c r="Y117" s="909">
        <f t="shared" ref="Y117" si="85">X117*W117</f>
        <v>23411700</v>
      </c>
      <c r="Z117" s="909"/>
      <c r="AA117" s="1002">
        <v>4.5</v>
      </c>
      <c r="AB117" s="911">
        <v>45568</v>
      </c>
      <c r="AC117" s="912">
        <f t="shared" ref="AC117" si="86">(AB117-S117)/365</f>
        <v>9.9616438356164387</v>
      </c>
      <c r="AD117" s="1003"/>
      <c r="AF117" s="914"/>
      <c r="AG117" s="915"/>
    </row>
    <row r="118" spans="1:41" s="994" customFormat="1" ht="39.75" customHeight="1">
      <c r="A118" s="991"/>
      <c r="B118" s="992"/>
      <c r="C118" s="992"/>
      <c r="D118" s="992"/>
      <c r="E118" s="993">
        <v>110</v>
      </c>
      <c r="F118" s="916" t="s">
        <v>1357</v>
      </c>
      <c r="G118" s="898" t="s">
        <v>1358</v>
      </c>
      <c r="H118" s="1428" t="s">
        <v>516</v>
      </c>
      <c r="I118" s="899" t="s">
        <v>1361</v>
      </c>
      <c r="J118" s="900">
        <f t="shared" ref="J118:J119" si="87">(AB118-T118)/365</f>
        <v>9.956164383561644</v>
      </c>
      <c r="K118" s="996" t="s">
        <v>1238</v>
      </c>
      <c r="L118" s="997">
        <v>2000000</v>
      </c>
      <c r="M118" s="901" t="s">
        <v>1369</v>
      </c>
      <c r="N118" s="1429">
        <v>99.84</v>
      </c>
      <c r="O118" s="899">
        <v>4.5359299999999996</v>
      </c>
      <c r="P118" s="905" t="s">
        <v>775</v>
      </c>
      <c r="Q118" s="906" t="s">
        <v>1259</v>
      </c>
      <c r="R118" s="898" t="s">
        <v>1339</v>
      </c>
      <c r="S118" s="999">
        <v>41932</v>
      </c>
      <c r="T118" s="999">
        <v>41934</v>
      </c>
      <c r="U118" s="1000" t="s">
        <v>208</v>
      </c>
      <c r="W118" s="909">
        <v>2001550</v>
      </c>
      <c r="X118" s="1001">
        <v>7.8</v>
      </c>
      <c r="Y118" s="909">
        <f t="shared" ref="Y118:Y121" si="88">X118*W118</f>
        <v>15612090</v>
      </c>
      <c r="Z118" s="909"/>
      <c r="AA118" s="1002">
        <v>4.5</v>
      </c>
      <c r="AB118" s="911">
        <v>45568</v>
      </c>
      <c r="AC118" s="912">
        <f t="shared" ref="AC118:AC119" si="89">(AB118-S118)/365</f>
        <v>9.9616438356164387</v>
      </c>
      <c r="AD118" s="1003"/>
      <c r="AF118" s="914"/>
      <c r="AG118" s="915"/>
    </row>
    <row r="119" spans="1:41" s="1198" customFormat="1" ht="39.75" customHeight="1">
      <c r="A119" s="1178"/>
      <c r="B119" s="1179"/>
      <c r="C119" s="1179"/>
      <c r="D119" s="1179"/>
      <c r="E119" s="1180">
        <v>111</v>
      </c>
      <c r="F119" s="1181" t="s">
        <v>1357</v>
      </c>
      <c r="G119" s="1182" t="s">
        <v>1358</v>
      </c>
      <c r="H119" s="1423" t="s">
        <v>516</v>
      </c>
      <c r="I119" s="1183" t="s">
        <v>1361</v>
      </c>
      <c r="J119" s="1184">
        <f t="shared" si="87"/>
        <v>9.9424657534246581</v>
      </c>
      <c r="K119" s="1187" t="s">
        <v>1238</v>
      </c>
      <c r="L119" s="1186">
        <v>5000000</v>
      </c>
      <c r="M119" s="1185" t="s">
        <v>1369</v>
      </c>
      <c r="N119" s="1424">
        <v>100</v>
      </c>
      <c r="O119" s="1183">
        <v>4.4993400000000001</v>
      </c>
      <c r="P119" s="1190" t="s">
        <v>775</v>
      </c>
      <c r="Q119" s="1191" t="s">
        <v>1259</v>
      </c>
      <c r="R119" s="1182" t="s">
        <v>1339</v>
      </c>
      <c r="S119" s="1192">
        <v>41934</v>
      </c>
      <c r="T119" s="1192">
        <v>41939</v>
      </c>
      <c r="U119" s="1193" t="s">
        <v>208</v>
      </c>
      <c r="W119" s="1194">
        <v>5015000</v>
      </c>
      <c r="X119" s="1425">
        <v>7.8</v>
      </c>
      <c r="Y119" s="1194">
        <f t="shared" si="88"/>
        <v>39117000</v>
      </c>
      <c r="Z119" s="1194"/>
      <c r="AA119" s="1189">
        <v>4.5</v>
      </c>
      <c r="AB119" s="1196">
        <v>45568</v>
      </c>
      <c r="AC119" s="1197">
        <f t="shared" si="89"/>
        <v>9.956164383561644</v>
      </c>
      <c r="AD119" s="1205"/>
      <c r="AF119" s="1199"/>
      <c r="AG119" s="1200"/>
    </row>
    <row r="120" spans="1:41" s="611" customFormat="1" ht="39.75" customHeight="1">
      <c r="A120" s="608"/>
      <c r="B120" s="609"/>
      <c r="C120" s="609"/>
      <c r="D120" s="609"/>
      <c r="E120" s="610">
        <v>112</v>
      </c>
      <c r="F120" s="834" t="s">
        <v>1281</v>
      </c>
      <c r="G120" s="612" t="s">
        <v>1285</v>
      </c>
      <c r="H120" s="835" t="s">
        <v>1338</v>
      </c>
      <c r="I120" s="835" t="s">
        <v>516</v>
      </c>
      <c r="J120" s="614" t="s">
        <v>1337</v>
      </c>
      <c r="K120" s="615" t="s">
        <v>1238</v>
      </c>
      <c r="L120" s="616">
        <v>3000000</v>
      </c>
      <c r="M120" s="615" t="s">
        <v>466</v>
      </c>
      <c r="N120" s="837">
        <v>102</v>
      </c>
      <c r="O120" s="625">
        <v>6.7232399999999997</v>
      </c>
      <c r="P120" s="1243" t="s">
        <v>691</v>
      </c>
      <c r="Q120" s="838" t="s">
        <v>1372</v>
      </c>
      <c r="R120" s="1440" t="s">
        <v>1373</v>
      </c>
      <c r="S120" s="1244">
        <v>41942</v>
      </c>
      <c r="T120" s="1244">
        <v>41947</v>
      </c>
      <c r="U120" s="622" t="s">
        <v>246</v>
      </c>
      <c r="V120" s="623"/>
      <c r="W120" s="623">
        <v>3067250</v>
      </c>
      <c r="X120" s="624">
        <v>7.8</v>
      </c>
      <c r="Y120" s="623">
        <f t="shared" si="88"/>
        <v>23924550</v>
      </c>
      <c r="Z120" s="1245"/>
      <c r="AA120" s="1245">
        <v>7.25</v>
      </c>
      <c r="AB120" s="689" t="s">
        <v>1337</v>
      </c>
      <c r="AC120" s="626" t="s">
        <v>1337</v>
      </c>
      <c r="AE120" s="627"/>
      <c r="AF120" s="628"/>
    </row>
    <row r="121" spans="1:41" s="1595" customFormat="1" ht="18" customHeight="1">
      <c r="A121" s="1577" t="s">
        <v>902</v>
      </c>
      <c r="B121" s="1578"/>
      <c r="C121" s="1578"/>
      <c r="D121" s="1578"/>
      <c r="E121" s="1578">
        <v>113</v>
      </c>
      <c r="F121" s="1579" t="s">
        <v>814</v>
      </c>
      <c r="G121" s="1580" t="s">
        <v>1394</v>
      </c>
      <c r="H121" s="1581" t="s">
        <v>1395</v>
      </c>
      <c r="I121" s="1581" t="s">
        <v>1395</v>
      </c>
      <c r="J121" s="1582" t="s">
        <v>1337</v>
      </c>
      <c r="K121" s="1583" t="s">
        <v>1238</v>
      </c>
      <c r="L121" s="1584">
        <v>1000000</v>
      </c>
      <c r="M121" s="1583" t="s">
        <v>466</v>
      </c>
      <c r="N121" s="1585">
        <v>113.2</v>
      </c>
      <c r="O121" s="1586"/>
      <c r="P121" s="1579" t="s">
        <v>1175</v>
      </c>
      <c r="Q121" s="1587" t="s">
        <v>1176</v>
      </c>
      <c r="R121" s="1588" t="s">
        <v>1177</v>
      </c>
      <c r="S121" s="1589">
        <v>42116</v>
      </c>
      <c r="T121" s="1589">
        <v>42118</v>
      </c>
      <c r="U121" s="1590" t="s">
        <v>246</v>
      </c>
      <c r="V121" s="1590"/>
      <c r="W121" s="1584">
        <v>1134266.67</v>
      </c>
      <c r="X121" s="1591">
        <v>7.8</v>
      </c>
      <c r="Y121" s="1591">
        <f t="shared" si="88"/>
        <v>8847280.0259999987</v>
      </c>
      <c r="Z121" s="1591"/>
      <c r="AA121" s="1592"/>
      <c r="AB121" s="1593" t="s">
        <v>1401</v>
      </c>
      <c r="AC121" s="1594" t="e">
        <f t="shared" ref="AC121" si="90">(AB121-S121)/365</f>
        <v>#VALUE!</v>
      </c>
      <c r="AD121" s="1594"/>
      <c r="AF121" s="1596"/>
      <c r="AG121" s="1597"/>
    </row>
    <row r="122" spans="1:41" s="1617" customFormat="1" ht="18" customHeight="1">
      <c r="A122" s="1599" t="s">
        <v>902</v>
      </c>
      <c r="B122" s="1600"/>
      <c r="C122" s="1600"/>
      <c r="D122" s="1600"/>
      <c r="E122" s="1600">
        <v>114</v>
      </c>
      <c r="F122" s="1601" t="s">
        <v>814</v>
      </c>
      <c r="G122" s="1602" t="s">
        <v>1394</v>
      </c>
      <c r="H122" s="1603" t="s">
        <v>1395</v>
      </c>
      <c r="I122" s="1603" t="s">
        <v>1395</v>
      </c>
      <c r="J122" s="1604" t="s">
        <v>1337</v>
      </c>
      <c r="K122" s="1605" t="s">
        <v>1238</v>
      </c>
      <c r="L122" s="1606">
        <v>200000</v>
      </c>
      <c r="M122" s="1605" t="s">
        <v>466</v>
      </c>
      <c r="N122" s="1607">
        <v>113.5</v>
      </c>
      <c r="O122" s="1608"/>
      <c r="P122" s="1601" t="s">
        <v>1175</v>
      </c>
      <c r="Q122" s="1609" t="s">
        <v>1176</v>
      </c>
      <c r="R122" s="1610" t="s">
        <v>1177</v>
      </c>
      <c r="S122" s="1611">
        <v>42117</v>
      </c>
      <c r="T122" s="1611">
        <v>42121</v>
      </c>
      <c r="U122" s="1612" t="s">
        <v>246</v>
      </c>
      <c r="V122" s="1612"/>
      <c r="W122" s="1606">
        <v>227566.67</v>
      </c>
      <c r="X122" s="1613">
        <v>7.8</v>
      </c>
      <c r="Y122" s="1613">
        <f t="shared" ref="Y122" si="91">X122*W122</f>
        <v>1775020.0260000001</v>
      </c>
      <c r="Z122" s="1613"/>
      <c r="AA122" s="1614"/>
      <c r="AB122" s="1615" t="s">
        <v>1401</v>
      </c>
      <c r="AC122" s="1616" t="e">
        <f t="shared" ref="AC122" si="92">(AB122-S122)/365</f>
        <v>#VALUE!</v>
      </c>
      <c r="AD122" s="1616"/>
      <c r="AF122" s="1618"/>
      <c r="AG122" s="1619"/>
    </row>
    <row r="123" spans="1:41" s="1656" customFormat="1" ht="18" customHeight="1">
      <c r="A123" s="1646" t="s">
        <v>902</v>
      </c>
      <c r="B123" s="1647"/>
      <c r="C123" s="1647"/>
      <c r="D123" s="1647"/>
      <c r="E123" s="1647">
        <v>115</v>
      </c>
      <c r="F123" s="1648" t="s">
        <v>814</v>
      </c>
      <c r="G123" s="524" t="s">
        <v>1394</v>
      </c>
      <c r="H123" s="535" t="s">
        <v>1395</v>
      </c>
      <c r="I123" s="535" t="s">
        <v>1395</v>
      </c>
      <c r="J123" s="527" t="s">
        <v>1337</v>
      </c>
      <c r="K123" s="528" t="s">
        <v>1238</v>
      </c>
      <c r="L123" s="1649">
        <v>300000</v>
      </c>
      <c r="M123" s="528" t="s">
        <v>466</v>
      </c>
      <c r="N123" s="1650">
        <v>113.25</v>
      </c>
      <c r="O123" s="1651"/>
      <c r="P123" s="1648" t="s">
        <v>1396</v>
      </c>
      <c r="Q123" s="1652" t="s">
        <v>1397</v>
      </c>
      <c r="R123" s="1653" t="s">
        <v>1399</v>
      </c>
      <c r="S123" s="1654">
        <v>42123</v>
      </c>
      <c r="T123" s="1654">
        <v>42125</v>
      </c>
      <c r="U123" s="1655" t="s">
        <v>246</v>
      </c>
      <c r="V123" s="1655"/>
      <c r="W123" s="1649">
        <v>227566.67</v>
      </c>
      <c r="X123" s="533">
        <v>7.8</v>
      </c>
      <c r="Y123" s="533">
        <f t="shared" ref="Y123" si="93">X123*W123</f>
        <v>1775020.0260000001</v>
      </c>
      <c r="Z123" s="533"/>
      <c r="AA123" s="1258"/>
      <c r="AB123" s="1259" t="s">
        <v>1401</v>
      </c>
      <c r="AC123" s="536" t="e">
        <f t="shared" ref="AC123" si="94">(AB123-S123)/365</f>
        <v>#VALUE!</v>
      </c>
      <c r="AD123" s="536"/>
      <c r="AF123" s="537"/>
      <c r="AG123" s="538"/>
    </row>
    <row r="124" spans="1:41" s="1656" customFormat="1" ht="18" customHeight="1">
      <c r="A124" s="1646" t="s">
        <v>902</v>
      </c>
      <c r="B124" s="1647"/>
      <c r="C124" s="1647"/>
      <c r="D124" s="1647"/>
      <c r="E124" s="1647">
        <v>116</v>
      </c>
      <c r="F124" s="1648" t="s">
        <v>814</v>
      </c>
      <c r="G124" s="524" t="s">
        <v>1394</v>
      </c>
      <c r="H124" s="535" t="s">
        <v>1395</v>
      </c>
      <c r="I124" s="535" t="s">
        <v>1395</v>
      </c>
      <c r="J124" s="527" t="s">
        <v>1337</v>
      </c>
      <c r="K124" s="528" t="s">
        <v>1238</v>
      </c>
      <c r="L124" s="1649">
        <v>1000000</v>
      </c>
      <c r="M124" s="528" t="s">
        <v>466</v>
      </c>
      <c r="N124" s="1650">
        <v>108</v>
      </c>
      <c r="O124" s="1651"/>
      <c r="P124" s="1648" t="s">
        <v>712</v>
      </c>
      <c r="Q124" s="1652" t="s">
        <v>713</v>
      </c>
      <c r="R124" s="1653" t="s">
        <v>673</v>
      </c>
      <c r="S124" s="1654">
        <v>42209</v>
      </c>
      <c r="T124" s="1654">
        <v>42213</v>
      </c>
      <c r="U124" s="1655" t="s">
        <v>246</v>
      </c>
      <c r="V124" s="1655"/>
      <c r="W124" s="1649">
        <v>1100022.22</v>
      </c>
      <c r="X124" s="533">
        <v>7.8</v>
      </c>
      <c r="Y124" s="533">
        <f t="shared" ref="Y124" si="95">X124*W124</f>
        <v>8580173.3159999996</v>
      </c>
      <c r="Z124" s="533"/>
      <c r="AA124" s="1258"/>
      <c r="AB124" s="1259" t="s">
        <v>1401</v>
      </c>
      <c r="AC124" s="536" t="e">
        <f t="shared" ref="AC124" si="96">(AB124-S124)/365</f>
        <v>#VALUE!</v>
      </c>
      <c r="AD124" s="536"/>
      <c r="AF124" s="537"/>
      <c r="AG124" s="538"/>
    </row>
    <row r="125" spans="1:41" ht="12" customHeight="1">
      <c r="A125" s="13"/>
      <c r="B125" s="13"/>
      <c r="C125" s="13"/>
      <c r="D125" s="13"/>
      <c r="E125" s="26"/>
      <c r="F125" s="149"/>
      <c r="G125" s="160"/>
      <c r="H125" s="160"/>
      <c r="I125" s="160"/>
      <c r="J125" s="160"/>
      <c r="K125" s="26"/>
      <c r="L125" s="43"/>
      <c r="M125" s="26"/>
      <c r="N125" s="42"/>
      <c r="O125" s="93"/>
      <c r="P125" s="32"/>
      <c r="Q125" s="20"/>
      <c r="R125" s="29"/>
      <c r="S125" s="640"/>
      <c r="T125" s="640"/>
      <c r="U125" s="40"/>
      <c r="V125" s="12"/>
      <c r="W125" s="76"/>
      <c r="X125" s="98"/>
      <c r="Y125" s="98"/>
      <c r="Z125" s="13"/>
      <c r="AA125" s="13"/>
      <c r="AB125" s="12"/>
    </row>
    <row r="126" spans="1:41">
      <c r="A126" s="13"/>
      <c r="B126" s="13"/>
      <c r="C126" s="13"/>
      <c r="D126" s="13"/>
      <c r="E126" s="13"/>
      <c r="F126" s="150"/>
      <c r="G126" s="150"/>
      <c r="H126" s="150"/>
      <c r="I126" s="150"/>
      <c r="J126" s="150"/>
      <c r="K126" s="12"/>
      <c r="L126" s="314"/>
      <c r="M126" s="379"/>
      <c r="N126" s="13"/>
      <c r="O126" s="13"/>
      <c r="P126" s="17"/>
      <c r="Q126" s="14"/>
      <c r="R126" s="12"/>
      <c r="S126" s="648"/>
      <c r="T126" s="648"/>
      <c r="U126" s="12"/>
      <c r="V126" s="12"/>
      <c r="W126" s="64"/>
      <c r="X126" s="12"/>
      <c r="Y126" s="380"/>
      <c r="Z126" s="12"/>
      <c r="AA126" s="12"/>
      <c r="AB126" s="12"/>
    </row>
    <row r="127" spans="1:41">
      <c r="F127" s="830"/>
      <c r="G127" s="830"/>
      <c r="H127" s="830"/>
      <c r="I127" s="830"/>
      <c r="J127" s="830"/>
      <c r="K127" s="830"/>
      <c r="L127" s="830"/>
      <c r="M127" s="830"/>
      <c r="N127" s="830"/>
      <c r="O127" s="830"/>
      <c r="P127" s="830"/>
      <c r="Q127" s="830"/>
      <c r="R127" s="830"/>
      <c r="S127" s="831"/>
      <c r="T127" s="831"/>
      <c r="U127" s="830"/>
      <c r="V127" s="830"/>
      <c r="W127" s="830"/>
      <c r="X127" s="830"/>
      <c r="Y127" s="830"/>
      <c r="Z127" s="830"/>
      <c r="AA127" s="830"/>
      <c r="AB127" s="830"/>
      <c r="AC127" s="830"/>
      <c r="AD127" s="830"/>
      <c r="AE127" s="830"/>
      <c r="AF127" s="830"/>
      <c r="AG127" s="830"/>
      <c r="AH127" s="830"/>
      <c r="AI127" s="830"/>
      <c r="AJ127" s="830"/>
      <c r="AK127" s="830"/>
      <c r="AL127" s="830"/>
      <c r="AM127" s="830"/>
      <c r="AN127" s="830"/>
      <c r="AO127" s="830"/>
    </row>
    <row r="128" spans="1:41">
      <c r="F128" s="830"/>
      <c r="G128" s="830"/>
      <c r="H128" s="830"/>
      <c r="I128" s="830"/>
      <c r="J128" s="830"/>
      <c r="K128" s="830"/>
      <c r="L128" s="830"/>
      <c r="M128" s="830"/>
      <c r="N128" s="830"/>
      <c r="O128" s="830"/>
      <c r="P128" s="830"/>
      <c r="Q128" s="830"/>
      <c r="R128" s="830"/>
      <c r="S128" s="831"/>
      <c r="T128" s="831"/>
      <c r="U128" s="830"/>
      <c r="V128" s="830"/>
      <c r="W128" s="830"/>
      <c r="X128" s="830"/>
      <c r="Y128" s="830"/>
      <c r="Z128" s="830"/>
      <c r="AA128" s="830"/>
      <c r="AB128" s="830"/>
      <c r="AC128" s="830"/>
      <c r="AD128" s="830"/>
      <c r="AE128" s="830"/>
      <c r="AF128" s="830"/>
      <c r="AG128" s="830"/>
      <c r="AH128" s="830"/>
      <c r="AI128" s="830"/>
      <c r="AJ128" s="830"/>
      <c r="AK128" s="830"/>
      <c r="AL128" s="830"/>
      <c r="AM128" s="830"/>
      <c r="AN128" s="830"/>
      <c r="AO128" s="830"/>
    </row>
    <row r="129" spans="6:41">
      <c r="F129" s="830"/>
      <c r="G129" s="830"/>
      <c r="H129" s="830"/>
      <c r="I129" s="830"/>
      <c r="J129" s="830"/>
      <c r="K129" s="830"/>
      <c r="L129" s="830"/>
      <c r="M129" s="830"/>
      <c r="N129" s="830"/>
      <c r="O129" s="830"/>
      <c r="P129" s="830"/>
      <c r="Q129" s="830"/>
      <c r="R129" s="830"/>
      <c r="S129" s="831"/>
      <c r="T129" s="831"/>
      <c r="U129" s="830"/>
      <c r="V129" s="830"/>
      <c r="W129" s="830"/>
      <c r="X129" s="830"/>
      <c r="Y129" s="830"/>
      <c r="Z129" s="830"/>
      <c r="AA129" s="830"/>
      <c r="AB129" s="830"/>
      <c r="AC129" s="830"/>
      <c r="AD129" s="830"/>
      <c r="AE129" s="830"/>
      <c r="AF129" s="830"/>
      <c r="AG129" s="830"/>
      <c r="AH129" s="830"/>
      <c r="AI129" s="830"/>
      <c r="AJ129" s="830"/>
      <c r="AK129" s="830"/>
      <c r="AL129" s="830"/>
      <c r="AM129" s="830"/>
      <c r="AN129" s="830"/>
      <c r="AO129" s="830"/>
    </row>
    <row r="130" spans="6:41">
      <c r="F130" s="830"/>
      <c r="G130" s="830"/>
      <c r="H130" s="830"/>
      <c r="I130" s="830"/>
      <c r="J130" s="830"/>
      <c r="K130" s="830"/>
      <c r="L130" s="830"/>
      <c r="M130" s="830"/>
      <c r="N130" s="830"/>
      <c r="O130" s="830"/>
      <c r="P130" s="830"/>
      <c r="Q130" s="830"/>
      <c r="R130" s="830"/>
      <c r="S130" s="831"/>
      <c r="T130" s="831"/>
      <c r="U130" s="830"/>
      <c r="V130" s="830"/>
      <c r="W130" s="830"/>
      <c r="X130" s="830"/>
      <c r="Y130" s="830"/>
      <c r="Z130" s="830"/>
      <c r="AA130" s="830"/>
      <c r="AB130" s="830"/>
      <c r="AC130" s="830"/>
      <c r="AD130" s="830"/>
      <c r="AE130" s="830"/>
      <c r="AF130" s="830"/>
      <c r="AG130" s="830"/>
      <c r="AH130" s="830"/>
      <c r="AI130" s="830"/>
      <c r="AJ130" s="830"/>
      <c r="AK130" s="830"/>
      <c r="AL130" s="830"/>
      <c r="AM130" s="830"/>
      <c r="AN130" s="830"/>
      <c r="AO130" s="830"/>
    </row>
  </sheetData>
  <phoneticPr fontId="4" type="noConversion"/>
  <hyperlinks>
    <hyperlink ref="R67" r:id="rId1"/>
  </hyperlinks>
  <pageMargins left="0.75" right="0.75" top="1" bottom="1" header="0.5" footer="0.5"/>
  <pageSetup paperSize="9" orientation="portrait" r:id="rId2"/>
  <headerFooter alignWithMargins="0"/>
  <ignoredErrors>
    <ignoredError sqref="J4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AL629"/>
  <sheetViews>
    <sheetView tabSelected="1" topLeftCell="E1" zoomScale="70" zoomScaleNormal="70" workbookViewId="0">
      <pane xSplit="1" ySplit="5" topLeftCell="F584" activePane="bottomRight" state="frozen"/>
      <selection activeCell="E1" sqref="E1"/>
      <selection pane="topRight" activeCell="F1" sqref="F1"/>
      <selection pane="bottomLeft" activeCell="E6" sqref="E6"/>
      <selection pane="bottomRight" activeCell="U589" sqref="E589:U590"/>
    </sheetView>
  </sheetViews>
  <sheetFormatPr defaultRowHeight="12.75"/>
  <cols>
    <col min="1" max="1" width="9.140625" style="3" customWidth="1"/>
    <col min="2" max="2" width="12" style="3" customWidth="1"/>
    <col min="3" max="3" width="9.140625" style="3" customWidth="1"/>
    <col min="4" max="4" width="31.7109375" style="3" customWidth="1"/>
    <col min="5" max="5" width="8.7109375" style="3" customWidth="1"/>
    <col min="6" max="6" width="17.28515625" style="3" customWidth="1"/>
    <col min="7" max="7" width="40" style="3" customWidth="1"/>
    <col min="8" max="8" width="8.28515625" style="3" customWidth="1"/>
    <col min="9" max="9" width="7.7109375" style="3" customWidth="1"/>
    <col min="10" max="10" width="8.42578125" style="3" customWidth="1"/>
    <col min="11" max="11" width="5.85546875" style="3" customWidth="1"/>
    <col min="12" max="12" width="13.5703125" style="3" customWidth="1"/>
    <col min="13" max="13" width="9.7109375" style="11" customWidth="1"/>
    <col min="14" max="14" width="11.28515625" style="3" customWidth="1"/>
    <col min="15" max="15" width="14.28515625" style="3" customWidth="1"/>
    <col min="16" max="16" width="13.28515625" style="3" customWidth="1"/>
    <col min="17" max="17" width="13.5703125" style="3" customWidth="1"/>
    <col min="18" max="18" width="32" style="3" customWidth="1"/>
    <col min="19" max="20" width="11.140625" style="636" customWidth="1"/>
    <col min="21" max="21" width="6.42578125" style="3" customWidth="1"/>
    <col min="22" max="22" width="4.140625" style="3" customWidth="1"/>
    <col min="23" max="23" width="17.5703125" style="3" customWidth="1"/>
    <col min="24" max="24" width="16" style="3" customWidth="1"/>
    <col min="25" max="25" width="22.42578125" style="3" customWidth="1"/>
    <col min="26" max="26" width="17.7109375" style="3" customWidth="1"/>
    <col min="27" max="27" width="17.42578125" style="3" bestFit="1" customWidth="1"/>
    <col min="28" max="28" width="13.42578125" style="3" bestFit="1" customWidth="1"/>
    <col min="29" max="29" width="9.140625" style="3"/>
    <col min="30" max="30" width="11" style="3" bestFit="1" customWidth="1"/>
    <col min="31" max="32" width="9.140625" style="3"/>
    <col min="33" max="33" width="14.28515625" style="3" customWidth="1"/>
    <col min="34" max="34" width="12.7109375" style="3" bestFit="1" customWidth="1"/>
    <col min="35" max="16384" width="9.140625" style="3"/>
  </cols>
  <sheetData>
    <row r="1" spans="1:34" s="1" customFormat="1">
      <c r="F1" s="1" t="s">
        <v>295</v>
      </c>
      <c r="G1" s="134">
        <f ca="1">TODAY()</f>
        <v>42654</v>
      </c>
      <c r="H1" s="134"/>
      <c r="I1" s="134"/>
      <c r="J1" s="134"/>
      <c r="K1" s="135"/>
      <c r="N1" s="2"/>
      <c r="S1" s="630"/>
      <c r="T1" s="630"/>
    </row>
    <row r="2" spans="1:34" s="1" customFormat="1">
      <c r="F2" s="1" t="s">
        <v>306</v>
      </c>
      <c r="G2" s="517" t="s">
        <v>1180</v>
      </c>
      <c r="H2" s="517"/>
      <c r="I2" s="517"/>
      <c r="J2" s="517"/>
      <c r="K2" s="518"/>
      <c r="L2" s="519"/>
      <c r="M2" s="520"/>
      <c r="N2" s="521" t="s">
        <v>504</v>
      </c>
      <c r="S2" s="630"/>
      <c r="T2" s="630"/>
    </row>
    <row r="3" spans="1:34" s="5" customFormat="1">
      <c r="E3" s="3"/>
      <c r="F3" s="4" t="s">
        <v>1181</v>
      </c>
      <c r="G3" t="s">
        <v>1208</v>
      </c>
      <c r="M3" s="6"/>
      <c r="S3" s="631"/>
      <c r="T3" s="631"/>
    </row>
    <row r="4" spans="1:34" ht="12.75" customHeight="1">
      <c r="E4" s="12"/>
      <c r="F4" s="15"/>
      <c r="G4" s="1818"/>
      <c r="H4" s="1818"/>
      <c r="I4" s="1818"/>
      <c r="J4" s="1818"/>
      <c r="K4" s="1818"/>
      <c r="L4" s="1818"/>
      <c r="M4" s="1818"/>
      <c r="N4" s="1818"/>
      <c r="O4" s="1818"/>
      <c r="P4" s="1818"/>
      <c r="Q4" s="1818"/>
      <c r="R4" s="1818"/>
      <c r="S4" s="1818"/>
      <c r="T4" s="1818"/>
      <c r="U4" s="228"/>
      <c r="V4" s="16"/>
      <c r="W4" s="16"/>
      <c r="X4" s="16"/>
      <c r="Y4" s="16"/>
      <c r="Z4" s="16"/>
      <c r="AA4" s="16"/>
      <c r="AB4" s="678">
        <f>DATE(2010,12,13)</f>
        <v>40525</v>
      </c>
      <c r="AC4" s="16"/>
      <c r="AD4" s="16"/>
      <c r="AE4" s="16"/>
      <c r="AF4"/>
      <c r="AG4" s="85">
        <f>DATE(2008,12,31)</f>
        <v>39813</v>
      </c>
      <c r="AH4">
        <v>7.75</v>
      </c>
    </row>
    <row r="5" spans="1:34" s="10" customFormat="1" ht="38.25">
      <c r="A5" s="10" t="s">
        <v>392</v>
      </c>
      <c r="B5" s="10" t="s">
        <v>617</v>
      </c>
      <c r="C5" s="10" t="s">
        <v>393</v>
      </c>
      <c r="D5" s="10" t="s">
        <v>394</v>
      </c>
      <c r="E5" s="8" t="s">
        <v>296</v>
      </c>
      <c r="F5" s="8" t="s">
        <v>293</v>
      </c>
      <c r="G5" s="8" t="s">
        <v>300</v>
      </c>
      <c r="H5" s="8" t="s">
        <v>573</v>
      </c>
      <c r="I5" s="8" t="s">
        <v>574</v>
      </c>
      <c r="J5" s="8" t="s">
        <v>603</v>
      </c>
      <c r="K5" s="8" t="s">
        <v>337</v>
      </c>
      <c r="L5" s="9" t="s">
        <v>302</v>
      </c>
      <c r="M5" s="7" t="s">
        <v>301</v>
      </c>
      <c r="N5" s="7" t="s">
        <v>304</v>
      </c>
      <c r="O5" s="7" t="s">
        <v>305</v>
      </c>
      <c r="P5" s="8" t="s">
        <v>297</v>
      </c>
      <c r="Q5" s="8" t="s">
        <v>303</v>
      </c>
      <c r="R5" s="8" t="s">
        <v>312</v>
      </c>
      <c r="S5" s="632" t="s">
        <v>298</v>
      </c>
      <c r="T5" s="632" t="s">
        <v>299</v>
      </c>
      <c r="U5" s="228" t="s">
        <v>752</v>
      </c>
      <c r="W5" s="80" t="s">
        <v>436</v>
      </c>
      <c r="X5" s="10" t="s">
        <v>474</v>
      </c>
      <c r="Y5" s="10" t="s">
        <v>844</v>
      </c>
      <c r="Z5" s="10" t="s">
        <v>921</v>
      </c>
      <c r="AA5" s="10" t="s">
        <v>441</v>
      </c>
      <c r="AB5" s="679" t="s">
        <v>442</v>
      </c>
      <c r="AC5" s="10" t="s">
        <v>443</v>
      </c>
      <c r="AD5" s="10" t="s">
        <v>4</v>
      </c>
      <c r="AF5" s="29" t="s">
        <v>548</v>
      </c>
      <c r="AG5" s="29" t="s">
        <v>549</v>
      </c>
      <c r="AH5" s="29" t="s">
        <v>550</v>
      </c>
    </row>
    <row r="6" spans="1:34" s="55" customFormat="1" ht="25.5">
      <c r="A6" s="91" t="s">
        <v>430</v>
      </c>
      <c r="B6" s="1449">
        <f>O6-C6/100</f>
        <v>3.41</v>
      </c>
      <c r="C6" s="91">
        <v>234</v>
      </c>
      <c r="D6" s="91">
        <v>160</v>
      </c>
      <c r="E6" s="1450">
        <v>1</v>
      </c>
      <c r="F6" s="47" t="s">
        <v>328</v>
      </c>
      <c r="G6" s="48" t="s">
        <v>385</v>
      </c>
      <c r="H6" s="48"/>
      <c r="I6" s="48"/>
      <c r="J6" s="48"/>
      <c r="K6" s="46" t="s">
        <v>329</v>
      </c>
      <c r="L6" s="49">
        <v>15000000</v>
      </c>
      <c r="M6" s="46" t="s">
        <v>330</v>
      </c>
      <c r="N6" s="46">
        <v>97.706000000000003</v>
      </c>
      <c r="O6" s="51">
        <v>5.75</v>
      </c>
      <c r="P6" s="52" t="s">
        <v>331</v>
      </c>
      <c r="Q6" s="48" t="s">
        <v>344</v>
      </c>
      <c r="R6" s="53" t="s">
        <v>445</v>
      </c>
      <c r="S6" s="633">
        <v>39505</v>
      </c>
      <c r="T6" s="633">
        <v>39512</v>
      </c>
      <c r="U6" s="54"/>
      <c r="W6" s="143">
        <v>14969441.67</v>
      </c>
      <c r="X6" s="143"/>
      <c r="AA6" s="91">
        <v>5.375</v>
      </c>
      <c r="AB6" s="680">
        <v>42292</v>
      </c>
      <c r="AC6" s="104">
        <f t="shared" ref="AC6:AC13" si="0">(AB6-$AB$4)/365</f>
        <v>4.8410958904109593</v>
      </c>
      <c r="AF6" s="214">
        <f>$AB$4-T6</f>
        <v>1013</v>
      </c>
      <c r="AG6" s="215">
        <f t="shared" ref="AG6:AG37" si="1">ACCRINT($T6,$T6,$AG$4,AA6/100,100,2,0, 0)*L6/100</f>
        <v>662916.66666666663</v>
      </c>
      <c r="AH6" s="117">
        <f>AG6*$AH$4</f>
        <v>5137604.166666666</v>
      </c>
    </row>
    <row r="7" spans="1:34" s="55" customFormat="1" ht="25.5">
      <c r="A7" s="91" t="s">
        <v>430</v>
      </c>
      <c r="B7" s="1449">
        <f>O7-C7/100</f>
        <v>3.38</v>
      </c>
      <c r="C7" s="91">
        <v>234</v>
      </c>
      <c r="D7" s="91">
        <v>160</v>
      </c>
      <c r="E7" s="1450">
        <f>E6+1</f>
        <v>2</v>
      </c>
      <c r="F7" s="47" t="s">
        <v>345</v>
      </c>
      <c r="G7" s="48" t="s">
        <v>385</v>
      </c>
      <c r="H7" s="48"/>
      <c r="I7" s="48"/>
      <c r="J7" s="48"/>
      <c r="K7" s="46" t="s">
        <v>346</v>
      </c>
      <c r="L7" s="49">
        <v>25000000</v>
      </c>
      <c r="M7" s="46" t="s">
        <v>347</v>
      </c>
      <c r="N7" s="46">
        <v>97.885999999999996</v>
      </c>
      <c r="O7" s="51">
        <v>5.72</v>
      </c>
      <c r="P7" s="52" t="s">
        <v>331</v>
      </c>
      <c r="Q7" s="48" t="s">
        <v>348</v>
      </c>
      <c r="R7" s="53" t="s">
        <v>445</v>
      </c>
      <c r="S7" s="633">
        <v>39505</v>
      </c>
      <c r="T7" s="633">
        <v>39512</v>
      </c>
      <c r="U7" s="54"/>
      <c r="W7" s="143">
        <v>24994069.440000001</v>
      </c>
      <c r="X7" s="143"/>
      <c r="AA7" s="91">
        <v>5.375</v>
      </c>
      <c r="AB7" s="680">
        <v>42292</v>
      </c>
      <c r="AC7" s="104">
        <f t="shared" si="0"/>
        <v>4.8410958904109593</v>
      </c>
      <c r="AF7" s="214">
        <f t="shared" ref="AF7:AF61" si="2">$AB$4-T7</f>
        <v>1013</v>
      </c>
      <c r="AG7" s="215">
        <f t="shared" si="1"/>
        <v>1104861.111111111</v>
      </c>
      <c r="AH7" s="117">
        <f t="shared" ref="AH7:AH64" si="3">AG7*$AH$4</f>
        <v>8562673.6111111101</v>
      </c>
    </row>
    <row r="8" spans="1:34" s="55" customFormat="1" ht="38.25">
      <c r="A8" s="91">
        <v>248</v>
      </c>
      <c r="B8" s="1449">
        <f>O8-C8/100</f>
        <v>2.819493</v>
      </c>
      <c r="C8" s="91">
        <v>248</v>
      </c>
      <c r="D8" s="91">
        <v>154</v>
      </c>
      <c r="E8" s="46">
        <v>3</v>
      </c>
      <c r="F8" s="47" t="s">
        <v>349</v>
      </c>
      <c r="G8" s="48" t="s">
        <v>386</v>
      </c>
      <c r="H8" s="48"/>
      <c r="I8" s="48"/>
      <c r="J8" s="48"/>
      <c r="K8" s="46" t="s">
        <v>346</v>
      </c>
      <c r="L8" s="49">
        <v>5000000</v>
      </c>
      <c r="M8" s="46" t="s">
        <v>347</v>
      </c>
      <c r="N8" s="46">
        <v>100.32</v>
      </c>
      <c r="O8" s="51">
        <v>5.299493</v>
      </c>
      <c r="P8" s="52" t="s">
        <v>350</v>
      </c>
      <c r="Q8" s="48" t="s">
        <v>351</v>
      </c>
      <c r="R8" s="53" t="s">
        <v>352</v>
      </c>
      <c r="S8" s="633">
        <v>39505</v>
      </c>
      <c r="T8" s="633">
        <v>39512</v>
      </c>
      <c r="U8" s="54"/>
      <c r="W8" s="143">
        <v>5033916.67</v>
      </c>
      <c r="X8" s="143"/>
      <c r="AA8" s="91">
        <v>5.375</v>
      </c>
      <c r="AB8" s="680">
        <v>41316</v>
      </c>
      <c r="AC8" s="104">
        <f t="shared" si="0"/>
        <v>2.1671232876712327</v>
      </c>
      <c r="AF8" s="214">
        <f t="shared" si="2"/>
        <v>1013</v>
      </c>
      <c r="AG8" s="215">
        <f t="shared" si="1"/>
        <v>220972.22222222219</v>
      </c>
      <c r="AH8" s="117">
        <f t="shared" si="3"/>
        <v>1712534.722222222</v>
      </c>
    </row>
    <row r="9" spans="1:34" s="55" customFormat="1" ht="25.5">
      <c r="A9" s="91">
        <v>248</v>
      </c>
      <c r="B9" s="1449">
        <f>O9-C9/100</f>
        <v>2.8200040000000004</v>
      </c>
      <c r="C9" s="91">
        <v>248</v>
      </c>
      <c r="D9" s="91">
        <v>154</v>
      </c>
      <c r="E9" s="46">
        <v>4</v>
      </c>
      <c r="F9" s="47" t="s">
        <v>349</v>
      </c>
      <c r="G9" s="48" t="s">
        <v>386</v>
      </c>
      <c r="H9" s="48"/>
      <c r="I9" s="48"/>
      <c r="J9" s="48"/>
      <c r="K9" s="46" t="s">
        <v>346</v>
      </c>
      <c r="L9" s="49">
        <v>5000000</v>
      </c>
      <c r="M9" s="46" t="s">
        <v>347</v>
      </c>
      <c r="N9" s="50">
        <v>100.3175</v>
      </c>
      <c r="O9" s="51">
        <v>5.3000040000000004</v>
      </c>
      <c r="P9" s="52" t="s">
        <v>353</v>
      </c>
      <c r="Q9" s="48" t="s">
        <v>351</v>
      </c>
      <c r="R9" s="53" t="s">
        <v>352</v>
      </c>
      <c r="S9" s="633">
        <v>39506</v>
      </c>
      <c r="T9" s="633">
        <v>39513</v>
      </c>
      <c r="U9" s="54"/>
      <c r="W9" s="143">
        <v>5034538.1900000004</v>
      </c>
      <c r="X9" s="143">
        <f>SUM(W6:W9)</f>
        <v>50031965.969999999</v>
      </c>
      <c r="Y9" s="110">
        <f>SUM(W6:W9)*7.79</f>
        <v>389749014.90630001</v>
      </c>
      <c r="AA9" s="91">
        <v>5.375</v>
      </c>
      <c r="AB9" s="680">
        <v>41316</v>
      </c>
      <c r="AC9" s="104">
        <f t="shared" si="0"/>
        <v>2.1671232876712327</v>
      </c>
      <c r="AF9" s="214">
        <f t="shared" si="2"/>
        <v>1012</v>
      </c>
      <c r="AG9" s="215">
        <f t="shared" si="1"/>
        <v>220225.69444444441</v>
      </c>
      <c r="AH9" s="117">
        <f t="shared" si="3"/>
        <v>1706749.1319444443</v>
      </c>
    </row>
    <row r="10" spans="1:34" s="55" customFormat="1" ht="25.5">
      <c r="A10" s="91"/>
      <c r="B10" s="91"/>
      <c r="C10" s="91"/>
      <c r="D10" s="91"/>
      <c r="E10" s="46">
        <v>5</v>
      </c>
      <c r="F10" s="47" t="s">
        <v>354</v>
      </c>
      <c r="G10" s="48" t="s">
        <v>387</v>
      </c>
      <c r="H10" s="48"/>
      <c r="I10" s="48"/>
      <c r="J10" s="48"/>
      <c r="K10" s="46" t="s">
        <v>346</v>
      </c>
      <c r="L10" s="49">
        <v>5000000</v>
      </c>
      <c r="M10" s="46" t="s">
        <v>347</v>
      </c>
      <c r="N10" s="50">
        <v>98.908000000000001</v>
      </c>
      <c r="O10" s="51">
        <v>5.7131049999999997</v>
      </c>
      <c r="P10" s="52" t="s">
        <v>331</v>
      </c>
      <c r="Q10" s="48" t="s">
        <v>348</v>
      </c>
      <c r="R10" s="53" t="s">
        <v>445</v>
      </c>
      <c r="S10" s="633">
        <v>39521</v>
      </c>
      <c r="T10" s="633">
        <v>39527</v>
      </c>
      <c r="U10" s="54"/>
      <c r="W10" s="143">
        <v>5053872.22</v>
      </c>
      <c r="X10" s="143"/>
      <c r="AA10" s="86">
        <v>5.5</v>
      </c>
      <c r="AB10" s="680">
        <v>41757</v>
      </c>
      <c r="AC10" s="104">
        <f t="shared" si="0"/>
        <v>3.3753424657534246</v>
      </c>
      <c r="AF10" s="214">
        <f t="shared" si="2"/>
        <v>998</v>
      </c>
      <c r="AG10" s="215">
        <f t="shared" si="1"/>
        <v>214652.77777777775</v>
      </c>
      <c r="AH10" s="117">
        <f t="shared" si="3"/>
        <v>1663559.0277777775</v>
      </c>
    </row>
    <row r="11" spans="1:34" s="55" customFormat="1" ht="16.5">
      <c r="A11" s="91"/>
      <c r="B11" s="91"/>
      <c r="C11" s="91"/>
      <c r="D11" s="91"/>
      <c r="E11" s="46">
        <v>6</v>
      </c>
      <c r="F11" s="47" t="s">
        <v>354</v>
      </c>
      <c r="G11" s="48" t="s">
        <v>387</v>
      </c>
      <c r="H11" s="48"/>
      <c r="I11" s="48"/>
      <c r="J11" s="48"/>
      <c r="K11" s="46" t="s">
        <v>346</v>
      </c>
      <c r="L11" s="49">
        <v>5000000</v>
      </c>
      <c r="M11" s="46" t="s">
        <v>347</v>
      </c>
      <c r="N11" s="46">
        <v>98.15</v>
      </c>
      <c r="O11" s="51">
        <v>5.8633709999999999</v>
      </c>
      <c r="P11" s="52" t="s">
        <v>355</v>
      </c>
      <c r="Q11" s="48" t="s">
        <v>356</v>
      </c>
      <c r="R11" s="53" t="s">
        <v>357</v>
      </c>
      <c r="S11" s="633">
        <v>39521</v>
      </c>
      <c r="T11" s="633">
        <v>39527</v>
      </c>
      <c r="U11" s="54"/>
      <c r="W11" s="143">
        <v>5015972.22</v>
      </c>
      <c r="X11" s="143"/>
      <c r="AA11" s="86">
        <v>5.5</v>
      </c>
      <c r="AB11" s="680">
        <v>41757</v>
      </c>
      <c r="AC11" s="104">
        <f t="shared" si="0"/>
        <v>3.3753424657534246</v>
      </c>
      <c r="AF11" s="214">
        <f t="shared" si="2"/>
        <v>998</v>
      </c>
      <c r="AG11" s="215">
        <f t="shared" si="1"/>
        <v>214652.77777777775</v>
      </c>
      <c r="AH11" s="117">
        <f t="shared" si="3"/>
        <v>1663559.0277777775</v>
      </c>
    </row>
    <row r="12" spans="1:34" s="55" customFormat="1" ht="25.5">
      <c r="A12" s="91"/>
      <c r="B12" s="91"/>
      <c r="C12" s="91"/>
      <c r="D12" s="91"/>
      <c r="E12" s="46">
        <v>7</v>
      </c>
      <c r="F12" s="47" t="s">
        <v>354</v>
      </c>
      <c r="G12" s="48" t="s">
        <v>387</v>
      </c>
      <c r="H12" s="48"/>
      <c r="I12" s="48"/>
      <c r="J12" s="48"/>
      <c r="K12" s="46" t="s">
        <v>346</v>
      </c>
      <c r="L12" s="49">
        <v>10000000</v>
      </c>
      <c r="M12" s="46" t="s">
        <v>347</v>
      </c>
      <c r="N12" s="1451">
        <v>98.37</v>
      </c>
      <c r="O12" s="51">
        <v>5.8204792569999997</v>
      </c>
      <c r="P12" s="52" t="s">
        <v>358</v>
      </c>
      <c r="Q12" s="48" t="s">
        <v>359</v>
      </c>
      <c r="R12" s="53" t="s">
        <v>370</v>
      </c>
      <c r="S12" s="633">
        <v>39524</v>
      </c>
      <c r="T12" s="633">
        <v>39532</v>
      </c>
      <c r="U12" s="54"/>
      <c r="W12" s="143">
        <v>10061583.33</v>
      </c>
      <c r="X12" s="143"/>
      <c r="Y12" s="110">
        <f>SUM(W10:W13)*7.79</f>
        <v>313396330.68759996</v>
      </c>
      <c r="AA12" s="86">
        <v>5.5</v>
      </c>
      <c r="AB12" s="680">
        <v>41757</v>
      </c>
      <c r="AC12" s="104">
        <f t="shared" si="0"/>
        <v>3.3753424657534246</v>
      </c>
      <c r="AF12" s="214">
        <f t="shared" si="2"/>
        <v>993</v>
      </c>
      <c r="AG12" s="215">
        <f t="shared" si="1"/>
        <v>421666.66666666663</v>
      </c>
      <c r="AH12" s="117">
        <f t="shared" si="3"/>
        <v>3267916.6666666665</v>
      </c>
    </row>
    <row r="13" spans="1:34" s="55" customFormat="1" ht="25.5">
      <c r="A13" s="91" t="s">
        <v>417</v>
      </c>
      <c r="B13" s="1449">
        <f>O13-C13/100</f>
        <v>2.3444039999999999</v>
      </c>
      <c r="C13" s="91">
        <v>350</v>
      </c>
      <c r="D13" s="91">
        <v>270</v>
      </c>
      <c r="E13" s="46">
        <v>8</v>
      </c>
      <c r="F13" s="47" t="s">
        <v>354</v>
      </c>
      <c r="G13" s="48" t="s">
        <v>387</v>
      </c>
      <c r="H13" s="48"/>
      <c r="I13" s="48"/>
      <c r="J13" s="48"/>
      <c r="K13" s="46" t="s">
        <v>346</v>
      </c>
      <c r="L13" s="49">
        <v>20000000</v>
      </c>
      <c r="M13" s="46" t="s">
        <v>347</v>
      </c>
      <c r="N13" s="1451">
        <v>98.25</v>
      </c>
      <c r="O13" s="51">
        <v>5.8444039999999999</v>
      </c>
      <c r="P13" s="52" t="s">
        <v>358</v>
      </c>
      <c r="Q13" s="48" t="s">
        <v>359</v>
      </c>
      <c r="R13" s="53" t="s">
        <v>370</v>
      </c>
      <c r="S13" s="633">
        <v>39524</v>
      </c>
      <c r="T13" s="633">
        <v>39532</v>
      </c>
      <c r="U13" s="54"/>
      <c r="W13" s="143">
        <v>20099166.670000002</v>
      </c>
      <c r="X13" s="143">
        <f>SUM(W10:W13)</f>
        <v>40230594.439999998</v>
      </c>
      <c r="Y13" s="110">
        <f>SUM(W10:W13)*7.79+Y9</f>
        <v>703145345.59389997</v>
      </c>
      <c r="AA13" s="86">
        <v>5.5</v>
      </c>
      <c r="AB13" s="680">
        <v>41757</v>
      </c>
      <c r="AC13" s="104">
        <f t="shared" si="0"/>
        <v>3.3753424657534246</v>
      </c>
      <c r="AF13" s="214">
        <f t="shared" si="2"/>
        <v>993</v>
      </c>
      <c r="AG13" s="215">
        <f t="shared" si="1"/>
        <v>843333.33333333326</v>
      </c>
      <c r="AH13" s="117">
        <f t="shared" si="3"/>
        <v>6535833.333333333</v>
      </c>
    </row>
    <row r="14" spans="1:34" s="55" customFormat="1" ht="25.5">
      <c r="A14" s="91">
        <v>362</v>
      </c>
      <c r="B14" s="1449">
        <f>O14-C14/100</f>
        <v>2.6870719999999997</v>
      </c>
      <c r="C14" s="91">
        <v>362</v>
      </c>
      <c r="D14" s="91">
        <v>232</v>
      </c>
      <c r="E14" s="46">
        <v>9</v>
      </c>
      <c r="F14" s="47" t="s">
        <v>377</v>
      </c>
      <c r="G14" s="48" t="s">
        <v>384</v>
      </c>
      <c r="H14" s="48"/>
      <c r="I14" s="48"/>
      <c r="J14" s="48"/>
      <c r="K14" s="46" t="s">
        <v>329</v>
      </c>
      <c r="L14" s="49">
        <v>9500000</v>
      </c>
      <c r="M14" s="46" t="s">
        <v>330</v>
      </c>
      <c r="N14" s="107">
        <v>104.372</v>
      </c>
      <c r="O14" s="108">
        <v>6.3070719999999998</v>
      </c>
      <c r="P14" s="52" t="s">
        <v>375</v>
      </c>
      <c r="Q14" s="48" t="s">
        <v>344</v>
      </c>
      <c r="R14" s="53" t="s">
        <v>445</v>
      </c>
      <c r="S14" s="633">
        <v>39547</v>
      </c>
      <c r="T14" s="633">
        <v>39554</v>
      </c>
      <c r="U14" s="54"/>
      <c r="W14" s="117">
        <f>(10447398.61)*9.5/10</f>
        <v>9925028.6794999987</v>
      </c>
      <c r="X14" s="117"/>
      <c r="AA14" s="86">
        <v>7.343</v>
      </c>
      <c r="AB14" s="680">
        <v>41375</v>
      </c>
      <c r="AC14" s="104">
        <f t="shared" ref="AC14:AC30" si="4">(AB14-$AB$4)/365</f>
        <v>2.3287671232876712</v>
      </c>
      <c r="AF14" s="214">
        <f t="shared" si="2"/>
        <v>971</v>
      </c>
      <c r="AG14" s="215">
        <f t="shared" si="1"/>
        <v>494122.70833333337</v>
      </c>
      <c r="AH14" s="117">
        <f t="shared" si="3"/>
        <v>3829450.9895833335</v>
      </c>
    </row>
    <row r="15" spans="1:34" s="55" customFormat="1" ht="16.5">
      <c r="A15" s="91">
        <v>370</v>
      </c>
      <c r="B15" s="1449">
        <f>O15-C15/100</f>
        <v>2.6561300000000001</v>
      </c>
      <c r="C15" s="91">
        <v>370</v>
      </c>
      <c r="D15" s="91">
        <v>295</v>
      </c>
      <c r="E15" s="46">
        <v>10</v>
      </c>
      <c r="F15" s="47" t="s">
        <v>371</v>
      </c>
      <c r="G15" s="48" t="s">
        <v>383</v>
      </c>
      <c r="H15" s="48"/>
      <c r="I15" s="48"/>
      <c r="J15" s="48"/>
      <c r="K15" s="46" t="s">
        <v>346</v>
      </c>
      <c r="L15" s="49">
        <v>10000000</v>
      </c>
      <c r="M15" s="46" t="s">
        <v>347</v>
      </c>
      <c r="N15" s="107">
        <v>113.5</v>
      </c>
      <c r="O15" s="51">
        <v>6.3561300000000003</v>
      </c>
      <c r="P15" s="52" t="s">
        <v>372</v>
      </c>
      <c r="Q15" s="48" t="s">
        <v>373</v>
      </c>
      <c r="R15" s="53" t="s">
        <v>374</v>
      </c>
      <c r="S15" s="633">
        <v>39548</v>
      </c>
      <c r="T15" s="633">
        <v>39555</v>
      </c>
      <c r="U15" s="54"/>
      <c r="W15" s="143">
        <v>11472986.109999999</v>
      </c>
      <c r="X15" s="143"/>
      <c r="AA15" s="86">
        <v>9.625</v>
      </c>
      <c r="AB15" s="680">
        <v>41334</v>
      </c>
      <c r="AC15" s="104">
        <f t="shared" si="4"/>
        <v>2.2164383561643834</v>
      </c>
      <c r="AF15" s="214">
        <f t="shared" si="2"/>
        <v>970</v>
      </c>
      <c r="AG15" s="215">
        <f t="shared" si="1"/>
        <v>679097.22222222225</v>
      </c>
      <c r="AH15" s="117">
        <f t="shared" si="3"/>
        <v>5263003.472222222</v>
      </c>
    </row>
    <row r="16" spans="1:34" s="74" customFormat="1" ht="16.5">
      <c r="A16" s="73"/>
      <c r="B16" s="73"/>
      <c r="C16" s="73"/>
      <c r="D16" s="73"/>
      <c r="E16" s="91">
        <v>11</v>
      </c>
      <c r="F16" s="55" t="s">
        <v>314</v>
      </c>
      <c r="G16" s="53" t="s">
        <v>315</v>
      </c>
      <c r="H16" s="53"/>
      <c r="I16" s="53"/>
      <c r="J16" s="53"/>
      <c r="K16" s="91" t="s">
        <v>309</v>
      </c>
      <c r="L16" s="63">
        <v>8300000</v>
      </c>
      <c r="M16" s="113" t="s">
        <v>466</v>
      </c>
      <c r="N16" s="91">
        <v>99.61</v>
      </c>
      <c r="O16" s="91">
        <v>5.4651959999999997</v>
      </c>
      <c r="P16" s="111" t="s">
        <v>316</v>
      </c>
      <c r="Q16" s="112" t="s">
        <v>317</v>
      </c>
      <c r="R16" s="53" t="s">
        <v>318</v>
      </c>
      <c r="S16" s="1452">
        <v>39549</v>
      </c>
      <c r="T16" s="1452">
        <v>39556</v>
      </c>
      <c r="U16" s="414"/>
      <c r="W16" s="117">
        <f>(9961000)*8.3/10</f>
        <v>8267630</v>
      </c>
      <c r="X16" s="117"/>
      <c r="AA16" s="86">
        <v>5.375</v>
      </c>
      <c r="AB16" s="680">
        <v>41382</v>
      </c>
      <c r="AC16" s="104">
        <f t="shared" si="4"/>
        <v>2.3479452054794518</v>
      </c>
      <c r="AF16" s="214">
        <f t="shared" si="2"/>
        <v>969</v>
      </c>
      <c r="AG16" s="215">
        <f t="shared" si="1"/>
        <v>313526.73611111107</v>
      </c>
      <c r="AH16" s="117">
        <f t="shared" si="3"/>
        <v>2429832.2048611105</v>
      </c>
    </row>
    <row r="17" spans="1:34" s="74" customFormat="1" ht="16.5">
      <c r="A17" s="73">
        <v>294</v>
      </c>
      <c r="B17" s="1449">
        <f t="shared" ref="B17:B26" si="5">O17-C17/100</f>
        <v>3.4329110000000003</v>
      </c>
      <c r="C17" s="73">
        <v>294</v>
      </c>
      <c r="D17" s="73">
        <v>230</v>
      </c>
      <c r="E17" s="91">
        <v>12</v>
      </c>
      <c r="F17" s="55" t="s">
        <v>307</v>
      </c>
      <c r="G17" s="53" t="s">
        <v>308</v>
      </c>
      <c r="H17" s="53"/>
      <c r="I17" s="53"/>
      <c r="J17" s="53"/>
      <c r="K17" s="91" t="s">
        <v>309</v>
      </c>
      <c r="L17" s="63">
        <v>20000000</v>
      </c>
      <c r="M17" s="113" t="s">
        <v>466</v>
      </c>
      <c r="N17" s="91">
        <v>99.100999999999999</v>
      </c>
      <c r="O17" s="91">
        <v>6.3729110000000002</v>
      </c>
      <c r="P17" s="111" t="s">
        <v>310</v>
      </c>
      <c r="Q17" s="112" t="s">
        <v>311</v>
      </c>
      <c r="R17" s="53" t="s">
        <v>313</v>
      </c>
      <c r="S17" s="1452">
        <v>39552</v>
      </c>
      <c r="T17" s="1452">
        <v>39559</v>
      </c>
      <c r="U17" s="414"/>
      <c r="W17" s="143">
        <v>19830616.670000002</v>
      </c>
      <c r="X17" s="143"/>
      <c r="AA17" s="86">
        <v>6.25</v>
      </c>
      <c r="AB17" s="680">
        <v>43208</v>
      </c>
      <c r="AC17" s="104">
        <f t="shared" si="4"/>
        <v>7.3506849315068497</v>
      </c>
      <c r="AF17" s="214">
        <f t="shared" si="2"/>
        <v>966</v>
      </c>
      <c r="AG17" s="215">
        <f t="shared" si="1"/>
        <v>868055.5555555555</v>
      </c>
      <c r="AH17" s="117">
        <f t="shared" si="3"/>
        <v>6727430.555555555</v>
      </c>
    </row>
    <row r="18" spans="1:34" s="74" customFormat="1" ht="25.5">
      <c r="A18" s="73">
        <v>290</v>
      </c>
      <c r="B18" s="1449">
        <f t="shared" si="5"/>
        <v>3.4270450000000001</v>
      </c>
      <c r="C18" s="73">
        <v>290</v>
      </c>
      <c r="D18" s="73">
        <v>226</v>
      </c>
      <c r="E18" s="91">
        <v>13</v>
      </c>
      <c r="F18" s="55" t="s">
        <v>307</v>
      </c>
      <c r="G18" s="53" t="s">
        <v>308</v>
      </c>
      <c r="H18" s="53"/>
      <c r="I18" s="53"/>
      <c r="J18" s="53"/>
      <c r="K18" s="91" t="s">
        <v>309</v>
      </c>
      <c r="L18" s="63">
        <v>10000000</v>
      </c>
      <c r="M18" s="113" t="s">
        <v>466</v>
      </c>
      <c r="N18" s="91">
        <v>99.435000000000002</v>
      </c>
      <c r="O18" s="91">
        <v>6.327045</v>
      </c>
      <c r="P18" s="111" t="s">
        <v>319</v>
      </c>
      <c r="Q18" s="112" t="s">
        <v>320</v>
      </c>
      <c r="R18" s="53" t="s">
        <v>321</v>
      </c>
      <c r="S18" s="1452">
        <v>39553</v>
      </c>
      <c r="T18" s="1452">
        <v>39559</v>
      </c>
      <c r="U18" s="414"/>
      <c r="W18" s="143">
        <v>9948708.3300000001</v>
      </c>
      <c r="X18" s="143"/>
      <c r="AA18" s="86">
        <v>6.25</v>
      </c>
      <c r="AB18" s="680">
        <v>43208</v>
      </c>
      <c r="AC18" s="104">
        <f t="shared" si="4"/>
        <v>7.3506849315068497</v>
      </c>
      <c r="AF18" s="214">
        <f t="shared" si="2"/>
        <v>966</v>
      </c>
      <c r="AG18" s="215">
        <f t="shared" si="1"/>
        <v>434027.77777777775</v>
      </c>
      <c r="AH18" s="117">
        <f t="shared" si="3"/>
        <v>3363715.2777777775</v>
      </c>
    </row>
    <row r="19" spans="1:34" s="74" customFormat="1" ht="16.5">
      <c r="A19" s="73"/>
      <c r="B19" s="1449"/>
      <c r="C19" s="73"/>
      <c r="D19" s="73"/>
      <c r="E19" s="91">
        <v>14</v>
      </c>
      <c r="F19" s="55" t="s">
        <v>314</v>
      </c>
      <c r="G19" s="53" t="s">
        <v>315</v>
      </c>
      <c r="H19" s="53"/>
      <c r="I19" s="53"/>
      <c r="J19" s="53"/>
      <c r="K19" s="91" t="s">
        <v>309</v>
      </c>
      <c r="L19" s="63">
        <v>5000000</v>
      </c>
      <c r="M19" s="113" t="s">
        <v>466</v>
      </c>
      <c r="N19" s="91">
        <v>99.921000000000006</v>
      </c>
      <c r="O19" s="91">
        <v>5.3931279999999999</v>
      </c>
      <c r="P19" s="111" t="s">
        <v>316</v>
      </c>
      <c r="Q19" s="112" t="s">
        <v>317</v>
      </c>
      <c r="R19" s="53" t="s">
        <v>318</v>
      </c>
      <c r="S19" s="1452">
        <v>39554</v>
      </c>
      <c r="T19" s="1452">
        <v>39559</v>
      </c>
      <c r="U19" s="414"/>
      <c r="W19" s="143">
        <v>4998289.58</v>
      </c>
      <c r="X19" s="143"/>
      <c r="AA19" s="86">
        <v>5.375</v>
      </c>
      <c r="AB19" s="680">
        <v>41382</v>
      </c>
      <c r="AC19" s="104">
        <f t="shared" si="4"/>
        <v>2.3479452054794518</v>
      </c>
      <c r="AF19" s="214">
        <f t="shared" si="2"/>
        <v>966</v>
      </c>
      <c r="AG19" s="215">
        <f t="shared" si="1"/>
        <v>186631.94444444444</v>
      </c>
      <c r="AH19" s="117">
        <f t="shared" si="3"/>
        <v>1446397.5694444445</v>
      </c>
    </row>
    <row r="20" spans="1:34" s="74" customFormat="1" ht="25.5">
      <c r="A20" s="73">
        <v>255</v>
      </c>
      <c r="B20" s="1449">
        <f t="shared" si="5"/>
        <v>2.8030499999999998</v>
      </c>
      <c r="C20" s="73">
        <v>255</v>
      </c>
      <c r="D20" s="73">
        <v>160</v>
      </c>
      <c r="E20" s="91">
        <v>15</v>
      </c>
      <c r="F20" s="55" t="s">
        <v>314</v>
      </c>
      <c r="G20" s="53" t="s">
        <v>315</v>
      </c>
      <c r="H20" s="53"/>
      <c r="I20" s="53"/>
      <c r="J20" s="53"/>
      <c r="K20" s="91" t="s">
        <v>309</v>
      </c>
      <c r="L20" s="63">
        <v>5000000</v>
      </c>
      <c r="M20" s="113" t="s">
        <v>466</v>
      </c>
      <c r="N20" s="91">
        <v>100.09399999999999</v>
      </c>
      <c r="O20" s="91">
        <v>5.3530499999999996</v>
      </c>
      <c r="P20" s="111" t="s">
        <v>322</v>
      </c>
      <c r="Q20" s="112" t="s">
        <v>323</v>
      </c>
      <c r="R20" s="53" t="s">
        <v>324</v>
      </c>
      <c r="S20" s="1452">
        <v>39554</v>
      </c>
      <c r="T20" s="1452">
        <v>39561</v>
      </c>
      <c r="U20" s="414"/>
      <c r="W20" s="143">
        <v>5008432.6399999997</v>
      </c>
      <c r="X20" s="143"/>
      <c r="AA20" s="86">
        <v>5.375</v>
      </c>
      <c r="AB20" s="680">
        <v>41382</v>
      </c>
      <c r="AC20" s="104">
        <f t="shared" si="4"/>
        <v>2.3479452054794518</v>
      </c>
      <c r="AF20" s="214">
        <f t="shared" si="2"/>
        <v>964</v>
      </c>
      <c r="AG20" s="215">
        <f t="shared" si="1"/>
        <v>185138.88888888888</v>
      </c>
      <c r="AH20" s="117">
        <f t="shared" si="3"/>
        <v>1434826.3888888888</v>
      </c>
    </row>
    <row r="21" spans="1:34" s="74" customFormat="1" ht="25.5">
      <c r="A21" s="73"/>
      <c r="B21" s="73"/>
      <c r="C21" s="73"/>
      <c r="D21" s="73"/>
      <c r="E21" s="91">
        <v>16</v>
      </c>
      <c r="F21" s="55" t="s">
        <v>314</v>
      </c>
      <c r="G21" s="53" t="s">
        <v>315</v>
      </c>
      <c r="H21" s="53"/>
      <c r="I21" s="53"/>
      <c r="J21" s="53"/>
      <c r="K21" s="91" t="s">
        <v>309</v>
      </c>
      <c r="L21" s="63">
        <v>5000000</v>
      </c>
      <c r="M21" s="113" t="s">
        <v>466</v>
      </c>
      <c r="N21" s="91">
        <v>100.107</v>
      </c>
      <c r="O21" s="91">
        <v>5.3500459999999999</v>
      </c>
      <c r="P21" s="111" t="s">
        <v>322</v>
      </c>
      <c r="Q21" s="112" t="s">
        <v>323</v>
      </c>
      <c r="R21" s="53" t="s">
        <v>324</v>
      </c>
      <c r="S21" s="1452">
        <v>39554</v>
      </c>
      <c r="T21" s="1452">
        <v>39561</v>
      </c>
      <c r="U21" s="414"/>
      <c r="W21" s="143">
        <v>5009082.6399999997</v>
      </c>
      <c r="X21" s="143"/>
      <c r="AA21" s="86">
        <v>5.375</v>
      </c>
      <c r="AB21" s="680">
        <v>41382</v>
      </c>
      <c r="AC21" s="104">
        <f t="shared" si="4"/>
        <v>2.3479452054794518</v>
      </c>
      <c r="AF21" s="214">
        <f t="shared" si="2"/>
        <v>964</v>
      </c>
      <c r="AG21" s="215">
        <f t="shared" si="1"/>
        <v>185138.88888888888</v>
      </c>
      <c r="AH21" s="117">
        <f t="shared" si="3"/>
        <v>1434826.3888888888</v>
      </c>
    </row>
    <row r="22" spans="1:34" s="74" customFormat="1" ht="25.5">
      <c r="A22" s="73">
        <v>260</v>
      </c>
      <c r="B22" s="1449">
        <f t="shared" si="5"/>
        <v>2.8090389999999998</v>
      </c>
      <c r="C22" s="73">
        <v>260</v>
      </c>
      <c r="D22" s="73">
        <v>165</v>
      </c>
      <c r="E22" s="91">
        <v>17</v>
      </c>
      <c r="F22" s="55" t="s">
        <v>314</v>
      </c>
      <c r="G22" s="53" t="s">
        <v>315</v>
      </c>
      <c r="H22" s="53"/>
      <c r="I22" s="53"/>
      <c r="J22" s="53"/>
      <c r="K22" s="91" t="s">
        <v>309</v>
      </c>
      <c r="L22" s="63">
        <v>5000000</v>
      </c>
      <c r="M22" s="113" t="s">
        <v>466</v>
      </c>
      <c r="N22" s="91">
        <v>99.852000000000004</v>
      </c>
      <c r="O22" s="91">
        <v>5.4090389999999999</v>
      </c>
      <c r="P22" s="111" t="s">
        <v>325</v>
      </c>
      <c r="Q22" s="112" t="s">
        <v>326</v>
      </c>
      <c r="R22" s="53" t="s">
        <v>327</v>
      </c>
      <c r="S22" s="1452">
        <v>39555</v>
      </c>
      <c r="T22" s="1452">
        <v>39561</v>
      </c>
      <c r="U22" s="414"/>
      <c r="W22" s="143">
        <v>4996332.6399999997</v>
      </c>
      <c r="X22" s="143"/>
      <c r="AA22" s="86">
        <v>5.375</v>
      </c>
      <c r="AB22" s="680">
        <v>41382</v>
      </c>
      <c r="AC22" s="104">
        <f t="shared" si="4"/>
        <v>2.3479452054794518</v>
      </c>
      <c r="AF22" s="214">
        <f t="shared" si="2"/>
        <v>964</v>
      </c>
      <c r="AG22" s="215">
        <f t="shared" si="1"/>
        <v>185138.88888888888</v>
      </c>
      <c r="AH22" s="117">
        <f t="shared" si="3"/>
        <v>1434826.3888888888</v>
      </c>
    </row>
    <row r="23" spans="1:34" s="74" customFormat="1" ht="16.5">
      <c r="A23" s="73">
        <v>241</v>
      </c>
      <c r="B23" s="1449">
        <f t="shared" si="5"/>
        <v>2.9569570000000001</v>
      </c>
      <c r="C23" s="73">
        <v>241</v>
      </c>
      <c r="D23" s="73">
        <v>158</v>
      </c>
      <c r="E23" s="73">
        <v>18</v>
      </c>
      <c r="F23" s="47" t="s">
        <v>349</v>
      </c>
      <c r="G23" s="48" t="s">
        <v>386</v>
      </c>
      <c r="H23" s="48"/>
      <c r="I23" s="48"/>
      <c r="J23" s="48"/>
      <c r="K23" s="91" t="s">
        <v>309</v>
      </c>
      <c r="L23" s="63">
        <v>5000000</v>
      </c>
      <c r="M23" s="113" t="s">
        <v>466</v>
      </c>
      <c r="N23" s="50">
        <v>100.02500000000001</v>
      </c>
      <c r="O23" s="1453">
        <v>5.3669570000000002</v>
      </c>
      <c r="P23" s="52" t="s">
        <v>378</v>
      </c>
      <c r="Q23" s="52" t="s">
        <v>379</v>
      </c>
      <c r="R23" s="53" t="s">
        <v>380</v>
      </c>
      <c r="S23" s="633">
        <v>39556</v>
      </c>
      <c r="T23" s="633">
        <v>39563</v>
      </c>
      <c r="U23" s="54"/>
      <c r="W23" s="143">
        <v>5056493.0599999996</v>
      </c>
      <c r="X23" s="143"/>
      <c r="AA23" s="91">
        <v>5.375</v>
      </c>
      <c r="AB23" s="680">
        <v>41316</v>
      </c>
      <c r="AC23" s="104">
        <f t="shared" si="4"/>
        <v>2.1671232876712327</v>
      </c>
      <c r="AF23" s="214">
        <f t="shared" si="2"/>
        <v>962</v>
      </c>
      <c r="AG23" s="215">
        <f t="shared" si="1"/>
        <v>183645.83333333331</v>
      </c>
      <c r="AH23" s="117">
        <f t="shared" si="3"/>
        <v>1423255.2083333333</v>
      </c>
    </row>
    <row r="24" spans="1:34" s="74" customFormat="1" ht="16.5">
      <c r="A24" s="73" t="s">
        <v>431</v>
      </c>
      <c r="B24" s="1449">
        <f t="shared" si="5"/>
        <v>2.9056159999999998</v>
      </c>
      <c r="C24" s="73">
        <v>256</v>
      </c>
      <c r="D24" s="73">
        <v>185</v>
      </c>
      <c r="E24" s="73">
        <v>19</v>
      </c>
      <c r="F24" s="47" t="s">
        <v>381</v>
      </c>
      <c r="G24" s="48" t="s">
        <v>382</v>
      </c>
      <c r="H24" s="48"/>
      <c r="I24" s="48"/>
      <c r="J24" s="48"/>
      <c r="K24" s="91" t="s">
        <v>309</v>
      </c>
      <c r="L24" s="63">
        <v>15000000</v>
      </c>
      <c r="M24" s="113" t="s">
        <v>466</v>
      </c>
      <c r="N24" s="50">
        <v>105.497</v>
      </c>
      <c r="O24" s="1453">
        <v>5.4656159999999998</v>
      </c>
      <c r="P24" s="111" t="s">
        <v>310</v>
      </c>
      <c r="Q24" s="112" t="s">
        <v>311</v>
      </c>
      <c r="R24" s="53" t="s">
        <v>313</v>
      </c>
      <c r="S24" s="633">
        <v>39560</v>
      </c>
      <c r="T24" s="633">
        <v>39567</v>
      </c>
      <c r="U24" s="54"/>
      <c r="W24" s="143">
        <v>16302883.33</v>
      </c>
      <c r="X24" s="143"/>
      <c r="AA24" s="86">
        <v>7</v>
      </c>
      <c r="AB24" s="680">
        <v>41044</v>
      </c>
      <c r="AC24" s="104">
        <f t="shared" si="4"/>
        <v>1.4219178082191781</v>
      </c>
      <c r="AF24" s="214">
        <f t="shared" si="2"/>
        <v>958</v>
      </c>
      <c r="AG24" s="215">
        <f t="shared" si="1"/>
        <v>705833.33333333349</v>
      </c>
      <c r="AH24" s="117">
        <f t="shared" si="3"/>
        <v>5470208.3333333349</v>
      </c>
    </row>
    <row r="25" spans="1:34" s="74" customFormat="1" ht="25.5">
      <c r="A25" s="73" t="s">
        <v>431</v>
      </c>
      <c r="B25" s="1449">
        <f t="shared" si="5"/>
        <v>2.9026450000000001</v>
      </c>
      <c r="C25" s="73">
        <v>256</v>
      </c>
      <c r="D25" s="73">
        <v>185</v>
      </c>
      <c r="E25" s="73">
        <v>20</v>
      </c>
      <c r="F25" s="47" t="s">
        <v>381</v>
      </c>
      <c r="G25" s="48" t="s">
        <v>382</v>
      </c>
      <c r="H25" s="48"/>
      <c r="I25" s="48"/>
      <c r="J25" s="48"/>
      <c r="K25" s="91" t="s">
        <v>309</v>
      </c>
      <c r="L25" s="63">
        <v>12000000</v>
      </c>
      <c r="M25" s="113" t="s">
        <v>466</v>
      </c>
      <c r="N25" s="50">
        <v>105.508</v>
      </c>
      <c r="O25" s="1453">
        <v>5.4626450000000002</v>
      </c>
      <c r="P25" s="52" t="s">
        <v>331</v>
      </c>
      <c r="Q25" s="48" t="s">
        <v>344</v>
      </c>
      <c r="R25" s="53" t="s">
        <v>445</v>
      </c>
      <c r="S25" s="633">
        <v>39560</v>
      </c>
      <c r="T25" s="633">
        <v>39567</v>
      </c>
      <c r="U25" s="54"/>
      <c r="W25" s="143">
        <v>13043626.67</v>
      </c>
      <c r="X25" s="143"/>
      <c r="AA25" s="86">
        <v>7</v>
      </c>
      <c r="AB25" s="680">
        <v>41044</v>
      </c>
      <c r="AC25" s="104">
        <f t="shared" si="4"/>
        <v>1.4219178082191781</v>
      </c>
      <c r="AF25" s="214">
        <f t="shared" si="2"/>
        <v>958</v>
      </c>
      <c r="AG25" s="215">
        <f t="shared" si="1"/>
        <v>564666.66666666674</v>
      </c>
      <c r="AH25" s="117">
        <f t="shared" si="3"/>
        <v>4376166.666666667</v>
      </c>
    </row>
    <row r="26" spans="1:34" s="74" customFormat="1" ht="25.5">
      <c r="A26" s="73" t="s">
        <v>430</v>
      </c>
      <c r="B26" s="1449">
        <f t="shared" si="5"/>
        <v>3.0878130000000001</v>
      </c>
      <c r="C26" s="73">
        <v>310</v>
      </c>
      <c r="D26" s="73">
        <v>225</v>
      </c>
      <c r="E26" s="73">
        <v>21</v>
      </c>
      <c r="F26" s="47" t="s">
        <v>388</v>
      </c>
      <c r="G26" s="48" t="s">
        <v>389</v>
      </c>
      <c r="H26" s="48"/>
      <c r="I26" s="48"/>
      <c r="J26" s="48"/>
      <c r="K26" s="91" t="s">
        <v>309</v>
      </c>
      <c r="L26" s="63">
        <v>1850000</v>
      </c>
      <c r="M26" s="113" t="s">
        <v>466</v>
      </c>
      <c r="N26" s="50">
        <v>94.35</v>
      </c>
      <c r="O26" s="1453">
        <v>6.1878130000000002</v>
      </c>
      <c r="P26" s="52" t="s">
        <v>331</v>
      </c>
      <c r="Q26" s="48" t="s">
        <v>344</v>
      </c>
      <c r="R26" s="53" t="s">
        <v>445</v>
      </c>
      <c r="S26" s="633">
        <v>39562</v>
      </c>
      <c r="T26" s="633">
        <v>39568</v>
      </c>
      <c r="U26" s="54"/>
      <c r="W26" s="143">
        <v>1788930.73</v>
      </c>
      <c r="X26" s="143"/>
      <c r="AA26" s="86">
        <v>5.125</v>
      </c>
      <c r="AB26" s="680">
        <v>41958</v>
      </c>
      <c r="AC26" s="104">
        <f t="shared" si="4"/>
        <v>3.9260273972602739</v>
      </c>
      <c r="AF26" s="214">
        <f t="shared" si="2"/>
        <v>957</v>
      </c>
      <c r="AG26" s="215">
        <f t="shared" si="1"/>
        <v>63208.333333333328</v>
      </c>
      <c r="AH26" s="117">
        <f t="shared" si="3"/>
        <v>489864.58333333331</v>
      </c>
    </row>
    <row r="27" spans="1:34" s="74" customFormat="1" ht="25.5">
      <c r="A27" s="73"/>
      <c r="B27" s="73"/>
      <c r="C27" s="73"/>
      <c r="D27" s="73"/>
      <c r="E27" s="46">
        <v>22</v>
      </c>
      <c r="F27" s="47" t="s">
        <v>349</v>
      </c>
      <c r="G27" s="48" t="s">
        <v>386</v>
      </c>
      <c r="H27" s="48"/>
      <c r="I27" s="48"/>
      <c r="J27" s="48"/>
      <c r="K27" s="46" t="s">
        <v>346</v>
      </c>
      <c r="L27" s="49">
        <v>5000000</v>
      </c>
      <c r="M27" s="46" t="s">
        <v>347</v>
      </c>
      <c r="N27" s="50">
        <v>99.3</v>
      </c>
      <c r="O27" s="1453">
        <v>5.5416650000000001</v>
      </c>
      <c r="P27" s="52" t="s">
        <v>353</v>
      </c>
      <c r="Q27" s="48" t="s">
        <v>344</v>
      </c>
      <c r="R27" s="53" t="s">
        <v>445</v>
      </c>
      <c r="S27" s="633">
        <v>39563</v>
      </c>
      <c r="T27" s="633">
        <v>39570</v>
      </c>
      <c r="U27" s="54"/>
      <c r="W27" s="143">
        <v>5025468.75</v>
      </c>
      <c r="X27" s="143"/>
      <c r="AA27" s="91">
        <v>5.375</v>
      </c>
      <c r="AB27" s="680">
        <v>41316</v>
      </c>
      <c r="AC27" s="104">
        <f t="shared" si="4"/>
        <v>2.1671232876712327</v>
      </c>
      <c r="AF27" s="214">
        <f t="shared" si="2"/>
        <v>955</v>
      </c>
      <c r="AG27" s="215">
        <f t="shared" si="1"/>
        <v>178420.13888888888</v>
      </c>
      <c r="AH27" s="117">
        <f t="shared" si="3"/>
        <v>1382756.0763888888</v>
      </c>
    </row>
    <row r="28" spans="1:34" s="74" customFormat="1" ht="16.5">
      <c r="A28" s="73"/>
      <c r="B28" s="73"/>
      <c r="C28" s="73"/>
      <c r="D28" s="73"/>
      <c r="E28" s="46">
        <v>23</v>
      </c>
      <c r="F28" s="47" t="s">
        <v>349</v>
      </c>
      <c r="G28" s="48" t="s">
        <v>386</v>
      </c>
      <c r="H28" s="48"/>
      <c r="I28" s="48"/>
      <c r="J28" s="48"/>
      <c r="K28" s="46" t="s">
        <v>346</v>
      </c>
      <c r="L28" s="49">
        <v>5000000</v>
      </c>
      <c r="M28" s="46" t="s">
        <v>347</v>
      </c>
      <c r="N28" s="50">
        <v>99.373000000000005</v>
      </c>
      <c r="O28" s="1453">
        <v>5.5239979999999997</v>
      </c>
      <c r="P28" s="52" t="s">
        <v>378</v>
      </c>
      <c r="Q28" s="52" t="s">
        <v>379</v>
      </c>
      <c r="R28" s="53" t="s">
        <v>380</v>
      </c>
      <c r="S28" s="633">
        <v>39563</v>
      </c>
      <c r="T28" s="633">
        <v>39570</v>
      </c>
      <c r="U28" s="54"/>
      <c r="W28" s="143">
        <v>5029118.75</v>
      </c>
      <c r="X28" s="143"/>
      <c r="AA28" s="91">
        <v>5.375</v>
      </c>
      <c r="AB28" s="680">
        <v>41316</v>
      </c>
      <c r="AC28" s="104">
        <f t="shared" si="4"/>
        <v>2.1671232876712327</v>
      </c>
      <c r="AF28" s="214">
        <f t="shared" si="2"/>
        <v>955</v>
      </c>
      <c r="AG28" s="215">
        <f t="shared" si="1"/>
        <v>178420.13888888888</v>
      </c>
      <c r="AH28" s="117">
        <f t="shared" si="3"/>
        <v>1382756.0763888888</v>
      </c>
    </row>
    <row r="29" spans="1:34" s="74" customFormat="1" ht="38.25">
      <c r="A29" s="73">
        <v>241</v>
      </c>
      <c r="B29" s="1449">
        <f t="shared" ref="B29:B64" si="6">O29-C29/100</f>
        <v>3.0905459999999998</v>
      </c>
      <c r="C29" s="73">
        <v>241</v>
      </c>
      <c r="D29" s="73">
        <v>158</v>
      </c>
      <c r="E29" s="46">
        <v>24</v>
      </c>
      <c r="F29" s="47" t="s">
        <v>349</v>
      </c>
      <c r="G29" s="48" t="s">
        <v>386</v>
      </c>
      <c r="H29" s="48"/>
      <c r="I29" s="48"/>
      <c r="J29" s="48"/>
      <c r="K29" s="46" t="s">
        <v>346</v>
      </c>
      <c r="L29" s="49">
        <v>5000000</v>
      </c>
      <c r="M29" s="46" t="s">
        <v>347</v>
      </c>
      <c r="N29" s="50">
        <v>99.47</v>
      </c>
      <c r="O29" s="1453">
        <v>5.5005459999999999</v>
      </c>
      <c r="P29" s="52" t="s">
        <v>350</v>
      </c>
      <c r="Q29" s="48" t="s">
        <v>351</v>
      </c>
      <c r="R29" s="53" t="s">
        <v>352</v>
      </c>
      <c r="S29" s="633">
        <v>39563</v>
      </c>
      <c r="T29" s="633">
        <v>39570</v>
      </c>
      <c r="U29" s="54"/>
      <c r="W29" s="143">
        <v>5033968.75</v>
      </c>
      <c r="X29" s="143"/>
      <c r="Y29" s="110">
        <f>SUM(W14:W30)*7.79</f>
        <v>1291863847.3375051</v>
      </c>
      <c r="Z29" s="70">
        <f>Y29+'Macau A-12366'!Y9</f>
        <v>1347381406.2694051</v>
      </c>
      <c r="AA29" s="91">
        <v>5.375</v>
      </c>
      <c r="AB29" s="680">
        <v>41316</v>
      </c>
      <c r="AC29" s="104">
        <f t="shared" si="4"/>
        <v>2.1671232876712327</v>
      </c>
      <c r="AF29" s="214">
        <f t="shared" si="2"/>
        <v>955</v>
      </c>
      <c r="AG29" s="215">
        <f t="shared" si="1"/>
        <v>178420.13888888888</v>
      </c>
      <c r="AH29" s="117">
        <f t="shared" si="3"/>
        <v>1382756.0763888888</v>
      </c>
    </row>
    <row r="30" spans="1:34" s="74" customFormat="1" ht="16.5">
      <c r="A30" s="73">
        <v>236</v>
      </c>
      <c r="B30" s="1449">
        <f t="shared" si="6"/>
        <v>3.1589069999999997</v>
      </c>
      <c r="C30" s="73">
        <v>236</v>
      </c>
      <c r="D30" s="73">
        <v>157</v>
      </c>
      <c r="E30" s="46">
        <v>25</v>
      </c>
      <c r="F30" s="47" t="s">
        <v>391</v>
      </c>
      <c r="G30" s="48" t="s">
        <v>390</v>
      </c>
      <c r="H30" s="48"/>
      <c r="I30" s="48"/>
      <c r="J30" s="48"/>
      <c r="K30" s="46" t="s">
        <v>346</v>
      </c>
      <c r="L30" s="49">
        <v>35000000</v>
      </c>
      <c r="M30" s="46" t="s">
        <v>347</v>
      </c>
      <c r="N30" s="50">
        <v>99.915000000000006</v>
      </c>
      <c r="O30" s="1453">
        <v>5.5189069999999996</v>
      </c>
      <c r="P30" s="111" t="s">
        <v>316</v>
      </c>
      <c r="Q30" s="112" t="s">
        <v>317</v>
      </c>
      <c r="R30" s="53" t="s">
        <v>318</v>
      </c>
      <c r="S30" s="633">
        <v>39566</v>
      </c>
      <c r="T30" s="633">
        <v>39573</v>
      </c>
      <c r="U30" s="54"/>
      <c r="W30" s="143">
        <v>35098583.329999998</v>
      </c>
      <c r="X30" s="143">
        <f>SUM(W14:W30)</f>
        <v>165836180.6595</v>
      </c>
      <c r="Y30" s="143">
        <f>Y$29+Y$13</f>
        <v>1995009192.9314051</v>
      </c>
      <c r="Z30" s="70">
        <f>Y30+'Macau A-12366'!Y9</f>
        <v>2050526751.8633051</v>
      </c>
      <c r="AA30" s="86">
        <v>5.5</v>
      </c>
      <c r="AB30" s="680">
        <v>41375</v>
      </c>
      <c r="AC30" s="104">
        <f t="shared" si="4"/>
        <v>2.3287671232876712</v>
      </c>
      <c r="AF30" s="214">
        <f t="shared" si="2"/>
        <v>952</v>
      </c>
      <c r="AG30" s="215">
        <f t="shared" si="1"/>
        <v>1261944.4444444445</v>
      </c>
      <c r="AH30" s="117">
        <f t="shared" si="3"/>
        <v>9780069.444444444</v>
      </c>
    </row>
    <row r="31" spans="1:34" s="74" customFormat="1" ht="38.25">
      <c r="A31" s="73">
        <v>222</v>
      </c>
      <c r="B31" s="1449">
        <f t="shared" si="6"/>
        <v>3.301879</v>
      </c>
      <c r="C31" s="73">
        <v>210</v>
      </c>
      <c r="D31" s="73">
        <v>132</v>
      </c>
      <c r="E31" s="46">
        <v>26</v>
      </c>
      <c r="F31" s="47" t="s">
        <v>395</v>
      </c>
      <c r="G31" s="48" t="s">
        <v>396</v>
      </c>
      <c r="H31" s="48"/>
      <c r="I31" s="48"/>
      <c r="J31" s="48"/>
      <c r="K31" s="46" t="s">
        <v>346</v>
      </c>
      <c r="L31" s="49">
        <v>10000000</v>
      </c>
      <c r="M31" s="46" t="s">
        <v>347</v>
      </c>
      <c r="N31" s="50">
        <v>99.25</v>
      </c>
      <c r="O31" s="1453">
        <v>5.4018790000000001</v>
      </c>
      <c r="P31" s="52" t="s">
        <v>350</v>
      </c>
      <c r="Q31" s="48" t="s">
        <v>351</v>
      </c>
      <c r="R31" s="53" t="s">
        <v>352</v>
      </c>
      <c r="S31" s="633">
        <v>39574</v>
      </c>
      <c r="T31" s="633">
        <v>39581</v>
      </c>
      <c r="U31" s="54"/>
      <c r="W31" s="143">
        <v>10060625</v>
      </c>
      <c r="X31" s="143"/>
      <c r="Z31" s="70"/>
      <c r="AA31" s="86">
        <v>5.25</v>
      </c>
      <c r="AB31" s="680">
        <v>41680</v>
      </c>
      <c r="AC31" s="104">
        <f t="shared" ref="AC31:AC64" si="7">(AB31-$AB$4)/365</f>
        <v>3.1643835616438358</v>
      </c>
      <c r="AF31" s="214">
        <f t="shared" si="2"/>
        <v>944</v>
      </c>
      <c r="AG31" s="215">
        <f t="shared" si="1"/>
        <v>332499.99999999994</v>
      </c>
      <c r="AH31" s="117">
        <f t="shared" si="3"/>
        <v>2576874.9999999995</v>
      </c>
    </row>
    <row r="32" spans="1:34" s="74" customFormat="1" ht="38.25">
      <c r="A32" s="73" t="s">
        <v>398</v>
      </c>
      <c r="B32" s="1449">
        <f t="shared" si="6"/>
        <v>3.4369159999999996</v>
      </c>
      <c r="C32" s="73">
        <v>227</v>
      </c>
      <c r="D32" s="73">
        <v>152</v>
      </c>
      <c r="E32" s="46">
        <v>27</v>
      </c>
      <c r="F32" s="47" t="s">
        <v>397</v>
      </c>
      <c r="G32" s="48" t="s">
        <v>399</v>
      </c>
      <c r="H32" s="48"/>
      <c r="I32" s="48"/>
      <c r="J32" s="48"/>
      <c r="K32" s="46" t="s">
        <v>346</v>
      </c>
      <c r="L32" s="49">
        <v>5000000</v>
      </c>
      <c r="M32" s="46" t="s">
        <v>347</v>
      </c>
      <c r="N32" s="50">
        <v>96.733999999999995</v>
      </c>
      <c r="O32" s="1453">
        <v>5.7069159999999997</v>
      </c>
      <c r="P32" s="52" t="s">
        <v>350</v>
      </c>
      <c r="Q32" s="48" t="s">
        <v>351</v>
      </c>
      <c r="R32" s="53" t="s">
        <v>352</v>
      </c>
      <c r="S32" s="633">
        <v>39574</v>
      </c>
      <c r="T32" s="633">
        <v>39581</v>
      </c>
      <c r="U32" s="54"/>
      <c r="W32" s="143">
        <v>4877272.92</v>
      </c>
      <c r="X32" s="143"/>
      <c r="Z32" s="70"/>
      <c r="AA32" s="115">
        <v>5.125</v>
      </c>
      <c r="AB32" s="680">
        <v>42079</v>
      </c>
      <c r="AC32" s="104">
        <f t="shared" si="7"/>
        <v>4.2575342465753421</v>
      </c>
      <c r="AF32" s="214">
        <f t="shared" si="2"/>
        <v>944</v>
      </c>
      <c r="AG32" s="215">
        <f t="shared" si="1"/>
        <v>162291.66666666666</v>
      </c>
      <c r="AH32" s="117">
        <f t="shared" si="3"/>
        <v>1257760.4166666665</v>
      </c>
    </row>
    <row r="33" spans="1:34" s="74" customFormat="1" ht="25.5">
      <c r="A33" s="73" t="s">
        <v>412</v>
      </c>
      <c r="B33" s="1449">
        <f t="shared" si="6"/>
        <v>3.3360590000000001</v>
      </c>
      <c r="C33" s="73">
        <v>223</v>
      </c>
      <c r="D33" s="73">
        <v>144</v>
      </c>
      <c r="E33" s="46">
        <v>28</v>
      </c>
      <c r="F33" s="47" t="s">
        <v>400</v>
      </c>
      <c r="G33" s="168" t="s">
        <v>401</v>
      </c>
      <c r="H33" s="168"/>
      <c r="I33" s="168"/>
      <c r="J33" s="168"/>
      <c r="K33" s="46" t="s">
        <v>346</v>
      </c>
      <c r="L33" s="49">
        <v>1000000</v>
      </c>
      <c r="M33" s="46" t="s">
        <v>347</v>
      </c>
      <c r="N33" s="50">
        <v>101.575</v>
      </c>
      <c r="O33" s="1453">
        <v>5.5660590000000001</v>
      </c>
      <c r="P33" s="52" t="s">
        <v>358</v>
      </c>
      <c r="Q33" s="48" t="s">
        <v>403</v>
      </c>
      <c r="R33" s="53" t="s">
        <v>402</v>
      </c>
      <c r="S33" s="633">
        <v>39575</v>
      </c>
      <c r="T33" s="633">
        <v>39582</v>
      </c>
      <c r="U33" s="54"/>
      <c r="W33" s="143">
        <v>1038597.22</v>
      </c>
      <c r="X33" s="143"/>
      <c r="Z33" s="70"/>
      <c r="AA33" s="115">
        <v>5.875</v>
      </c>
      <c r="AB33" s="680">
        <v>41814</v>
      </c>
      <c r="AC33" s="104">
        <f t="shared" si="7"/>
        <v>3.5315068493150683</v>
      </c>
      <c r="AF33" s="214">
        <f t="shared" si="2"/>
        <v>943</v>
      </c>
      <c r="AG33" s="215">
        <f t="shared" si="1"/>
        <v>37045.138888888883</v>
      </c>
      <c r="AH33" s="117">
        <f t="shared" si="3"/>
        <v>287099.82638888882</v>
      </c>
    </row>
    <row r="34" spans="1:34" s="74" customFormat="1" ht="25.5">
      <c r="A34" s="73" t="s">
        <v>411</v>
      </c>
      <c r="B34" s="1449">
        <f t="shared" si="6"/>
        <v>3.3400189999999998</v>
      </c>
      <c r="C34" s="73">
        <v>213</v>
      </c>
      <c r="D34" s="73">
        <v>134</v>
      </c>
      <c r="E34" s="46">
        <v>29</v>
      </c>
      <c r="F34" s="47" t="s">
        <v>400</v>
      </c>
      <c r="G34" s="168" t="s">
        <v>401</v>
      </c>
      <c r="H34" s="168"/>
      <c r="I34" s="168"/>
      <c r="J34" s="168"/>
      <c r="K34" s="46" t="s">
        <v>346</v>
      </c>
      <c r="L34" s="49">
        <v>4000000</v>
      </c>
      <c r="M34" s="46" t="s">
        <v>347</v>
      </c>
      <c r="N34" s="50">
        <v>102.07299999999999</v>
      </c>
      <c r="O34" s="1453">
        <v>5.4700189999999997</v>
      </c>
      <c r="P34" s="52" t="s">
        <v>404</v>
      </c>
      <c r="Q34" s="48" t="s">
        <v>320</v>
      </c>
      <c r="R34" s="109" t="s">
        <v>405</v>
      </c>
      <c r="S34" s="633">
        <v>39575</v>
      </c>
      <c r="T34" s="633">
        <v>39582</v>
      </c>
      <c r="U34" s="54"/>
      <c r="W34" s="143">
        <v>4174308.89</v>
      </c>
      <c r="X34" s="143"/>
      <c r="Z34" s="70"/>
      <c r="AA34" s="115">
        <v>5.875</v>
      </c>
      <c r="AB34" s="680">
        <v>41814</v>
      </c>
      <c r="AC34" s="104">
        <f t="shared" si="7"/>
        <v>3.5315068493150683</v>
      </c>
      <c r="AF34" s="214">
        <f t="shared" si="2"/>
        <v>943</v>
      </c>
      <c r="AG34" s="215">
        <f t="shared" si="1"/>
        <v>148180.55555555553</v>
      </c>
      <c r="AH34" s="117">
        <f t="shared" si="3"/>
        <v>1148399.3055555553</v>
      </c>
    </row>
    <row r="35" spans="1:34" s="74" customFormat="1" ht="16.5">
      <c r="A35" s="73" t="s">
        <v>414</v>
      </c>
      <c r="B35" s="1449">
        <f t="shared" si="6"/>
        <v>3.1878890000000002</v>
      </c>
      <c r="C35" s="73">
        <v>217</v>
      </c>
      <c r="D35" s="73">
        <v>134</v>
      </c>
      <c r="E35" s="91">
        <v>30</v>
      </c>
      <c r="F35" s="55" t="s">
        <v>410</v>
      </c>
      <c r="G35" s="53" t="s">
        <v>416</v>
      </c>
      <c r="H35" s="53"/>
      <c r="I35" s="53"/>
      <c r="J35" s="53"/>
      <c r="K35" s="91" t="s">
        <v>309</v>
      </c>
      <c r="L35" s="63">
        <v>30000000</v>
      </c>
      <c r="M35" s="113" t="s">
        <v>466</v>
      </c>
      <c r="N35" s="114">
        <v>100.6</v>
      </c>
      <c r="O35" s="91">
        <v>5.3578890000000001</v>
      </c>
      <c r="P35" s="111" t="s">
        <v>316</v>
      </c>
      <c r="Q35" s="112" t="s">
        <v>317</v>
      </c>
      <c r="R35" s="53" t="s">
        <v>318</v>
      </c>
      <c r="S35" s="633">
        <v>39582</v>
      </c>
      <c r="T35" s="633">
        <v>39589</v>
      </c>
      <c r="U35" s="54"/>
      <c r="W35" s="143">
        <v>30340416.670000002</v>
      </c>
      <c r="X35" s="143"/>
      <c r="Z35" s="70"/>
      <c r="AA35" s="115">
        <v>5.5</v>
      </c>
      <c r="AB35" s="680">
        <v>41380</v>
      </c>
      <c r="AC35" s="104">
        <f t="shared" si="7"/>
        <v>2.3424657534246576</v>
      </c>
      <c r="AF35" s="214">
        <f t="shared" si="2"/>
        <v>936</v>
      </c>
      <c r="AG35" s="215">
        <f t="shared" si="1"/>
        <v>1008333.3333333335</v>
      </c>
      <c r="AH35" s="117">
        <f t="shared" si="3"/>
        <v>7814583.3333333349</v>
      </c>
    </row>
    <row r="36" spans="1:34" s="74" customFormat="1" ht="16.5">
      <c r="A36" s="73" t="s">
        <v>414</v>
      </c>
      <c r="B36" s="1449">
        <f t="shared" si="6"/>
        <v>3.2000469999999996</v>
      </c>
      <c r="C36" s="73">
        <v>217</v>
      </c>
      <c r="D36" s="73">
        <v>134</v>
      </c>
      <c r="E36" s="91">
        <v>31</v>
      </c>
      <c r="F36" s="55" t="s">
        <v>410</v>
      </c>
      <c r="G36" s="53" t="s">
        <v>416</v>
      </c>
      <c r="H36" s="53"/>
      <c r="I36" s="53"/>
      <c r="J36" s="53"/>
      <c r="K36" s="91" t="s">
        <v>309</v>
      </c>
      <c r="L36" s="63">
        <v>10000000</v>
      </c>
      <c r="M36" s="113" t="s">
        <v>466</v>
      </c>
      <c r="N36" s="114">
        <v>100.548</v>
      </c>
      <c r="O36" s="91">
        <v>5.3700469999999996</v>
      </c>
      <c r="P36" s="111" t="s">
        <v>316</v>
      </c>
      <c r="Q36" s="112" t="s">
        <v>317</v>
      </c>
      <c r="R36" s="53" t="s">
        <v>318</v>
      </c>
      <c r="S36" s="633">
        <v>39582</v>
      </c>
      <c r="T36" s="633">
        <v>39589</v>
      </c>
      <c r="U36" s="54"/>
      <c r="W36" s="143">
        <v>10108272.220000001</v>
      </c>
      <c r="X36" s="143"/>
      <c r="Z36" s="70"/>
      <c r="AA36" s="115">
        <v>5.5</v>
      </c>
      <c r="AB36" s="680">
        <v>41380</v>
      </c>
      <c r="AC36" s="104">
        <f t="shared" si="7"/>
        <v>2.3424657534246576</v>
      </c>
      <c r="AF36" s="214">
        <f t="shared" si="2"/>
        <v>936</v>
      </c>
      <c r="AG36" s="215">
        <f t="shared" si="1"/>
        <v>336111.11111111118</v>
      </c>
      <c r="AH36" s="117">
        <f t="shared" si="3"/>
        <v>2604861.1111111115</v>
      </c>
    </row>
    <row r="37" spans="1:34" s="74" customFormat="1" ht="25.5">
      <c r="A37" s="73" t="s">
        <v>433</v>
      </c>
      <c r="B37" s="1449">
        <f t="shared" si="6"/>
        <v>3.170884</v>
      </c>
      <c r="C37" s="73">
        <v>395</v>
      </c>
      <c r="D37" s="73">
        <v>325</v>
      </c>
      <c r="E37" s="91">
        <v>32</v>
      </c>
      <c r="F37" s="55" t="s">
        <v>435</v>
      </c>
      <c r="G37" s="53" t="s">
        <v>434</v>
      </c>
      <c r="H37" s="53"/>
      <c r="I37" s="53"/>
      <c r="J37" s="53"/>
      <c r="K37" s="91" t="s">
        <v>309</v>
      </c>
      <c r="L37" s="63">
        <f>12000000</f>
        <v>12000000</v>
      </c>
      <c r="M37" s="113" t="s">
        <v>466</v>
      </c>
      <c r="N37" s="114">
        <v>100</v>
      </c>
      <c r="O37" s="91">
        <f>7.120884</f>
        <v>7.1208840000000002</v>
      </c>
      <c r="P37" s="111" t="s">
        <v>316</v>
      </c>
      <c r="Q37" s="112" t="s">
        <v>317</v>
      </c>
      <c r="R37" s="53" t="s">
        <v>318</v>
      </c>
      <c r="S37" s="633">
        <v>39589</v>
      </c>
      <c r="T37" s="633">
        <v>39597</v>
      </c>
      <c r="U37" s="54"/>
      <c r="W37" s="143">
        <v>12000000</v>
      </c>
      <c r="X37" s="143"/>
      <c r="Y37" s="110"/>
      <c r="Z37" s="70"/>
      <c r="AA37" s="115">
        <v>7.125</v>
      </c>
      <c r="AB37" s="680">
        <v>41653</v>
      </c>
      <c r="AC37" s="104">
        <f t="shared" si="7"/>
        <v>3.0904109589041098</v>
      </c>
      <c r="AF37" s="214">
        <f t="shared" si="2"/>
        <v>928</v>
      </c>
      <c r="AG37" s="215">
        <f t="shared" si="1"/>
        <v>503499.99999999994</v>
      </c>
      <c r="AH37" s="117">
        <f t="shared" si="3"/>
        <v>3902124.9999999995</v>
      </c>
    </row>
    <row r="38" spans="1:34" s="74" customFormat="1" ht="38.25">
      <c r="A38" s="73" t="s">
        <v>437</v>
      </c>
      <c r="B38" s="1449">
        <f t="shared" si="6"/>
        <v>3.0603249999999997</v>
      </c>
      <c r="C38" s="73">
        <v>224</v>
      </c>
      <c r="D38" s="73">
        <v>136</v>
      </c>
      <c r="E38" s="91">
        <v>33</v>
      </c>
      <c r="F38" s="55" t="s">
        <v>438</v>
      </c>
      <c r="G38" s="53" t="s">
        <v>439</v>
      </c>
      <c r="H38" s="53"/>
      <c r="I38" s="53"/>
      <c r="J38" s="53"/>
      <c r="K38" s="91" t="s">
        <v>309</v>
      </c>
      <c r="L38" s="63">
        <v>10000000</v>
      </c>
      <c r="M38" s="113" t="s">
        <v>466</v>
      </c>
      <c r="N38" s="114">
        <v>100.765</v>
      </c>
      <c r="O38" s="91">
        <v>5.300325</v>
      </c>
      <c r="P38" s="52" t="s">
        <v>350</v>
      </c>
      <c r="Q38" s="48" t="s">
        <v>351</v>
      </c>
      <c r="R38" s="53" t="s">
        <v>352</v>
      </c>
      <c r="S38" s="633">
        <v>39591</v>
      </c>
      <c r="T38" s="633">
        <v>39598</v>
      </c>
      <c r="U38" s="54"/>
      <c r="W38" s="143">
        <v>10142194.439999999</v>
      </c>
      <c r="X38" s="143"/>
      <c r="Y38" s="110"/>
      <c r="Z38" s="70"/>
      <c r="AA38" s="115">
        <v>5.5</v>
      </c>
      <c r="AB38" s="680">
        <v>41199</v>
      </c>
      <c r="AC38" s="104">
        <f t="shared" si="7"/>
        <v>1.8465753424657534</v>
      </c>
      <c r="AF38" s="214">
        <f t="shared" si="2"/>
        <v>927</v>
      </c>
      <c r="AG38" s="215">
        <f t="shared" ref="AG38:AG64" si="8">ACCRINT($T38,$T38,$AG$4,AA38/100,100,2,0, 0)*L38/100</f>
        <v>320833.33333333337</v>
      </c>
      <c r="AH38" s="117">
        <f t="shared" si="3"/>
        <v>2486458.3333333335</v>
      </c>
    </row>
    <row r="39" spans="1:34" s="74" customFormat="1" ht="25.5">
      <c r="A39" s="73" t="s">
        <v>444</v>
      </c>
      <c r="B39" s="1449">
        <f t="shared" si="6"/>
        <v>3.025102</v>
      </c>
      <c r="C39" s="73">
        <v>232</v>
      </c>
      <c r="D39" s="73">
        <v>148</v>
      </c>
      <c r="E39" s="91">
        <v>34</v>
      </c>
      <c r="F39" s="55" t="s">
        <v>438</v>
      </c>
      <c r="G39" s="53" t="s">
        <v>439</v>
      </c>
      <c r="H39" s="53"/>
      <c r="I39" s="53"/>
      <c r="J39" s="53"/>
      <c r="K39" s="91" t="s">
        <v>309</v>
      </c>
      <c r="L39" s="63">
        <v>10000000</v>
      </c>
      <c r="M39" s="113" t="s">
        <v>466</v>
      </c>
      <c r="N39" s="114">
        <v>100.59</v>
      </c>
      <c r="O39" s="91">
        <v>5.3451019999999998</v>
      </c>
      <c r="P39" s="52" t="s">
        <v>353</v>
      </c>
      <c r="Q39" s="48" t="s">
        <v>344</v>
      </c>
      <c r="R39" s="53" t="s">
        <v>445</v>
      </c>
      <c r="S39" s="633">
        <v>39595</v>
      </c>
      <c r="T39" s="633">
        <v>39602</v>
      </c>
      <c r="U39" s="54"/>
      <c r="W39" s="143">
        <f>10129277.78</f>
        <v>10129277.779999999</v>
      </c>
      <c r="X39" s="143"/>
      <c r="Y39" s="110"/>
      <c r="Z39" s="70"/>
      <c r="AA39" s="115">
        <v>5.5</v>
      </c>
      <c r="AB39" s="680">
        <v>41199</v>
      </c>
      <c r="AC39" s="104">
        <f t="shared" si="7"/>
        <v>1.8465753424657534</v>
      </c>
      <c r="AF39" s="214">
        <f t="shared" si="2"/>
        <v>923</v>
      </c>
      <c r="AG39" s="215">
        <f t="shared" si="8"/>
        <v>317777.77777777775</v>
      </c>
      <c r="AH39" s="117">
        <f t="shared" si="3"/>
        <v>2462777.7777777775</v>
      </c>
    </row>
    <row r="40" spans="1:34" s="74" customFormat="1" ht="16.5">
      <c r="A40" s="73" t="s">
        <v>446</v>
      </c>
      <c r="B40" s="1449">
        <f t="shared" si="6"/>
        <v>3.0950080000000004</v>
      </c>
      <c r="C40" s="73">
        <v>227</v>
      </c>
      <c r="D40" s="73">
        <v>140.05000000000001</v>
      </c>
      <c r="E40" s="91">
        <v>35</v>
      </c>
      <c r="F40" s="55" t="s">
        <v>447</v>
      </c>
      <c r="G40" s="53" t="s">
        <v>476</v>
      </c>
      <c r="H40" s="53"/>
      <c r="I40" s="53"/>
      <c r="J40" s="53"/>
      <c r="K40" s="91" t="s">
        <v>309</v>
      </c>
      <c r="L40" s="63">
        <v>25000000</v>
      </c>
      <c r="M40" s="113" t="s">
        <v>466</v>
      </c>
      <c r="N40" s="114">
        <v>99.742999999999995</v>
      </c>
      <c r="O40" s="91">
        <v>5.3650080000000004</v>
      </c>
      <c r="P40" s="111" t="s">
        <v>316</v>
      </c>
      <c r="Q40" s="112" t="s">
        <v>317</v>
      </c>
      <c r="R40" s="53" t="s">
        <v>318</v>
      </c>
      <c r="S40" s="633">
        <v>39596</v>
      </c>
      <c r="T40" s="633">
        <v>39603</v>
      </c>
      <c r="U40" s="54"/>
      <c r="W40" s="143">
        <v>25108736.109999999</v>
      </c>
      <c r="X40" s="143"/>
      <c r="Y40" s="110">
        <f>SUM(W31:W41)*7.79</f>
        <v>942393766.62819993</v>
      </c>
      <c r="Z40" s="133"/>
      <c r="AA40" s="115">
        <v>5.3</v>
      </c>
      <c r="AB40" s="680">
        <v>41199</v>
      </c>
      <c r="AC40" s="104">
        <f t="shared" si="7"/>
        <v>1.8465753424657534</v>
      </c>
      <c r="AF40" s="214">
        <f t="shared" si="2"/>
        <v>922</v>
      </c>
      <c r="AG40" s="215">
        <f t="shared" si="8"/>
        <v>761875</v>
      </c>
      <c r="AH40" s="117">
        <f t="shared" si="3"/>
        <v>5904531.25</v>
      </c>
    </row>
    <row r="41" spans="1:34" s="74" customFormat="1" ht="16.5">
      <c r="A41" s="73" t="s">
        <v>446</v>
      </c>
      <c r="B41" s="73">
        <f t="shared" si="6"/>
        <v>3.2610929999999998</v>
      </c>
      <c r="C41" s="73">
        <v>226</v>
      </c>
      <c r="D41" s="73">
        <v>139</v>
      </c>
      <c r="E41" s="91">
        <v>36</v>
      </c>
      <c r="F41" s="55" t="s">
        <v>447</v>
      </c>
      <c r="G41" s="53" t="s">
        <v>476</v>
      </c>
      <c r="H41" s="53"/>
      <c r="I41" s="53"/>
      <c r="J41" s="53"/>
      <c r="K41" s="91" t="s">
        <v>309</v>
      </c>
      <c r="L41" s="63">
        <v>3000000</v>
      </c>
      <c r="M41" s="113" t="s">
        <v>466</v>
      </c>
      <c r="N41" s="114">
        <v>99.144999999999996</v>
      </c>
      <c r="O41" s="91">
        <v>5.5210929999999996</v>
      </c>
      <c r="P41" s="111" t="s">
        <v>316</v>
      </c>
      <c r="Q41" s="112" t="s">
        <v>317</v>
      </c>
      <c r="R41" s="53" t="s">
        <v>318</v>
      </c>
      <c r="S41" s="633">
        <v>39596</v>
      </c>
      <c r="T41" s="633">
        <v>39603</v>
      </c>
      <c r="U41" s="54"/>
      <c r="W41" s="143">
        <v>2995108.33</v>
      </c>
      <c r="X41" s="143">
        <f>SUM(W31:W41)</f>
        <v>120974809.58</v>
      </c>
      <c r="Y41" s="143">
        <f>Y$29+Y$13+X41*7.79</f>
        <v>2937402959.5596051</v>
      </c>
      <c r="Z41" s="133" t="e">
        <f>Y41+'Macau A-12366'!#REF!</f>
        <v>#REF!</v>
      </c>
      <c r="AA41" s="115">
        <v>5.3</v>
      </c>
      <c r="AB41" s="680">
        <v>41199</v>
      </c>
      <c r="AC41" s="104">
        <f t="shared" si="7"/>
        <v>1.8465753424657534</v>
      </c>
      <c r="AF41" s="214">
        <f t="shared" si="2"/>
        <v>922</v>
      </c>
      <c r="AG41" s="215">
        <f t="shared" si="8"/>
        <v>91425</v>
      </c>
      <c r="AH41" s="117">
        <f t="shared" si="3"/>
        <v>708543.75</v>
      </c>
    </row>
    <row r="42" spans="1:34" s="74" customFormat="1" ht="16.5">
      <c r="A42" s="73" t="s">
        <v>457</v>
      </c>
      <c r="B42" s="1449">
        <f t="shared" si="6"/>
        <v>3.3399970000000003</v>
      </c>
      <c r="C42" s="73">
        <v>238</v>
      </c>
      <c r="D42" s="73">
        <v>153</v>
      </c>
      <c r="E42" s="91">
        <v>37</v>
      </c>
      <c r="F42" s="55" t="s">
        <v>410</v>
      </c>
      <c r="G42" s="53" t="s">
        <v>416</v>
      </c>
      <c r="H42" s="53"/>
      <c r="I42" s="53"/>
      <c r="J42" s="53"/>
      <c r="K42" s="91" t="s">
        <v>309</v>
      </c>
      <c r="L42" s="63">
        <v>14000000</v>
      </c>
      <c r="M42" s="113" t="s">
        <v>466</v>
      </c>
      <c r="N42" s="114">
        <v>99.07</v>
      </c>
      <c r="O42" s="91">
        <v>5.7199970000000002</v>
      </c>
      <c r="P42" s="111" t="s">
        <v>316</v>
      </c>
      <c r="Q42" s="112" t="s">
        <v>317</v>
      </c>
      <c r="R42" s="53" t="s">
        <v>318</v>
      </c>
      <c r="S42" s="633">
        <v>39601</v>
      </c>
      <c r="T42" s="633">
        <v>39605</v>
      </c>
      <c r="U42" s="54"/>
      <c r="W42" s="143">
        <v>13976744.439999999</v>
      </c>
      <c r="X42" s="143"/>
      <c r="Z42" s="70"/>
      <c r="AA42" s="115">
        <v>5.5</v>
      </c>
      <c r="AB42" s="680">
        <v>41380</v>
      </c>
      <c r="AC42" s="104">
        <f t="shared" si="7"/>
        <v>2.3424657534246576</v>
      </c>
      <c r="AF42" s="214">
        <f t="shared" si="2"/>
        <v>920</v>
      </c>
      <c r="AG42" s="215">
        <f t="shared" si="8"/>
        <v>438472.22222222219</v>
      </c>
      <c r="AH42" s="117">
        <f t="shared" si="3"/>
        <v>3398159.722222222</v>
      </c>
    </row>
    <row r="43" spans="1:34" s="74" customFormat="1" ht="25.5">
      <c r="A43" s="86" t="s">
        <v>458</v>
      </c>
      <c r="B43" s="1449">
        <f t="shared" si="6"/>
        <v>3.6235150000000003</v>
      </c>
      <c r="C43" s="73">
        <v>255</v>
      </c>
      <c r="D43" s="73">
        <v>173</v>
      </c>
      <c r="E43" s="91">
        <v>38</v>
      </c>
      <c r="F43" s="55" t="s">
        <v>451</v>
      </c>
      <c r="G43" s="53" t="s">
        <v>452</v>
      </c>
      <c r="H43" s="53"/>
      <c r="I43" s="53"/>
      <c r="J43" s="53"/>
      <c r="K43" s="91" t="s">
        <v>309</v>
      </c>
      <c r="L43" s="63">
        <v>4000000</v>
      </c>
      <c r="M43" s="113" t="s">
        <v>466</v>
      </c>
      <c r="N43" s="114">
        <v>99.03</v>
      </c>
      <c r="O43" s="91">
        <v>6.1735150000000001</v>
      </c>
      <c r="P43" s="111" t="s">
        <v>453</v>
      </c>
      <c r="Q43" s="112" t="s">
        <v>454</v>
      </c>
      <c r="R43" s="109" t="s">
        <v>455</v>
      </c>
      <c r="S43" s="633">
        <v>39601</v>
      </c>
      <c r="T43" s="633">
        <v>39605</v>
      </c>
      <c r="U43" s="54"/>
      <c r="W43" s="143">
        <v>3986533.33</v>
      </c>
      <c r="X43" s="143"/>
      <c r="Y43" s="110"/>
      <c r="Z43" s="133"/>
      <c r="AA43" s="115">
        <v>6</v>
      </c>
      <c r="AB43" s="680">
        <v>42122</v>
      </c>
      <c r="AC43" s="104">
        <f t="shared" si="7"/>
        <v>4.375342465753425</v>
      </c>
      <c r="AF43" s="214">
        <f t="shared" si="2"/>
        <v>920</v>
      </c>
      <c r="AG43" s="215">
        <f t="shared" si="8"/>
        <v>136666.66666666666</v>
      </c>
      <c r="AH43" s="117">
        <f t="shared" si="3"/>
        <v>1059166.6666666665</v>
      </c>
    </row>
    <row r="44" spans="1:34" s="74" customFormat="1" ht="16.5">
      <c r="A44" s="86" t="s">
        <v>459</v>
      </c>
      <c r="B44" s="1449">
        <f t="shared" si="6"/>
        <v>3.3501090000000002</v>
      </c>
      <c r="C44" s="73">
        <v>235</v>
      </c>
      <c r="D44" s="73">
        <v>135</v>
      </c>
      <c r="E44" s="91">
        <v>39</v>
      </c>
      <c r="F44" s="47" t="s">
        <v>395</v>
      </c>
      <c r="G44" s="48" t="s">
        <v>396</v>
      </c>
      <c r="H44" s="48"/>
      <c r="I44" s="48"/>
      <c r="J44" s="48"/>
      <c r="K44" s="46" t="s">
        <v>329</v>
      </c>
      <c r="L44" s="49">
        <v>3000000</v>
      </c>
      <c r="M44" s="46" t="s">
        <v>330</v>
      </c>
      <c r="N44" s="50">
        <v>97.837999999999994</v>
      </c>
      <c r="O44" s="1453">
        <v>5.7001090000000003</v>
      </c>
      <c r="P44" s="52" t="s">
        <v>378</v>
      </c>
      <c r="Q44" s="52" t="s">
        <v>379</v>
      </c>
      <c r="R44" s="53" t="s">
        <v>380</v>
      </c>
      <c r="S44" s="633">
        <v>39602</v>
      </c>
      <c r="T44" s="633">
        <v>39609</v>
      </c>
      <c r="U44" s="54"/>
      <c r="W44" s="143">
        <v>2987640</v>
      </c>
      <c r="X44" s="143"/>
      <c r="Y44" s="110"/>
      <c r="Z44" s="133"/>
      <c r="AA44" s="86">
        <v>5.25</v>
      </c>
      <c r="AB44" s="680">
        <v>41680</v>
      </c>
      <c r="AC44" s="104">
        <f t="shared" si="7"/>
        <v>3.1643835616438358</v>
      </c>
      <c r="AF44" s="214">
        <f t="shared" si="2"/>
        <v>916</v>
      </c>
      <c r="AG44" s="215">
        <f t="shared" si="8"/>
        <v>87937.5</v>
      </c>
      <c r="AH44" s="117">
        <f t="shared" si="3"/>
        <v>681515.625</v>
      </c>
    </row>
    <row r="45" spans="1:34" s="74" customFormat="1" ht="38.25">
      <c r="A45" s="73" t="s">
        <v>460</v>
      </c>
      <c r="B45" s="1449">
        <f t="shared" si="6"/>
        <v>3.350581</v>
      </c>
      <c r="C45" s="73">
        <v>366</v>
      </c>
      <c r="D45" s="73">
        <v>285</v>
      </c>
      <c r="E45" s="91">
        <v>40</v>
      </c>
      <c r="F45" s="55" t="s">
        <v>435</v>
      </c>
      <c r="G45" s="53" t="s">
        <v>505</v>
      </c>
      <c r="H45" s="53"/>
      <c r="I45" s="53"/>
      <c r="J45" s="53"/>
      <c r="K45" s="91" t="s">
        <v>309</v>
      </c>
      <c r="L45" s="63">
        <f>3000000</f>
        <v>3000000</v>
      </c>
      <c r="M45" s="113" t="s">
        <v>466</v>
      </c>
      <c r="N45" s="114">
        <v>100.5</v>
      </c>
      <c r="O45" s="91">
        <v>7.0105810000000002</v>
      </c>
      <c r="P45" s="52" t="s">
        <v>350</v>
      </c>
      <c r="Q45" s="48" t="s">
        <v>351</v>
      </c>
      <c r="R45" s="53" t="s">
        <v>352</v>
      </c>
      <c r="S45" s="633">
        <v>39602</v>
      </c>
      <c r="T45" s="633">
        <v>39609</v>
      </c>
      <c r="U45" s="54"/>
      <c r="W45" s="143">
        <v>3021531.25</v>
      </c>
      <c r="X45" s="143"/>
      <c r="Y45" s="110"/>
      <c r="Z45" s="133"/>
      <c r="AA45" s="115">
        <v>7.125</v>
      </c>
      <c r="AB45" s="680">
        <v>41653</v>
      </c>
      <c r="AC45" s="104">
        <f t="shared" si="7"/>
        <v>3.0904109589041098</v>
      </c>
      <c r="AF45" s="214">
        <f t="shared" si="2"/>
        <v>916</v>
      </c>
      <c r="AG45" s="215">
        <f t="shared" si="8"/>
        <v>119343.74999999999</v>
      </c>
      <c r="AH45" s="117">
        <f t="shared" si="3"/>
        <v>924914.06249999988</v>
      </c>
    </row>
    <row r="46" spans="1:34" s="74" customFormat="1" ht="25.5">
      <c r="A46" s="73" t="s">
        <v>463</v>
      </c>
      <c r="B46" s="1449">
        <f t="shared" si="6"/>
        <v>3.7302230000000005</v>
      </c>
      <c r="C46" s="73">
        <v>267</v>
      </c>
      <c r="D46" s="73">
        <v>192</v>
      </c>
      <c r="E46" s="91">
        <v>41</v>
      </c>
      <c r="F46" s="55" t="s">
        <v>461</v>
      </c>
      <c r="G46" s="53" t="s">
        <v>462</v>
      </c>
      <c r="H46" s="53"/>
      <c r="I46" s="53"/>
      <c r="J46" s="53"/>
      <c r="K46" s="91" t="s">
        <v>309</v>
      </c>
      <c r="L46" s="63">
        <f>3000000</f>
        <v>3000000</v>
      </c>
      <c r="M46" s="113" t="s">
        <v>466</v>
      </c>
      <c r="N46" s="114">
        <v>95.531000000000006</v>
      </c>
      <c r="O46" s="91">
        <v>6.4002230000000004</v>
      </c>
      <c r="P46" s="52" t="s">
        <v>353</v>
      </c>
      <c r="Q46" s="48" t="s">
        <v>344</v>
      </c>
      <c r="R46" s="53" t="s">
        <v>445</v>
      </c>
      <c r="S46" s="633">
        <v>39602</v>
      </c>
      <c r="T46" s="633">
        <v>39609</v>
      </c>
      <c r="U46" s="54"/>
      <c r="W46" s="143">
        <v>2898705</v>
      </c>
      <c r="X46" s="143"/>
      <c r="Y46" s="110"/>
      <c r="Z46" s="133"/>
      <c r="AA46" s="115">
        <v>5.7</v>
      </c>
      <c r="AB46" s="680">
        <v>42644</v>
      </c>
      <c r="AC46" s="104">
        <f t="shared" si="7"/>
        <v>5.8054794520547945</v>
      </c>
      <c r="AF46" s="214">
        <f t="shared" si="2"/>
        <v>916</v>
      </c>
      <c r="AG46" s="215">
        <f t="shared" si="8"/>
        <v>95475</v>
      </c>
      <c r="AH46" s="117">
        <f t="shared" si="3"/>
        <v>739931.25</v>
      </c>
    </row>
    <row r="47" spans="1:34" s="74" customFormat="1" ht="16.5">
      <c r="A47" s="86" t="s">
        <v>464</v>
      </c>
      <c r="B47" s="1449">
        <f t="shared" si="6"/>
        <v>3.2241359999999997</v>
      </c>
      <c r="C47" s="73">
        <v>241</v>
      </c>
      <c r="D47" s="73">
        <v>155</v>
      </c>
      <c r="E47" s="91">
        <v>42</v>
      </c>
      <c r="F47" s="55" t="s">
        <v>410</v>
      </c>
      <c r="G47" s="53" t="s">
        <v>416</v>
      </c>
      <c r="H47" s="53"/>
      <c r="I47" s="53"/>
      <c r="J47" s="53"/>
      <c r="K47" s="91" t="s">
        <v>309</v>
      </c>
      <c r="L47" s="63">
        <v>7500000</v>
      </c>
      <c r="M47" s="113" t="s">
        <v>466</v>
      </c>
      <c r="N47" s="114">
        <v>99.43</v>
      </c>
      <c r="O47" s="91">
        <v>5.6341359999999998</v>
      </c>
      <c r="P47" s="111" t="s">
        <v>316</v>
      </c>
      <c r="Q47" s="112" t="s">
        <v>317</v>
      </c>
      <c r="R47" s="53" t="s">
        <v>318</v>
      </c>
      <c r="S47" s="633">
        <v>39604</v>
      </c>
      <c r="T47" s="633">
        <v>39611</v>
      </c>
      <c r="U47" s="54"/>
      <c r="W47" s="143">
        <v>7521416.6699999999</v>
      </c>
      <c r="X47" s="143"/>
      <c r="Y47" s="110"/>
      <c r="Z47" s="133"/>
      <c r="AA47" s="115">
        <v>5.5</v>
      </c>
      <c r="AB47" s="680">
        <v>41380</v>
      </c>
      <c r="AC47" s="104">
        <f t="shared" si="7"/>
        <v>2.3424657534246576</v>
      </c>
      <c r="AF47" s="214">
        <f t="shared" si="2"/>
        <v>914</v>
      </c>
      <c r="AG47" s="215">
        <f t="shared" si="8"/>
        <v>228020.83333333331</v>
      </c>
      <c r="AH47" s="117">
        <f t="shared" si="3"/>
        <v>1767161.4583333333</v>
      </c>
    </row>
    <row r="48" spans="1:34" s="74" customFormat="1" ht="16.5">
      <c r="A48" s="73" t="s">
        <v>444</v>
      </c>
      <c r="B48" s="1449">
        <f t="shared" si="6"/>
        <v>3.4002270000000001</v>
      </c>
      <c r="C48" s="73">
        <v>230</v>
      </c>
      <c r="D48" s="73">
        <v>123</v>
      </c>
      <c r="E48" s="91">
        <v>43</v>
      </c>
      <c r="F48" s="55" t="s">
        <v>447</v>
      </c>
      <c r="G48" s="53" t="s">
        <v>476</v>
      </c>
      <c r="H48" s="53"/>
      <c r="I48" s="53"/>
      <c r="J48" s="53"/>
      <c r="K48" s="91" t="s">
        <v>309</v>
      </c>
      <c r="L48" s="63">
        <v>10000000</v>
      </c>
      <c r="M48" s="113" t="s">
        <v>466</v>
      </c>
      <c r="N48" s="114">
        <v>98.474000000000004</v>
      </c>
      <c r="O48" s="91">
        <v>5.7002269999999999</v>
      </c>
      <c r="P48" s="111" t="s">
        <v>316</v>
      </c>
      <c r="Q48" s="112" t="s">
        <v>317</v>
      </c>
      <c r="R48" s="53" t="s">
        <v>318</v>
      </c>
      <c r="S48" s="633">
        <v>39609</v>
      </c>
      <c r="T48" s="633">
        <v>39616</v>
      </c>
      <c r="U48" s="54"/>
      <c r="W48" s="143">
        <v>9935733.3300000001</v>
      </c>
      <c r="X48" s="143"/>
      <c r="Y48" s="110"/>
      <c r="Z48" s="133"/>
      <c r="AA48" s="115">
        <v>5.3</v>
      </c>
      <c r="AB48" s="680">
        <v>41199</v>
      </c>
      <c r="AC48" s="104">
        <f t="shared" si="7"/>
        <v>1.8465753424657534</v>
      </c>
      <c r="AF48" s="214">
        <f t="shared" si="2"/>
        <v>909</v>
      </c>
      <c r="AG48" s="215">
        <f t="shared" si="8"/>
        <v>285611.11111111107</v>
      </c>
      <c r="AH48" s="117">
        <f t="shared" si="3"/>
        <v>2213486.1111111105</v>
      </c>
    </row>
    <row r="49" spans="1:34" s="74" customFormat="1" ht="25.5">
      <c r="A49" s="73" t="s">
        <v>480</v>
      </c>
      <c r="B49" s="1449">
        <f t="shared" si="6"/>
        <v>3.5911420000000005</v>
      </c>
      <c r="C49" s="73">
        <v>226</v>
      </c>
      <c r="D49" s="73">
        <v>136</v>
      </c>
      <c r="E49" s="91">
        <v>44</v>
      </c>
      <c r="F49" s="47" t="s">
        <v>391</v>
      </c>
      <c r="G49" s="48" t="s">
        <v>390</v>
      </c>
      <c r="H49" s="48"/>
      <c r="I49" s="48"/>
      <c r="J49" s="48"/>
      <c r="K49" s="46" t="s">
        <v>329</v>
      </c>
      <c r="L49" s="49">
        <v>3000000</v>
      </c>
      <c r="M49" s="113" t="s">
        <v>466</v>
      </c>
      <c r="N49" s="114">
        <v>98.54</v>
      </c>
      <c r="O49" s="91">
        <v>5.8511420000000003</v>
      </c>
      <c r="P49" s="111" t="s">
        <v>453</v>
      </c>
      <c r="Q49" s="112" t="s">
        <v>454</v>
      </c>
      <c r="R49" s="109" t="s">
        <v>455</v>
      </c>
      <c r="S49" s="633">
        <v>39616</v>
      </c>
      <c r="T49" s="633">
        <v>39623</v>
      </c>
      <c r="U49" s="54"/>
      <c r="W49" s="143">
        <v>2989658.33</v>
      </c>
      <c r="X49" s="143"/>
      <c r="Y49" s="110"/>
      <c r="Z49" s="133"/>
      <c r="AA49" s="86">
        <v>5.5</v>
      </c>
      <c r="AB49" s="680">
        <v>41375</v>
      </c>
      <c r="AC49" s="104">
        <f t="shared" si="7"/>
        <v>2.3287671232876712</v>
      </c>
      <c r="AF49" s="214">
        <f t="shared" si="2"/>
        <v>902</v>
      </c>
      <c r="AG49" s="215">
        <f t="shared" si="8"/>
        <v>85708.333333333343</v>
      </c>
      <c r="AH49" s="117">
        <f t="shared" si="3"/>
        <v>664239.58333333337</v>
      </c>
    </row>
    <row r="50" spans="1:34" s="74" customFormat="1" ht="38.25">
      <c r="A50" s="73" t="s">
        <v>481</v>
      </c>
      <c r="B50" s="1449">
        <f t="shared" si="6"/>
        <v>3.4878709999999997</v>
      </c>
      <c r="C50" s="73">
        <v>243</v>
      </c>
      <c r="D50" s="73">
        <v>147</v>
      </c>
      <c r="E50" s="91">
        <v>45</v>
      </c>
      <c r="F50" s="55" t="s">
        <v>438</v>
      </c>
      <c r="G50" s="53" t="s">
        <v>439</v>
      </c>
      <c r="H50" s="53"/>
      <c r="I50" s="53"/>
      <c r="J50" s="53"/>
      <c r="K50" s="91" t="s">
        <v>309</v>
      </c>
      <c r="L50" s="63">
        <v>4500000</v>
      </c>
      <c r="M50" s="113" t="s">
        <v>466</v>
      </c>
      <c r="N50" s="114">
        <v>98.42</v>
      </c>
      <c r="O50" s="91">
        <v>5.9178709999999999</v>
      </c>
      <c r="P50" s="52" t="s">
        <v>350</v>
      </c>
      <c r="Q50" s="48" t="s">
        <v>351</v>
      </c>
      <c r="R50" s="53" t="s">
        <v>352</v>
      </c>
      <c r="S50" s="633">
        <v>39616</v>
      </c>
      <c r="T50" s="633">
        <v>39623</v>
      </c>
      <c r="U50" s="54"/>
      <c r="W50" s="143">
        <v>4474962.5</v>
      </c>
      <c r="X50" s="143"/>
      <c r="Y50" s="110"/>
      <c r="Z50" s="133"/>
      <c r="AA50" s="115">
        <v>5.5</v>
      </c>
      <c r="AB50" s="680">
        <v>41199</v>
      </c>
      <c r="AC50" s="104">
        <f t="shared" si="7"/>
        <v>1.8465753424657534</v>
      </c>
      <c r="AF50" s="214">
        <f t="shared" si="2"/>
        <v>902</v>
      </c>
      <c r="AG50" s="215">
        <f t="shared" si="8"/>
        <v>128562.50000000001</v>
      </c>
      <c r="AH50" s="117">
        <f t="shared" si="3"/>
        <v>996359.37500000012</v>
      </c>
    </row>
    <row r="51" spans="1:34" s="74" customFormat="1" ht="25.5">
      <c r="A51" s="73" t="s">
        <v>412</v>
      </c>
      <c r="B51" s="1449">
        <f t="shared" si="6"/>
        <v>3.5809660000000001</v>
      </c>
      <c r="C51" s="73">
        <v>242</v>
      </c>
      <c r="D51" s="73">
        <v>152</v>
      </c>
      <c r="E51" s="91">
        <v>46</v>
      </c>
      <c r="F51" s="55" t="s">
        <v>410</v>
      </c>
      <c r="G51" s="53" t="s">
        <v>416</v>
      </c>
      <c r="H51" s="53"/>
      <c r="I51" s="53"/>
      <c r="J51" s="53"/>
      <c r="K51" s="91" t="s">
        <v>309</v>
      </c>
      <c r="L51" s="63">
        <v>1000000</v>
      </c>
      <c r="M51" s="113" t="s">
        <v>466</v>
      </c>
      <c r="N51" s="114">
        <v>97.923599999999993</v>
      </c>
      <c r="O51" s="91">
        <v>6.000966</v>
      </c>
      <c r="P51" s="111" t="s">
        <v>478</v>
      </c>
      <c r="Q51" s="111" t="s">
        <v>477</v>
      </c>
      <c r="R51" s="53" t="s">
        <v>479</v>
      </c>
      <c r="S51" s="633">
        <v>39616</v>
      </c>
      <c r="T51" s="633">
        <v>39623</v>
      </c>
      <c r="U51" s="54"/>
      <c r="W51" s="143">
        <v>989624.89</v>
      </c>
      <c r="X51" s="143"/>
      <c r="Y51" s="110"/>
      <c r="Z51" s="133"/>
      <c r="AA51" s="115">
        <v>5.5</v>
      </c>
      <c r="AB51" s="680">
        <v>41380</v>
      </c>
      <c r="AC51" s="104">
        <f t="shared" si="7"/>
        <v>2.3424657534246576</v>
      </c>
      <c r="AF51" s="214">
        <f t="shared" si="2"/>
        <v>902</v>
      </c>
      <c r="AG51" s="215">
        <f t="shared" si="8"/>
        <v>28569.444444444449</v>
      </c>
      <c r="AH51" s="117">
        <f t="shared" si="3"/>
        <v>221413.19444444447</v>
      </c>
    </row>
    <row r="52" spans="1:34" s="74" customFormat="1" ht="25.5">
      <c r="A52" s="73" t="s">
        <v>487</v>
      </c>
      <c r="B52" s="1449">
        <f t="shared" si="6"/>
        <v>4.1119430000000001</v>
      </c>
      <c r="C52" s="73">
        <v>203</v>
      </c>
      <c r="D52" s="73">
        <v>135</v>
      </c>
      <c r="E52" s="91">
        <v>47</v>
      </c>
      <c r="F52" s="55" t="s">
        <v>485</v>
      </c>
      <c r="G52" s="53" t="s">
        <v>486</v>
      </c>
      <c r="H52" s="53"/>
      <c r="I52" s="53"/>
      <c r="J52" s="53"/>
      <c r="K52" s="91" t="s">
        <v>309</v>
      </c>
      <c r="L52" s="63">
        <v>3000000</v>
      </c>
      <c r="M52" s="113" t="s">
        <v>466</v>
      </c>
      <c r="N52" s="114">
        <v>98.98</v>
      </c>
      <c r="O52" s="91">
        <v>6.1419430000000004</v>
      </c>
      <c r="P52" s="111" t="s">
        <v>453</v>
      </c>
      <c r="Q52" s="112" t="s">
        <v>454</v>
      </c>
      <c r="R52" s="109" t="s">
        <v>455</v>
      </c>
      <c r="S52" s="633">
        <v>39618</v>
      </c>
      <c r="T52" s="633">
        <v>39625</v>
      </c>
      <c r="U52" s="54"/>
      <c r="W52" s="143">
        <v>3062400</v>
      </c>
      <c r="X52" s="143"/>
      <c r="Y52" s="110"/>
      <c r="Z52" s="133"/>
      <c r="AA52" s="115">
        <v>6</v>
      </c>
      <c r="AB52" s="680">
        <v>43115</v>
      </c>
      <c r="AC52" s="104">
        <f t="shared" si="7"/>
        <v>7.095890410958904</v>
      </c>
      <c r="AF52" s="214">
        <f t="shared" si="2"/>
        <v>900</v>
      </c>
      <c r="AG52" s="215">
        <f t="shared" si="8"/>
        <v>92500</v>
      </c>
      <c r="AH52" s="117">
        <f t="shared" si="3"/>
        <v>716875</v>
      </c>
    </row>
    <row r="53" spans="1:34" s="74" customFormat="1" ht="25.5">
      <c r="A53" s="73" t="s">
        <v>456</v>
      </c>
      <c r="B53" s="1449">
        <f t="shared" si="6"/>
        <v>3.4584230000000002</v>
      </c>
      <c r="C53" s="73">
        <v>269</v>
      </c>
      <c r="D53" s="73">
        <v>173</v>
      </c>
      <c r="E53" s="91">
        <v>48</v>
      </c>
      <c r="F53" s="47" t="s">
        <v>490</v>
      </c>
      <c r="G53" s="53" t="s">
        <v>491</v>
      </c>
      <c r="H53" s="53"/>
      <c r="I53" s="53"/>
      <c r="J53" s="53"/>
      <c r="K53" s="91" t="s">
        <v>309</v>
      </c>
      <c r="L53" s="63">
        <v>6000000</v>
      </c>
      <c r="M53" s="113" t="s">
        <v>466</v>
      </c>
      <c r="N53" s="114">
        <v>97.225999999999999</v>
      </c>
      <c r="O53" s="91">
        <v>6.1484230000000002</v>
      </c>
      <c r="P53" s="52" t="s">
        <v>353</v>
      </c>
      <c r="Q53" s="48" t="s">
        <v>344</v>
      </c>
      <c r="R53" s="53" t="s">
        <v>445</v>
      </c>
      <c r="S53" s="633">
        <v>39623</v>
      </c>
      <c r="T53" s="633">
        <v>39629</v>
      </c>
      <c r="U53" s="54"/>
      <c r="W53" s="143">
        <v>5913660</v>
      </c>
      <c r="X53" s="143"/>
      <c r="Y53" s="110"/>
      <c r="Z53" s="133"/>
      <c r="AA53" s="115">
        <v>5.4</v>
      </c>
      <c r="AB53" s="680">
        <v>41183</v>
      </c>
      <c r="AC53" s="104">
        <f t="shared" si="7"/>
        <v>1.8027397260273972</v>
      </c>
      <c r="AF53" s="214">
        <f t="shared" si="2"/>
        <v>896</v>
      </c>
      <c r="AG53" s="215">
        <f t="shared" si="8"/>
        <v>162000.00000000003</v>
      </c>
      <c r="AH53" s="117">
        <f t="shared" si="3"/>
        <v>1255500.0000000002</v>
      </c>
    </row>
    <row r="54" spans="1:34" s="74" customFormat="1" ht="16.5">
      <c r="A54" s="73" t="s">
        <v>502</v>
      </c>
      <c r="B54" s="1449">
        <f t="shared" si="6"/>
        <v>3.2906000000000004</v>
      </c>
      <c r="C54" s="73">
        <v>350</v>
      </c>
      <c r="D54" s="73">
        <v>245</v>
      </c>
      <c r="E54" s="91">
        <v>49</v>
      </c>
      <c r="F54" s="47" t="s">
        <v>371</v>
      </c>
      <c r="G54" s="48" t="s">
        <v>383</v>
      </c>
      <c r="H54" s="48"/>
      <c r="I54" s="48"/>
      <c r="J54" s="48"/>
      <c r="K54" s="46" t="s">
        <v>329</v>
      </c>
      <c r="L54" s="49">
        <v>5500000</v>
      </c>
      <c r="M54" s="113" t="s">
        <v>466</v>
      </c>
      <c r="N54" s="114">
        <v>111.125</v>
      </c>
      <c r="O54" s="91">
        <v>6.7906000000000004</v>
      </c>
      <c r="P54" s="52" t="s">
        <v>378</v>
      </c>
      <c r="Q54" s="52" t="s">
        <v>379</v>
      </c>
      <c r="R54" s="53" t="s">
        <v>380</v>
      </c>
      <c r="S54" s="633">
        <v>39629</v>
      </c>
      <c r="T54" s="633">
        <v>39636</v>
      </c>
      <c r="U54" s="54"/>
      <c r="W54" s="143">
        <v>6297156.25</v>
      </c>
      <c r="X54" s="143"/>
      <c r="Y54" s="110"/>
      <c r="Z54" s="133"/>
      <c r="AA54" s="115">
        <v>9.625</v>
      </c>
      <c r="AB54" s="680">
        <v>41334</v>
      </c>
      <c r="AC54" s="104">
        <f t="shared" si="7"/>
        <v>2.2164383561643834</v>
      </c>
      <c r="AF54" s="214">
        <f t="shared" si="2"/>
        <v>889</v>
      </c>
      <c r="AG54" s="215">
        <f t="shared" si="8"/>
        <v>255864.58333333337</v>
      </c>
      <c r="AH54" s="117">
        <f t="shared" si="3"/>
        <v>1982950.5208333337</v>
      </c>
    </row>
    <row r="55" spans="1:34" s="74" customFormat="1" ht="25.5">
      <c r="A55" s="73" t="s">
        <v>503</v>
      </c>
      <c r="B55" s="73"/>
      <c r="C55" s="73">
        <v>384</v>
      </c>
      <c r="D55" s="73">
        <v>292</v>
      </c>
      <c r="E55" s="91">
        <v>50</v>
      </c>
      <c r="F55" s="55" t="s">
        <v>435</v>
      </c>
      <c r="G55" s="53" t="s">
        <v>505</v>
      </c>
      <c r="H55" s="53"/>
      <c r="I55" s="53"/>
      <c r="J55" s="53"/>
      <c r="K55" s="91" t="s">
        <v>309</v>
      </c>
      <c r="L55" s="63">
        <f>2000000</f>
        <v>2000000</v>
      </c>
      <c r="M55" s="113" t="s">
        <v>466</v>
      </c>
      <c r="N55" s="114">
        <v>99.25</v>
      </c>
      <c r="O55" s="91">
        <v>7.285774</v>
      </c>
      <c r="P55" s="111" t="s">
        <v>325</v>
      </c>
      <c r="Q55" s="112" t="s">
        <v>326</v>
      </c>
      <c r="R55" s="53" t="s">
        <v>327</v>
      </c>
      <c r="S55" s="633">
        <v>39629</v>
      </c>
      <c r="T55" s="633">
        <v>39636</v>
      </c>
      <c r="U55" s="54"/>
      <c r="W55" s="143">
        <v>2000041.67</v>
      </c>
      <c r="X55" s="143"/>
      <c r="Y55" s="110">
        <f>SUM(W42:W55)*7.8</f>
        <v>546435299.74799991</v>
      </c>
      <c r="Z55" s="133">
        <f>Y55+'Macau A-12366'!$Y$19</f>
        <v>546435299.74799991</v>
      </c>
      <c r="AA55" s="115">
        <v>7.125</v>
      </c>
      <c r="AB55" s="680">
        <v>41653</v>
      </c>
      <c r="AC55" s="104">
        <f t="shared" si="7"/>
        <v>3.0904109589041098</v>
      </c>
      <c r="AF55" s="214">
        <f t="shared" si="2"/>
        <v>889</v>
      </c>
      <c r="AG55" s="215">
        <f t="shared" si="8"/>
        <v>68874.999999999985</v>
      </c>
      <c r="AH55" s="117">
        <f t="shared" si="3"/>
        <v>533781.24999999988</v>
      </c>
    </row>
    <row r="56" spans="1:34" s="74" customFormat="1" ht="25.5">
      <c r="A56" s="73" t="s">
        <v>509</v>
      </c>
      <c r="B56" s="1449">
        <f t="shared" si="6"/>
        <v>2.9818789999999997</v>
      </c>
      <c r="C56" s="73">
        <v>293</v>
      </c>
      <c r="D56" s="73">
        <v>193</v>
      </c>
      <c r="E56" s="91">
        <v>51</v>
      </c>
      <c r="F56" s="47" t="s">
        <v>490</v>
      </c>
      <c r="G56" s="53" t="s">
        <v>491</v>
      </c>
      <c r="H56" s="53"/>
      <c r="I56" s="53"/>
      <c r="J56" s="53"/>
      <c r="K56" s="91" t="s">
        <v>309</v>
      </c>
      <c r="L56" s="63">
        <v>1500000</v>
      </c>
      <c r="M56" s="113" t="s">
        <v>466</v>
      </c>
      <c r="N56" s="114">
        <v>98.11</v>
      </c>
      <c r="O56" s="91">
        <v>5.9118789999999999</v>
      </c>
      <c r="P56" s="52" t="s">
        <v>358</v>
      </c>
      <c r="Q56" s="48" t="s">
        <v>403</v>
      </c>
      <c r="R56" s="53" t="s">
        <v>492</v>
      </c>
      <c r="S56" s="633">
        <v>39640</v>
      </c>
      <c r="T56" s="633">
        <v>39647</v>
      </c>
      <c r="U56" s="54"/>
      <c r="W56" s="143">
        <v>1495725</v>
      </c>
      <c r="X56" s="143"/>
      <c r="Y56" s="110"/>
      <c r="Z56" s="133"/>
      <c r="AA56" s="115">
        <v>5.4</v>
      </c>
      <c r="AB56" s="680">
        <v>41183</v>
      </c>
      <c r="AC56" s="104">
        <f t="shared" si="7"/>
        <v>1.8027397260273972</v>
      </c>
      <c r="AF56" s="214">
        <f t="shared" si="2"/>
        <v>878</v>
      </c>
      <c r="AG56" s="215">
        <f t="shared" si="8"/>
        <v>36675.000000000007</v>
      </c>
      <c r="AH56" s="117">
        <f t="shared" si="3"/>
        <v>284231.25000000006</v>
      </c>
    </row>
    <row r="57" spans="1:34" s="74" customFormat="1" ht="25.5">
      <c r="A57" s="73" t="s">
        <v>528</v>
      </c>
      <c r="B57" s="1449">
        <f t="shared" si="6"/>
        <v>3.1397999999999997</v>
      </c>
      <c r="C57" s="73">
        <v>294</v>
      </c>
      <c r="D57" s="73">
        <v>196</v>
      </c>
      <c r="E57" s="91">
        <v>52</v>
      </c>
      <c r="F57" s="47" t="s">
        <v>490</v>
      </c>
      <c r="G57" s="53" t="s">
        <v>491</v>
      </c>
      <c r="H57" s="53"/>
      <c r="I57" s="53"/>
      <c r="J57" s="53"/>
      <c r="K57" s="91" t="s">
        <v>309</v>
      </c>
      <c r="L57" s="63">
        <v>2000000</v>
      </c>
      <c r="M57" s="113" t="s">
        <v>466</v>
      </c>
      <c r="N57" s="114">
        <v>97.52</v>
      </c>
      <c r="O57" s="91">
        <v>6.0797999999999996</v>
      </c>
      <c r="P57" s="52" t="s">
        <v>358</v>
      </c>
      <c r="Q57" s="48" t="s">
        <v>403</v>
      </c>
      <c r="R57" s="53" t="s">
        <v>527</v>
      </c>
      <c r="S57" s="633">
        <v>39654</v>
      </c>
      <c r="T57" s="633">
        <v>39660</v>
      </c>
      <c r="U57" s="54"/>
      <c r="W57" s="143">
        <v>1986100</v>
      </c>
      <c r="X57" s="143"/>
      <c r="Y57" s="110"/>
      <c r="Z57" s="133"/>
      <c r="AA57" s="115">
        <v>5.4</v>
      </c>
      <c r="AB57" s="680">
        <v>41183</v>
      </c>
      <c r="AC57" s="104">
        <f t="shared" si="7"/>
        <v>1.8027397260273972</v>
      </c>
      <c r="AF57" s="214">
        <f t="shared" si="2"/>
        <v>865</v>
      </c>
      <c r="AG57" s="215">
        <f t="shared" si="8"/>
        <v>45000.000000000007</v>
      </c>
      <c r="AH57" s="117">
        <f t="shared" si="3"/>
        <v>348750.00000000006</v>
      </c>
    </row>
    <row r="58" spans="1:34" s="74" customFormat="1" ht="25.5">
      <c r="A58" s="73" t="s">
        <v>535</v>
      </c>
      <c r="B58" s="73"/>
      <c r="C58" s="73">
        <v>240</v>
      </c>
      <c r="D58" s="73">
        <v>158</v>
      </c>
      <c r="E58" s="91">
        <v>53</v>
      </c>
      <c r="F58" s="47" t="s">
        <v>533</v>
      </c>
      <c r="G58" s="53" t="s">
        <v>534</v>
      </c>
      <c r="H58" s="53"/>
      <c r="I58" s="53"/>
      <c r="J58" s="53"/>
      <c r="K58" s="91" t="s">
        <v>309</v>
      </c>
      <c r="L58" s="63">
        <v>2780000</v>
      </c>
      <c r="M58" s="113" t="s">
        <v>466</v>
      </c>
      <c r="N58" s="114">
        <v>96.19</v>
      </c>
      <c r="O58" s="91">
        <v>6.132981</v>
      </c>
      <c r="P58" s="111" t="s">
        <v>325</v>
      </c>
      <c r="Q58" s="112" t="s">
        <v>326</v>
      </c>
      <c r="R58" s="53" t="s">
        <v>327</v>
      </c>
      <c r="S58" s="633">
        <v>39660</v>
      </c>
      <c r="T58" s="633">
        <v>39665</v>
      </c>
      <c r="U58" s="54"/>
      <c r="W58" s="143">
        <v>2733967.83</v>
      </c>
      <c r="X58" s="143">
        <f>SUM(W$56:W58)</f>
        <v>6215792.8300000001</v>
      </c>
      <c r="Y58" s="110">
        <f>X58*7.8</f>
        <v>48483184.074000001</v>
      </c>
      <c r="Z58" s="133">
        <f>Y58+'Macau A-12366'!$Y$19</f>
        <v>48483184.074000001</v>
      </c>
      <c r="AA58" s="115">
        <v>5.5</v>
      </c>
      <c r="AB58" s="680">
        <v>42443</v>
      </c>
      <c r="AC58" s="104">
        <f t="shared" si="7"/>
        <v>5.2547945205479456</v>
      </c>
      <c r="AF58" s="214">
        <f t="shared" si="2"/>
        <v>860</v>
      </c>
      <c r="AG58" s="215">
        <f t="shared" si="8"/>
        <v>62009.444444444453</v>
      </c>
      <c r="AH58" s="117">
        <f t="shared" si="3"/>
        <v>480573.1944444445</v>
      </c>
    </row>
    <row r="59" spans="1:34" s="74" customFormat="1" ht="38.25">
      <c r="A59" s="73" t="s">
        <v>543</v>
      </c>
      <c r="B59" s="1449">
        <f t="shared" si="6"/>
        <v>3.5772949999999999</v>
      </c>
      <c r="C59" s="73">
        <v>243</v>
      </c>
      <c r="D59" s="73">
        <v>147</v>
      </c>
      <c r="E59" s="91">
        <v>54</v>
      </c>
      <c r="F59" s="55" t="s">
        <v>449</v>
      </c>
      <c r="G59" s="53" t="s">
        <v>450</v>
      </c>
      <c r="H59" s="53"/>
      <c r="I59" s="53"/>
      <c r="J59" s="53"/>
      <c r="K59" s="46" t="s">
        <v>309</v>
      </c>
      <c r="L59" s="105">
        <v>3500000</v>
      </c>
      <c r="M59" s="46" t="s">
        <v>466</v>
      </c>
      <c r="N59" s="114">
        <v>97.68</v>
      </c>
      <c r="O59" s="91">
        <v>6.0072950000000001</v>
      </c>
      <c r="P59" s="52" t="s">
        <v>350</v>
      </c>
      <c r="Q59" s="48" t="s">
        <v>351</v>
      </c>
      <c r="R59" s="53" t="s">
        <v>352</v>
      </c>
      <c r="S59" s="633">
        <v>39668</v>
      </c>
      <c r="T59" s="633">
        <v>39674</v>
      </c>
      <c r="U59" s="54"/>
      <c r="W59" s="143">
        <v>3492081.25</v>
      </c>
      <c r="X59" s="143"/>
      <c r="Y59" s="110"/>
      <c r="Z59" s="70"/>
      <c r="AA59" s="86">
        <v>5.625</v>
      </c>
      <c r="AB59" s="680">
        <v>42459</v>
      </c>
      <c r="AC59" s="104">
        <f t="shared" si="7"/>
        <v>5.2986301369863016</v>
      </c>
      <c r="AF59" s="214">
        <f t="shared" si="2"/>
        <v>851</v>
      </c>
      <c r="AG59" s="215">
        <f t="shared" si="8"/>
        <v>74921.875</v>
      </c>
      <c r="AH59" s="117">
        <f t="shared" si="3"/>
        <v>580644.53125</v>
      </c>
    </row>
    <row r="60" spans="1:34" s="74" customFormat="1" ht="38.25">
      <c r="A60" s="73" t="s">
        <v>544</v>
      </c>
      <c r="B60" s="1449">
        <f t="shared" si="6"/>
        <v>3.5600650000000003</v>
      </c>
      <c r="C60" s="73">
        <v>244</v>
      </c>
      <c r="D60" s="73">
        <v>155</v>
      </c>
      <c r="E60" s="91">
        <v>55</v>
      </c>
      <c r="F60" s="55" t="s">
        <v>449</v>
      </c>
      <c r="G60" s="53" t="s">
        <v>450</v>
      </c>
      <c r="H60" s="53"/>
      <c r="I60" s="53"/>
      <c r="J60" s="53"/>
      <c r="K60" s="46" t="s">
        <v>309</v>
      </c>
      <c r="L60" s="105">
        <v>6500000</v>
      </c>
      <c r="M60" s="46" t="s">
        <v>466</v>
      </c>
      <c r="N60" s="114">
        <v>97.727000000000004</v>
      </c>
      <c r="O60" s="91">
        <v>6.0000650000000002</v>
      </c>
      <c r="P60" s="52" t="s">
        <v>350</v>
      </c>
      <c r="Q60" s="48" t="s">
        <v>351</v>
      </c>
      <c r="R60" s="53" t="s">
        <v>352</v>
      </c>
      <c r="S60" s="633">
        <v>39673</v>
      </c>
      <c r="T60" s="633">
        <v>39679</v>
      </c>
      <c r="U60" s="54"/>
      <c r="W60" s="143">
        <v>6493426.8799999999</v>
      </c>
      <c r="X60" s="143"/>
      <c r="Y60" s="110"/>
      <c r="Z60" s="70"/>
      <c r="AA60" s="86">
        <v>5.625</v>
      </c>
      <c r="AB60" s="680">
        <v>42459</v>
      </c>
      <c r="AC60" s="104">
        <f t="shared" si="7"/>
        <v>5.2986301369863016</v>
      </c>
      <c r="AF60" s="214">
        <f t="shared" si="2"/>
        <v>846</v>
      </c>
      <c r="AG60" s="215">
        <f t="shared" si="8"/>
        <v>134062.5</v>
      </c>
      <c r="AH60" s="117">
        <f t="shared" si="3"/>
        <v>1038984.375</v>
      </c>
    </row>
    <row r="61" spans="1:34" s="74" customFormat="1" ht="38.25">
      <c r="A61" s="73" t="s">
        <v>545</v>
      </c>
      <c r="B61" s="73"/>
      <c r="C61" s="73">
        <v>266</v>
      </c>
      <c r="D61" s="73">
        <v>176</v>
      </c>
      <c r="E61" s="91">
        <v>56</v>
      </c>
      <c r="F61" s="55" t="s">
        <v>541</v>
      </c>
      <c r="G61" s="53" t="s">
        <v>542</v>
      </c>
      <c r="H61" s="53"/>
      <c r="I61" s="53"/>
      <c r="J61" s="1454"/>
      <c r="K61" s="46" t="s">
        <v>309</v>
      </c>
      <c r="L61" s="105">
        <v>2500000</v>
      </c>
      <c r="M61" s="46" t="s">
        <v>466</v>
      </c>
      <c r="N61" s="114">
        <v>94.662999999999997</v>
      </c>
      <c r="O61" s="91">
        <v>6.222264</v>
      </c>
      <c r="P61" s="52" t="s">
        <v>350</v>
      </c>
      <c r="Q61" s="48" t="s">
        <v>546</v>
      </c>
      <c r="R61" s="53" t="s">
        <v>547</v>
      </c>
      <c r="S61" s="633">
        <v>39680</v>
      </c>
      <c r="T61" s="633">
        <v>39686</v>
      </c>
      <c r="U61" s="54"/>
      <c r="V61" s="64"/>
      <c r="W61" s="110">
        <v>2419578.4700000002</v>
      </c>
      <c r="X61" s="110"/>
      <c r="Y61" s="117"/>
      <c r="Z61" s="86"/>
      <c r="AA61" s="86">
        <v>5.625</v>
      </c>
      <c r="AB61" s="680">
        <v>42647</v>
      </c>
      <c r="AC61" s="104">
        <f t="shared" si="7"/>
        <v>5.8136986301369866</v>
      </c>
      <c r="AF61" s="214">
        <f t="shared" si="2"/>
        <v>839</v>
      </c>
      <c r="AG61" s="215">
        <f t="shared" si="8"/>
        <v>48828.125</v>
      </c>
      <c r="AH61" s="117">
        <f t="shared" si="3"/>
        <v>378417.96875</v>
      </c>
    </row>
    <row r="62" spans="1:34" s="74" customFormat="1" ht="25.5">
      <c r="A62" s="73" t="s">
        <v>555</v>
      </c>
      <c r="B62" s="1449">
        <f t="shared" si="6"/>
        <v>3.2600479999999994</v>
      </c>
      <c r="C62" s="73">
        <v>274</v>
      </c>
      <c r="D62" s="73">
        <v>194</v>
      </c>
      <c r="E62" s="91">
        <v>57</v>
      </c>
      <c r="F62" s="55" t="s">
        <v>449</v>
      </c>
      <c r="G62" s="53" t="s">
        <v>450</v>
      </c>
      <c r="H62" s="53"/>
      <c r="I62" s="53"/>
      <c r="J62" s="53"/>
      <c r="K62" s="46" t="s">
        <v>309</v>
      </c>
      <c r="L62" s="63">
        <v>2000000</v>
      </c>
      <c r="M62" s="46" t="s">
        <v>466</v>
      </c>
      <c r="N62" s="114">
        <v>97.75</v>
      </c>
      <c r="O62" s="91">
        <v>6.0000479999999996</v>
      </c>
      <c r="P62" s="52" t="s">
        <v>353</v>
      </c>
      <c r="Q62" s="48" t="s">
        <v>344</v>
      </c>
      <c r="R62" s="53" t="s">
        <v>445</v>
      </c>
      <c r="S62" s="633">
        <v>39702</v>
      </c>
      <c r="T62" s="633">
        <v>39708</v>
      </c>
      <c r="U62" s="54"/>
      <c r="W62" s="143">
        <v>2007187.5</v>
      </c>
      <c r="X62" s="143"/>
      <c r="Y62" s="110"/>
      <c r="Z62" s="70"/>
      <c r="AA62" s="86">
        <v>5.625</v>
      </c>
      <c r="AB62" s="680">
        <v>42459</v>
      </c>
      <c r="AC62" s="104">
        <f t="shared" si="7"/>
        <v>5.2986301369863016</v>
      </c>
      <c r="AF62" s="214">
        <f>$AB$4-T62</f>
        <v>817</v>
      </c>
      <c r="AG62" s="215">
        <f t="shared" si="8"/>
        <v>32499.999999999996</v>
      </c>
      <c r="AH62" s="117">
        <f t="shared" si="3"/>
        <v>251874.99999999997</v>
      </c>
    </row>
    <row r="63" spans="1:34" s="74" customFormat="1" ht="38.25">
      <c r="A63" s="73" t="s">
        <v>556</v>
      </c>
      <c r="B63" s="1449">
        <f t="shared" si="6"/>
        <v>3.3923368999999997</v>
      </c>
      <c r="C63" s="73">
        <v>322</v>
      </c>
      <c r="D63" s="73">
        <v>248</v>
      </c>
      <c r="E63" s="91">
        <v>58</v>
      </c>
      <c r="F63" s="55" t="s">
        <v>541</v>
      </c>
      <c r="G63" s="53" t="s">
        <v>542</v>
      </c>
      <c r="H63" s="53"/>
      <c r="I63" s="53"/>
      <c r="J63" s="53"/>
      <c r="K63" s="46" t="s">
        <v>309</v>
      </c>
      <c r="L63" s="105">
        <v>3000000</v>
      </c>
      <c r="M63" s="46" t="s">
        <v>466</v>
      </c>
      <c r="N63" s="114">
        <v>92.372</v>
      </c>
      <c r="O63" s="91">
        <v>6.6123368999999999</v>
      </c>
      <c r="P63" s="111" t="s">
        <v>325</v>
      </c>
      <c r="Q63" s="112" t="s">
        <v>553</v>
      </c>
      <c r="R63" s="53" t="s">
        <v>327</v>
      </c>
      <c r="S63" s="633">
        <v>39703</v>
      </c>
      <c r="T63" s="633">
        <v>39709</v>
      </c>
      <c r="U63" s="54"/>
      <c r="W63" s="143">
        <v>2844618.33</v>
      </c>
      <c r="X63" s="143"/>
      <c r="Y63" s="110"/>
      <c r="Z63" s="70"/>
      <c r="AA63" s="86">
        <v>5.375</v>
      </c>
      <c r="AB63" s="680">
        <v>42647</v>
      </c>
      <c r="AC63" s="104">
        <f t="shared" si="7"/>
        <v>5.8136986301369866</v>
      </c>
      <c r="AF63" s="214">
        <f>$AB$4-T63</f>
        <v>816</v>
      </c>
      <c r="AG63" s="215">
        <f t="shared" si="8"/>
        <v>46135.416666666657</v>
      </c>
      <c r="AH63" s="117">
        <f t="shared" si="3"/>
        <v>357549.47916666657</v>
      </c>
    </row>
    <row r="64" spans="1:34" s="74" customFormat="1" ht="38.25">
      <c r="A64" s="73" t="s">
        <v>558</v>
      </c>
      <c r="B64" s="1449">
        <f t="shared" si="6"/>
        <v>3.1810840000000002</v>
      </c>
      <c r="C64" s="73">
        <v>188</v>
      </c>
      <c r="D64" s="73">
        <v>89</v>
      </c>
      <c r="E64" s="91">
        <v>59</v>
      </c>
      <c r="F64" s="47" t="s">
        <v>557</v>
      </c>
      <c r="G64" s="109" t="s">
        <v>564</v>
      </c>
      <c r="H64" s="109"/>
      <c r="I64" s="109"/>
      <c r="J64" s="109"/>
      <c r="K64" s="46" t="s">
        <v>465</v>
      </c>
      <c r="L64" s="105">
        <v>5000000</v>
      </c>
      <c r="M64" s="46" t="s">
        <v>466</v>
      </c>
      <c r="N64" s="114">
        <v>98.397999999999996</v>
      </c>
      <c r="O64" s="91">
        <v>5.0610840000000001</v>
      </c>
      <c r="P64" s="52" t="s">
        <v>350</v>
      </c>
      <c r="Q64" s="48" t="s">
        <v>546</v>
      </c>
      <c r="R64" s="53" t="s">
        <v>547</v>
      </c>
      <c r="S64" s="633">
        <v>39714</v>
      </c>
      <c r="T64" s="633">
        <v>39717</v>
      </c>
      <c r="U64" s="54"/>
      <c r="W64" s="143">
        <v>5030733.33</v>
      </c>
      <c r="X64" s="143"/>
      <c r="Y64" s="110"/>
      <c r="Z64" s="70"/>
      <c r="AA64" s="86">
        <v>4.75</v>
      </c>
      <c r="AB64" s="680">
        <v>41920</v>
      </c>
      <c r="AC64" s="104">
        <f t="shared" si="7"/>
        <v>3.8219178082191783</v>
      </c>
      <c r="AF64" s="214">
        <f>$AB$4-T64</f>
        <v>808</v>
      </c>
      <c r="AG64" s="215">
        <f t="shared" si="8"/>
        <v>62673.611111111117</v>
      </c>
      <c r="AH64" s="117">
        <f t="shared" si="3"/>
        <v>485720.48611111118</v>
      </c>
    </row>
    <row r="65" spans="1:34" s="74" customFormat="1">
      <c r="A65" s="73"/>
      <c r="B65" s="73"/>
      <c r="C65" s="73"/>
      <c r="D65" s="73"/>
      <c r="E65" s="91"/>
      <c r="F65" s="55"/>
      <c r="G65" s="53"/>
      <c r="H65" s="53"/>
      <c r="I65" s="53"/>
      <c r="J65" s="53"/>
      <c r="K65" s="91"/>
      <c r="L65" s="63"/>
      <c r="M65" s="113"/>
      <c r="N65" s="114"/>
      <c r="O65" s="91"/>
      <c r="P65" s="52"/>
      <c r="Q65" s="48"/>
      <c r="R65" s="53"/>
      <c r="S65" s="633"/>
      <c r="T65" s="633"/>
      <c r="U65" s="54"/>
      <c r="W65" s="143"/>
      <c r="X65" s="143"/>
      <c r="Y65" s="110"/>
      <c r="Z65" s="70"/>
      <c r="AA65" s="115"/>
      <c r="AB65" s="680"/>
      <c r="AC65" s="55"/>
    </row>
    <row r="66" spans="1:34" s="74" customFormat="1">
      <c r="A66" s="73"/>
      <c r="B66" s="73"/>
      <c r="C66" s="73"/>
      <c r="D66" s="73"/>
      <c r="E66" s="91"/>
      <c r="F66" s="55"/>
      <c r="G66" s="53"/>
      <c r="H66" s="53"/>
      <c r="I66" s="53"/>
      <c r="J66" s="53"/>
      <c r="K66" s="91"/>
      <c r="L66" s="63"/>
      <c r="M66" s="113"/>
      <c r="N66" s="114"/>
      <c r="O66" s="91"/>
      <c r="P66" s="52"/>
      <c r="Q66" s="48"/>
      <c r="R66" s="53"/>
      <c r="S66" s="633"/>
      <c r="T66" s="633"/>
      <c r="U66" s="54"/>
      <c r="W66" s="143"/>
      <c r="X66" s="143"/>
      <c r="Y66" s="110"/>
      <c r="Z66" s="70"/>
      <c r="AA66" s="115"/>
      <c r="AB66" s="680"/>
      <c r="AC66" s="55"/>
    </row>
    <row r="67" spans="1:34" s="74" customFormat="1">
      <c r="A67" s="73"/>
      <c r="B67" s="73"/>
      <c r="C67" s="73"/>
      <c r="D67" s="73"/>
      <c r="E67" s="91"/>
      <c r="F67" s="55"/>
      <c r="G67" s="53"/>
      <c r="H67" s="53"/>
      <c r="I67" s="53"/>
      <c r="J67" s="53"/>
      <c r="K67" s="91"/>
      <c r="L67" s="63"/>
      <c r="M67" s="113"/>
      <c r="N67" s="114"/>
      <c r="O67" s="91"/>
      <c r="P67" s="52"/>
      <c r="Q67" s="48"/>
      <c r="R67" s="53"/>
      <c r="S67" s="633"/>
      <c r="T67" s="633"/>
      <c r="U67" s="54"/>
      <c r="W67" s="143"/>
      <c r="X67" s="143"/>
      <c r="Y67" s="110"/>
      <c r="Z67" s="70"/>
      <c r="AA67" s="115"/>
      <c r="AB67" s="680"/>
      <c r="AC67" s="55"/>
      <c r="AG67" s="234">
        <f>DATE(2009,3,31)</f>
        <v>39903</v>
      </c>
      <c r="AH67" s="74">
        <v>7.75</v>
      </c>
    </row>
    <row r="68" spans="1:34" s="74" customFormat="1" ht="25.5">
      <c r="A68" s="73" t="s">
        <v>580</v>
      </c>
      <c r="B68" s="73"/>
      <c r="C68" s="73" t="s">
        <v>581</v>
      </c>
      <c r="D68" s="73">
        <v>445</v>
      </c>
      <c r="E68" s="91">
        <v>60</v>
      </c>
      <c r="F68" s="55" t="s">
        <v>582</v>
      </c>
      <c r="G68" s="53" t="s">
        <v>577</v>
      </c>
      <c r="H68" s="112" t="s">
        <v>575</v>
      </c>
      <c r="I68" s="112" t="s">
        <v>576</v>
      </c>
      <c r="J68" s="319">
        <f t="shared" ref="J68:J74" si="9">(AB68-S68)/365</f>
        <v>7.9753424657534246</v>
      </c>
      <c r="K68" s="46" t="s">
        <v>309</v>
      </c>
      <c r="L68" s="63">
        <v>2000000</v>
      </c>
      <c r="M68" s="46" t="s">
        <v>466</v>
      </c>
      <c r="N68" s="114">
        <v>104.03</v>
      </c>
      <c r="O68" s="91">
        <v>6.8183850000000001</v>
      </c>
      <c r="P68" s="52" t="s">
        <v>353</v>
      </c>
      <c r="Q68" s="168" t="s">
        <v>578</v>
      </c>
      <c r="R68" s="53" t="s">
        <v>579</v>
      </c>
      <c r="S68" s="633">
        <v>39832</v>
      </c>
      <c r="T68" s="633">
        <v>39835</v>
      </c>
      <c r="U68" s="54"/>
      <c r="W68" s="143">
        <v>2151375</v>
      </c>
      <c r="X68" s="143"/>
      <c r="Y68" s="110"/>
      <c r="Z68" s="70"/>
      <c r="AA68" s="86">
        <v>7.45</v>
      </c>
      <c r="AB68" s="680">
        <v>42743</v>
      </c>
      <c r="AC68" s="104">
        <f t="shared" ref="AC68:AC138" si="10">(AB68-$AB$4)/365</f>
        <v>6.0767123287671234</v>
      </c>
      <c r="AF68" s="214">
        <f t="shared" ref="AF68:AF75" si="11">$AG$67-T68</f>
        <v>68</v>
      </c>
      <c r="AG68" s="215" t="e">
        <f ca="1">_xludf.ACCRINT($T68,$T68,$AG$67,AA68/100,100,2,0, 0)*L68/100</f>
        <v>#NAME?</v>
      </c>
      <c r="AH68" s="117" t="e">
        <f ca="1">AG68*$AH$67</f>
        <v>#NAME?</v>
      </c>
    </row>
    <row r="69" spans="1:34" s="74" customFormat="1" ht="25.5">
      <c r="A69" s="73" t="s">
        <v>608</v>
      </c>
      <c r="B69" s="73"/>
      <c r="C69" s="73" t="s">
        <v>609</v>
      </c>
      <c r="D69" s="73">
        <v>439</v>
      </c>
      <c r="E69" s="91">
        <v>61</v>
      </c>
      <c r="F69" s="55" t="s">
        <v>582</v>
      </c>
      <c r="G69" s="53" t="s">
        <v>577</v>
      </c>
      <c r="H69" s="112" t="s">
        <v>575</v>
      </c>
      <c r="I69" s="112" t="s">
        <v>576</v>
      </c>
      <c r="J69" s="319">
        <f t="shared" si="9"/>
        <v>7.9479452054794519</v>
      </c>
      <c r="K69" s="46" t="s">
        <v>309</v>
      </c>
      <c r="L69" s="63">
        <v>1750000</v>
      </c>
      <c r="M69" s="46" t="s">
        <v>466</v>
      </c>
      <c r="N69" s="114">
        <v>101.69499999999999</v>
      </c>
      <c r="O69" s="91">
        <v>7.1798929999999999</v>
      </c>
      <c r="P69" s="52" t="s">
        <v>605</v>
      </c>
      <c r="Q69" s="52" t="s">
        <v>604</v>
      </c>
      <c r="R69" s="53" t="s">
        <v>606</v>
      </c>
      <c r="S69" s="633">
        <v>39842</v>
      </c>
      <c r="T69" s="633">
        <v>39847</v>
      </c>
      <c r="U69" s="54"/>
      <c r="W69" s="143">
        <v>1780386.81</v>
      </c>
      <c r="X69" s="143"/>
      <c r="Y69" s="110"/>
      <c r="Z69" s="70"/>
      <c r="AA69" s="86">
        <v>7.45</v>
      </c>
      <c r="AB69" s="680">
        <v>42743</v>
      </c>
      <c r="AC69" s="104">
        <f t="shared" si="10"/>
        <v>6.0767123287671234</v>
      </c>
      <c r="AF69" s="214">
        <f t="shared" si="11"/>
        <v>56</v>
      </c>
      <c r="AG69" s="215">
        <f t="shared" ref="AG69:AG90" si="12">ACCRINT($T69,$T69,$AG$67,AA69/100,100,2,0, 0)*L69/100</f>
        <v>21004.861111111109</v>
      </c>
      <c r="AH69" s="117">
        <f t="shared" ref="AH69:AH91" si="13">AG69*$AH$67</f>
        <v>162787.67361111109</v>
      </c>
    </row>
    <row r="70" spans="1:34" s="74" customFormat="1" ht="25.5">
      <c r="A70" s="73" t="s">
        <v>613</v>
      </c>
      <c r="B70" s="73"/>
      <c r="C70" s="73" t="s">
        <v>614</v>
      </c>
      <c r="D70" s="73">
        <v>336</v>
      </c>
      <c r="E70" s="91">
        <v>62</v>
      </c>
      <c r="F70" s="55" t="s">
        <v>449</v>
      </c>
      <c r="G70" s="53" t="s">
        <v>450</v>
      </c>
      <c r="H70" s="112" t="s">
        <v>575</v>
      </c>
      <c r="I70" s="112" t="s">
        <v>576</v>
      </c>
      <c r="J70" s="319">
        <f t="shared" si="9"/>
        <v>7.1589041095890407</v>
      </c>
      <c r="K70" s="46" t="s">
        <v>309</v>
      </c>
      <c r="L70" s="105">
        <v>4000000</v>
      </c>
      <c r="M70" s="46" t="s">
        <v>466</v>
      </c>
      <c r="N70" s="114">
        <v>96.9</v>
      </c>
      <c r="O70" s="91">
        <v>6.1659249999999997</v>
      </c>
      <c r="P70" s="227" t="s">
        <v>610</v>
      </c>
      <c r="Q70" s="48" t="s">
        <v>611</v>
      </c>
      <c r="R70" s="53" t="s">
        <v>612</v>
      </c>
      <c r="S70" s="633">
        <v>39846</v>
      </c>
      <c r="T70" s="633">
        <v>39849</v>
      </c>
      <c r="U70" s="54"/>
      <c r="W70" s="143">
        <v>3954125</v>
      </c>
      <c r="X70" s="143"/>
      <c r="Y70" s="110"/>
      <c r="Z70" s="70"/>
      <c r="AA70" s="86">
        <v>5.625</v>
      </c>
      <c r="AB70" s="680">
        <v>42459</v>
      </c>
      <c r="AC70" s="104">
        <f t="shared" si="10"/>
        <v>5.2986301369863016</v>
      </c>
      <c r="AF70" s="214">
        <f t="shared" si="11"/>
        <v>54</v>
      </c>
      <c r="AG70" s="215">
        <f t="shared" si="12"/>
        <v>35000</v>
      </c>
      <c r="AH70" s="117">
        <f t="shared" si="13"/>
        <v>271250</v>
      </c>
    </row>
    <row r="71" spans="1:34" s="74" customFormat="1" ht="25.5">
      <c r="A71" s="73" t="s">
        <v>615</v>
      </c>
      <c r="B71" s="1449">
        <f>O71-C71/100</f>
        <v>2.2104860000000004</v>
      </c>
      <c r="C71" s="73">
        <v>392</v>
      </c>
      <c r="D71" s="73">
        <v>340</v>
      </c>
      <c r="E71" s="91">
        <v>63</v>
      </c>
      <c r="F71" s="55" t="s">
        <v>449</v>
      </c>
      <c r="G71" s="53" t="s">
        <v>450</v>
      </c>
      <c r="H71" s="112" t="s">
        <v>575</v>
      </c>
      <c r="I71" s="112" t="s">
        <v>576</v>
      </c>
      <c r="J71" s="319">
        <f t="shared" si="9"/>
        <v>7.1561643835616442</v>
      </c>
      <c r="K71" s="46" t="s">
        <v>309</v>
      </c>
      <c r="L71" s="105">
        <v>1150000</v>
      </c>
      <c r="M71" s="46" t="s">
        <v>466</v>
      </c>
      <c r="N71" s="114">
        <v>97.1</v>
      </c>
      <c r="O71" s="91">
        <v>6.1304860000000003</v>
      </c>
      <c r="P71" s="52" t="s">
        <v>358</v>
      </c>
      <c r="Q71" s="48" t="s">
        <v>403</v>
      </c>
      <c r="R71" s="53" t="s">
        <v>527</v>
      </c>
      <c r="S71" s="633">
        <v>39847</v>
      </c>
      <c r="T71" s="633">
        <v>39850</v>
      </c>
      <c r="U71" s="54"/>
      <c r="W71" s="143">
        <v>1139290.6299999999</v>
      </c>
      <c r="X71" s="143"/>
      <c r="Y71" s="110"/>
      <c r="Z71" s="70"/>
      <c r="AA71" s="86">
        <v>5.625</v>
      </c>
      <c r="AB71" s="680">
        <v>42459</v>
      </c>
      <c r="AC71" s="104">
        <f t="shared" si="10"/>
        <v>5.2986301369863016</v>
      </c>
      <c r="AF71" s="214">
        <f t="shared" si="11"/>
        <v>53</v>
      </c>
      <c r="AG71" s="215">
        <f t="shared" si="12"/>
        <v>9882.8125000000018</v>
      </c>
      <c r="AH71" s="117">
        <f t="shared" si="13"/>
        <v>76591.796875000015</v>
      </c>
    </row>
    <row r="72" spans="1:34" s="74" customFormat="1" ht="25.5">
      <c r="A72" s="73" t="s">
        <v>616</v>
      </c>
      <c r="B72" s="73">
        <v>2.86</v>
      </c>
      <c r="C72" s="73">
        <v>395</v>
      </c>
      <c r="D72" s="73">
        <v>344</v>
      </c>
      <c r="E72" s="91">
        <v>64</v>
      </c>
      <c r="F72" s="55" t="s">
        <v>449</v>
      </c>
      <c r="G72" s="53" t="s">
        <v>450</v>
      </c>
      <c r="H72" s="112" t="s">
        <v>575</v>
      </c>
      <c r="I72" s="112" t="s">
        <v>576</v>
      </c>
      <c r="J72" s="319">
        <f t="shared" si="9"/>
        <v>7.1534246575342468</v>
      </c>
      <c r="K72" s="46" t="s">
        <v>309</v>
      </c>
      <c r="L72" s="105">
        <v>2000000</v>
      </c>
      <c r="M72" s="46" t="s">
        <v>466</v>
      </c>
      <c r="N72" s="114">
        <v>96.3</v>
      </c>
      <c r="O72" s="91">
        <v>6.274197</v>
      </c>
      <c r="P72" s="227" t="s">
        <v>610</v>
      </c>
      <c r="Q72" s="48" t="s">
        <v>611</v>
      </c>
      <c r="R72" s="53" t="s">
        <v>612</v>
      </c>
      <c r="S72" s="633">
        <v>39848</v>
      </c>
      <c r="T72" s="633">
        <v>39853</v>
      </c>
      <c r="U72" s="54"/>
      <c r="W72" s="143">
        <v>1966312.5</v>
      </c>
      <c r="X72" s="143"/>
      <c r="Y72" s="110"/>
      <c r="Z72" s="70"/>
      <c r="AA72" s="86">
        <v>5.625</v>
      </c>
      <c r="AB72" s="680">
        <v>42459</v>
      </c>
      <c r="AC72" s="104">
        <f t="shared" si="10"/>
        <v>5.2986301369863016</v>
      </c>
      <c r="AF72" s="214">
        <f t="shared" si="11"/>
        <v>50</v>
      </c>
      <c r="AG72" s="215">
        <f t="shared" si="12"/>
        <v>16249.999999999998</v>
      </c>
      <c r="AH72" s="117">
        <f t="shared" si="13"/>
        <v>125937.49999999999</v>
      </c>
    </row>
    <row r="73" spans="1:34" s="74" customFormat="1" ht="25.5">
      <c r="A73" s="73" t="s">
        <v>619</v>
      </c>
      <c r="B73" s="73">
        <v>2.82</v>
      </c>
      <c r="C73" s="73">
        <v>376</v>
      </c>
      <c r="D73" s="73">
        <v>320</v>
      </c>
      <c r="E73" s="91">
        <v>65</v>
      </c>
      <c r="F73" s="55" t="s">
        <v>449</v>
      </c>
      <c r="G73" s="53" t="s">
        <v>450</v>
      </c>
      <c r="H73" s="112" t="s">
        <v>575</v>
      </c>
      <c r="I73" s="112" t="s">
        <v>576</v>
      </c>
      <c r="J73" s="319">
        <f t="shared" si="9"/>
        <v>7.1095890410958908</v>
      </c>
      <c r="K73" s="46" t="s">
        <v>309</v>
      </c>
      <c r="L73" s="105">
        <v>1800000</v>
      </c>
      <c r="M73" s="46" t="s">
        <v>466</v>
      </c>
      <c r="N73" s="114">
        <v>97.72</v>
      </c>
      <c r="O73" s="91">
        <v>6.02339</v>
      </c>
      <c r="P73" s="52" t="s">
        <v>358</v>
      </c>
      <c r="Q73" s="48" t="s">
        <v>403</v>
      </c>
      <c r="R73" s="53" t="s">
        <v>527</v>
      </c>
      <c r="S73" s="633">
        <v>39864</v>
      </c>
      <c r="T73" s="633">
        <v>39869</v>
      </c>
      <c r="U73" s="54"/>
      <c r="W73" s="143">
        <v>1799741.25</v>
      </c>
      <c r="X73" s="143"/>
      <c r="Y73" s="110"/>
      <c r="Z73" s="70"/>
      <c r="AA73" s="86">
        <v>5.625</v>
      </c>
      <c r="AB73" s="680">
        <v>42459</v>
      </c>
      <c r="AC73" s="104">
        <f t="shared" si="10"/>
        <v>5.2986301369863016</v>
      </c>
      <c r="AF73" s="214">
        <f t="shared" si="11"/>
        <v>34</v>
      </c>
      <c r="AG73" s="215">
        <f t="shared" si="12"/>
        <v>10125</v>
      </c>
      <c r="AH73" s="117">
        <f t="shared" si="13"/>
        <v>78468.75</v>
      </c>
    </row>
    <row r="74" spans="1:34" s="74" customFormat="1" ht="38.25">
      <c r="A74" s="73" t="s">
        <v>619</v>
      </c>
      <c r="B74" s="73">
        <v>2.82</v>
      </c>
      <c r="C74" s="73">
        <v>376</v>
      </c>
      <c r="D74" s="73">
        <v>320</v>
      </c>
      <c r="E74" s="91">
        <v>66</v>
      </c>
      <c r="F74" s="55" t="s">
        <v>449</v>
      </c>
      <c r="G74" s="53" t="s">
        <v>450</v>
      </c>
      <c r="H74" s="112" t="s">
        <v>575</v>
      </c>
      <c r="I74" s="112" t="s">
        <v>576</v>
      </c>
      <c r="J74" s="319">
        <f t="shared" si="9"/>
        <v>7.1095890410958908</v>
      </c>
      <c r="K74" s="46" t="s">
        <v>309</v>
      </c>
      <c r="L74" s="105">
        <v>4000000</v>
      </c>
      <c r="M74" s="46" t="s">
        <v>466</v>
      </c>
      <c r="N74" s="114">
        <v>97.7</v>
      </c>
      <c r="O74" s="91">
        <v>6.0269430000000002</v>
      </c>
      <c r="P74" s="227" t="s">
        <v>467</v>
      </c>
      <c r="Q74" s="48" t="s">
        <v>627</v>
      </c>
      <c r="R74" s="109" t="s">
        <v>620</v>
      </c>
      <c r="S74" s="633">
        <v>39864</v>
      </c>
      <c r="T74" s="633">
        <v>39869</v>
      </c>
      <c r="U74" s="54"/>
      <c r="W74" s="143">
        <v>3998625</v>
      </c>
      <c r="X74" s="143"/>
      <c r="Y74" s="110"/>
      <c r="Z74" s="70"/>
      <c r="AA74" s="86">
        <v>5.625</v>
      </c>
      <c r="AB74" s="680">
        <v>42459</v>
      </c>
      <c r="AC74" s="104">
        <f t="shared" si="10"/>
        <v>5.2986301369863016</v>
      </c>
      <c r="AF74" s="214">
        <f t="shared" si="11"/>
        <v>34</v>
      </c>
      <c r="AG74" s="215">
        <f t="shared" si="12"/>
        <v>22500</v>
      </c>
      <c r="AH74" s="117">
        <f t="shared" si="13"/>
        <v>174375</v>
      </c>
    </row>
    <row r="75" spans="1:34" s="74" customFormat="1" ht="16.5">
      <c r="A75" s="73" t="s">
        <v>628</v>
      </c>
      <c r="B75" s="73">
        <v>2.68</v>
      </c>
      <c r="C75" s="73">
        <v>433</v>
      </c>
      <c r="D75" s="73">
        <v>399</v>
      </c>
      <c r="E75" s="91">
        <v>67</v>
      </c>
      <c r="F75" s="55" t="s">
        <v>629</v>
      </c>
      <c r="G75" s="53" t="s">
        <v>630</v>
      </c>
      <c r="H75" s="112" t="s">
        <v>631</v>
      </c>
      <c r="I75" s="112" t="s">
        <v>632</v>
      </c>
      <c r="J75" s="319">
        <f t="shared" ref="J75:J80" si="14">(AB75-S75)/365</f>
        <v>9.2410958904109588</v>
      </c>
      <c r="K75" s="46" t="s">
        <v>309</v>
      </c>
      <c r="L75" s="105">
        <v>4000000</v>
      </c>
      <c r="M75" s="46" t="s">
        <v>466</v>
      </c>
      <c r="N75" s="114">
        <v>101.5</v>
      </c>
      <c r="O75" s="91">
        <v>6.9002749999999997</v>
      </c>
      <c r="P75" s="227" t="s">
        <v>633</v>
      </c>
      <c r="Q75" s="48" t="s">
        <v>634</v>
      </c>
      <c r="R75" s="109" t="s">
        <v>635</v>
      </c>
      <c r="S75" s="633">
        <v>39896</v>
      </c>
      <c r="T75" s="633">
        <v>39899</v>
      </c>
      <c r="U75" s="54"/>
      <c r="W75" s="143">
        <v>4139375</v>
      </c>
      <c r="X75" s="143"/>
      <c r="Y75" s="110"/>
      <c r="Z75" s="70"/>
      <c r="AA75" s="86">
        <v>7.125</v>
      </c>
      <c r="AB75" s="680">
        <v>43269</v>
      </c>
      <c r="AC75" s="104">
        <f t="shared" si="10"/>
        <v>7.5178082191780824</v>
      </c>
      <c r="AF75" s="214">
        <f t="shared" si="11"/>
        <v>4</v>
      </c>
      <c r="AG75" s="215">
        <f t="shared" si="12"/>
        <v>3166.6666666666661</v>
      </c>
      <c r="AH75" s="117">
        <f t="shared" si="13"/>
        <v>24541.666666666661</v>
      </c>
    </row>
    <row r="76" spans="1:34" s="74" customFormat="1" ht="25.5">
      <c r="A76" s="73" t="s">
        <v>638</v>
      </c>
      <c r="B76" s="73">
        <v>2.81</v>
      </c>
      <c r="C76" s="73">
        <v>438</v>
      </c>
      <c r="D76" s="73">
        <v>411</v>
      </c>
      <c r="E76" s="91">
        <v>68</v>
      </c>
      <c r="F76" s="55" t="s">
        <v>629</v>
      </c>
      <c r="G76" s="53" t="s">
        <v>630</v>
      </c>
      <c r="H76" s="112" t="s">
        <v>631</v>
      </c>
      <c r="I76" s="112" t="s">
        <v>632</v>
      </c>
      <c r="J76" s="319">
        <f t="shared" si="14"/>
        <v>9.2356164383561641</v>
      </c>
      <c r="K76" s="46" t="s">
        <v>309</v>
      </c>
      <c r="L76" s="105">
        <v>500000</v>
      </c>
      <c r="M76" s="46" t="s">
        <v>466</v>
      </c>
      <c r="N76" s="114">
        <v>100.12</v>
      </c>
      <c r="O76" s="91">
        <v>7.1047459999999996</v>
      </c>
      <c r="P76" s="227" t="s">
        <v>636</v>
      </c>
      <c r="Q76" s="48" t="s">
        <v>407</v>
      </c>
      <c r="R76" s="109" t="s">
        <v>637</v>
      </c>
      <c r="S76" s="633">
        <v>39898</v>
      </c>
      <c r="T76" s="633">
        <v>39903</v>
      </c>
      <c r="U76" s="54"/>
      <c r="W76" s="143">
        <v>510693.75</v>
      </c>
      <c r="X76" s="143"/>
      <c r="Y76" s="110"/>
      <c r="Z76" s="70"/>
      <c r="AA76" s="86">
        <v>7.125</v>
      </c>
      <c r="AB76" s="680">
        <v>43269</v>
      </c>
      <c r="AC76" s="104">
        <f t="shared" si="10"/>
        <v>7.5178082191780824</v>
      </c>
      <c r="AF76" s="214">
        <f t="shared" ref="AF76:AF82" si="15">$AG$67-T76</f>
        <v>0</v>
      </c>
      <c r="AG76" s="215" t="e">
        <f t="shared" si="12"/>
        <v>#NUM!</v>
      </c>
      <c r="AH76" s="117" t="e">
        <f t="shared" si="13"/>
        <v>#NUM!</v>
      </c>
    </row>
    <row r="77" spans="1:34" s="74" customFormat="1" ht="25.5">
      <c r="A77" s="73" t="s">
        <v>639</v>
      </c>
      <c r="B77" s="73">
        <v>2.73</v>
      </c>
      <c r="C77" s="73">
        <v>420</v>
      </c>
      <c r="D77" s="73">
        <v>394</v>
      </c>
      <c r="E77" s="91">
        <v>69</v>
      </c>
      <c r="F77" s="55" t="s">
        <v>629</v>
      </c>
      <c r="G77" s="53" t="s">
        <v>630</v>
      </c>
      <c r="H77" s="112" t="s">
        <v>631</v>
      </c>
      <c r="I77" s="112" t="s">
        <v>632</v>
      </c>
      <c r="J77" s="319">
        <f t="shared" si="14"/>
        <v>9.2328767123287676</v>
      </c>
      <c r="K77" s="46" t="s">
        <v>309</v>
      </c>
      <c r="L77" s="105">
        <v>2000000</v>
      </c>
      <c r="M77" s="46" t="s">
        <v>466</v>
      </c>
      <c r="N77" s="114">
        <v>101.97</v>
      </c>
      <c r="O77" s="91">
        <v>6.8312080000000002</v>
      </c>
      <c r="P77" s="227" t="s">
        <v>636</v>
      </c>
      <c r="Q77" s="48" t="s">
        <v>641</v>
      </c>
      <c r="R77" s="109" t="s">
        <v>640</v>
      </c>
      <c r="S77" s="633">
        <v>39899</v>
      </c>
      <c r="T77" s="633">
        <v>39904</v>
      </c>
      <c r="U77" s="54"/>
      <c r="W77" s="143">
        <v>2080170.83</v>
      </c>
      <c r="X77" s="143"/>
      <c r="Y77" s="110"/>
      <c r="Z77" s="70"/>
      <c r="AA77" s="86">
        <v>7.125</v>
      </c>
      <c r="AB77" s="680">
        <v>43269</v>
      </c>
      <c r="AC77" s="104">
        <f t="shared" si="10"/>
        <v>7.5178082191780824</v>
      </c>
      <c r="AF77" s="214">
        <f t="shared" si="15"/>
        <v>-1</v>
      </c>
      <c r="AG77" s="215" t="e">
        <f t="shared" si="12"/>
        <v>#NUM!</v>
      </c>
      <c r="AH77" s="117" t="e">
        <f t="shared" si="13"/>
        <v>#NUM!</v>
      </c>
    </row>
    <row r="78" spans="1:34" s="74" customFormat="1" ht="25.5">
      <c r="A78" s="73" t="s">
        <v>642</v>
      </c>
      <c r="B78" s="73">
        <v>2.7</v>
      </c>
      <c r="C78" s="73">
        <v>426</v>
      </c>
      <c r="D78" s="73">
        <v>403</v>
      </c>
      <c r="E78" s="91">
        <v>70</v>
      </c>
      <c r="F78" s="55" t="s">
        <v>629</v>
      </c>
      <c r="G78" s="53" t="s">
        <v>630</v>
      </c>
      <c r="H78" s="112" t="s">
        <v>631</v>
      </c>
      <c r="I78" s="112" t="s">
        <v>632</v>
      </c>
      <c r="J78" s="319">
        <f t="shared" si="14"/>
        <v>9.2246575342465746</v>
      </c>
      <c r="K78" s="46" t="s">
        <v>309</v>
      </c>
      <c r="L78" s="105">
        <v>1000000</v>
      </c>
      <c r="M78" s="46" t="s">
        <v>466</v>
      </c>
      <c r="N78" s="114">
        <v>101.75</v>
      </c>
      <c r="O78" s="91">
        <v>6.863359</v>
      </c>
      <c r="P78" s="227" t="s">
        <v>636</v>
      </c>
      <c r="Q78" s="48" t="s">
        <v>407</v>
      </c>
      <c r="R78" s="109" t="s">
        <v>637</v>
      </c>
      <c r="S78" s="633">
        <v>39902</v>
      </c>
      <c r="T78" s="633">
        <v>39905</v>
      </c>
      <c r="U78" s="54"/>
      <c r="W78" s="143">
        <v>1038083.33</v>
      </c>
      <c r="X78" s="143"/>
      <c r="Y78" s="110"/>
      <c r="Z78" s="70"/>
      <c r="AA78" s="86">
        <v>7.125</v>
      </c>
      <c r="AB78" s="680">
        <v>43269</v>
      </c>
      <c r="AC78" s="104">
        <f t="shared" si="10"/>
        <v>7.5178082191780824</v>
      </c>
      <c r="AF78" s="214">
        <f t="shared" si="15"/>
        <v>-2</v>
      </c>
      <c r="AG78" s="215" t="e">
        <f t="shared" si="12"/>
        <v>#NUM!</v>
      </c>
      <c r="AH78" s="117" t="e">
        <f t="shared" si="13"/>
        <v>#NUM!</v>
      </c>
    </row>
    <row r="79" spans="1:34" s="74" customFormat="1" ht="25.5">
      <c r="A79" s="73" t="s">
        <v>643</v>
      </c>
      <c r="B79" s="73">
        <v>2.6850000000000001</v>
      </c>
      <c r="C79" s="73">
        <v>313</v>
      </c>
      <c r="D79" s="73">
        <v>288</v>
      </c>
      <c r="E79" s="91">
        <v>71</v>
      </c>
      <c r="F79" s="55" t="s">
        <v>307</v>
      </c>
      <c r="G79" s="53" t="s">
        <v>308</v>
      </c>
      <c r="H79" s="112" t="s">
        <v>575</v>
      </c>
      <c r="I79" s="112" t="s">
        <v>576</v>
      </c>
      <c r="J79" s="319">
        <f t="shared" si="14"/>
        <v>9.0520547945205472</v>
      </c>
      <c r="K79" s="91" t="s">
        <v>309</v>
      </c>
      <c r="L79" s="63">
        <v>2000000</v>
      </c>
      <c r="M79" s="113" t="s">
        <v>466</v>
      </c>
      <c r="N79" s="91">
        <v>103.83799999999999</v>
      </c>
      <c r="O79" s="91">
        <v>5.7001090000000003</v>
      </c>
      <c r="P79" s="227" t="s">
        <v>610</v>
      </c>
      <c r="Q79" s="48" t="s">
        <v>611</v>
      </c>
      <c r="R79" s="53" t="s">
        <v>653</v>
      </c>
      <c r="S79" s="633">
        <v>39904</v>
      </c>
      <c r="T79" s="633">
        <v>39909</v>
      </c>
      <c r="U79" s="54"/>
      <c r="W79" s="143">
        <v>2135093.33</v>
      </c>
      <c r="X79" s="143"/>
      <c r="AA79" s="86">
        <v>6.25</v>
      </c>
      <c r="AB79" s="680">
        <v>43208</v>
      </c>
      <c r="AC79" s="104">
        <f t="shared" si="10"/>
        <v>7.3506849315068497</v>
      </c>
      <c r="AF79" s="214">
        <f t="shared" si="15"/>
        <v>-6</v>
      </c>
      <c r="AG79" s="215" t="e">
        <f t="shared" si="12"/>
        <v>#NUM!</v>
      </c>
      <c r="AH79" s="117" t="e">
        <f t="shared" si="13"/>
        <v>#NUM!</v>
      </c>
    </row>
    <row r="80" spans="1:34" s="74" customFormat="1" ht="25.5">
      <c r="A80" s="73" t="s">
        <v>644</v>
      </c>
      <c r="B80" s="73">
        <v>2.77</v>
      </c>
      <c r="C80" s="73">
        <v>307</v>
      </c>
      <c r="D80" s="73">
        <v>284</v>
      </c>
      <c r="E80" s="91">
        <v>72</v>
      </c>
      <c r="F80" s="55" t="s">
        <v>307</v>
      </c>
      <c r="G80" s="53" t="s">
        <v>308</v>
      </c>
      <c r="H80" s="112" t="s">
        <v>575</v>
      </c>
      <c r="I80" s="112" t="s">
        <v>576</v>
      </c>
      <c r="J80" s="319">
        <f t="shared" si="14"/>
        <v>9.0465753424657542</v>
      </c>
      <c r="K80" s="91" t="s">
        <v>309</v>
      </c>
      <c r="L80" s="63">
        <v>4000000</v>
      </c>
      <c r="M80" s="113" t="s">
        <v>466</v>
      </c>
      <c r="N80" s="91">
        <v>103.62</v>
      </c>
      <c r="O80" s="91">
        <v>5.7304630000000003</v>
      </c>
      <c r="P80" s="52" t="s">
        <v>358</v>
      </c>
      <c r="Q80" s="48" t="s">
        <v>403</v>
      </c>
      <c r="R80" s="53" t="s">
        <v>527</v>
      </c>
      <c r="S80" s="633">
        <v>39906</v>
      </c>
      <c r="T80" s="633">
        <v>39911</v>
      </c>
      <c r="U80" s="54"/>
      <c r="W80" s="143">
        <v>4262855.5599999996</v>
      </c>
      <c r="X80" s="143"/>
      <c r="AA80" s="86">
        <v>6.25</v>
      </c>
      <c r="AB80" s="680">
        <v>43208</v>
      </c>
      <c r="AC80" s="104">
        <f t="shared" si="10"/>
        <v>7.3506849315068497</v>
      </c>
      <c r="AF80" s="214">
        <f t="shared" si="15"/>
        <v>-8</v>
      </c>
      <c r="AG80" s="215" t="e">
        <f t="shared" si="12"/>
        <v>#NUM!</v>
      </c>
      <c r="AH80" s="117" t="e">
        <f t="shared" si="13"/>
        <v>#NUM!</v>
      </c>
    </row>
    <row r="81" spans="1:38" s="74" customFormat="1" ht="25.5">
      <c r="A81" s="91" t="s">
        <v>645</v>
      </c>
      <c r="B81" s="91">
        <v>2.92</v>
      </c>
      <c r="C81" s="91">
        <v>475</v>
      </c>
      <c r="D81" s="91">
        <v>456</v>
      </c>
      <c r="E81" s="91">
        <v>73</v>
      </c>
      <c r="F81" s="55" t="s">
        <v>646</v>
      </c>
      <c r="G81" s="53" t="s">
        <v>647</v>
      </c>
      <c r="H81" s="112" t="s">
        <v>575</v>
      </c>
      <c r="I81" s="112" t="s">
        <v>576</v>
      </c>
      <c r="J81" s="319">
        <f t="shared" ref="J81:J87" si="16">(AB81-S81)/365</f>
        <v>10.013698630136986</v>
      </c>
      <c r="K81" s="91" t="s">
        <v>309</v>
      </c>
      <c r="L81" s="63">
        <v>3000000</v>
      </c>
      <c r="M81" s="113" t="s">
        <v>466</v>
      </c>
      <c r="N81" s="91">
        <v>99.676000000000002</v>
      </c>
      <c r="O81" s="91">
        <v>7.6719910000000002</v>
      </c>
      <c r="P81" s="52" t="s">
        <v>355</v>
      </c>
      <c r="Q81" s="48" t="s">
        <v>648</v>
      </c>
      <c r="R81" s="53" t="s">
        <v>649</v>
      </c>
      <c r="S81" s="633">
        <v>39909</v>
      </c>
      <c r="T81" s="633">
        <v>39912</v>
      </c>
      <c r="U81" s="54"/>
      <c r="V81" s="55"/>
      <c r="W81" s="110">
        <v>2990280</v>
      </c>
      <c r="X81" s="110"/>
      <c r="Y81" s="55"/>
      <c r="Z81" s="55"/>
      <c r="AA81" s="86">
        <v>7.625</v>
      </c>
      <c r="AB81" s="680">
        <v>43564</v>
      </c>
      <c r="AC81" s="104">
        <f t="shared" si="10"/>
        <v>8.3260273972602743</v>
      </c>
      <c r="AD81" s="55"/>
      <c r="AE81" s="55"/>
      <c r="AF81" s="214">
        <f t="shared" si="15"/>
        <v>-9</v>
      </c>
      <c r="AG81" s="215" t="e">
        <f t="shared" si="12"/>
        <v>#NUM!</v>
      </c>
      <c r="AH81" s="117" t="e">
        <f t="shared" si="13"/>
        <v>#NUM!</v>
      </c>
      <c r="AI81" s="55"/>
      <c r="AJ81" s="55"/>
      <c r="AK81" s="55"/>
      <c r="AL81" s="55"/>
    </row>
    <row r="82" spans="1:38" s="74" customFormat="1" ht="25.5">
      <c r="A82" s="73" t="s">
        <v>650</v>
      </c>
      <c r="B82" s="73">
        <v>2.88</v>
      </c>
      <c r="C82" s="73">
        <v>410</v>
      </c>
      <c r="D82" s="73">
        <v>386</v>
      </c>
      <c r="E82" s="91">
        <v>74</v>
      </c>
      <c r="F82" s="55" t="s">
        <v>629</v>
      </c>
      <c r="G82" s="53" t="s">
        <v>630</v>
      </c>
      <c r="H82" s="112" t="s">
        <v>631</v>
      </c>
      <c r="I82" s="112" t="s">
        <v>632</v>
      </c>
      <c r="J82" s="319">
        <f t="shared" si="16"/>
        <v>9.1972602739726028</v>
      </c>
      <c r="K82" s="46" t="s">
        <v>309</v>
      </c>
      <c r="L82" s="105">
        <v>5000000</v>
      </c>
      <c r="M82" s="46" t="s">
        <v>466</v>
      </c>
      <c r="N82" s="114">
        <v>101.6</v>
      </c>
      <c r="O82" s="91">
        <v>6.8848399999999996</v>
      </c>
      <c r="P82" s="52" t="s">
        <v>353</v>
      </c>
      <c r="Q82" s="48" t="s">
        <v>344</v>
      </c>
      <c r="R82" s="53" t="s">
        <v>445</v>
      </c>
      <c r="S82" s="633">
        <v>39912</v>
      </c>
      <c r="T82" s="633">
        <v>39918</v>
      </c>
      <c r="U82" s="54"/>
      <c r="W82" s="143">
        <v>5195784.25</v>
      </c>
      <c r="X82" s="143"/>
      <c r="Y82" s="110"/>
      <c r="Z82" s="70"/>
      <c r="AA82" s="86">
        <v>7.125</v>
      </c>
      <c r="AB82" s="680">
        <v>43269</v>
      </c>
      <c r="AC82" s="104">
        <f t="shared" si="10"/>
        <v>7.5178082191780824</v>
      </c>
      <c r="AF82" s="214">
        <f t="shared" si="15"/>
        <v>-15</v>
      </c>
      <c r="AG82" s="215" t="e">
        <f t="shared" si="12"/>
        <v>#NUM!</v>
      </c>
      <c r="AH82" s="117" t="e">
        <f t="shared" si="13"/>
        <v>#NUM!</v>
      </c>
    </row>
    <row r="83" spans="1:38" s="74" customFormat="1" ht="25.5">
      <c r="A83" s="73" t="s">
        <v>650</v>
      </c>
      <c r="B83" s="73">
        <v>2.88</v>
      </c>
      <c r="C83" s="73">
        <v>410</v>
      </c>
      <c r="D83" s="73">
        <v>386</v>
      </c>
      <c r="E83" s="91">
        <v>75</v>
      </c>
      <c r="F83" s="55" t="s">
        <v>629</v>
      </c>
      <c r="G83" s="53" t="s">
        <v>630</v>
      </c>
      <c r="H83" s="112" t="s">
        <v>631</v>
      </c>
      <c r="I83" s="112" t="s">
        <v>632</v>
      </c>
      <c r="J83" s="319">
        <f t="shared" si="16"/>
        <v>9.1972602739726028</v>
      </c>
      <c r="K83" s="46" t="s">
        <v>309</v>
      </c>
      <c r="L83" s="105">
        <v>4000000</v>
      </c>
      <c r="M83" s="46" t="s">
        <v>466</v>
      </c>
      <c r="N83" s="114">
        <v>101.6</v>
      </c>
      <c r="O83" s="91">
        <v>6.8848399999999996</v>
      </c>
      <c r="P83" s="227" t="s">
        <v>636</v>
      </c>
      <c r="Q83" s="48" t="s">
        <v>407</v>
      </c>
      <c r="R83" s="109" t="s">
        <v>637</v>
      </c>
      <c r="S83" s="633">
        <v>39912</v>
      </c>
      <c r="T83" s="633">
        <v>39918</v>
      </c>
      <c r="U83" s="54"/>
      <c r="W83" s="143">
        <v>4156625</v>
      </c>
      <c r="X83" s="143"/>
      <c r="Y83" s="110"/>
      <c r="Z83" s="70"/>
      <c r="AA83" s="86">
        <v>7.125</v>
      </c>
      <c r="AB83" s="680">
        <v>43269</v>
      </c>
      <c r="AC83" s="104">
        <f t="shared" si="10"/>
        <v>7.5178082191780824</v>
      </c>
      <c r="AF83" s="214">
        <f t="shared" ref="AF83:AF89" si="17">$AG$67-T83</f>
        <v>-15</v>
      </c>
      <c r="AG83" s="215" t="e">
        <f t="shared" si="12"/>
        <v>#NUM!</v>
      </c>
      <c r="AH83" s="117" t="e">
        <f t="shared" si="13"/>
        <v>#NUM!</v>
      </c>
    </row>
    <row r="84" spans="1:38" s="74" customFormat="1" ht="16.5">
      <c r="A84" s="73" t="s">
        <v>651</v>
      </c>
      <c r="B84" s="73">
        <v>2.77</v>
      </c>
      <c r="C84" s="73">
        <v>307</v>
      </c>
      <c r="D84" s="73">
        <v>282</v>
      </c>
      <c r="E84" s="91">
        <v>76</v>
      </c>
      <c r="F84" s="55" t="s">
        <v>307</v>
      </c>
      <c r="G84" s="53" t="s">
        <v>308</v>
      </c>
      <c r="H84" s="112" t="s">
        <v>575</v>
      </c>
      <c r="I84" s="112" t="s">
        <v>576</v>
      </c>
      <c r="J84" s="319">
        <f t="shared" si="16"/>
        <v>9.0136986301369859</v>
      </c>
      <c r="K84" s="91" t="s">
        <v>309</v>
      </c>
      <c r="L84" s="63">
        <v>2000000</v>
      </c>
      <c r="M84" s="113" t="s">
        <v>466</v>
      </c>
      <c r="N84" s="91">
        <v>103.8</v>
      </c>
      <c r="O84" s="91">
        <v>5.7039780000000002</v>
      </c>
      <c r="P84" s="227" t="s">
        <v>610</v>
      </c>
      <c r="Q84" s="48" t="s">
        <v>652</v>
      </c>
      <c r="R84" s="53" t="s">
        <v>654</v>
      </c>
      <c r="S84" s="633">
        <v>39918</v>
      </c>
      <c r="T84" s="633">
        <v>39923</v>
      </c>
      <c r="U84" s="54"/>
      <c r="W84" s="143">
        <v>2076694.44</v>
      </c>
      <c r="X84" s="143"/>
      <c r="AA84" s="86">
        <v>6.25</v>
      </c>
      <c r="AB84" s="680">
        <v>43208</v>
      </c>
      <c r="AC84" s="104">
        <f t="shared" si="10"/>
        <v>7.3506849315068497</v>
      </c>
      <c r="AF84" s="214">
        <f t="shared" si="17"/>
        <v>-20</v>
      </c>
      <c r="AG84" s="215" t="e">
        <f t="shared" si="12"/>
        <v>#NUM!</v>
      </c>
      <c r="AH84" s="117" t="e">
        <f t="shared" si="13"/>
        <v>#NUM!</v>
      </c>
    </row>
    <row r="85" spans="1:38" s="74" customFormat="1" ht="25.5">
      <c r="A85" s="73" t="s">
        <v>655</v>
      </c>
      <c r="B85" s="73">
        <v>2.78</v>
      </c>
      <c r="C85" s="73">
        <v>405</v>
      </c>
      <c r="D85" s="73">
        <v>383</v>
      </c>
      <c r="E85" s="91">
        <v>77</v>
      </c>
      <c r="F85" s="55" t="s">
        <v>629</v>
      </c>
      <c r="G85" s="53" t="s">
        <v>630</v>
      </c>
      <c r="H85" s="112" t="s">
        <v>631</v>
      </c>
      <c r="I85" s="112" t="s">
        <v>632</v>
      </c>
      <c r="J85" s="319">
        <f t="shared" si="16"/>
        <v>9.1780821917808222</v>
      </c>
      <c r="K85" s="46" t="s">
        <v>309</v>
      </c>
      <c r="L85" s="105">
        <v>1000000</v>
      </c>
      <c r="M85" s="46" t="s">
        <v>466</v>
      </c>
      <c r="N85" s="114">
        <v>102.75</v>
      </c>
      <c r="O85" s="91">
        <v>6.7162220000000001</v>
      </c>
      <c r="P85" s="52" t="s">
        <v>353</v>
      </c>
      <c r="Q85" s="48" t="s">
        <v>344</v>
      </c>
      <c r="R85" s="53" t="s">
        <v>445</v>
      </c>
      <c r="S85" s="633">
        <v>39919</v>
      </c>
      <c r="T85" s="633">
        <v>39924</v>
      </c>
      <c r="U85" s="54"/>
      <c r="W85" s="143">
        <v>1051843.75</v>
      </c>
      <c r="X85" s="143"/>
      <c r="Y85" s="110"/>
      <c r="Z85" s="70"/>
      <c r="AA85" s="86">
        <v>7.125</v>
      </c>
      <c r="AB85" s="680">
        <v>43269</v>
      </c>
      <c r="AC85" s="104">
        <f t="shared" si="10"/>
        <v>7.5178082191780824</v>
      </c>
      <c r="AF85" s="214">
        <f t="shared" si="17"/>
        <v>-21</v>
      </c>
      <c r="AG85" s="215" t="e">
        <f t="shared" si="12"/>
        <v>#NUM!</v>
      </c>
      <c r="AH85" s="117" t="e">
        <f t="shared" si="13"/>
        <v>#NUM!</v>
      </c>
    </row>
    <row r="86" spans="1:38" s="74" customFormat="1" ht="25.5">
      <c r="A86" s="73" t="s">
        <v>659</v>
      </c>
      <c r="B86" s="73">
        <v>2.91</v>
      </c>
      <c r="C86" s="73">
        <v>286</v>
      </c>
      <c r="D86" s="73">
        <v>266</v>
      </c>
      <c r="E86" s="91">
        <v>78</v>
      </c>
      <c r="F86" s="163" t="s">
        <v>536</v>
      </c>
      <c r="G86" s="53" t="s">
        <v>540</v>
      </c>
      <c r="H86" s="112" t="s">
        <v>656</v>
      </c>
      <c r="I86" s="112" t="s">
        <v>657</v>
      </c>
      <c r="J86" s="319">
        <f t="shared" si="16"/>
        <v>9.3041095890410954</v>
      </c>
      <c r="K86" s="91" t="s">
        <v>309</v>
      </c>
      <c r="L86" s="49">
        <v>7000000</v>
      </c>
      <c r="M86" s="46" t="s">
        <v>330</v>
      </c>
      <c r="N86" s="114">
        <v>104.06</v>
      </c>
      <c r="O86" s="91">
        <v>5.6799910000000002</v>
      </c>
      <c r="P86" s="52" t="s">
        <v>353</v>
      </c>
      <c r="Q86" s="48" t="s">
        <v>344</v>
      </c>
      <c r="R86" s="53" t="s">
        <v>658</v>
      </c>
      <c r="S86" s="633">
        <v>39923</v>
      </c>
      <c r="T86" s="633">
        <v>39926</v>
      </c>
      <c r="U86" s="54"/>
      <c r="V86" s="64"/>
      <c r="W86" s="143">
        <v>7376561.1100000003</v>
      </c>
      <c r="X86" s="143"/>
      <c r="Y86" s="110"/>
      <c r="Z86" s="70"/>
      <c r="AA86" s="115">
        <v>6.25</v>
      </c>
      <c r="AB86" s="680">
        <v>43319</v>
      </c>
      <c r="AC86" s="104">
        <f t="shared" si="10"/>
        <v>7.6547945205479451</v>
      </c>
      <c r="AF86" s="214">
        <f t="shared" si="17"/>
        <v>-23</v>
      </c>
      <c r="AG86" s="215" t="e">
        <f t="shared" si="12"/>
        <v>#NUM!</v>
      </c>
      <c r="AH86" s="117" t="e">
        <f t="shared" si="13"/>
        <v>#NUM!</v>
      </c>
    </row>
    <row r="87" spans="1:38" s="74" customFormat="1" ht="25.5">
      <c r="A87" s="73" t="s">
        <v>660</v>
      </c>
      <c r="B87" s="73">
        <v>2.9</v>
      </c>
      <c r="C87" s="73">
        <v>386</v>
      </c>
      <c r="D87" s="73">
        <v>365</v>
      </c>
      <c r="E87" s="91">
        <v>79</v>
      </c>
      <c r="F87" s="55" t="s">
        <v>629</v>
      </c>
      <c r="G87" s="53" t="s">
        <v>630</v>
      </c>
      <c r="H87" s="112" t="s">
        <v>631</v>
      </c>
      <c r="I87" s="112" t="s">
        <v>632</v>
      </c>
      <c r="J87" s="319">
        <f t="shared" si="16"/>
        <v>9.1671232876712327</v>
      </c>
      <c r="K87" s="46" t="s">
        <v>309</v>
      </c>
      <c r="L87" s="105">
        <v>1000000</v>
      </c>
      <c r="M87" s="46" t="s">
        <v>466</v>
      </c>
      <c r="N87" s="114">
        <v>103.19</v>
      </c>
      <c r="O87" s="91">
        <v>6.6522449999999997</v>
      </c>
      <c r="P87" s="52" t="s">
        <v>353</v>
      </c>
      <c r="Q87" s="48" t="s">
        <v>344</v>
      </c>
      <c r="R87" s="53" t="s">
        <v>445</v>
      </c>
      <c r="S87" s="633">
        <v>39923</v>
      </c>
      <c r="T87" s="633">
        <v>39926</v>
      </c>
      <c r="U87" s="54"/>
      <c r="W87" s="143">
        <v>1056639.58</v>
      </c>
      <c r="X87" s="143"/>
      <c r="Y87" s="110"/>
      <c r="Z87" s="70"/>
      <c r="AA87" s="86">
        <v>7.125</v>
      </c>
      <c r="AB87" s="680">
        <v>43269</v>
      </c>
      <c r="AC87" s="104">
        <f t="shared" si="10"/>
        <v>7.5178082191780824</v>
      </c>
      <c r="AF87" s="214">
        <f t="shared" si="17"/>
        <v>-23</v>
      </c>
      <c r="AG87" s="215" t="e">
        <f t="shared" si="12"/>
        <v>#NUM!</v>
      </c>
      <c r="AH87" s="117" t="e">
        <f t="shared" si="13"/>
        <v>#NUM!</v>
      </c>
    </row>
    <row r="88" spans="1:38" s="74" customFormat="1" ht="25.5">
      <c r="A88" s="73" t="s">
        <v>662</v>
      </c>
      <c r="B88" s="73">
        <v>2.82</v>
      </c>
      <c r="C88" s="73">
        <v>386</v>
      </c>
      <c r="D88" s="73">
        <v>362</v>
      </c>
      <c r="E88" s="91">
        <v>80</v>
      </c>
      <c r="F88" s="55" t="s">
        <v>629</v>
      </c>
      <c r="G88" s="53" t="s">
        <v>630</v>
      </c>
      <c r="H88" s="112" t="s">
        <v>631</v>
      </c>
      <c r="I88" s="112" t="s">
        <v>632</v>
      </c>
      <c r="J88" s="319">
        <f t="shared" ref="J88:J93" si="18">(AB88-S88)/365</f>
        <v>9.1643835616438363</v>
      </c>
      <c r="K88" s="46" t="s">
        <v>309</v>
      </c>
      <c r="L88" s="105">
        <v>2000000</v>
      </c>
      <c r="M88" s="46" t="s">
        <v>466</v>
      </c>
      <c r="N88" s="114">
        <v>103.76</v>
      </c>
      <c r="O88" s="91">
        <v>6.5699540000000001</v>
      </c>
      <c r="P88" s="52" t="s">
        <v>353</v>
      </c>
      <c r="Q88" s="48" t="s">
        <v>344</v>
      </c>
      <c r="R88" s="53" t="s">
        <v>445</v>
      </c>
      <c r="S88" s="633">
        <v>39924</v>
      </c>
      <c r="T88" s="633">
        <v>39927</v>
      </c>
      <c r="U88" s="54"/>
      <c r="W88" s="143">
        <v>2125075</v>
      </c>
      <c r="X88" s="143"/>
      <c r="Y88" s="110"/>
      <c r="Z88" s="70"/>
      <c r="AA88" s="86">
        <v>7.125</v>
      </c>
      <c r="AB88" s="680">
        <v>43269</v>
      </c>
      <c r="AC88" s="104">
        <f t="shared" si="10"/>
        <v>7.5178082191780824</v>
      </c>
      <c r="AF88" s="214">
        <f t="shared" si="17"/>
        <v>-24</v>
      </c>
      <c r="AG88" s="215" t="e">
        <f t="shared" si="12"/>
        <v>#NUM!</v>
      </c>
      <c r="AH88" s="117" t="e">
        <f t="shared" si="13"/>
        <v>#NUM!</v>
      </c>
    </row>
    <row r="89" spans="1:38" s="74" customFormat="1" ht="16.5">
      <c r="A89" s="73" t="s">
        <v>661</v>
      </c>
      <c r="B89" s="73">
        <v>2.84</v>
      </c>
      <c r="C89" s="73">
        <v>388</v>
      </c>
      <c r="D89" s="73">
        <v>364</v>
      </c>
      <c r="E89" s="91">
        <v>81</v>
      </c>
      <c r="F89" s="55" t="s">
        <v>629</v>
      </c>
      <c r="G89" s="53" t="s">
        <v>630</v>
      </c>
      <c r="H89" s="112" t="s">
        <v>631</v>
      </c>
      <c r="I89" s="112" t="s">
        <v>632</v>
      </c>
      <c r="J89" s="319">
        <f t="shared" si="18"/>
        <v>9.1643835616438363</v>
      </c>
      <c r="K89" s="46" t="s">
        <v>309</v>
      </c>
      <c r="L89" s="105">
        <v>500000</v>
      </c>
      <c r="M89" s="46" t="s">
        <v>466</v>
      </c>
      <c r="N89" s="114">
        <v>103.48</v>
      </c>
      <c r="O89" s="91">
        <v>6.6102650000000001</v>
      </c>
      <c r="P89" s="227" t="s">
        <v>633</v>
      </c>
      <c r="Q89" s="48" t="s">
        <v>634</v>
      </c>
      <c r="R89" s="109" t="s">
        <v>635</v>
      </c>
      <c r="S89" s="633">
        <v>39924</v>
      </c>
      <c r="T89" s="633">
        <v>39927</v>
      </c>
      <c r="U89" s="54"/>
      <c r="W89" s="143">
        <v>529868.75</v>
      </c>
      <c r="X89" s="143"/>
      <c r="Y89" s="110"/>
      <c r="Z89" s="70"/>
      <c r="AA89" s="86">
        <v>7.125</v>
      </c>
      <c r="AB89" s="680">
        <v>43269</v>
      </c>
      <c r="AC89" s="104">
        <f t="shared" si="10"/>
        <v>7.5178082191780824</v>
      </c>
      <c r="AF89" s="214">
        <f t="shared" si="17"/>
        <v>-24</v>
      </c>
      <c r="AG89" s="215" t="e">
        <f t="shared" si="12"/>
        <v>#NUM!</v>
      </c>
      <c r="AH89" s="117" t="e">
        <f t="shared" si="13"/>
        <v>#NUM!</v>
      </c>
    </row>
    <row r="90" spans="1:38" s="74" customFormat="1" ht="25.5">
      <c r="A90" s="73" t="s">
        <v>663</v>
      </c>
      <c r="B90" s="73">
        <v>2.89</v>
      </c>
      <c r="C90" s="73">
        <v>383</v>
      </c>
      <c r="D90" s="73">
        <v>362</v>
      </c>
      <c r="E90" s="91">
        <v>82</v>
      </c>
      <c r="F90" s="55" t="s">
        <v>629</v>
      </c>
      <c r="G90" s="53" t="s">
        <v>630</v>
      </c>
      <c r="H90" s="112" t="s">
        <v>631</v>
      </c>
      <c r="I90" s="112" t="s">
        <v>632</v>
      </c>
      <c r="J90" s="319">
        <f t="shared" si="18"/>
        <v>9.161643835616438</v>
      </c>
      <c r="K90" s="46" t="s">
        <v>309</v>
      </c>
      <c r="L90" s="105">
        <v>1200000</v>
      </c>
      <c r="M90" s="46" t="s">
        <v>466</v>
      </c>
      <c r="N90" s="114">
        <v>103.49299999999999</v>
      </c>
      <c r="O90" s="91">
        <v>6.6081110000000001</v>
      </c>
      <c r="P90" s="227" t="s">
        <v>636</v>
      </c>
      <c r="Q90" s="48" t="s">
        <v>407</v>
      </c>
      <c r="R90" s="109" t="s">
        <v>637</v>
      </c>
      <c r="S90" s="633">
        <v>39925</v>
      </c>
      <c r="T90" s="633">
        <v>39930</v>
      </c>
      <c r="U90" s="54"/>
      <c r="W90" s="143">
        <v>1272553.5</v>
      </c>
      <c r="X90" s="143"/>
      <c r="Y90" s="110"/>
      <c r="Z90" s="70"/>
      <c r="AA90" s="86">
        <v>7.125</v>
      </c>
      <c r="AB90" s="680">
        <v>43269</v>
      </c>
      <c r="AC90" s="104">
        <f t="shared" si="10"/>
        <v>7.5178082191780824</v>
      </c>
      <c r="AF90" s="214">
        <f>$AG$67-T90</f>
        <v>-27</v>
      </c>
      <c r="AG90" s="215" t="e">
        <f t="shared" si="12"/>
        <v>#NUM!</v>
      </c>
      <c r="AH90" s="117" t="e">
        <f t="shared" si="13"/>
        <v>#NUM!</v>
      </c>
    </row>
    <row r="91" spans="1:38" s="74" customFormat="1" ht="16.5">
      <c r="A91" s="73" t="s">
        <v>703</v>
      </c>
      <c r="B91" s="73">
        <v>3.84</v>
      </c>
      <c r="C91" s="73">
        <v>325</v>
      </c>
      <c r="D91" s="73">
        <v>284</v>
      </c>
      <c r="E91" s="91">
        <v>83</v>
      </c>
      <c r="F91" s="55" t="s">
        <v>629</v>
      </c>
      <c r="G91" s="53" t="s">
        <v>630</v>
      </c>
      <c r="H91" s="112" t="s">
        <v>631</v>
      </c>
      <c r="I91" s="112" t="s">
        <v>632</v>
      </c>
      <c r="J91" s="319">
        <f t="shared" si="18"/>
        <v>9.0328767123287665</v>
      </c>
      <c r="K91" s="46" t="s">
        <v>309</v>
      </c>
      <c r="L91" s="105">
        <v>1200000</v>
      </c>
      <c r="M91" s="46" t="s">
        <v>466</v>
      </c>
      <c r="N91" s="114">
        <v>100.82299999999999</v>
      </c>
      <c r="O91" s="91">
        <v>7.000051</v>
      </c>
      <c r="P91" s="227" t="s">
        <v>633</v>
      </c>
      <c r="Q91" s="48" t="s">
        <v>634</v>
      </c>
      <c r="R91" s="109" t="s">
        <v>635</v>
      </c>
      <c r="S91" s="633">
        <v>39972</v>
      </c>
      <c r="T91" s="633">
        <v>39975</v>
      </c>
      <c r="U91" s="54"/>
      <c r="W91" s="143">
        <v>1250963.5</v>
      </c>
      <c r="X91" s="143"/>
      <c r="Y91" s="110"/>
      <c r="Z91" s="70"/>
      <c r="AA91" s="86">
        <v>7.125</v>
      </c>
      <c r="AB91" s="680">
        <v>43269</v>
      </c>
      <c r="AC91" s="104">
        <f t="shared" si="10"/>
        <v>7.5178082191780824</v>
      </c>
      <c r="AF91" s="214">
        <f>$AG$67-T91</f>
        <v>-72</v>
      </c>
      <c r="AG91" s="215" t="e">
        <f>ACCRINT($T91,$T91,$AG$67,AA91/100,100,2,0, 0)*L91/100</f>
        <v>#NUM!</v>
      </c>
      <c r="AH91" s="117" t="e">
        <f t="shared" si="13"/>
        <v>#NUM!</v>
      </c>
    </row>
    <row r="92" spans="1:38" s="74" customFormat="1" ht="16.5">
      <c r="A92" s="73" t="s">
        <v>724</v>
      </c>
      <c r="B92" s="73">
        <v>3.83</v>
      </c>
      <c r="C92" s="73">
        <v>357</v>
      </c>
      <c r="D92" s="73">
        <v>326</v>
      </c>
      <c r="E92" s="91">
        <v>84</v>
      </c>
      <c r="F92" s="55" t="s">
        <v>533</v>
      </c>
      <c r="G92" s="53" t="s">
        <v>570</v>
      </c>
      <c r="H92" s="112" t="s">
        <v>725</v>
      </c>
      <c r="I92" s="112" t="s">
        <v>726</v>
      </c>
      <c r="J92" s="319">
        <f t="shared" si="18"/>
        <v>6.7589041095890412</v>
      </c>
      <c r="K92" s="46" t="s">
        <v>465</v>
      </c>
      <c r="L92" s="105">
        <v>2000000</v>
      </c>
      <c r="M92" s="46" t="s">
        <v>466</v>
      </c>
      <c r="N92" s="114">
        <v>91.88</v>
      </c>
      <c r="O92" s="91">
        <v>7.0307919999999999</v>
      </c>
      <c r="P92" s="111" t="s">
        <v>316</v>
      </c>
      <c r="Q92" s="112" t="s">
        <v>317</v>
      </c>
      <c r="R92" s="53" t="s">
        <v>318</v>
      </c>
      <c r="S92" s="633">
        <v>39976</v>
      </c>
      <c r="T92" s="633">
        <v>39981</v>
      </c>
      <c r="U92" s="54"/>
      <c r="W92" s="143">
        <v>1866016.67</v>
      </c>
      <c r="X92" s="143"/>
      <c r="Y92" s="110"/>
      <c r="Z92" s="70"/>
      <c r="AA92" s="86">
        <v>5.5</v>
      </c>
      <c r="AB92" s="680">
        <v>42443</v>
      </c>
      <c r="AC92" s="104">
        <f t="shared" si="10"/>
        <v>5.2547945205479456</v>
      </c>
      <c r="AF92" s="214">
        <f>$AB$4-T92</f>
        <v>544</v>
      </c>
      <c r="AG92" s="215" t="e">
        <f>ACCRINT($T92,$T92,$AG$4,AA92/100,100,2,0, 0)*L92/100</f>
        <v>#NUM!</v>
      </c>
      <c r="AH92" s="117" t="e">
        <f>AG92*$AH$4</f>
        <v>#NUM!</v>
      </c>
    </row>
    <row r="93" spans="1:38" s="74" customFormat="1" ht="16.5">
      <c r="A93" s="73" t="s">
        <v>728</v>
      </c>
      <c r="B93" s="73">
        <v>2.6059999999999999</v>
      </c>
      <c r="C93" s="73">
        <v>475</v>
      </c>
      <c r="D93" s="73">
        <v>326</v>
      </c>
      <c r="E93" s="91">
        <v>85</v>
      </c>
      <c r="F93" s="55" t="s">
        <v>729</v>
      </c>
      <c r="G93" s="53" t="s">
        <v>730</v>
      </c>
      <c r="H93" s="112" t="s">
        <v>725</v>
      </c>
      <c r="I93" s="112" t="s">
        <v>576</v>
      </c>
      <c r="J93" s="319">
        <f t="shared" si="18"/>
        <v>5.0082191780821921</v>
      </c>
      <c r="K93" s="46" t="s">
        <v>465</v>
      </c>
      <c r="L93" s="105">
        <v>1500000</v>
      </c>
      <c r="M93" s="46" t="s">
        <v>466</v>
      </c>
      <c r="N93" s="114">
        <v>99.771000000000001</v>
      </c>
      <c r="O93" s="91">
        <v>7.356115</v>
      </c>
      <c r="P93" s="227" t="s">
        <v>633</v>
      </c>
      <c r="Q93" s="48" t="s">
        <v>634</v>
      </c>
      <c r="R93" s="109" t="s">
        <v>635</v>
      </c>
      <c r="S93" s="633">
        <v>40024</v>
      </c>
      <c r="T93" s="633">
        <v>40031</v>
      </c>
      <c r="U93" s="54"/>
      <c r="W93" s="143">
        <v>1496565</v>
      </c>
      <c r="X93" s="143"/>
      <c r="Y93" s="110"/>
      <c r="Z93" s="70"/>
      <c r="AA93" s="86">
        <v>7.3</v>
      </c>
      <c r="AB93" s="680">
        <v>41852</v>
      </c>
      <c r="AC93" s="104">
        <f t="shared" si="10"/>
        <v>3.6356164383561644</v>
      </c>
      <c r="AF93" s="214">
        <f>$AB$4-T93</f>
        <v>494</v>
      </c>
      <c r="AG93" s="215" t="e">
        <f>ACCRINT($T93,$T93,$AG$4,AA93/100,100,2,0, 0)*L93/100</f>
        <v>#NUM!</v>
      </c>
      <c r="AH93" s="117" t="e">
        <f>AG93*$AH$4</f>
        <v>#NUM!</v>
      </c>
    </row>
    <row r="94" spans="1:38" s="74" customFormat="1" ht="25.5">
      <c r="A94" s="73" t="s">
        <v>736</v>
      </c>
      <c r="B94" s="73">
        <v>3.59</v>
      </c>
      <c r="C94" s="73">
        <v>380</v>
      </c>
      <c r="D94" s="73">
        <v>357</v>
      </c>
      <c r="E94" s="91">
        <v>86</v>
      </c>
      <c r="F94" s="55" t="s">
        <v>734</v>
      </c>
      <c r="G94" s="53" t="s">
        <v>735</v>
      </c>
      <c r="H94" s="112" t="s">
        <v>725</v>
      </c>
      <c r="I94" s="112" t="s">
        <v>576</v>
      </c>
      <c r="J94" s="319">
        <f>(AB94-S94)/365</f>
        <v>10.002739726027396</v>
      </c>
      <c r="K94" s="46" t="s">
        <v>465</v>
      </c>
      <c r="L94" s="105">
        <v>6000000</v>
      </c>
      <c r="M94" s="46" t="s">
        <v>466</v>
      </c>
      <c r="N94" s="114">
        <v>101.65</v>
      </c>
      <c r="O94" s="91">
        <v>7.387937</v>
      </c>
      <c r="P94" s="227" t="s">
        <v>633</v>
      </c>
      <c r="Q94" s="48" t="s">
        <v>731</v>
      </c>
      <c r="R94" s="109" t="s">
        <v>732</v>
      </c>
      <c r="S94" s="633">
        <v>40039</v>
      </c>
      <c r="T94" s="633">
        <v>40046</v>
      </c>
      <c r="U94" s="54"/>
      <c r="W94" s="143">
        <v>6109166.6699999999</v>
      </c>
      <c r="X94" s="143"/>
      <c r="Y94" s="110"/>
      <c r="Z94" s="70"/>
      <c r="AA94" s="86">
        <v>7.625</v>
      </c>
      <c r="AB94" s="680">
        <v>43690</v>
      </c>
      <c r="AC94" s="104">
        <f t="shared" si="10"/>
        <v>8.6712328767123292</v>
      </c>
      <c r="AF94" s="214">
        <f>$AB$4-T94</f>
        <v>479</v>
      </c>
      <c r="AG94" s="215" t="e">
        <f>ACCRINT($T94,$T94,$AG$4,AA94/100,100,2,0, 0)*L94/100</f>
        <v>#NUM!</v>
      </c>
      <c r="AH94" s="117" t="e">
        <f>AG94*$AH$4</f>
        <v>#NUM!</v>
      </c>
    </row>
    <row r="95" spans="1:38" s="74" customFormat="1" ht="16.5">
      <c r="A95" s="73"/>
      <c r="B95" s="73"/>
      <c r="C95" s="73"/>
      <c r="D95" s="73"/>
      <c r="E95" s="91"/>
      <c r="F95" s="55"/>
      <c r="G95" s="53"/>
      <c r="H95" s="112"/>
      <c r="I95" s="112"/>
      <c r="J95" s="319"/>
      <c r="K95" s="46"/>
      <c r="L95" s="105"/>
      <c r="M95" s="46"/>
      <c r="N95" s="114"/>
      <c r="O95" s="91"/>
      <c r="P95" s="227"/>
      <c r="Q95" s="48"/>
      <c r="R95" s="109"/>
      <c r="S95" s="633"/>
      <c r="T95" s="633"/>
      <c r="U95" s="54"/>
      <c r="W95" s="143"/>
      <c r="X95" s="143"/>
      <c r="Y95" s="110"/>
      <c r="Z95" s="70"/>
      <c r="AA95" s="86"/>
      <c r="AB95" s="680"/>
      <c r="AC95" s="104"/>
      <c r="AF95" s="214"/>
      <c r="AG95" s="215"/>
      <c r="AH95" s="117"/>
    </row>
    <row r="96" spans="1:38" s="74" customFormat="1" ht="16.5">
      <c r="A96" s="73"/>
      <c r="B96" s="73"/>
      <c r="C96" s="73"/>
      <c r="D96" s="73"/>
      <c r="E96" s="91"/>
      <c r="F96" s="55"/>
      <c r="G96" s="53"/>
      <c r="H96" s="112"/>
      <c r="I96" s="112"/>
      <c r="J96" s="319"/>
      <c r="K96" s="46"/>
      <c r="L96" s="105"/>
      <c r="M96" s="46"/>
      <c r="N96" s="114"/>
      <c r="O96" s="91"/>
      <c r="P96" s="227"/>
      <c r="Q96" s="48"/>
      <c r="R96" s="109"/>
      <c r="S96" s="633"/>
      <c r="T96" s="633"/>
      <c r="U96" s="54"/>
      <c r="W96" s="143"/>
      <c r="X96" s="143"/>
      <c r="Y96" s="110"/>
      <c r="Z96" s="70"/>
      <c r="AA96" s="86"/>
      <c r="AB96" s="680"/>
      <c r="AC96" s="104"/>
      <c r="AF96" s="214"/>
      <c r="AG96" s="215"/>
      <c r="AH96" s="117"/>
    </row>
    <row r="97" spans="1:34" s="74" customFormat="1" ht="25.5">
      <c r="A97" s="73" t="s">
        <v>487</v>
      </c>
      <c r="B97" s="73">
        <v>3.6</v>
      </c>
      <c r="C97" s="73">
        <v>200</v>
      </c>
      <c r="D97" s="73">
        <v>189</v>
      </c>
      <c r="E97" s="91">
        <v>87</v>
      </c>
      <c r="F97" s="55" t="s">
        <v>746</v>
      </c>
      <c r="G97" s="53" t="s">
        <v>751</v>
      </c>
      <c r="H97" s="112" t="s">
        <v>747</v>
      </c>
      <c r="I97" s="112" t="s">
        <v>700</v>
      </c>
      <c r="J97" s="319">
        <f t="shared" ref="J97:J104" si="19">(AB97-S97)/365</f>
        <v>10.024657534246575</v>
      </c>
      <c r="K97" s="46" t="s">
        <v>465</v>
      </c>
      <c r="L97" s="105">
        <v>15000000</v>
      </c>
      <c r="M97" s="46" t="s">
        <v>466</v>
      </c>
      <c r="N97" s="114">
        <v>99.590999999999994</v>
      </c>
      <c r="O97" s="91">
        <v>5.6039810000000001</v>
      </c>
      <c r="P97" s="227" t="s">
        <v>749</v>
      </c>
      <c r="Q97" s="227" t="s">
        <v>748</v>
      </c>
      <c r="R97" s="109" t="s">
        <v>750</v>
      </c>
      <c r="S97" s="633">
        <v>40213</v>
      </c>
      <c r="T97" s="633">
        <v>40220</v>
      </c>
      <c r="U97" s="54"/>
      <c r="W97" s="143">
        <v>14938650</v>
      </c>
      <c r="X97" s="143"/>
      <c r="Y97" s="117" t="e">
        <f>W97*#REF!</f>
        <v>#REF!</v>
      </c>
      <c r="Z97" s="70"/>
      <c r="AA97" s="86">
        <v>5.55</v>
      </c>
      <c r="AB97" s="680">
        <v>43872</v>
      </c>
      <c r="AC97" s="104">
        <f t="shared" si="10"/>
        <v>9.169863013698631</v>
      </c>
      <c r="AF97" s="214">
        <f t="shared" ref="AF97:AF104" si="20">$AB$4-T97</f>
        <v>305</v>
      </c>
      <c r="AG97" s="215" t="e">
        <f t="shared" ref="AG97:AG136" si="21">ACCRINT($T97,$T97,$AG$4,AA97/100,100,2,0, 0)*L97/100</f>
        <v>#NUM!</v>
      </c>
      <c r="AH97" s="117" t="e">
        <f t="shared" ref="AH97:AH139" si="22">AG97*$AH$4</f>
        <v>#NUM!</v>
      </c>
    </row>
    <row r="98" spans="1:34" s="74" customFormat="1" ht="25.5">
      <c r="A98" s="73" t="s">
        <v>761</v>
      </c>
      <c r="B98" s="73">
        <v>3.23</v>
      </c>
      <c r="C98" s="73">
        <v>292</v>
      </c>
      <c r="D98" s="73">
        <v>280</v>
      </c>
      <c r="E98" s="91">
        <v>88</v>
      </c>
      <c r="F98" s="55" t="s">
        <v>762</v>
      </c>
      <c r="G98" s="53" t="s">
        <v>763</v>
      </c>
      <c r="H98" s="112" t="s">
        <v>764</v>
      </c>
      <c r="I98" s="112" t="s">
        <v>764</v>
      </c>
      <c r="J98" s="319">
        <f t="shared" si="19"/>
        <v>9.3178082191780813</v>
      </c>
      <c r="K98" s="46" t="s">
        <v>465</v>
      </c>
      <c r="L98" s="105">
        <v>2000000</v>
      </c>
      <c r="M98" s="46" t="s">
        <v>466</v>
      </c>
      <c r="N98" s="114">
        <v>96.25</v>
      </c>
      <c r="O98" s="91">
        <v>6.0315658000000001</v>
      </c>
      <c r="P98" s="52" t="s">
        <v>470</v>
      </c>
      <c r="Q98" s="52" t="s">
        <v>471</v>
      </c>
      <c r="R98" s="53" t="s">
        <v>472</v>
      </c>
      <c r="S98" s="633">
        <v>40324</v>
      </c>
      <c r="T98" s="633">
        <v>40330</v>
      </c>
      <c r="U98" s="229" t="s">
        <v>760</v>
      </c>
      <c r="W98" s="143">
        <v>1947611.11</v>
      </c>
      <c r="X98" s="143"/>
      <c r="Y98" s="117" t="e">
        <f>W98*#REF!</f>
        <v>#REF!</v>
      </c>
      <c r="Z98" s="70"/>
      <c r="AA98" s="86">
        <v>5.5</v>
      </c>
      <c r="AB98" s="680">
        <v>43725</v>
      </c>
      <c r="AC98" s="104">
        <f t="shared" si="10"/>
        <v>8.7671232876712324</v>
      </c>
      <c r="AF98" s="214">
        <f t="shared" si="20"/>
        <v>195</v>
      </c>
      <c r="AG98" s="215" t="e">
        <f t="shared" si="21"/>
        <v>#NUM!</v>
      </c>
      <c r="AH98" s="117" t="e">
        <f t="shared" si="22"/>
        <v>#NUM!</v>
      </c>
    </row>
    <row r="99" spans="1:34" s="74" customFormat="1" ht="25.5">
      <c r="A99" s="73" t="s">
        <v>765</v>
      </c>
      <c r="B99" s="73">
        <v>3.22</v>
      </c>
      <c r="C99" s="73">
        <v>296</v>
      </c>
      <c r="D99" s="73">
        <v>284</v>
      </c>
      <c r="E99" s="91">
        <v>89</v>
      </c>
      <c r="F99" s="55" t="s">
        <v>762</v>
      </c>
      <c r="G99" s="53" t="s">
        <v>763</v>
      </c>
      <c r="H99" s="112" t="s">
        <v>764</v>
      </c>
      <c r="I99" s="112" t="s">
        <v>764</v>
      </c>
      <c r="J99" s="319">
        <f t="shared" si="19"/>
        <v>9.3178082191780813</v>
      </c>
      <c r="K99" s="46" t="s">
        <v>465</v>
      </c>
      <c r="L99" s="105">
        <v>3000000</v>
      </c>
      <c r="M99" s="46" t="s">
        <v>466</v>
      </c>
      <c r="N99" s="114">
        <v>96.12</v>
      </c>
      <c r="O99" s="91">
        <v>6.0504899999999999</v>
      </c>
      <c r="P99" s="227" t="s">
        <v>749</v>
      </c>
      <c r="Q99" s="227" t="s">
        <v>748</v>
      </c>
      <c r="R99" s="109" t="s">
        <v>750</v>
      </c>
      <c r="S99" s="633">
        <v>40324</v>
      </c>
      <c r="T99" s="633">
        <v>40330</v>
      </c>
      <c r="U99" s="229" t="s">
        <v>760</v>
      </c>
      <c r="W99" s="143">
        <v>1947611.11</v>
      </c>
      <c r="X99" s="143"/>
      <c r="Y99" s="117" t="e">
        <f>W99*#REF!</f>
        <v>#REF!</v>
      </c>
      <c r="Z99" s="70"/>
      <c r="AA99" s="86">
        <v>5.5</v>
      </c>
      <c r="AB99" s="680">
        <v>43725</v>
      </c>
      <c r="AC99" s="104">
        <f t="shared" si="10"/>
        <v>8.7671232876712324</v>
      </c>
      <c r="AF99" s="214">
        <f t="shared" si="20"/>
        <v>195</v>
      </c>
      <c r="AG99" s="215" t="e">
        <f t="shared" si="21"/>
        <v>#NUM!</v>
      </c>
      <c r="AH99" s="117" t="e">
        <f t="shared" si="22"/>
        <v>#NUM!</v>
      </c>
    </row>
    <row r="100" spans="1:34" s="74" customFormat="1" ht="25.5">
      <c r="A100" s="73" t="s">
        <v>556</v>
      </c>
      <c r="B100" s="73">
        <v>3.27</v>
      </c>
      <c r="C100" s="73">
        <v>301</v>
      </c>
      <c r="D100" s="73">
        <v>291</v>
      </c>
      <c r="E100" s="91">
        <v>90</v>
      </c>
      <c r="F100" s="55" t="s">
        <v>767</v>
      </c>
      <c r="G100" s="53" t="s">
        <v>766</v>
      </c>
      <c r="H100" s="112" t="s">
        <v>698</v>
      </c>
      <c r="I100" s="112" t="s">
        <v>576</v>
      </c>
      <c r="J100" s="319">
        <f t="shared" si="19"/>
        <v>9.6410958904109592</v>
      </c>
      <c r="K100" s="46" t="s">
        <v>465</v>
      </c>
      <c r="L100" s="105">
        <v>16000000</v>
      </c>
      <c r="M100" s="46" t="s">
        <v>466</v>
      </c>
      <c r="N100" s="114">
        <v>98.349000000000004</v>
      </c>
      <c r="O100" s="91">
        <v>6.2296405000000004</v>
      </c>
      <c r="P100" s="227" t="s">
        <v>749</v>
      </c>
      <c r="Q100" s="48" t="s">
        <v>344</v>
      </c>
      <c r="R100" s="109" t="s">
        <v>768</v>
      </c>
      <c r="S100" s="633">
        <v>40325</v>
      </c>
      <c r="T100" s="633">
        <v>40331</v>
      </c>
      <c r="U100" s="229" t="s">
        <v>760</v>
      </c>
      <c r="W100" s="143">
        <v>16103840</v>
      </c>
      <c r="X100" s="143"/>
      <c r="Y100" s="117" t="e">
        <f>W100*#REF!</f>
        <v>#REF!</v>
      </c>
      <c r="Z100" s="70"/>
      <c r="AA100" s="86">
        <v>6</v>
      </c>
      <c r="AB100" s="680">
        <v>43844</v>
      </c>
      <c r="AC100" s="104">
        <f t="shared" si="10"/>
        <v>9.0931506849315067</v>
      </c>
      <c r="AF100" s="214">
        <f t="shared" si="20"/>
        <v>194</v>
      </c>
      <c r="AG100" s="215" t="e">
        <f t="shared" si="21"/>
        <v>#NUM!</v>
      </c>
      <c r="AH100" s="117" t="e">
        <f t="shared" si="22"/>
        <v>#NUM!</v>
      </c>
    </row>
    <row r="101" spans="1:34" s="74" customFormat="1" ht="25.5">
      <c r="A101" s="73" t="s">
        <v>659</v>
      </c>
      <c r="B101" s="73">
        <v>3.25</v>
      </c>
      <c r="C101" s="73">
        <v>290</v>
      </c>
      <c r="D101" s="73">
        <v>276</v>
      </c>
      <c r="E101" s="91">
        <v>91</v>
      </c>
      <c r="F101" s="55" t="s">
        <v>762</v>
      </c>
      <c r="G101" s="53" t="s">
        <v>763</v>
      </c>
      <c r="H101" s="112" t="s">
        <v>764</v>
      </c>
      <c r="I101" s="112" t="s">
        <v>764</v>
      </c>
      <c r="J101" s="319">
        <f t="shared" si="19"/>
        <v>9.3013698630136989</v>
      </c>
      <c r="K101" s="46" t="s">
        <v>465</v>
      </c>
      <c r="L101" s="105">
        <v>3000000</v>
      </c>
      <c r="M101" s="46" t="s">
        <v>466</v>
      </c>
      <c r="N101" s="114">
        <v>96.25</v>
      </c>
      <c r="O101" s="91">
        <v>6.0319152999999996</v>
      </c>
      <c r="P101" s="52" t="s">
        <v>470</v>
      </c>
      <c r="Q101" s="52" t="s">
        <v>471</v>
      </c>
      <c r="R101" s="53" t="s">
        <v>472</v>
      </c>
      <c r="S101" s="633">
        <v>40330</v>
      </c>
      <c r="T101" s="633">
        <v>40333</v>
      </c>
      <c r="U101" s="229" t="s">
        <v>760</v>
      </c>
      <c r="W101" s="143">
        <v>2922791.67</v>
      </c>
      <c r="Y101" s="117" t="e">
        <f>W101*#REF!</f>
        <v>#REF!</v>
      </c>
      <c r="Z101" s="70"/>
      <c r="AA101" s="86">
        <v>5.5</v>
      </c>
      <c r="AB101" s="680">
        <v>43725</v>
      </c>
      <c r="AC101" s="104">
        <f t="shared" si="10"/>
        <v>8.7671232876712324</v>
      </c>
      <c r="AF101" s="214">
        <f t="shared" si="20"/>
        <v>192</v>
      </c>
      <c r="AG101" s="215" t="e">
        <f t="shared" si="21"/>
        <v>#NUM!</v>
      </c>
      <c r="AH101" s="117" t="e">
        <f t="shared" si="22"/>
        <v>#NUM!</v>
      </c>
    </row>
    <row r="102" spans="1:34" s="74" customFormat="1" ht="16.5">
      <c r="A102" s="73" t="s">
        <v>769</v>
      </c>
      <c r="B102" s="73">
        <v>3.25</v>
      </c>
      <c r="C102" s="73">
        <v>307</v>
      </c>
      <c r="D102" s="73">
        <v>295</v>
      </c>
      <c r="E102" s="91">
        <v>92</v>
      </c>
      <c r="F102" s="55" t="s">
        <v>767</v>
      </c>
      <c r="G102" s="53" t="s">
        <v>766</v>
      </c>
      <c r="H102" s="112" t="s">
        <v>698</v>
      </c>
      <c r="I102" s="112" t="s">
        <v>576</v>
      </c>
      <c r="J102" s="319">
        <f t="shared" si="19"/>
        <v>9.6273972602739732</v>
      </c>
      <c r="K102" s="46" t="s">
        <v>465</v>
      </c>
      <c r="L102" s="105">
        <v>3000000</v>
      </c>
      <c r="M102" s="46" t="s">
        <v>466</v>
      </c>
      <c r="N102" s="114">
        <v>98.35</v>
      </c>
      <c r="O102" s="91">
        <v>6.2296369</v>
      </c>
      <c r="P102" s="52" t="s">
        <v>470</v>
      </c>
      <c r="Q102" s="52" t="s">
        <v>471</v>
      </c>
      <c r="R102" s="53" t="s">
        <v>472</v>
      </c>
      <c r="S102" s="633">
        <v>40330</v>
      </c>
      <c r="T102" s="633">
        <v>40333</v>
      </c>
      <c r="U102" s="229" t="s">
        <v>760</v>
      </c>
      <c r="W102" s="143">
        <v>3020500</v>
      </c>
      <c r="X102" s="143"/>
      <c r="Y102" s="117" t="e">
        <f>W102*#REF!</f>
        <v>#REF!</v>
      </c>
      <c r="Z102" s="70"/>
      <c r="AA102" s="86">
        <v>6</v>
      </c>
      <c r="AB102" s="680">
        <v>43844</v>
      </c>
      <c r="AC102" s="104">
        <f t="shared" si="10"/>
        <v>9.0931506849315067</v>
      </c>
      <c r="AF102" s="214">
        <f t="shared" si="20"/>
        <v>192</v>
      </c>
      <c r="AG102" s="215" t="e">
        <f t="shared" si="21"/>
        <v>#NUM!</v>
      </c>
      <c r="AH102" s="117" t="e">
        <f t="shared" si="22"/>
        <v>#NUM!</v>
      </c>
    </row>
    <row r="103" spans="1:34" s="74" customFormat="1" ht="25.5">
      <c r="A103" s="73" t="s">
        <v>769</v>
      </c>
      <c r="B103" s="73">
        <v>3.25</v>
      </c>
      <c r="C103" s="73">
        <v>307</v>
      </c>
      <c r="D103" s="73">
        <v>295</v>
      </c>
      <c r="E103" s="91">
        <v>93</v>
      </c>
      <c r="F103" s="55" t="s">
        <v>767</v>
      </c>
      <c r="G103" s="53" t="s">
        <v>766</v>
      </c>
      <c r="H103" s="112" t="s">
        <v>698</v>
      </c>
      <c r="I103" s="112" t="s">
        <v>576</v>
      </c>
      <c r="J103" s="319">
        <f t="shared" si="19"/>
        <v>9.6273972602739732</v>
      </c>
      <c r="K103" s="46" t="s">
        <v>465</v>
      </c>
      <c r="L103" s="105">
        <v>5000000</v>
      </c>
      <c r="M103" s="46" t="s">
        <v>466</v>
      </c>
      <c r="N103" s="114">
        <v>98.346999999999994</v>
      </c>
      <c r="O103" s="91">
        <v>6.2300610000000001</v>
      </c>
      <c r="P103" s="52" t="s">
        <v>355</v>
      </c>
      <c r="Q103" s="48" t="s">
        <v>648</v>
      </c>
      <c r="R103" s="53" t="s">
        <v>649</v>
      </c>
      <c r="S103" s="633">
        <v>40330</v>
      </c>
      <c r="T103" s="633">
        <v>40333</v>
      </c>
      <c r="U103" s="229" t="s">
        <v>760</v>
      </c>
      <c r="W103" s="143">
        <v>5034016.67</v>
      </c>
      <c r="X103" s="143"/>
      <c r="Y103" s="117" t="e">
        <f>W103*#REF!</f>
        <v>#REF!</v>
      </c>
      <c r="Z103" s="70"/>
      <c r="AA103" s="86">
        <v>6</v>
      </c>
      <c r="AB103" s="680">
        <v>43844</v>
      </c>
      <c r="AC103" s="104">
        <f t="shared" si="10"/>
        <v>9.0931506849315067</v>
      </c>
      <c r="AF103" s="214">
        <f t="shared" si="20"/>
        <v>192</v>
      </c>
      <c r="AG103" s="215" t="e">
        <f t="shared" si="21"/>
        <v>#NUM!</v>
      </c>
      <c r="AH103" s="117" t="e">
        <f t="shared" si="22"/>
        <v>#NUM!</v>
      </c>
    </row>
    <row r="104" spans="1:34" s="74" customFormat="1" ht="25.5">
      <c r="A104" s="73" t="s">
        <v>769</v>
      </c>
      <c r="B104" s="73">
        <v>3.25</v>
      </c>
      <c r="C104" s="73">
        <v>307</v>
      </c>
      <c r="D104" s="73">
        <v>295</v>
      </c>
      <c r="E104" s="91">
        <v>94</v>
      </c>
      <c r="F104" s="55" t="s">
        <v>767</v>
      </c>
      <c r="G104" s="53" t="s">
        <v>766</v>
      </c>
      <c r="H104" s="112" t="s">
        <v>698</v>
      </c>
      <c r="I104" s="112" t="s">
        <v>576</v>
      </c>
      <c r="J104" s="319">
        <f t="shared" si="19"/>
        <v>9.6273972602739732</v>
      </c>
      <c r="K104" s="46" t="s">
        <v>465</v>
      </c>
      <c r="L104" s="105">
        <v>10000000</v>
      </c>
      <c r="M104" s="46" t="s">
        <v>466</v>
      </c>
      <c r="N104" s="114">
        <v>98.21</v>
      </c>
      <c r="O104" s="91">
        <v>6.2494319999999997</v>
      </c>
      <c r="P104" s="227" t="s">
        <v>749</v>
      </c>
      <c r="Q104" s="227" t="s">
        <v>748</v>
      </c>
      <c r="R104" s="109" t="s">
        <v>750</v>
      </c>
      <c r="S104" s="633">
        <v>40330</v>
      </c>
      <c r="T104" s="633">
        <v>40333</v>
      </c>
      <c r="U104" s="229" t="s">
        <v>760</v>
      </c>
      <c r="W104" s="143">
        <v>10054333.33</v>
      </c>
      <c r="X104" s="143"/>
      <c r="Y104" s="117" t="e">
        <f>W104*#REF!</f>
        <v>#REF!</v>
      </c>
      <c r="Z104" s="70"/>
      <c r="AA104" s="86">
        <v>6</v>
      </c>
      <c r="AB104" s="680">
        <v>43844</v>
      </c>
      <c r="AC104" s="104">
        <f t="shared" si="10"/>
        <v>9.0931506849315067</v>
      </c>
      <c r="AF104" s="214">
        <f t="shared" si="20"/>
        <v>192</v>
      </c>
      <c r="AG104" s="215" t="e">
        <f t="shared" si="21"/>
        <v>#NUM!</v>
      </c>
      <c r="AH104" s="117" t="e">
        <f t="shared" si="22"/>
        <v>#NUM!</v>
      </c>
    </row>
    <row r="105" spans="1:34" s="74" customFormat="1" ht="25.5">
      <c r="A105" s="73" t="s">
        <v>769</v>
      </c>
      <c r="B105" s="73">
        <v>3.29</v>
      </c>
      <c r="C105" s="73">
        <v>306</v>
      </c>
      <c r="D105" s="73">
        <v>297</v>
      </c>
      <c r="E105" s="91">
        <v>95</v>
      </c>
      <c r="F105" s="55" t="s">
        <v>767</v>
      </c>
      <c r="G105" s="53" t="s">
        <v>766</v>
      </c>
      <c r="H105" s="112" t="s">
        <v>698</v>
      </c>
      <c r="I105" s="112" t="s">
        <v>576</v>
      </c>
      <c r="J105" s="319">
        <f t="shared" ref="J105:J111" si="23">(AB105-S105)/365</f>
        <v>9.624657534246575</v>
      </c>
      <c r="K105" s="46" t="s">
        <v>465</v>
      </c>
      <c r="L105" s="105">
        <v>5000000</v>
      </c>
      <c r="M105" s="46" t="s">
        <v>466</v>
      </c>
      <c r="N105" s="114">
        <v>97.926000000000002</v>
      </c>
      <c r="O105" s="91">
        <v>6.2899440000000002</v>
      </c>
      <c r="P105" s="52" t="s">
        <v>355</v>
      </c>
      <c r="Q105" s="48" t="s">
        <v>648</v>
      </c>
      <c r="R105" s="53" t="s">
        <v>649</v>
      </c>
      <c r="S105" s="633">
        <v>40331</v>
      </c>
      <c r="T105" s="633">
        <v>40336</v>
      </c>
      <c r="U105" s="229" t="s">
        <v>760</v>
      </c>
      <c r="W105" s="143">
        <v>5015466.67</v>
      </c>
      <c r="X105" s="143"/>
      <c r="Y105" s="117" t="e">
        <f>W105*#REF!</f>
        <v>#REF!</v>
      </c>
      <c r="Z105" s="70"/>
      <c r="AA105" s="86">
        <v>6</v>
      </c>
      <c r="AB105" s="680">
        <v>43844</v>
      </c>
      <c r="AC105" s="104">
        <f t="shared" si="10"/>
        <v>9.0931506849315067</v>
      </c>
      <c r="AF105" s="214">
        <f t="shared" ref="AF105:AF110" si="24">$AB$4-T105</f>
        <v>189</v>
      </c>
      <c r="AG105" s="215" t="e">
        <f t="shared" si="21"/>
        <v>#NUM!</v>
      </c>
      <c r="AH105" s="117" t="e">
        <f t="shared" si="22"/>
        <v>#NUM!</v>
      </c>
    </row>
    <row r="106" spans="1:34" s="74" customFormat="1" ht="25.5">
      <c r="A106" s="73" t="s">
        <v>773</v>
      </c>
      <c r="B106" s="73">
        <v>3.27</v>
      </c>
      <c r="C106" s="73">
        <v>294</v>
      </c>
      <c r="D106" s="73">
        <v>282</v>
      </c>
      <c r="E106" s="91">
        <v>96</v>
      </c>
      <c r="F106" s="55" t="s">
        <v>767</v>
      </c>
      <c r="G106" s="53" t="s">
        <v>766</v>
      </c>
      <c r="H106" s="112" t="s">
        <v>698</v>
      </c>
      <c r="I106" s="112" t="s">
        <v>576</v>
      </c>
      <c r="J106" s="319">
        <f t="shared" si="23"/>
        <v>9.624657534246575</v>
      </c>
      <c r="K106" s="46" t="s">
        <v>465</v>
      </c>
      <c r="L106" s="105">
        <v>15000000</v>
      </c>
      <c r="M106" s="46" t="s">
        <v>466</v>
      </c>
      <c r="N106" s="114">
        <v>98.9</v>
      </c>
      <c r="O106" s="91">
        <v>6.1523664</v>
      </c>
      <c r="P106" s="227" t="s">
        <v>749</v>
      </c>
      <c r="Q106" s="48" t="s">
        <v>344</v>
      </c>
      <c r="R106" s="109" t="s">
        <v>768</v>
      </c>
      <c r="S106" s="633">
        <v>40331</v>
      </c>
      <c r="T106" s="633">
        <v>40336</v>
      </c>
      <c r="U106" s="229" t="s">
        <v>760</v>
      </c>
      <c r="W106" s="143">
        <v>15192500</v>
      </c>
      <c r="X106" s="143"/>
      <c r="Y106" s="117" t="e">
        <f>W106*#REF!</f>
        <v>#REF!</v>
      </c>
      <c r="Z106" s="70"/>
      <c r="AA106" s="86">
        <v>6</v>
      </c>
      <c r="AB106" s="680">
        <v>43844</v>
      </c>
      <c r="AC106" s="104">
        <f t="shared" si="10"/>
        <v>9.0931506849315067</v>
      </c>
      <c r="AF106" s="214">
        <f t="shared" si="24"/>
        <v>189</v>
      </c>
      <c r="AG106" s="215" t="e">
        <f t="shared" si="21"/>
        <v>#NUM!</v>
      </c>
      <c r="AH106" s="117" t="e">
        <f t="shared" si="22"/>
        <v>#NUM!</v>
      </c>
    </row>
    <row r="107" spans="1:34" s="74" customFormat="1" ht="16.5">
      <c r="A107" s="73" t="s">
        <v>774</v>
      </c>
      <c r="B107" s="73">
        <v>3.37</v>
      </c>
      <c r="C107" s="73">
        <v>290</v>
      </c>
      <c r="D107" s="73">
        <v>278</v>
      </c>
      <c r="E107" s="91">
        <v>97</v>
      </c>
      <c r="F107" s="55" t="s">
        <v>767</v>
      </c>
      <c r="G107" s="53" t="s">
        <v>766</v>
      </c>
      <c r="H107" s="112" t="s">
        <v>698</v>
      </c>
      <c r="I107" s="112" t="s">
        <v>576</v>
      </c>
      <c r="J107" s="319">
        <f t="shared" si="23"/>
        <v>9.6191780821917803</v>
      </c>
      <c r="K107" s="46" t="s">
        <v>465</v>
      </c>
      <c r="L107" s="105">
        <v>2000000</v>
      </c>
      <c r="M107" s="46" t="s">
        <v>466</v>
      </c>
      <c r="N107" s="114">
        <v>98.56</v>
      </c>
      <c r="O107" s="91">
        <v>6.2003291999999997</v>
      </c>
      <c r="P107" s="227" t="s">
        <v>775</v>
      </c>
      <c r="Q107" s="48" t="s">
        <v>776</v>
      </c>
      <c r="R107" s="109" t="s">
        <v>777</v>
      </c>
      <c r="S107" s="633">
        <v>40333</v>
      </c>
      <c r="T107" s="633">
        <v>40338</v>
      </c>
      <c r="U107" s="229" t="s">
        <v>760</v>
      </c>
      <c r="W107" s="143">
        <v>2019533.33</v>
      </c>
      <c r="X107" s="143"/>
      <c r="Y107" s="117" t="e">
        <f>W107*#REF!</f>
        <v>#REF!</v>
      </c>
      <c r="Z107" s="70"/>
      <c r="AA107" s="86">
        <v>6</v>
      </c>
      <c r="AB107" s="680">
        <v>43844</v>
      </c>
      <c r="AC107" s="104">
        <f t="shared" si="10"/>
        <v>9.0931506849315067</v>
      </c>
      <c r="AF107" s="214">
        <f t="shared" si="24"/>
        <v>187</v>
      </c>
      <c r="AG107" s="215" t="e">
        <f t="shared" si="21"/>
        <v>#NUM!</v>
      </c>
      <c r="AH107" s="117" t="e">
        <f t="shared" si="22"/>
        <v>#NUM!</v>
      </c>
    </row>
    <row r="108" spans="1:34" s="74" customFormat="1" ht="25.5">
      <c r="A108" s="73" t="s">
        <v>782</v>
      </c>
      <c r="B108" s="73">
        <v>3.19</v>
      </c>
      <c r="C108" s="73">
        <v>275</v>
      </c>
      <c r="D108" s="73">
        <v>270</v>
      </c>
      <c r="E108" s="91">
        <v>98</v>
      </c>
      <c r="F108" s="55" t="s">
        <v>778</v>
      </c>
      <c r="G108" s="53" t="s">
        <v>783</v>
      </c>
      <c r="H108" s="112" t="s">
        <v>656</v>
      </c>
      <c r="I108" s="112" t="s">
        <v>699</v>
      </c>
      <c r="J108" s="319">
        <f t="shared" si="23"/>
        <v>10.027397260273972</v>
      </c>
      <c r="K108" s="46" t="s">
        <v>465</v>
      </c>
      <c r="L108" s="105">
        <v>27000000</v>
      </c>
      <c r="M108" s="46" t="s">
        <v>466</v>
      </c>
      <c r="N108" s="114">
        <v>99.484999999999999</v>
      </c>
      <c r="O108" s="91">
        <v>5.9440531999999999</v>
      </c>
      <c r="P108" s="52" t="s">
        <v>779</v>
      </c>
      <c r="Q108" s="48" t="s">
        <v>780</v>
      </c>
      <c r="R108" s="109" t="s">
        <v>781</v>
      </c>
      <c r="S108" s="633">
        <v>40346</v>
      </c>
      <c r="T108" s="633">
        <v>40353</v>
      </c>
      <c r="U108" s="229" t="s">
        <v>760</v>
      </c>
      <c r="W108" s="143">
        <v>26860950</v>
      </c>
      <c r="X108" s="143"/>
      <c r="Y108" s="117" t="e">
        <f>W108*#REF!</f>
        <v>#REF!</v>
      </c>
      <c r="Z108" s="70"/>
      <c r="AA108" s="86">
        <v>5.875</v>
      </c>
      <c r="AB108" s="680">
        <v>44006</v>
      </c>
      <c r="AC108" s="104">
        <f t="shared" si="10"/>
        <v>9.536986301369863</v>
      </c>
      <c r="AF108" s="214">
        <f t="shared" si="24"/>
        <v>172</v>
      </c>
      <c r="AG108" s="215" t="e">
        <f t="shared" si="21"/>
        <v>#NUM!</v>
      </c>
      <c r="AH108" s="117" t="e">
        <f t="shared" si="22"/>
        <v>#NUM!</v>
      </c>
    </row>
    <row r="109" spans="1:34" s="74" customFormat="1" ht="25.5">
      <c r="A109" s="73" t="s">
        <v>784</v>
      </c>
      <c r="B109" s="73">
        <v>3.3</v>
      </c>
      <c r="C109" s="73">
        <v>362.5</v>
      </c>
      <c r="D109" s="73">
        <v>360</v>
      </c>
      <c r="E109" s="91">
        <v>99</v>
      </c>
      <c r="F109" s="55" t="s">
        <v>785</v>
      </c>
      <c r="G109" s="109" t="s">
        <v>786</v>
      </c>
      <c r="H109" s="112" t="s">
        <v>787</v>
      </c>
      <c r="I109" s="112" t="s">
        <v>789</v>
      </c>
      <c r="J109" s="319">
        <f t="shared" si="23"/>
        <v>10.016438356164384</v>
      </c>
      <c r="K109" s="46" t="s">
        <v>465</v>
      </c>
      <c r="L109" s="105">
        <v>26000000</v>
      </c>
      <c r="M109" s="46" t="s">
        <v>466</v>
      </c>
      <c r="N109" s="114">
        <v>99.653999999999996</v>
      </c>
      <c r="O109" s="91">
        <v>6.9235214999999997</v>
      </c>
      <c r="P109" s="52" t="s">
        <v>378</v>
      </c>
      <c r="Q109" s="52" t="s">
        <v>379</v>
      </c>
      <c r="R109" s="53" t="s">
        <v>788</v>
      </c>
      <c r="S109" s="633">
        <v>40350</v>
      </c>
      <c r="T109" s="633">
        <v>40353</v>
      </c>
      <c r="U109" s="229" t="s">
        <v>760</v>
      </c>
      <c r="W109" s="143">
        <v>25910040</v>
      </c>
      <c r="X109" s="143"/>
      <c r="Y109" s="117" t="e">
        <f>W109*#REF!</f>
        <v>#REF!</v>
      </c>
      <c r="Z109" s="70"/>
      <c r="AA109" s="86">
        <v>6.875</v>
      </c>
      <c r="AB109" s="680">
        <v>44006</v>
      </c>
      <c r="AC109" s="104">
        <f t="shared" si="10"/>
        <v>9.536986301369863</v>
      </c>
      <c r="AF109" s="214">
        <f t="shared" si="24"/>
        <v>172</v>
      </c>
      <c r="AG109" s="215" t="e">
        <f t="shared" si="21"/>
        <v>#NUM!</v>
      </c>
      <c r="AH109" s="117" t="e">
        <f t="shared" si="22"/>
        <v>#NUM!</v>
      </c>
    </row>
    <row r="110" spans="1:34" s="74" customFormat="1" ht="25.5">
      <c r="A110" s="73" t="s">
        <v>790</v>
      </c>
      <c r="B110" s="73">
        <v>3.24</v>
      </c>
      <c r="C110" s="73">
        <v>358</v>
      </c>
      <c r="D110" s="73">
        <v>360</v>
      </c>
      <c r="E110" s="91">
        <v>100</v>
      </c>
      <c r="F110" s="55" t="s">
        <v>785</v>
      </c>
      <c r="G110" s="109" t="s">
        <v>786</v>
      </c>
      <c r="H110" s="112" t="s">
        <v>787</v>
      </c>
      <c r="I110" s="112" t="s">
        <v>789</v>
      </c>
      <c r="J110" s="319">
        <f t="shared" si="23"/>
        <v>10.013698630136986</v>
      </c>
      <c r="K110" s="46" t="s">
        <v>465</v>
      </c>
      <c r="L110" s="105">
        <v>23700000</v>
      </c>
      <c r="M110" s="46" t="s">
        <v>466</v>
      </c>
      <c r="N110" s="114">
        <v>100.343</v>
      </c>
      <c r="O110" s="91">
        <v>6.8270556999999998</v>
      </c>
      <c r="P110" s="52" t="s">
        <v>355</v>
      </c>
      <c r="Q110" s="48" t="s">
        <v>648</v>
      </c>
      <c r="R110" s="53" t="s">
        <v>649</v>
      </c>
      <c r="S110" s="633">
        <v>40351</v>
      </c>
      <c r="T110" s="633">
        <v>40354</v>
      </c>
      <c r="U110" s="229" t="s">
        <v>760</v>
      </c>
      <c r="W110" s="143">
        <v>23785817.039999999</v>
      </c>
      <c r="X110" s="143"/>
      <c r="Y110" s="117" t="e">
        <f>W110*#REF!</f>
        <v>#REF!</v>
      </c>
      <c r="Z110" s="70"/>
      <c r="AA110" s="86">
        <v>6.875</v>
      </c>
      <c r="AB110" s="680">
        <v>44006</v>
      </c>
      <c r="AC110" s="104">
        <f t="shared" si="10"/>
        <v>9.536986301369863</v>
      </c>
      <c r="AF110" s="214">
        <f t="shared" si="24"/>
        <v>171</v>
      </c>
      <c r="AG110" s="215" t="e">
        <f t="shared" si="21"/>
        <v>#NUM!</v>
      </c>
      <c r="AH110" s="117" t="e">
        <f t="shared" si="22"/>
        <v>#NUM!</v>
      </c>
    </row>
    <row r="111" spans="1:34" s="74" customFormat="1" ht="16.5">
      <c r="A111" s="268" t="s">
        <v>902</v>
      </c>
      <c r="C111" s="73"/>
      <c r="D111" s="73"/>
      <c r="E111" s="91">
        <v>101</v>
      </c>
      <c r="F111" s="55" t="s">
        <v>792</v>
      </c>
      <c r="G111" s="53" t="s">
        <v>793</v>
      </c>
      <c r="H111" s="112" t="s">
        <v>727</v>
      </c>
      <c r="I111" s="112" t="s">
        <v>727</v>
      </c>
      <c r="J111" s="319">
        <f t="shared" si="23"/>
        <v>3.0246575342465754</v>
      </c>
      <c r="K111" s="46" t="s">
        <v>465</v>
      </c>
      <c r="L111" s="105">
        <v>585000000</v>
      </c>
      <c r="M111" s="46" t="s">
        <v>794</v>
      </c>
      <c r="N111" s="114">
        <v>100</v>
      </c>
      <c r="O111" s="91">
        <v>10</v>
      </c>
      <c r="P111" s="52" t="s">
        <v>795</v>
      </c>
      <c r="Q111" s="48" t="s">
        <v>796</v>
      </c>
      <c r="R111" s="109" t="s">
        <v>797</v>
      </c>
      <c r="S111" s="633">
        <v>40359</v>
      </c>
      <c r="T111" s="633">
        <v>40367</v>
      </c>
      <c r="U111" s="229" t="s">
        <v>760</v>
      </c>
      <c r="W111" s="143">
        <v>585000000</v>
      </c>
      <c r="X111" s="143">
        <v>1</v>
      </c>
      <c r="Y111" s="117">
        <f>W111*X111</f>
        <v>585000000</v>
      </c>
      <c r="Z111" s="70"/>
      <c r="AA111" s="86">
        <v>10</v>
      </c>
      <c r="AB111" s="680">
        <v>41463</v>
      </c>
      <c r="AC111" s="104">
        <f t="shared" si="10"/>
        <v>2.56986301369863</v>
      </c>
      <c r="AF111" s="214">
        <f t="shared" ref="AF111:AF116" si="25">$AB$4-T111</f>
        <v>158</v>
      </c>
      <c r="AG111" s="215" t="e">
        <f t="shared" si="21"/>
        <v>#NUM!</v>
      </c>
      <c r="AH111" s="117" t="e">
        <f t="shared" si="22"/>
        <v>#NUM!</v>
      </c>
    </row>
    <row r="112" spans="1:34" s="74" customFormat="1" ht="16.5">
      <c r="A112" s="73" t="s">
        <v>798</v>
      </c>
      <c r="B112" s="73" t="s">
        <v>799</v>
      </c>
      <c r="C112" s="73"/>
      <c r="D112" s="73"/>
      <c r="E112" s="91">
        <v>101</v>
      </c>
      <c r="F112" s="55" t="s">
        <v>792</v>
      </c>
      <c r="G112" s="53" t="s">
        <v>793</v>
      </c>
      <c r="H112" s="112" t="s">
        <v>727</v>
      </c>
      <c r="I112" s="112" t="s">
        <v>727</v>
      </c>
      <c r="J112" s="319">
        <f>(AB112-S112)/365</f>
        <v>3.0246575342465754</v>
      </c>
      <c r="K112" s="46" t="s">
        <v>465</v>
      </c>
      <c r="L112" s="105">
        <v>65000000</v>
      </c>
      <c r="M112" s="46" t="s">
        <v>794</v>
      </c>
      <c r="N112" s="114">
        <v>100</v>
      </c>
      <c r="O112" s="91">
        <v>10</v>
      </c>
      <c r="P112" s="52" t="s">
        <v>795</v>
      </c>
      <c r="Q112" s="48" t="s">
        <v>796</v>
      </c>
      <c r="R112" s="109" t="s">
        <v>797</v>
      </c>
      <c r="S112" s="633">
        <v>40359</v>
      </c>
      <c r="T112" s="633">
        <v>40367</v>
      </c>
      <c r="U112" s="229" t="s">
        <v>760</v>
      </c>
      <c r="W112" s="143">
        <v>65000000</v>
      </c>
      <c r="X112" s="143">
        <v>1</v>
      </c>
      <c r="Y112" s="117">
        <f>W112*X112</f>
        <v>65000000</v>
      </c>
      <c r="Z112" s="70"/>
      <c r="AA112" s="86">
        <v>10</v>
      </c>
      <c r="AB112" s="680">
        <v>41463</v>
      </c>
      <c r="AC112" s="104">
        <f t="shared" si="10"/>
        <v>2.56986301369863</v>
      </c>
      <c r="AF112" s="214">
        <f t="shared" si="25"/>
        <v>158</v>
      </c>
      <c r="AG112" s="215" t="e">
        <f t="shared" si="21"/>
        <v>#NUM!</v>
      </c>
      <c r="AH112" s="117" t="e">
        <f t="shared" si="22"/>
        <v>#NUM!</v>
      </c>
    </row>
    <row r="113" spans="1:34" s="74" customFormat="1" ht="16.5">
      <c r="A113" s="268" t="s">
        <v>902</v>
      </c>
      <c r="C113" s="73"/>
      <c r="D113" s="73"/>
      <c r="E113" s="91">
        <v>102</v>
      </c>
      <c r="F113" s="55" t="s">
        <v>800</v>
      </c>
      <c r="G113" s="53" t="s">
        <v>809</v>
      </c>
      <c r="H113" s="112" t="s">
        <v>727</v>
      </c>
      <c r="I113" s="112" t="s">
        <v>727</v>
      </c>
      <c r="J113" s="319">
        <f>(AB113-S113)/365</f>
        <v>12.021917808219179</v>
      </c>
      <c r="K113" s="46" t="s">
        <v>465</v>
      </c>
      <c r="L113" s="143">
        <v>127350000</v>
      </c>
      <c r="M113" s="46" t="s">
        <v>466</v>
      </c>
      <c r="N113" s="114">
        <v>99.596999999999994</v>
      </c>
      <c r="O113" s="91">
        <v>6.95</v>
      </c>
      <c r="P113" s="52" t="s">
        <v>801</v>
      </c>
      <c r="Q113" s="48" t="s">
        <v>805</v>
      </c>
      <c r="R113" s="313" t="s">
        <v>806</v>
      </c>
      <c r="S113" s="633">
        <v>40401</v>
      </c>
      <c r="T113" s="633">
        <v>40406</v>
      </c>
      <c r="U113" s="229" t="s">
        <v>760</v>
      </c>
      <c r="W113" s="117">
        <f>L113*N113/100</f>
        <v>126836779.5</v>
      </c>
      <c r="X113" s="143"/>
      <c r="Y113" s="117" t="e">
        <f>W113*#REF!</f>
        <v>#REF!</v>
      </c>
      <c r="Z113" s="70"/>
      <c r="AA113" s="86">
        <v>6.9</v>
      </c>
      <c r="AB113" s="680">
        <v>44789</v>
      </c>
      <c r="AC113" s="104">
        <f t="shared" si="10"/>
        <v>11.682191780821919</v>
      </c>
      <c r="AF113" s="214">
        <f t="shared" si="25"/>
        <v>119</v>
      </c>
      <c r="AG113" s="215" t="e">
        <f t="shared" si="21"/>
        <v>#NUM!</v>
      </c>
      <c r="AH113" s="117" t="e">
        <f t="shared" si="22"/>
        <v>#NUM!</v>
      </c>
    </row>
    <row r="114" spans="1:34" s="74" customFormat="1" ht="16.5">
      <c r="A114" s="73" t="s">
        <v>807</v>
      </c>
      <c r="B114" s="73" t="s">
        <v>808</v>
      </c>
      <c r="C114" s="73"/>
      <c r="D114" s="73"/>
      <c r="E114" s="91">
        <v>102</v>
      </c>
      <c r="F114" s="55" t="s">
        <v>800</v>
      </c>
      <c r="G114" s="53" t="s">
        <v>809</v>
      </c>
      <c r="H114" s="112" t="s">
        <v>727</v>
      </c>
      <c r="I114" s="112" t="s">
        <v>727</v>
      </c>
      <c r="J114" s="319">
        <f>(AB114-S114)/365</f>
        <v>12.021917808219179</v>
      </c>
      <c r="K114" s="46" t="s">
        <v>465</v>
      </c>
      <c r="L114" s="143">
        <v>14150000</v>
      </c>
      <c r="M114" s="46" t="s">
        <v>466</v>
      </c>
      <c r="N114" s="114">
        <v>99.596999999999994</v>
      </c>
      <c r="O114" s="91">
        <v>6.95</v>
      </c>
      <c r="P114" s="52" t="s">
        <v>801</v>
      </c>
      <c r="Q114" s="48" t="s">
        <v>805</v>
      </c>
      <c r="R114" s="313" t="s">
        <v>806</v>
      </c>
      <c r="S114" s="633">
        <v>40401</v>
      </c>
      <c r="T114" s="633">
        <v>40406</v>
      </c>
      <c r="U114" s="229" t="s">
        <v>760</v>
      </c>
      <c r="W114" s="117">
        <f>L114*N114/100</f>
        <v>14092975.5</v>
      </c>
      <c r="X114" s="143"/>
      <c r="Y114" s="117" t="e">
        <f>W114*#REF!</f>
        <v>#REF!</v>
      </c>
      <c r="Z114" s="70"/>
      <c r="AA114" s="86">
        <v>6.9</v>
      </c>
      <c r="AB114" s="680">
        <v>44789</v>
      </c>
      <c r="AC114" s="104">
        <f t="shared" si="10"/>
        <v>11.682191780821919</v>
      </c>
      <c r="AF114" s="214">
        <f t="shared" si="25"/>
        <v>119</v>
      </c>
      <c r="AG114" s="215" t="e">
        <f t="shared" si="21"/>
        <v>#NUM!</v>
      </c>
      <c r="AH114" s="117" t="e">
        <f t="shared" si="22"/>
        <v>#NUM!</v>
      </c>
    </row>
    <row r="115" spans="1:34" s="74" customFormat="1" ht="25.5">
      <c r="A115" s="268" t="s">
        <v>902</v>
      </c>
      <c r="C115" s="73"/>
      <c r="D115" s="73"/>
      <c r="E115" s="91">
        <v>103</v>
      </c>
      <c r="F115" s="55" t="s">
        <v>814</v>
      </c>
      <c r="G115" s="53" t="s">
        <v>813</v>
      </c>
      <c r="H115" s="112" t="s">
        <v>727</v>
      </c>
      <c r="I115" s="112" t="s">
        <v>727</v>
      </c>
      <c r="J115" s="319" t="s">
        <v>812</v>
      </c>
      <c r="K115" s="46" t="s">
        <v>465</v>
      </c>
      <c r="L115" s="105">
        <v>90000000</v>
      </c>
      <c r="M115" s="46" t="s">
        <v>466</v>
      </c>
      <c r="N115" s="114">
        <v>100</v>
      </c>
      <c r="O115" s="91">
        <v>6.8</v>
      </c>
      <c r="P115" s="227" t="s">
        <v>749</v>
      </c>
      <c r="Q115" s="48" t="s">
        <v>810</v>
      </c>
      <c r="R115" s="109" t="s">
        <v>811</v>
      </c>
      <c r="S115" s="633">
        <v>40448</v>
      </c>
      <c r="T115" s="633">
        <v>40463</v>
      </c>
      <c r="U115" s="229" t="s">
        <v>753</v>
      </c>
      <c r="W115" s="117">
        <f>L115*N115/100</f>
        <v>90000000</v>
      </c>
      <c r="X115" s="143"/>
      <c r="Y115" s="117" t="e">
        <f>W115*#REF!</f>
        <v>#REF!</v>
      </c>
      <c r="Z115" s="70"/>
      <c r="AA115" s="86">
        <v>6.8</v>
      </c>
      <c r="AB115" s="680">
        <v>146383</v>
      </c>
      <c r="AC115" s="104">
        <f t="shared" si="10"/>
        <v>290.0219178082192</v>
      </c>
      <c r="AF115" s="214">
        <f t="shared" si="25"/>
        <v>62</v>
      </c>
      <c r="AG115" s="215" t="e">
        <f t="shared" si="21"/>
        <v>#NUM!</v>
      </c>
      <c r="AH115" s="117" t="e">
        <f t="shared" si="22"/>
        <v>#NUM!</v>
      </c>
    </row>
    <row r="116" spans="1:34" s="74" customFormat="1" ht="25.5">
      <c r="A116" s="309" t="s">
        <v>956</v>
      </c>
      <c r="C116" s="309" t="s">
        <v>966</v>
      </c>
      <c r="D116" s="73"/>
      <c r="E116" s="91">
        <v>103</v>
      </c>
      <c r="F116" s="55" t="s">
        <v>814</v>
      </c>
      <c r="G116" s="53" t="s">
        <v>813</v>
      </c>
      <c r="H116" s="112" t="s">
        <v>727</v>
      </c>
      <c r="I116" s="112" t="s">
        <v>727</v>
      </c>
      <c r="J116" s="319" t="s">
        <v>812</v>
      </c>
      <c r="K116" s="46" t="s">
        <v>465</v>
      </c>
      <c r="L116" s="105">
        <v>10000000</v>
      </c>
      <c r="M116" s="46" t="s">
        <v>466</v>
      </c>
      <c r="N116" s="114">
        <v>100</v>
      </c>
      <c r="O116" s="91">
        <v>6.8</v>
      </c>
      <c r="P116" s="227" t="s">
        <v>749</v>
      </c>
      <c r="Q116" s="48" t="s">
        <v>810</v>
      </c>
      <c r="R116" s="109" t="s">
        <v>811</v>
      </c>
      <c r="S116" s="633">
        <v>40448</v>
      </c>
      <c r="T116" s="633">
        <v>40463</v>
      </c>
      <c r="U116" s="229" t="s">
        <v>753</v>
      </c>
      <c r="W116" s="117">
        <f>L116*N116/100</f>
        <v>10000000</v>
      </c>
      <c r="X116" s="143"/>
      <c r="Y116" s="117" t="e">
        <f>W116*#REF!</f>
        <v>#REF!</v>
      </c>
      <c r="Z116" s="70"/>
      <c r="AA116" s="86">
        <v>6.8</v>
      </c>
      <c r="AB116" s="680">
        <v>146383</v>
      </c>
      <c r="AC116" s="104">
        <f t="shared" si="10"/>
        <v>290.0219178082192</v>
      </c>
      <c r="AF116" s="214">
        <f t="shared" si="25"/>
        <v>62</v>
      </c>
      <c r="AG116" s="215" t="e">
        <f t="shared" si="21"/>
        <v>#NUM!</v>
      </c>
      <c r="AH116" s="117" t="e">
        <f t="shared" si="22"/>
        <v>#NUM!</v>
      </c>
    </row>
    <row r="117" spans="1:34" s="74" customFormat="1" ht="25.5">
      <c r="A117" s="268" t="s">
        <v>902</v>
      </c>
      <c r="C117" s="73"/>
      <c r="D117" s="73"/>
      <c r="E117" s="91">
        <v>104</v>
      </c>
      <c r="F117" s="55" t="s">
        <v>815</v>
      </c>
      <c r="G117" s="53" t="s">
        <v>816</v>
      </c>
      <c r="H117" s="112" t="s">
        <v>817</v>
      </c>
      <c r="I117" s="112" t="s">
        <v>818</v>
      </c>
      <c r="J117" s="319">
        <f t="shared" ref="J117:J123" si="26">(AB117-S117)/365</f>
        <v>3.7397260273972601</v>
      </c>
      <c r="K117" s="46" t="s">
        <v>465</v>
      </c>
      <c r="L117" s="105">
        <v>7200000</v>
      </c>
      <c r="M117" s="46" t="s">
        <v>466</v>
      </c>
      <c r="N117" s="114">
        <v>106.75</v>
      </c>
      <c r="O117" s="91">
        <v>7.6284400000000003</v>
      </c>
      <c r="P117" s="227" t="s">
        <v>820</v>
      </c>
      <c r="Q117" s="48" t="s">
        <v>819</v>
      </c>
      <c r="R117" s="109" t="s">
        <v>821</v>
      </c>
      <c r="S117" s="633">
        <v>40478</v>
      </c>
      <c r="T117" s="633">
        <v>40483</v>
      </c>
      <c r="U117" s="229" t="s">
        <v>760</v>
      </c>
      <c r="W117" s="143">
        <f>10940416.67*0.72</f>
        <v>7877100.0023999996</v>
      </c>
      <c r="X117" s="143"/>
      <c r="Y117" s="117" t="e">
        <f>W117*#REF!</f>
        <v>#REF!</v>
      </c>
      <c r="Z117" s="70"/>
      <c r="AA117" s="86">
        <v>9.75</v>
      </c>
      <c r="AB117" s="680">
        <v>41843</v>
      </c>
      <c r="AC117" s="104">
        <f t="shared" si="10"/>
        <v>3.6109589041095891</v>
      </c>
      <c r="AF117" s="214">
        <f t="shared" ref="AF117:AF123" si="27">$AB$4-T117</f>
        <v>42</v>
      </c>
      <c r="AG117" s="215" t="e">
        <f t="shared" si="21"/>
        <v>#NUM!</v>
      </c>
      <c r="AH117" s="117" t="e">
        <f t="shared" si="22"/>
        <v>#NUM!</v>
      </c>
    </row>
    <row r="118" spans="1:34" s="74" customFormat="1" ht="25.5">
      <c r="A118" s="73" t="s">
        <v>822</v>
      </c>
      <c r="B118" s="73">
        <v>0.61</v>
      </c>
      <c r="C118" s="73">
        <v>675</v>
      </c>
      <c r="D118" s="73">
        <v>654</v>
      </c>
      <c r="E118" s="91">
        <v>104</v>
      </c>
      <c r="F118" s="55" t="s">
        <v>815</v>
      </c>
      <c r="G118" s="53" t="s">
        <v>816</v>
      </c>
      <c r="H118" s="112" t="s">
        <v>817</v>
      </c>
      <c r="I118" s="112" t="s">
        <v>818</v>
      </c>
      <c r="J118" s="319">
        <f t="shared" si="26"/>
        <v>3.7397260273972601</v>
      </c>
      <c r="K118" s="46" t="s">
        <v>465</v>
      </c>
      <c r="L118" s="105">
        <v>800000</v>
      </c>
      <c r="M118" s="46" t="s">
        <v>466</v>
      </c>
      <c r="N118" s="114">
        <v>106.75</v>
      </c>
      <c r="O118" s="91">
        <v>7.6284400000000003</v>
      </c>
      <c r="P118" s="227" t="s">
        <v>820</v>
      </c>
      <c r="Q118" s="48" t="s">
        <v>819</v>
      </c>
      <c r="R118" s="109" t="s">
        <v>821</v>
      </c>
      <c r="S118" s="633">
        <v>40478</v>
      </c>
      <c r="T118" s="633">
        <v>40483</v>
      </c>
      <c r="U118" s="229" t="s">
        <v>760</v>
      </c>
      <c r="W118" s="143">
        <f>10940416.67*0.08</f>
        <v>875233.33360000001</v>
      </c>
      <c r="X118" s="143"/>
      <c r="Y118" s="117" t="e">
        <f>W118*#REF!</f>
        <v>#REF!</v>
      </c>
      <c r="Z118" s="70"/>
      <c r="AA118" s="86">
        <v>9.75</v>
      </c>
      <c r="AB118" s="680">
        <v>41843</v>
      </c>
      <c r="AC118" s="104">
        <f t="shared" si="10"/>
        <v>3.6109589041095891</v>
      </c>
      <c r="AF118" s="214">
        <f t="shared" si="27"/>
        <v>42</v>
      </c>
      <c r="AG118" s="215" t="e">
        <f t="shared" si="21"/>
        <v>#NUM!</v>
      </c>
      <c r="AH118" s="117" t="e">
        <f t="shared" si="22"/>
        <v>#NUM!</v>
      </c>
    </row>
    <row r="119" spans="1:34" s="74" customFormat="1" ht="25.5">
      <c r="A119" s="268" t="s">
        <v>902</v>
      </c>
      <c r="C119" s="73"/>
      <c r="D119" s="73"/>
      <c r="E119" s="91">
        <v>105</v>
      </c>
      <c r="F119" s="55" t="s">
        <v>815</v>
      </c>
      <c r="G119" s="53" t="s">
        <v>816</v>
      </c>
      <c r="H119" s="112" t="s">
        <v>817</v>
      </c>
      <c r="I119" s="112" t="s">
        <v>818</v>
      </c>
      <c r="J119" s="319">
        <f t="shared" si="26"/>
        <v>3.7260273972602738</v>
      </c>
      <c r="K119" s="46" t="s">
        <v>465</v>
      </c>
      <c r="L119" s="105">
        <v>1350000</v>
      </c>
      <c r="M119" s="46" t="s">
        <v>466</v>
      </c>
      <c r="N119" s="114">
        <v>107.65</v>
      </c>
      <c r="O119" s="91">
        <v>7.3549686000000003</v>
      </c>
      <c r="P119" s="227" t="s">
        <v>820</v>
      </c>
      <c r="Q119" s="48" t="s">
        <v>819</v>
      </c>
      <c r="R119" s="109" t="s">
        <v>821</v>
      </c>
      <c r="S119" s="633">
        <v>40483</v>
      </c>
      <c r="T119" s="633">
        <v>40486</v>
      </c>
      <c r="U119" s="229" t="s">
        <v>760</v>
      </c>
      <c r="W119" s="143">
        <v>165578.13</v>
      </c>
      <c r="X119" s="143"/>
      <c r="Y119" s="117" t="e">
        <f>W119*#REF!</f>
        <v>#REF!</v>
      </c>
      <c r="Z119" s="70"/>
      <c r="AA119" s="86">
        <v>9.75</v>
      </c>
      <c r="AB119" s="680">
        <v>41843</v>
      </c>
      <c r="AC119" s="104">
        <f t="shared" si="10"/>
        <v>3.6109589041095891</v>
      </c>
      <c r="AF119" s="214">
        <f t="shared" si="27"/>
        <v>39</v>
      </c>
      <c r="AG119" s="215" t="e">
        <f t="shared" si="21"/>
        <v>#NUM!</v>
      </c>
      <c r="AH119" s="117" t="e">
        <f t="shared" si="22"/>
        <v>#NUM!</v>
      </c>
    </row>
    <row r="120" spans="1:34" s="74" customFormat="1" ht="25.5">
      <c r="A120" s="73" t="s">
        <v>822</v>
      </c>
      <c r="B120" s="73">
        <v>0.61</v>
      </c>
      <c r="C120" s="73">
        <v>675</v>
      </c>
      <c r="D120" s="73">
        <v>654</v>
      </c>
      <c r="E120" s="91">
        <v>105</v>
      </c>
      <c r="F120" s="55" t="s">
        <v>815</v>
      </c>
      <c r="G120" s="53" t="s">
        <v>816</v>
      </c>
      <c r="H120" s="112" t="s">
        <v>817</v>
      </c>
      <c r="I120" s="112" t="s">
        <v>818</v>
      </c>
      <c r="J120" s="319">
        <f t="shared" si="26"/>
        <v>3.7260273972602738</v>
      </c>
      <c r="K120" s="46" t="s">
        <v>465</v>
      </c>
      <c r="L120" s="105">
        <v>150000</v>
      </c>
      <c r="M120" s="46" t="s">
        <v>466</v>
      </c>
      <c r="N120" s="114">
        <v>107.65</v>
      </c>
      <c r="O120" s="91">
        <v>7.3549686000000003</v>
      </c>
      <c r="P120" s="227" t="s">
        <v>820</v>
      </c>
      <c r="Q120" s="48" t="s">
        <v>819</v>
      </c>
      <c r="R120" s="109" t="s">
        <v>821</v>
      </c>
      <c r="S120" s="633">
        <v>40483</v>
      </c>
      <c r="T120" s="633">
        <v>40486</v>
      </c>
      <c r="U120" s="229" t="s">
        <v>760</v>
      </c>
      <c r="W120" s="143">
        <v>1490203.13</v>
      </c>
      <c r="X120" s="143"/>
      <c r="Y120" s="117" t="e">
        <f>W120*#REF!</f>
        <v>#REF!</v>
      </c>
      <c r="Z120" s="70"/>
      <c r="AA120" s="86">
        <v>9.75</v>
      </c>
      <c r="AB120" s="680">
        <v>41843</v>
      </c>
      <c r="AC120" s="104">
        <f t="shared" si="10"/>
        <v>3.6109589041095891</v>
      </c>
      <c r="AF120" s="214">
        <f t="shared" si="27"/>
        <v>39</v>
      </c>
      <c r="AG120" s="215" t="e">
        <f t="shared" si="21"/>
        <v>#NUM!</v>
      </c>
      <c r="AH120" s="117" t="e">
        <f t="shared" si="22"/>
        <v>#NUM!</v>
      </c>
    </row>
    <row r="121" spans="1:34" s="74" customFormat="1" ht="16.5">
      <c r="A121" s="268" t="s">
        <v>903</v>
      </c>
      <c r="C121" s="73"/>
      <c r="D121" s="73"/>
      <c r="E121" s="91">
        <v>106</v>
      </c>
      <c r="F121" s="55" t="s">
        <v>815</v>
      </c>
      <c r="G121" s="53" t="s">
        <v>816</v>
      </c>
      <c r="H121" s="112" t="s">
        <v>817</v>
      </c>
      <c r="I121" s="112" t="s">
        <v>818</v>
      </c>
      <c r="J121" s="319">
        <f t="shared" si="26"/>
        <v>3.7232876712328768</v>
      </c>
      <c r="K121" s="46" t="s">
        <v>465</v>
      </c>
      <c r="L121" s="105">
        <v>1800000</v>
      </c>
      <c r="M121" s="46" t="s">
        <v>466</v>
      </c>
      <c r="N121" s="114">
        <v>107.9</v>
      </c>
      <c r="O121" s="91">
        <v>7.268427</v>
      </c>
      <c r="P121" s="227" t="s">
        <v>829</v>
      </c>
      <c r="Q121" s="48" t="s">
        <v>828</v>
      </c>
      <c r="R121" s="109" t="s">
        <v>827</v>
      </c>
      <c r="S121" s="633">
        <v>40484</v>
      </c>
      <c r="T121" s="633">
        <v>40494</v>
      </c>
      <c r="U121" s="229" t="s">
        <v>760</v>
      </c>
      <c r="W121" s="143">
        <v>1995337.5</v>
      </c>
      <c r="X121" s="143"/>
      <c r="Y121" s="117" t="e">
        <f>W121*#REF!</f>
        <v>#REF!</v>
      </c>
      <c r="Z121" s="70"/>
      <c r="AA121" s="86">
        <v>9.75</v>
      </c>
      <c r="AB121" s="680">
        <v>41843</v>
      </c>
      <c r="AC121" s="104">
        <f t="shared" si="10"/>
        <v>3.6109589041095891</v>
      </c>
      <c r="AF121" s="214">
        <f t="shared" si="27"/>
        <v>31</v>
      </c>
      <c r="AG121" s="215" t="e">
        <f t="shared" si="21"/>
        <v>#NUM!</v>
      </c>
      <c r="AH121" s="117" t="e">
        <f t="shared" si="22"/>
        <v>#NUM!</v>
      </c>
    </row>
    <row r="122" spans="1:34" s="74" customFormat="1" ht="16.5">
      <c r="A122" s="73" t="s">
        <v>822</v>
      </c>
      <c r="B122" s="73">
        <v>0.61</v>
      </c>
      <c r="C122" s="73">
        <v>675</v>
      </c>
      <c r="D122" s="73">
        <v>654</v>
      </c>
      <c r="E122" s="91">
        <v>106</v>
      </c>
      <c r="F122" s="55" t="s">
        <v>815</v>
      </c>
      <c r="G122" s="53" t="s">
        <v>816</v>
      </c>
      <c r="H122" s="112" t="s">
        <v>817</v>
      </c>
      <c r="I122" s="112" t="s">
        <v>818</v>
      </c>
      <c r="J122" s="319">
        <f t="shared" si="26"/>
        <v>3.7232876712328768</v>
      </c>
      <c r="K122" s="46" t="s">
        <v>465</v>
      </c>
      <c r="L122" s="105">
        <v>200000</v>
      </c>
      <c r="M122" s="46" t="s">
        <v>466</v>
      </c>
      <c r="N122" s="114">
        <v>107.9</v>
      </c>
      <c r="O122" s="91">
        <v>7.268427</v>
      </c>
      <c r="P122" s="227" t="s">
        <v>829</v>
      </c>
      <c r="Q122" s="48" t="s">
        <v>828</v>
      </c>
      <c r="R122" s="109" t="s">
        <v>827</v>
      </c>
      <c r="S122" s="633">
        <v>40484</v>
      </c>
      <c r="T122" s="633">
        <v>40494</v>
      </c>
      <c r="U122" s="229" t="s">
        <v>760</v>
      </c>
      <c r="W122" s="143">
        <v>221704.17</v>
      </c>
      <c r="X122" s="143"/>
      <c r="Y122" s="117" t="e">
        <f>W122*#REF!</f>
        <v>#REF!</v>
      </c>
      <c r="Z122" s="70"/>
      <c r="AA122" s="86">
        <v>9.75</v>
      </c>
      <c r="AB122" s="680">
        <v>41843</v>
      </c>
      <c r="AC122" s="104">
        <f t="shared" si="10"/>
        <v>3.6109589041095891</v>
      </c>
      <c r="AF122" s="214">
        <f t="shared" si="27"/>
        <v>31</v>
      </c>
      <c r="AG122" s="215" t="e">
        <f t="shared" si="21"/>
        <v>#NUM!</v>
      </c>
      <c r="AH122" s="117" t="e">
        <f t="shared" si="22"/>
        <v>#NUM!</v>
      </c>
    </row>
    <row r="123" spans="1:34" s="74" customFormat="1" ht="16.5">
      <c r="A123" s="268" t="s">
        <v>902</v>
      </c>
      <c r="C123" s="73"/>
      <c r="D123" s="73"/>
      <c r="E123" s="91">
        <v>107</v>
      </c>
      <c r="F123" s="55" t="s">
        <v>826</v>
      </c>
      <c r="G123" s="53" t="s">
        <v>793</v>
      </c>
      <c r="H123" s="112" t="s">
        <v>727</v>
      </c>
      <c r="I123" s="112" t="s">
        <v>727</v>
      </c>
      <c r="J123" s="319">
        <f t="shared" si="26"/>
        <v>2.6794520547945204</v>
      </c>
      <c r="K123" s="46" t="s">
        <v>465</v>
      </c>
      <c r="L123" s="105">
        <v>225000000</v>
      </c>
      <c r="M123" s="46" t="s">
        <v>794</v>
      </c>
      <c r="N123" s="114">
        <v>100</v>
      </c>
      <c r="O123" s="91">
        <v>10</v>
      </c>
      <c r="P123" s="52" t="s">
        <v>795</v>
      </c>
      <c r="Q123" s="48" t="s">
        <v>796</v>
      </c>
      <c r="R123" s="109" t="s">
        <v>832</v>
      </c>
      <c r="S123" s="633">
        <v>40485</v>
      </c>
      <c r="T123" s="633">
        <v>40490</v>
      </c>
      <c r="U123" s="229" t="s">
        <v>760</v>
      </c>
      <c r="W123" s="117">
        <f>L123</f>
        <v>225000000</v>
      </c>
      <c r="X123" s="143">
        <v>1</v>
      </c>
      <c r="Y123" s="117">
        <f>W123*X123</f>
        <v>225000000</v>
      </c>
      <c r="Z123" s="70"/>
      <c r="AA123" s="86">
        <v>10</v>
      </c>
      <c r="AB123" s="680">
        <v>41463</v>
      </c>
      <c r="AC123" s="104">
        <f t="shared" si="10"/>
        <v>2.56986301369863</v>
      </c>
      <c r="AF123" s="214">
        <f t="shared" si="27"/>
        <v>35</v>
      </c>
      <c r="AG123" s="215" t="e">
        <f t="shared" si="21"/>
        <v>#NUM!</v>
      </c>
      <c r="AH123" s="117" t="e">
        <f t="shared" si="22"/>
        <v>#NUM!</v>
      </c>
    </row>
    <row r="124" spans="1:34" s="74" customFormat="1" ht="16.5">
      <c r="A124" s="73" t="s">
        <v>823</v>
      </c>
      <c r="B124" s="73" t="s">
        <v>824</v>
      </c>
      <c r="C124" s="73"/>
      <c r="D124" s="73"/>
      <c r="E124" s="91">
        <v>107</v>
      </c>
      <c r="F124" s="55" t="s">
        <v>792</v>
      </c>
      <c r="G124" s="53" t="s">
        <v>793</v>
      </c>
      <c r="H124" s="112" t="s">
        <v>727</v>
      </c>
      <c r="I124" s="112" t="s">
        <v>727</v>
      </c>
      <c r="J124" s="319">
        <f>(AB124-S124)/365</f>
        <v>2.6794520547945204</v>
      </c>
      <c r="K124" s="46" t="s">
        <v>465</v>
      </c>
      <c r="L124" s="105">
        <v>25000000</v>
      </c>
      <c r="M124" s="46" t="s">
        <v>794</v>
      </c>
      <c r="N124" s="114">
        <v>100</v>
      </c>
      <c r="O124" s="91">
        <v>10</v>
      </c>
      <c r="P124" s="52" t="s">
        <v>795</v>
      </c>
      <c r="Q124" s="48" t="s">
        <v>796</v>
      </c>
      <c r="R124" s="109" t="s">
        <v>832</v>
      </c>
      <c r="S124" s="633">
        <v>40485</v>
      </c>
      <c r="T124" s="633">
        <v>40490</v>
      </c>
      <c r="U124" s="229" t="s">
        <v>760</v>
      </c>
      <c r="W124" s="117">
        <f>L124</f>
        <v>25000000</v>
      </c>
      <c r="X124" s="143">
        <v>1</v>
      </c>
      <c r="Y124" s="117">
        <f>W124*X124</f>
        <v>25000000</v>
      </c>
      <c r="Z124" s="70"/>
      <c r="AA124" s="86">
        <v>10</v>
      </c>
      <c r="AB124" s="680">
        <v>41463</v>
      </c>
      <c r="AC124" s="104">
        <f t="shared" si="10"/>
        <v>2.56986301369863</v>
      </c>
      <c r="AF124" s="214">
        <f>$AB$4-T124</f>
        <v>35</v>
      </c>
      <c r="AG124" s="215" t="e">
        <f t="shared" si="21"/>
        <v>#NUM!</v>
      </c>
      <c r="AH124" s="117" t="e">
        <f t="shared" si="22"/>
        <v>#NUM!</v>
      </c>
    </row>
    <row r="125" spans="1:34" s="74" customFormat="1" ht="25.5">
      <c r="A125" s="268" t="s">
        <v>902</v>
      </c>
      <c r="C125" s="73"/>
      <c r="D125" s="73"/>
      <c r="E125" s="91">
        <v>106</v>
      </c>
      <c r="F125" s="55" t="s">
        <v>815</v>
      </c>
      <c r="G125" s="53" t="s">
        <v>816</v>
      </c>
      <c r="H125" s="112" t="s">
        <v>817</v>
      </c>
      <c r="I125" s="112" t="s">
        <v>818</v>
      </c>
      <c r="J125" s="319">
        <f>(AB125-S125)/365</f>
        <v>3.7205479452054795</v>
      </c>
      <c r="K125" s="46" t="s">
        <v>465</v>
      </c>
      <c r="L125" s="105">
        <v>4500000</v>
      </c>
      <c r="M125" s="46" t="s">
        <v>466</v>
      </c>
      <c r="N125" s="114">
        <v>108.45</v>
      </c>
      <c r="O125" s="91">
        <v>7.1112101000000001</v>
      </c>
      <c r="P125" s="227" t="s">
        <v>831</v>
      </c>
      <c r="Q125" s="48" t="s">
        <v>830</v>
      </c>
      <c r="R125" s="109" t="s">
        <v>833</v>
      </c>
      <c r="S125" s="633">
        <v>40485</v>
      </c>
      <c r="T125" s="633">
        <v>40490</v>
      </c>
      <c r="U125" s="229" t="s">
        <v>760</v>
      </c>
      <c r="W125" s="143">
        <v>5008218.75</v>
      </c>
      <c r="X125" s="143"/>
      <c r="Y125" s="117" t="e">
        <f>W125*#REF!</f>
        <v>#REF!</v>
      </c>
      <c r="Z125" s="70"/>
      <c r="AA125" s="86">
        <v>9.75</v>
      </c>
      <c r="AB125" s="680">
        <v>41843</v>
      </c>
      <c r="AC125" s="104">
        <f t="shared" si="10"/>
        <v>3.6109589041095891</v>
      </c>
      <c r="AF125" s="214">
        <f>$AB$4-T125</f>
        <v>35</v>
      </c>
      <c r="AG125" s="215" t="e">
        <f t="shared" si="21"/>
        <v>#NUM!</v>
      </c>
      <c r="AH125" s="117" t="e">
        <f t="shared" si="22"/>
        <v>#NUM!</v>
      </c>
    </row>
    <row r="126" spans="1:34" s="74" customFormat="1" ht="25.5">
      <c r="A126" s="73" t="s">
        <v>822</v>
      </c>
      <c r="B126" s="73">
        <v>0.61</v>
      </c>
      <c r="C126" s="73">
        <v>675</v>
      </c>
      <c r="D126" s="73">
        <v>654</v>
      </c>
      <c r="E126" s="91">
        <v>106</v>
      </c>
      <c r="F126" s="55" t="s">
        <v>815</v>
      </c>
      <c r="G126" s="53" t="s">
        <v>816</v>
      </c>
      <c r="H126" s="112" t="s">
        <v>817</v>
      </c>
      <c r="I126" s="112" t="s">
        <v>818</v>
      </c>
      <c r="J126" s="319">
        <f t="shared" ref="J126:J132" si="28">(AB126-S126)/365</f>
        <v>3.7205479452054795</v>
      </c>
      <c r="K126" s="46" t="s">
        <v>465</v>
      </c>
      <c r="L126" s="105">
        <v>500000</v>
      </c>
      <c r="M126" s="46" t="s">
        <v>466</v>
      </c>
      <c r="N126" s="114">
        <v>108.45</v>
      </c>
      <c r="O126" s="91">
        <v>7.1112101000000001</v>
      </c>
      <c r="P126" s="227" t="s">
        <v>831</v>
      </c>
      <c r="Q126" s="48" t="s">
        <v>830</v>
      </c>
      <c r="R126" s="109" t="s">
        <v>833</v>
      </c>
      <c r="S126" s="633">
        <v>40485</v>
      </c>
      <c r="T126" s="633">
        <v>40490</v>
      </c>
      <c r="U126" s="229" t="s">
        <v>760</v>
      </c>
      <c r="W126" s="143">
        <v>556468.75</v>
      </c>
      <c r="X126" s="143"/>
      <c r="Y126" s="117" t="e">
        <f>W126*#REF!</f>
        <v>#REF!</v>
      </c>
      <c r="Z126" s="70"/>
      <c r="AA126" s="86">
        <v>9.75</v>
      </c>
      <c r="AB126" s="680">
        <v>41843</v>
      </c>
      <c r="AC126" s="104">
        <f t="shared" si="10"/>
        <v>3.6109589041095891</v>
      </c>
      <c r="AF126" s="214">
        <f t="shared" ref="AF126:AF132" si="29">$AB$4-T126</f>
        <v>35</v>
      </c>
      <c r="AG126" s="215" t="e">
        <f t="shared" si="21"/>
        <v>#NUM!</v>
      </c>
      <c r="AH126" s="117" t="e">
        <f t="shared" si="22"/>
        <v>#NUM!</v>
      </c>
    </row>
    <row r="127" spans="1:34" s="74" customFormat="1" ht="25.5">
      <c r="A127" s="268" t="s">
        <v>902</v>
      </c>
      <c r="C127" s="73"/>
      <c r="D127" s="73"/>
      <c r="E127" s="91">
        <v>108</v>
      </c>
      <c r="F127" s="55" t="s">
        <v>815</v>
      </c>
      <c r="G127" s="53" t="s">
        <v>816</v>
      </c>
      <c r="H127" s="112" t="s">
        <v>817</v>
      </c>
      <c r="I127" s="112" t="s">
        <v>818</v>
      </c>
      <c r="J127" s="319">
        <f t="shared" si="28"/>
        <v>3.6958904109589041</v>
      </c>
      <c r="K127" s="46" t="s">
        <v>465</v>
      </c>
      <c r="L127" s="105">
        <v>13950000</v>
      </c>
      <c r="M127" s="46" t="s">
        <v>466</v>
      </c>
      <c r="N127" s="114">
        <v>108.175</v>
      </c>
      <c r="O127" s="91">
        <v>7.1785594000000001</v>
      </c>
      <c r="P127" s="227" t="s">
        <v>831</v>
      </c>
      <c r="Q127" s="48" t="s">
        <v>830</v>
      </c>
      <c r="R127" s="109" t="s">
        <v>833</v>
      </c>
      <c r="S127" s="633">
        <v>40494</v>
      </c>
      <c r="T127" s="633">
        <v>40499</v>
      </c>
      <c r="U127" s="229" t="s">
        <v>760</v>
      </c>
      <c r="W127" s="143">
        <v>15521118.75</v>
      </c>
      <c r="X127" s="143"/>
      <c r="Y127" s="117" t="e">
        <f>W127*#REF!</f>
        <v>#REF!</v>
      </c>
      <c r="Z127" s="70"/>
      <c r="AA127" s="86">
        <v>9.75</v>
      </c>
      <c r="AB127" s="680">
        <v>41843</v>
      </c>
      <c r="AC127" s="104">
        <f t="shared" si="10"/>
        <v>3.6109589041095891</v>
      </c>
      <c r="AF127" s="214">
        <f t="shared" si="29"/>
        <v>26</v>
      </c>
      <c r="AG127" s="215" t="e">
        <f t="shared" si="21"/>
        <v>#NUM!</v>
      </c>
      <c r="AH127" s="117" t="e">
        <f t="shared" si="22"/>
        <v>#NUM!</v>
      </c>
    </row>
    <row r="128" spans="1:34" s="74" customFormat="1" ht="25.5">
      <c r="A128" s="73"/>
      <c r="B128" s="73" t="s">
        <v>836</v>
      </c>
      <c r="C128" s="73"/>
      <c r="D128" s="73"/>
      <c r="E128" s="91">
        <v>108</v>
      </c>
      <c r="F128" s="55" t="s">
        <v>815</v>
      </c>
      <c r="G128" s="53" t="s">
        <v>816</v>
      </c>
      <c r="H128" s="112" t="s">
        <v>817</v>
      </c>
      <c r="I128" s="112" t="s">
        <v>818</v>
      </c>
      <c r="J128" s="319">
        <f t="shared" si="28"/>
        <v>3.6958904109589041</v>
      </c>
      <c r="K128" s="46" t="s">
        <v>465</v>
      </c>
      <c r="L128" s="105">
        <v>1550000</v>
      </c>
      <c r="M128" s="46" t="s">
        <v>466</v>
      </c>
      <c r="N128" s="114">
        <v>108.175</v>
      </c>
      <c r="O128" s="91">
        <v>7.1785594000000001</v>
      </c>
      <c r="P128" s="227" t="s">
        <v>831</v>
      </c>
      <c r="Q128" s="48" t="s">
        <v>830</v>
      </c>
      <c r="R128" s="109" t="s">
        <v>833</v>
      </c>
      <c r="S128" s="633">
        <v>40494</v>
      </c>
      <c r="T128" s="633">
        <v>40499</v>
      </c>
      <c r="U128" s="229" t="s">
        <v>760</v>
      </c>
      <c r="W128" s="143">
        <v>1724568.75</v>
      </c>
      <c r="X128" s="143"/>
      <c r="Y128" s="117" t="e">
        <f>W128*#REF!</f>
        <v>#REF!</v>
      </c>
      <c r="Z128" s="70"/>
      <c r="AA128" s="86">
        <v>9.75</v>
      </c>
      <c r="AB128" s="680">
        <v>41843</v>
      </c>
      <c r="AC128" s="104">
        <f t="shared" si="10"/>
        <v>3.6109589041095891</v>
      </c>
      <c r="AF128" s="214">
        <f t="shared" si="29"/>
        <v>26</v>
      </c>
      <c r="AG128" s="215" t="e">
        <f t="shared" si="21"/>
        <v>#NUM!</v>
      </c>
      <c r="AH128" s="117" t="e">
        <f t="shared" si="22"/>
        <v>#NUM!</v>
      </c>
    </row>
    <row r="129" spans="1:34" s="74" customFormat="1" ht="25.5">
      <c r="A129" s="268" t="s">
        <v>902</v>
      </c>
      <c r="C129" s="73"/>
      <c r="D129" s="73"/>
      <c r="E129" s="91">
        <v>109</v>
      </c>
      <c r="F129" s="55" t="s">
        <v>815</v>
      </c>
      <c r="G129" s="53" t="s">
        <v>816</v>
      </c>
      <c r="H129" s="112" t="s">
        <v>817</v>
      </c>
      <c r="I129" s="112" t="s">
        <v>818</v>
      </c>
      <c r="J129" s="319">
        <f t="shared" si="28"/>
        <v>3.6876712328767125</v>
      </c>
      <c r="K129" s="46" t="s">
        <v>465</v>
      </c>
      <c r="L129" s="105">
        <v>6300000</v>
      </c>
      <c r="M129" s="46" t="s">
        <v>466</v>
      </c>
      <c r="N129" s="114">
        <v>108</v>
      </c>
      <c r="O129" s="91">
        <v>7.2293215000000002</v>
      </c>
      <c r="P129" s="227" t="s">
        <v>831</v>
      </c>
      <c r="Q129" s="48" t="s">
        <v>830</v>
      </c>
      <c r="R129" s="109" t="s">
        <v>833</v>
      </c>
      <c r="S129" s="633">
        <v>40497</v>
      </c>
      <c r="T129" s="633">
        <v>40500</v>
      </c>
      <c r="U129" s="229" t="s">
        <v>760</v>
      </c>
      <c r="W129" s="143">
        <v>7000218.75</v>
      </c>
      <c r="X129" s="143"/>
      <c r="Y129" s="117" t="e">
        <f>W129*#REF!</f>
        <v>#REF!</v>
      </c>
      <c r="Z129" s="70"/>
      <c r="AA129" s="86">
        <v>9.75</v>
      </c>
      <c r="AB129" s="680">
        <v>41843</v>
      </c>
      <c r="AC129" s="104">
        <f t="shared" si="10"/>
        <v>3.6109589041095891</v>
      </c>
      <c r="AF129" s="214">
        <f t="shared" si="29"/>
        <v>25</v>
      </c>
      <c r="AG129" s="215" t="e">
        <f t="shared" si="21"/>
        <v>#NUM!</v>
      </c>
      <c r="AH129" s="117" t="e">
        <f t="shared" si="22"/>
        <v>#NUM!</v>
      </c>
    </row>
    <row r="130" spans="1:34" s="74" customFormat="1" ht="25.5">
      <c r="A130" s="73"/>
      <c r="B130" s="73" t="s">
        <v>837</v>
      </c>
      <c r="C130" s="73">
        <v>616</v>
      </c>
      <c r="D130" s="73">
        <v>591</v>
      </c>
      <c r="E130" s="91">
        <v>109</v>
      </c>
      <c r="F130" s="55" t="s">
        <v>815</v>
      </c>
      <c r="G130" s="53" t="s">
        <v>816</v>
      </c>
      <c r="H130" s="112" t="s">
        <v>817</v>
      </c>
      <c r="I130" s="112" t="s">
        <v>818</v>
      </c>
      <c r="J130" s="319">
        <f t="shared" si="28"/>
        <v>3.6876712328767125</v>
      </c>
      <c r="K130" s="46" t="s">
        <v>465</v>
      </c>
      <c r="L130" s="105">
        <v>700000</v>
      </c>
      <c r="M130" s="46" t="s">
        <v>466</v>
      </c>
      <c r="N130" s="114">
        <v>108</v>
      </c>
      <c r="O130" s="91">
        <v>7.2293215000000002</v>
      </c>
      <c r="P130" s="227" t="s">
        <v>831</v>
      </c>
      <c r="Q130" s="48" t="s">
        <v>830</v>
      </c>
      <c r="R130" s="109" t="s">
        <v>833</v>
      </c>
      <c r="S130" s="633">
        <v>40497</v>
      </c>
      <c r="T130" s="633">
        <v>40500</v>
      </c>
      <c r="U130" s="229" t="s">
        <v>760</v>
      </c>
      <c r="W130" s="143">
        <v>777802.08</v>
      </c>
      <c r="X130" s="143"/>
      <c r="Y130" s="117" t="e">
        <f>W130*#REF!</f>
        <v>#REF!</v>
      </c>
      <c r="Z130" s="70"/>
      <c r="AA130" s="86">
        <v>9.75</v>
      </c>
      <c r="AB130" s="680">
        <v>41843</v>
      </c>
      <c r="AC130" s="104">
        <f t="shared" si="10"/>
        <v>3.6109589041095891</v>
      </c>
      <c r="AF130" s="214">
        <f t="shared" si="29"/>
        <v>25</v>
      </c>
      <c r="AG130" s="215" t="e">
        <f t="shared" si="21"/>
        <v>#NUM!</v>
      </c>
      <c r="AH130" s="117" t="e">
        <f t="shared" si="22"/>
        <v>#NUM!</v>
      </c>
    </row>
    <row r="131" spans="1:34" s="74" customFormat="1" ht="25.5">
      <c r="A131" s="268" t="s">
        <v>903</v>
      </c>
      <c r="C131" s="73"/>
      <c r="D131" s="73"/>
      <c r="E131" s="91">
        <v>110</v>
      </c>
      <c r="F131" s="55" t="s">
        <v>815</v>
      </c>
      <c r="G131" s="53" t="s">
        <v>816</v>
      </c>
      <c r="H131" s="112" t="s">
        <v>817</v>
      </c>
      <c r="I131" s="112" t="s">
        <v>818</v>
      </c>
      <c r="J131" s="319">
        <f t="shared" si="28"/>
        <v>3.6849315068493151</v>
      </c>
      <c r="K131" s="46" t="s">
        <v>465</v>
      </c>
      <c r="L131" s="341">
        <v>1800000</v>
      </c>
      <c r="M131" s="91" t="s">
        <v>466</v>
      </c>
      <c r="N131" s="114">
        <v>106.97</v>
      </c>
      <c r="O131" s="91">
        <v>7.5287287999999997</v>
      </c>
      <c r="P131" s="227" t="s">
        <v>843</v>
      </c>
      <c r="Q131" s="48" t="s">
        <v>776</v>
      </c>
      <c r="R131" s="109" t="s">
        <v>777</v>
      </c>
      <c r="S131" s="1455">
        <v>40498</v>
      </c>
      <c r="T131" s="1455">
        <v>40508</v>
      </c>
      <c r="U131" s="229" t="s">
        <v>760</v>
      </c>
      <c r="W131" s="143">
        <v>1985422.5</v>
      </c>
      <c r="X131" s="143"/>
      <c r="Y131" s="117" t="e">
        <f>W131*#REF!</f>
        <v>#REF!</v>
      </c>
      <c r="Z131" s="70"/>
      <c r="AA131" s="86">
        <v>9.75</v>
      </c>
      <c r="AB131" s="680">
        <v>41843</v>
      </c>
      <c r="AC131" s="104">
        <f t="shared" si="10"/>
        <v>3.6109589041095891</v>
      </c>
      <c r="AF131" s="214">
        <f t="shared" si="29"/>
        <v>17</v>
      </c>
      <c r="AG131" s="215" t="e">
        <f t="shared" si="21"/>
        <v>#NUM!</v>
      </c>
      <c r="AH131" s="117" t="e">
        <f t="shared" si="22"/>
        <v>#NUM!</v>
      </c>
    </row>
    <row r="132" spans="1:34" s="74" customFormat="1" ht="25.5">
      <c r="A132" s="73"/>
      <c r="B132" s="73" t="s">
        <v>838</v>
      </c>
      <c r="C132" s="73"/>
      <c r="D132" s="73"/>
      <c r="E132" s="277">
        <f>E131</f>
        <v>110</v>
      </c>
      <c r="F132" s="55" t="s">
        <v>815</v>
      </c>
      <c r="G132" s="53" t="s">
        <v>816</v>
      </c>
      <c r="H132" s="112" t="s">
        <v>817</v>
      </c>
      <c r="I132" s="112" t="s">
        <v>818</v>
      </c>
      <c r="J132" s="319">
        <f t="shared" si="28"/>
        <v>3.6849315068493151</v>
      </c>
      <c r="K132" s="46" t="s">
        <v>465</v>
      </c>
      <c r="L132" s="105">
        <v>200000</v>
      </c>
      <c r="M132" s="46" t="s">
        <v>466</v>
      </c>
      <c r="N132" s="114">
        <v>106.97</v>
      </c>
      <c r="O132" s="91">
        <v>7.5287287999999997</v>
      </c>
      <c r="P132" s="227" t="s">
        <v>843</v>
      </c>
      <c r="Q132" s="48" t="s">
        <v>776</v>
      </c>
      <c r="R132" s="109" t="s">
        <v>777</v>
      </c>
      <c r="S132" s="633">
        <v>40498</v>
      </c>
      <c r="T132" s="633">
        <v>40508</v>
      </c>
      <c r="U132" s="229" t="s">
        <v>760</v>
      </c>
      <c r="W132" s="143">
        <v>220602.5</v>
      </c>
      <c r="X132" s="143"/>
      <c r="Y132" s="117" t="e">
        <f>W132*#REF!</f>
        <v>#REF!</v>
      </c>
      <c r="Z132" s="70"/>
      <c r="AA132" s="86">
        <v>9.75</v>
      </c>
      <c r="AB132" s="680">
        <v>41843</v>
      </c>
      <c r="AC132" s="104">
        <f>(AB132-$AB$4)/365</f>
        <v>3.6109589041095891</v>
      </c>
      <c r="AF132" s="214">
        <f t="shared" si="29"/>
        <v>17</v>
      </c>
      <c r="AG132" s="215" t="e">
        <f t="shared" si="21"/>
        <v>#NUM!</v>
      </c>
      <c r="AH132" s="117" t="e">
        <f t="shared" si="22"/>
        <v>#NUM!</v>
      </c>
    </row>
    <row r="133" spans="1:34" s="74" customFormat="1" ht="25.5">
      <c r="A133" s="268" t="s">
        <v>902</v>
      </c>
      <c r="C133" s="73"/>
      <c r="D133" s="73"/>
      <c r="E133" s="91">
        <v>111</v>
      </c>
      <c r="F133" s="55" t="s">
        <v>815</v>
      </c>
      <c r="G133" s="53" t="s">
        <v>816</v>
      </c>
      <c r="H133" s="112" t="s">
        <v>817</v>
      </c>
      <c r="I133" s="112" t="s">
        <v>818</v>
      </c>
      <c r="J133" s="319">
        <f t="shared" ref="J133:J139" si="30">(AB133-S133)/365</f>
        <v>3.6821917808219178</v>
      </c>
      <c r="K133" s="46" t="s">
        <v>465</v>
      </c>
      <c r="L133" s="105">
        <v>8100000</v>
      </c>
      <c r="M133" s="46" t="s">
        <v>466</v>
      </c>
      <c r="N133" s="114">
        <v>108.136</v>
      </c>
      <c r="O133" s="91">
        <v>7.1823423000000002</v>
      </c>
      <c r="P133" s="227" t="s">
        <v>831</v>
      </c>
      <c r="Q133" s="48" t="s">
        <v>830</v>
      </c>
      <c r="R133" s="109" t="s">
        <v>833</v>
      </c>
      <c r="S133" s="633">
        <v>40499</v>
      </c>
      <c r="T133" s="633">
        <v>40504</v>
      </c>
      <c r="U133" s="229" t="s">
        <v>760</v>
      </c>
      <c r="W133" s="143">
        <v>9020072.25</v>
      </c>
      <c r="X133" s="143"/>
      <c r="Y133" s="117" t="e">
        <f>W133*#REF!</f>
        <v>#REF!</v>
      </c>
      <c r="Z133" s="70"/>
      <c r="AA133" s="86">
        <v>9.75</v>
      </c>
      <c r="AB133" s="680">
        <v>41843</v>
      </c>
      <c r="AC133" s="104">
        <f t="shared" si="10"/>
        <v>3.6109589041095891</v>
      </c>
      <c r="AF133" s="214">
        <f t="shared" ref="AF133:AF139" si="31">$AB$4-T133</f>
        <v>21</v>
      </c>
      <c r="AG133" s="215" t="e">
        <f t="shared" si="21"/>
        <v>#NUM!</v>
      </c>
      <c r="AH133" s="117" t="e">
        <f t="shared" si="22"/>
        <v>#NUM!</v>
      </c>
    </row>
    <row r="134" spans="1:34" s="74" customFormat="1" ht="25.5">
      <c r="A134" s="73" t="s">
        <v>839</v>
      </c>
      <c r="B134" s="73">
        <v>0.78</v>
      </c>
      <c r="C134" s="73">
        <v>617</v>
      </c>
      <c r="D134" s="73">
        <v>593</v>
      </c>
      <c r="E134" s="277">
        <f>E133</f>
        <v>111</v>
      </c>
      <c r="F134" s="55" t="s">
        <v>815</v>
      </c>
      <c r="G134" s="53" t="s">
        <v>816</v>
      </c>
      <c r="H134" s="112" t="s">
        <v>817</v>
      </c>
      <c r="I134" s="112" t="s">
        <v>818</v>
      </c>
      <c r="J134" s="319">
        <f t="shared" si="30"/>
        <v>3.6821917808219178</v>
      </c>
      <c r="K134" s="46" t="s">
        <v>465</v>
      </c>
      <c r="L134" s="105">
        <v>900000</v>
      </c>
      <c r="M134" s="46" t="s">
        <v>466</v>
      </c>
      <c r="N134" s="114">
        <v>108.136</v>
      </c>
      <c r="O134" s="91">
        <v>7.1823423000000002</v>
      </c>
      <c r="P134" s="227" t="s">
        <v>831</v>
      </c>
      <c r="Q134" s="48" t="s">
        <v>830</v>
      </c>
      <c r="R134" s="109" t="s">
        <v>833</v>
      </c>
      <c r="S134" s="633">
        <v>40499</v>
      </c>
      <c r="T134" s="633">
        <v>40504</v>
      </c>
      <c r="U134" s="229" t="s">
        <v>760</v>
      </c>
      <c r="W134" s="143">
        <v>1002230.25</v>
      </c>
      <c r="X134" s="143"/>
      <c r="Y134" s="117" t="e">
        <f>W134*#REF!</f>
        <v>#REF!</v>
      </c>
      <c r="Z134" s="70"/>
      <c r="AA134" s="86">
        <v>9.75</v>
      </c>
      <c r="AB134" s="680">
        <v>41843</v>
      </c>
      <c r="AC134" s="104">
        <f>(AB134-$AB$4)/365</f>
        <v>3.6109589041095891</v>
      </c>
      <c r="AF134" s="214">
        <f t="shared" si="31"/>
        <v>21</v>
      </c>
      <c r="AG134" s="215" t="e">
        <f t="shared" si="21"/>
        <v>#NUM!</v>
      </c>
      <c r="AH134" s="117" t="e">
        <f t="shared" si="22"/>
        <v>#NUM!</v>
      </c>
    </row>
    <row r="135" spans="1:34" s="74" customFormat="1" ht="25.5">
      <c r="A135" s="268" t="s">
        <v>902</v>
      </c>
      <c r="C135" s="73"/>
      <c r="D135" s="73"/>
      <c r="E135" s="91">
        <v>112</v>
      </c>
      <c r="F135" s="55" t="s">
        <v>815</v>
      </c>
      <c r="G135" s="53" t="s">
        <v>816</v>
      </c>
      <c r="H135" s="112" t="s">
        <v>817</v>
      </c>
      <c r="I135" s="112" t="s">
        <v>818</v>
      </c>
      <c r="J135" s="319">
        <f t="shared" si="30"/>
        <v>3.6657534246575341</v>
      </c>
      <c r="K135" s="46" t="s">
        <v>465</v>
      </c>
      <c r="L135" s="105">
        <v>900000</v>
      </c>
      <c r="M135" s="46" t="s">
        <v>466</v>
      </c>
      <c r="N135" s="114">
        <v>108</v>
      </c>
      <c r="O135" s="91">
        <v>7.212269</v>
      </c>
      <c r="P135" s="227" t="s">
        <v>843</v>
      </c>
      <c r="Q135" s="48" t="s">
        <v>841</v>
      </c>
      <c r="R135" s="109" t="s">
        <v>842</v>
      </c>
      <c r="S135" s="633">
        <v>40505</v>
      </c>
      <c r="T135" s="633">
        <v>40511</v>
      </c>
      <c r="U135" s="229" t="s">
        <v>760</v>
      </c>
      <c r="W135" s="143">
        <v>9020072.25</v>
      </c>
      <c r="X135" s="143"/>
      <c r="Y135" s="117" t="e">
        <f>W135*#REF!</f>
        <v>#REF!</v>
      </c>
      <c r="Z135" s="70"/>
      <c r="AA135" s="86">
        <v>9.75</v>
      </c>
      <c r="AB135" s="680">
        <v>41843</v>
      </c>
      <c r="AC135" s="104">
        <f t="shared" si="10"/>
        <v>3.6109589041095891</v>
      </c>
      <c r="AF135" s="214">
        <f t="shared" si="31"/>
        <v>14</v>
      </c>
      <c r="AG135" s="215" t="e">
        <f t="shared" si="21"/>
        <v>#NUM!</v>
      </c>
      <c r="AH135" s="117" t="e">
        <f t="shared" si="22"/>
        <v>#NUM!</v>
      </c>
    </row>
    <row r="136" spans="1:34" s="74" customFormat="1" ht="25.5">
      <c r="A136" s="73" t="s">
        <v>840</v>
      </c>
      <c r="B136" s="73">
        <v>0.7</v>
      </c>
      <c r="C136" s="73">
        <v>626</v>
      </c>
      <c r="D136" s="73">
        <v>606</v>
      </c>
      <c r="E136" s="277">
        <f>E135</f>
        <v>112</v>
      </c>
      <c r="F136" s="55" t="s">
        <v>815</v>
      </c>
      <c r="G136" s="53" t="s">
        <v>816</v>
      </c>
      <c r="H136" s="112" t="s">
        <v>817</v>
      </c>
      <c r="I136" s="112" t="s">
        <v>818</v>
      </c>
      <c r="J136" s="319">
        <f t="shared" si="30"/>
        <v>3.6657534246575341</v>
      </c>
      <c r="K136" s="46" t="s">
        <v>465</v>
      </c>
      <c r="L136" s="105">
        <v>100000</v>
      </c>
      <c r="M136" s="46" t="s">
        <v>466</v>
      </c>
      <c r="N136" s="114">
        <v>108</v>
      </c>
      <c r="O136" s="91">
        <v>7.212269</v>
      </c>
      <c r="P136" s="227" t="s">
        <v>843</v>
      </c>
      <c r="Q136" s="48" t="s">
        <v>841</v>
      </c>
      <c r="R136" s="109" t="s">
        <v>842</v>
      </c>
      <c r="S136" s="633">
        <v>40505</v>
      </c>
      <c r="T136" s="633">
        <v>40511</v>
      </c>
      <c r="U136" s="229" t="s">
        <v>760</v>
      </c>
      <c r="W136" s="143">
        <v>1002230.25</v>
      </c>
      <c r="X136" s="143"/>
      <c r="Y136" s="117" t="e">
        <f>W136*#REF!</f>
        <v>#REF!</v>
      </c>
      <c r="Z136" s="70"/>
      <c r="AA136" s="86">
        <v>9.75</v>
      </c>
      <c r="AB136" s="680">
        <v>41843</v>
      </c>
      <c r="AC136" s="104">
        <f>(AB136-$AB$4)/365</f>
        <v>3.6109589041095891</v>
      </c>
      <c r="AF136" s="214">
        <f t="shared" si="31"/>
        <v>14</v>
      </c>
      <c r="AG136" s="215" t="e">
        <f t="shared" si="21"/>
        <v>#NUM!</v>
      </c>
      <c r="AH136" s="117" t="e">
        <f t="shared" si="22"/>
        <v>#NUM!</v>
      </c>
    </row>
    <row r="137" spans="1:34" s="74" customFormat="1" ht="25.5">
      <c r="A137" s="268" t="s">
        <v>902</v>
      </c>
      <c r="C137" s="73"/>
      <c r="D137" s="73"/>
      <c r="E137" s="91">
        <v>113</v>
      </c>
      <c r="F137" s="55" t="s">
        <v>846</v>
      </c>
      <c r="G137" s="53" t="s">
        <v>847</v>
      </c>
      <c r="H137" s="112" t="s">
        <v>787</v>
      </c>
      <c r="I137" s="112" t="s">
        <v>848</v>
      </c>
      <c r="J137" s="319">
        <f>(AB137-S137)/365</f>
        <v>9.9013698630136986</v>
      </c>
      <c r="K137" s="46" t="s">
        <v>465</v>
      </c>
      <c r="L137" s="105">
        <v>3000000</v>
      </c>
      <c r="M137" s="46" t="s">
        <v>466</v>
      </c>
      <c r="N137" s="114">
        <v>99.92</v>
      </c>
      <c r="O137" s="91">
        <v>6.0097779999999998</v>
      </c>
      <c r="P137" s="52" t="s">
        <v>355</v>
      </c>
      <c r="Q137" s="48" t="s">
        <v>648</v>
      </c>
      <c r="R137" s="53" t="s">
        <v>649</v>
      </c>
      <c r="S137" s="633">
        <v>40525</v>
      </c>
      <c r="T137" s="633">
        <v>40528</v>
      </c>
      <c r="U137" s="229" t="s">
        <v>760</v>
      </c>
      <c r="W137" s="143">
        <v>3018600</v>
      </c>
      <c r="X137" s="143"/>
      <c r="Y137" s="117" t="e">
        <f>W137*#REF!</f>
        <v>#REF!</v>
      </c>
      <c r="Z137" s="70"/>
      <c r="AA137" s="86">
        <v>6</v>
      </c>
      <c r="AB137" s="680">
        <v>44139</v>
      </c>
      <c r="AC137" s="104">
        <f>(AB137-$AB$4)/365</f>
        <v>9.9013698630136986</v>
      </c>
      <c r="AF137" s="214"/>
      <c r="AG137" s="215"/>
      <c r="AH137" s="117"/>
    </row>
    <row r="138" spans="1:34" s="74" customFormat="1" ht="25.5">
      <c r="A138" s="268" t="s">
        <v>902</v>
      </c>
      <c r="C138" s="73"/>
      <c r="D138" s="73"/>
      <c r="E138" s="277">
        <f>E137</f>
        <v>113</v>
      </c>
      <c r="F138" s="55" t="s">
        <v>845</v>
      </c>
      <c r="G138" s="53" t="s">
        <v>847</v>
      </c>
      <c r="H138" s="112" t="s">
        <v>787</v>
      </c>
      <c r="I138" s="112" t="s">
        <v>848</v>
      </c>
      <c r="J138" s="319">
        <f t="shared" si="30"/>
        <v>9.9013698630136986</v>
      </c>
      <c r="K138" s="46" t="s">
        <v>465</v>
      </c>
      <c r="L138" s="105">
        <v>1500000</v>
      </c>
      <c r="M138" s="46" t="s">
        <v>466</v>
      </c>
      <c r="N138" s="114">
        <v>99.47</v>
      </c>
      <c r="O138" s="91">
        <v>6.0710107999999998</v>
      </c>
      <c r="P138" s="227" t="s">
        <v>831</v>
      </c>
      <c r="Q138" s="48" t="s">
        <v>830</v>
      </c>
      <c r="R138" s="109" t="s">
        <v>833</v>
      </c>
      <c r="S138" s="633">
        <v>40525</v>
      </c>
      <c r="T138" s="633">
        <v>40528</v>
      </c>
      <c r="U138" s="229" t="s">
        <v>760</v>
      </c>
      <c r="W138" s="143">
        <v>1502550</v>
      </c>
      <c r="X138" s="143"/>
      <c r="Y138" s="117" t="e">
        <f>W138*#REF!</f>
        <v>#REF!</v>
      </c>
      <c r="Z138" s="70"/>
      <c r="AA138" s="86">
        <v>6</v>
      </c>
      <c r="AB138" s="680">
        <v>44139</v>
      </c>
      <c r="AC138" s="104">
        <f t="shared" si="10"/>
        <v>9.9013698630136986</v>
      </c>
      <c r="AF138" s="214">
        <f t="shared" si="31"/>
        <v>-3</v>
      </c>
      <c r="AG138" s="215" t="e">
        <f>ACCRINT($T138,$T138,$AG$4,AA138/100,100,2,0, 0)*L138/100</f>
        <v>#NUM!</v>
      </c>
      <c r="AH138" s="117" t="e">
        <f t="shared" si="22"/>
        <v>#NUM!</v>
      </c>
    </row>
    <row r="139" spans="1:34" s="74" customFormat="1" ht="25.5">
      <c r="A139" s="73">
        <v>270</v>
      </c>
      <c r="B139" s="73">
        <v>3.37</v>
      </c>
      <c r="C139" s="73">
        <v>270</v>
      </c>
      <c r="D139" s="73">
        <v>260</v>
      </c>
      <c r="E139" s="277">
        <f>E138</f>
        <v>113</v>
      </c>
      <c r="F139" s="55" t="s">
        <v>846</v>
      </c>
      <c r="G139" s="53" t="s">
        <v>847</v>
      </c>
      <c r="H139" s="112" t="s">
        <v>787</v>
      </c>
      <c r="I139" s="112" t="s">
        <v>848</v>
      </c>
      <c r="J139" s="319">
        <f t="shared" si="30"/>
        <v>9.9013698630136986</v>
      </c>
      <c r="K139" s="46" t="s">
        <v>465</v>
      </c>
      <c r="L139" s="105">
        <v>500000</v>
      </c>
      <c r="M139" s="46" t="s">
        <v>466</v>
      </c>
      <c r="N139" s="114">
        <v>99.47</v>
      </c>
      <c r="O139" s="91">
        <v>6.0710107999999998</v>
      </c>
      <c r="P139" s="227" t="s">
        <v>831</v>
      </c>
      <c r="Q139" s="48" t="s">
        <v>830</v>
      </c>
      <c r="R139" s="109" t="s">
        <v>849</v>
      </c>
      <c r="S139" s="633">
        <v>40525</v>
      </c>
      <c r="T139" s="633">
        <v>40528</v>
      </c>
      <c r="U139" s="229" t="s">
        <v>760</v>
      </c>
      <c r="W139" s="143">
        <v>500850</v>
      </c>
      <c r="X139" s="143"/>
      <c r="Y139" s="117" t="e">
        <f>W139*#REF!</f>
        <v>#REF!</v>
      </c>
      <c r="Z139" s="70"/>
      <c r="AA139" s="86">
        <v>6</v>
      </c>
      <c r="AB139" s="680">
        <v>44139</v>
      </c>
      <c r="AC139" s="104">
        <f t="shared" ref="AC139:AC151" si="32">(AB139-$AB$4)/365</f>
        <v>9.9013698630136986</v>
      </c>
      <c r="AF139" s="214">
        <f t="shared" si="31"/>
        <v>-3</v>
      </c>
      <c r="AG139" s="215" t="e">
        <f>ACCRINT($T139,$T139,$AG$4,AA139/100,100,2,0, 0)*L139/100</f>
        <v>#NUM!</v>
      </c>
      <c r="AH139" s="117" t="e">
        <f t="shared" si="22"/>
        <v>#NUM!</v>
      </c>
    </row>
    <row r="140" spans="1:34" s="74" customFormat="1" ht="25.5">
      <c r="A140" s="268" t="s">
        <v>902</v>
      </c>
      <c r="C140" s="73"/>
      <c r="D140" s="73"/>
      <c r="E140" s="91">
        <v>114</v>
      </c>
      <c r="F140" s="55" t="s">
        <v>733</v>
      </c>
      <c r="G140" s="53" t="s">
        <v>740</v>
      </c>
      <c r="H140" s="112" t="s">
        <v>725</v>
      </c>
      <c r="I140" s="112" t="s">
        <v>576</v>
      </c>
      <c r="J140" s="319">
        <f t="shared" ref="J140:J145" si="33">(AB140-S140)/365</f>
        <v>8.668493150684931</v>
      </c>
      <c r="K140" s="46" t="s">
        <v>465</v>
      </c>
      <c r="L140" s="105">
        <v>3600000</v>
      </c>
      <c r="M140" s="46" t="s">
        <v>466</v>
      </c>
      <c r="N140" s="91">
        <v>109.893</v>
      </c>
      <c r="O140" s="91">
        <v>6.1317439</v>
      </c>
      <c r="P140" s="52" t="s">
        <v>355</v>
      </c>
      <c r="Q140" s="48" t="s">
        <v>648</v>
      </c>
      <c r="R140" s="53" t="s">
        <v>649</v>
      </c>
      <c r="S140" s="633">
        <v>40526</v>
      </c>
      <c r="T140" s="633">
        <v>40533</v>
      </c>
      <c r="U140" s="229" t="s">
        <v>760</v>
      </c>
      <c r="W140" s="143">
        <v>4053748</v>
      </c>
      <c r="X140" s="143"/>
      <c r="Y140" s="117" t="e">
        <f>W140*#REF!</f>
        <v>#REF!</v>
      </c>
      <c r="Z140" s="70"/>
      <c r="AA140" s="86">
        <v>7.625</v>
      </c>
      <c r="AB140" s="680">
        <v>43690</v>
      </c>
      <c r="AC140" s="104">
        <f t="shared" si="32"/>
        <v>8.6712328767123292</v>
      </c>
      <c r="AF140" s="214"/>
      <c r="AG140" s="215"/>
      <c r="AH140" s="117"/>
    </row>
    <row r="141" spans="1:34" s="74" customFormat="1" ht="25.5">
      <c r="A141" s="73">
        <v>285</v>
      </c>
      <c r="B141" s="73">
        <v>3.29</v>
      </c>
      <c r="C141" s="73">
        <v>314</v>
      </c>
      <c r="D141" s="73">
        <v>298</v>
      </c>
      <c r="E141" s="277">
        <v>114</v>
      </c>
      <c r="F141" s="55" t="s">
        <v>733</v>
      </c>
      <c r="G141" s="53" t="s">
        <v>740</v>
      </c>
      <c r="H141" s="112" t="s">
        <v>725</v>
      </c>
      <c r="I141" s="112" t="s">
        <v>576</v>
      </c>
      <c r="J141" s="319">
        <f t="shared" si="33"/>
        <v>8.668493150684931</v>
      </c>
      <c r="K141" s="46" t="s">
        <v>465</v>
      </c>
      <c r="L141" s="105">
        <v>400000</v>
      </c>
      <c r="M141" s="46" t="s">
        <v>466</v>
      </c>
      <c r="N141" s="91">
        <v>109.893</v>
      </c>
      <c r="O141" s="91">
        <v>6.1317439</v>
      </c>
      <c r="P141" s="52" t="s">
        <v>355</v>
      </c>
      <c r="Q141" s="48" t="s">
        <v>648</v>
      </c>
      <c r="R141" s="53" t="s">
        <v>649</v>
      </c>
      <c r="S141" s="633">
        <v>40526</v>
      </c>
      <c r="T141" s="633">
        <v>40533</v>
      </c>
      <c r="U141" s="229" t="s">
        <v>760</v>
      </c>
      <c r="W141" s="143">
        <v>450416.44</v>
      </c>
      <c r="X141" s="143"/>
      <c r="Y141" s="117" t="e">
        <f>W141*#REF!</f>
        <v>#REF!</v>
      </c>
      <c r="Z141" s="70"/>
      <c r="AA141" s="86">
        <v>7.625</v>
      </c>
      <c r="AB141" s="680">
        <v>43690</v>
      </c>
      <c r="AC141" s="104">
        <f t="shared" si="32"/>
        <v>8.6712328767123292</v>
      </c>
      <c r="AF141" s="214"/>
      <c r="AG141" s="215"/>
      <c r="AH141" s="117"/>
    </row>
    <row r="142" spans="1:34" s="74" customFormat="1" ht="25.5">
      <c r="A142" s="268" t="s">
        <v>902</v>
      </c>
      <c r="C142" s="73"/>
      <c r="D142" s="73"/>
      <c r="E142" s="91">
        <v>115</v>
      </c>
      <c r="F142" s="55" t="s">
        <v>850</v>
      </c>
      <c r="G142" s="53" t="s">
        <v>851</v>
      </c>
      <c r="H142" s="112" t="s">
        <v>852</v>
      </c>
      <c r="I142" s="112" t="s">
        <v>854</v>
      </c>
      <c r="J142" s="319">
        <f t="shared" si="33"/>
        <v>9.0904109589041102</v>
      </c>
      <c r="K142" s="46" t="s">
        <v>465</v>
      </c>
      <c r="L142" s="105">
        <v>4500000</v>
      </c>
      <c r="M142" s="46" t="s">
        <v>466</v>
      </c>
      <c r="N142" s="114">
        <v>99.05</v>
      </c>
      <c r="O142" s="91">
        <v>6.1372419999999996</v>
      </c>
      <c r="P142" s="227" t="s">
        <v>749</v>
      </c>
      <c r="Q142" s="227" t="s">
        <v>748</v>
      </c>
      <c r="R142" s="109" t="s">
        <v>750</v>
      </c>
      <c r="S142" s="633">
        <v>40526</v>
      </c>
      <c r="T142" s="633">
        <v>40529</v>
      </c>
      <c r="U142" s="229" t="s">
        <v>760</v>
      </c>
      <c r="W142" s="143">
        <v>4572000</v>
      </c>
      <c r="X142" s="143"/>
      <c r="Y142" s="117" t="e">
        <f>W142*#REF!</f>
        <v>#REF!</v>
      </c>
      <c r="Z142" s="70"/>
      <c r="AA142" s="86">
        <v>6</v>
      </c>
      <c r="AB142" s="680">
        <v>43844</v>
      </c>
      <c r="AC142" s="104">
        <f t="shared" si="32"/>
        <v>9.0931506849315067</v>
      </c>
      <c r="AF142" s="214"/>
      <c r="AG142" s="215"/>
      <c r="AH142" s="117"/>
    </row>
    <row r="143" spans="1:34" s="74" customFormat="1" ht="25.5">
      <c r="A143" s="73">
        <v>282</v>
      </c>
      <c r="B143" s="73">
        <v>3.32</v>
      </c>
      <c r="C143" s="73">
        <v>236</v>
      </c>
      <c r="D143" s="73">
        <v>221</v>
      </c>
      <c r="E143" s="277">
        <v>115</v>
      </c>
      <c r="F143" s="55" t="s">
        <v>767</v>
      </c>
      <c r="G143" s="53" t="s">
        <v>766</v>
      </c>
      <c r="H143" s="112" t="s">
        <v>698</v>
      </c>
      <c r="I143" s="112" t="s">
        <v>854</v>
      </c>
      <c r="J143" s="319">
        <f t="shared" si="33"/>
        <v>9.0904109589041102</v>
      </c>
      <c r="K143" s="46" t="s">
        <v>465</v>
      </c>
      <c r="L143" s="105">
        <v>500000</v>
      </c>
      <c r="M143" s="46" t="s">
        <v>466</v>
      </c>
      <c r="N143" s="114">
        <v>99.05</v>
      </c>
      <c r="O143" s="91">
        <v>6.1372419999999996</v>
      </c>
      <c r="P143" s="227" t="s">
        <v>749</v>
      </c>
      <c r="Q143" s="227" t="s">
        <v>748</v>
      </c>
      <c r="R143" s="109" t="s">
        <v>866</v>
      </c>
      <c r="S143" s="633">
        <v>40526</v>
      </c>
      <c r="T143" s="633">
        <v>40529</v>
      </c>
      <c r="U143" s="229" t="s">
        <v>760</v>
      </c>
      <c r="W143" s="143">
        <v>508000</v>
      </c>
      <c r="X143" s="143"/>
      <c r="Y143" s="117" t="e">
        <f>W143*#REF!</f>
        <v>#REF!</v>
      </c>
      <c r="Z143" s="70"/>
      <c r="AA143" s="86">
        <v>6</v>
      </c>
      <c r="AB143" s="680">
        <v>43844</v>
      </c>
      <c r="AC143" s="104">
        <f t="shared" si="32"/>
        <v>9.0931506849315067</v>
      </c>
      <c r="AF143" s="214"/>
      <c r="AG143" s="215"/>
      <c r="AH143" s="117"/>
    </row>
    <row r="144" spans="1:34" s="74" customFormat="1" ht="25.5">
      <c r="A144" s="268" t="s">
        <v>902</v>
      </c>
      <c r="C144" s="73"/>
      <c r="D144" s="73"/>
      <c r="E144" s="91">
        <v>116</v>
      </c>
      <c r="F144" s="55" t="s">
        <v>733</v>
      </c>
      <c r="G144" s="53" t="s">
        <v>740</v>
      </c>
      <c r="H144" s="112" t="s">
        <v>725</v>
      </c>
      <c r="I144" s="112" t="s">
        <v>576</v>
      </c>
      <c r="J144" s="319">
        <f t="shared" si="33"/>
        <v>8.668493150684931</v>
      </c>
      <c r="K144" s="46" t="s">
        <v>465</v>
      </c>
      <c r="L144" s="105">
        <v>5400000</v>
      </c>
      <c r="M144" s="46" t="s">
        <v>466</v>
      </c>
      <c r="N144" s="114">
        <v>110.15</v>
      </c>
      <c r="O144" s="91">
        <v>6.0966215999999998</v>
      </c>
      <c r="P144" s="52" t="s">
        <v>355</v>
      </c>
      <c r="Q144" s="48" t="s">
        <v>648</v>
      </c>
      <c r="R144" s="53" t="s">
        <v>649</v>
      </c>
      <c r="S144" s="633">
        <v>40526</v>
      </c>
      <c r="T144" s="633">
        <v>40529</v>
      </c>
      <c r="U144" s="229" t="s">
        <v>760</v>
      </c>
      <c r="W144" s="143">
        <v>6089925</v>
      </c>
      <c r="X144" s="143"/>
      <c r="Y144" s="117" t="e">
        <f>W144*#REF!</f>
        <v>#REF!</v>
      </c>
      <c r="Z144" s="70"/>
      <c r="AA144" s="86">
        <v>7.625</v>
      </c>
      <c r="AB144" s="680">
        <v>43690</v>
      </c>
      <c r="AC144" s="104">
        <f t="shared" si="32"/>
        <v>8.6712328767123292</v>
      </c>
      <c r="AF144" s="214"/>
      <c r="AG144" s="215"/>
      <c r="AH144" s="117"/>
    </row>
    <row r="145" spans="1:34" s="74" customFormat="1" ht="25.5">
      <c r="A145" s="73">
        <v>278</v>
      </c>
      <c r="B145" s="73">
        <v>3.32</v>
      </c>
      <c r="C145" s="73">
        <v>280</v>
      </c>
      <c r="D145" s="73">
        <v>265</v>
      </c>
      <c r="E145" s="277">
        <v>116</v>
      </c>
      <c r="F145" s="55" t="s">
        <v>856</v>
      </c>
      <c r="G145" s="53" t="s">
        <v>855</v>
      </c>
      <c r="H145" s="112" t="s">
        <v>725</v>
      </c>
      <c r="I145" s="112" t="s">
        <v>576</v>
      </c>
      <c r="J145" s="319">
        <f t="shared" si="33"/>
        <v>8.668493150684931</v>
      </c>
      <c r="K145" s="46" t="s">
        <v>465</v>
      </c>
      <c r="L145" s="105">
        <v>600000</v>
      </c>
      <c r="M145" s="46" t="s">
        <v>466</v>
      </c>
      <c r="N145" s="114">
        <v>110.15</v>
      </c>
      <c r="O145" s="91">
        <v>6.0966215999999998</v>
      </c>
      <c r="P145" s="52" t="s">
        <v>355</v>
      </c>
      <c r="Q145" s="48" t="s">
        <v>648</v>
      </c>
      <c r="R145" s="53" t="s">
        <v>857</v>
      </c>
      <c r="S145" s="633">
        <v>40526</v>
      </c>
      <c r="T145" s="633">
        <v>40529</v>
      </c>
      <c r="U145" s="229" t="s">
        <v>760</v>
      </c>
      <c r="W145" s="143">
        <v>676658.33</v>
      </c>
      <c r="X145" s="143"/>
      <c r="Y145" s="117" t="e">
        <f>W145*#REF!</f>
        <v>#REF!</v>
      </c>
      <c r="Z145" s="70"/>
      <c r="AA145" s="86">
        <v>7.625</v>
      </c>
      <c r="AB145" s="680">
        <v>43690</v>
      </c>
      <c r="AC145" s="104">
        <f t="shared" si="32"/>
        <v>8.6712328767123292</v>
      </c>
      <c r="AF145" s="214"/>
      <c r="AG145" s="215"/>
      <c r="AH145" s="117"/>
    </row>
    <row r="146" spans="1:34" s="74" customFormat="1" ht="16.5">
      <c r="A146" s="268" t="s">
        <v>902</v>
      </c>
      <c r="C146" s="73"/>
      <c r="D146" s="73"/>
      <c r="E146" s="91">
        <v>117</v>
      </c>
      <c r="F146" s="55" t="s">
        <v>850</v>
      </c>
      <c r="G146" s="53" t="s">
        <v>851</v>
      </c>
      <c r="H146" s="112" t="s">
        <v>852</v>
      </c>
      <c r="I146" s="112" t="s">
        <v>854</v>
      </c>
      <c r="J146" s="319">
        <f t="shared" ref="J146:J153" si="34">(AB146-S146)/365</f>
        <v>9.087671232876712</v>
      </c>
      <c r="K146" s="46" t="s">
        <v>465</v>
      </c>
      <c r="L146" s="105">
        <v>2700000</v>
      </c>
      <c r="M146" s="46" t="s">
        <v>466</v>
      </c>
      <c r="N146" s="114">
        <v>98.84</v>
      </c>
      <c r="O146" s="91">
        <v>6.1681775999999999</v>
      </c>
      <c r="P146" s="52" t="s">
        <v>358</v>
      </c>
      <c r="Q146" s="48" t="s">
        <v>858</v>
      </c>
      <c r="R146" s="109" t="s">
        <v>859</v>
      </c>
      <c r="S146" s="633">
        <v>40527</v>
      </c>
      <c r="T146" s="633">
        <v>40532</v>
      </c>
      <c r="U146" s="229" t="s">
        <v>760</v>
      </c>
      <c r="W146" s="143">
        <v>2738880</v>
      </c>
      <c r="X146" s="143"/>
      <c r="Y146" s="117" t="e">
        <f>W146*#REF!</f>
        <v>#REF!</v>
      </c>
      <c r="Z146" s="70"/>
      <c r="AA146" s="86">
        <v>6</v>
      </c>
      <c r="AB146" s="680">
        <v>43844</v>
      </c>
      <c r="AC146" s="104">
        <f t="shared" si="32"/>
        <v>9.0931506849315067</v>
      </c>
      <c r="AF146" s="214"/>
      <c r="AG146" s="215"/>
      <c r="AH146" s="117"/>
    </row>
    <row r="147" spans="1:34" s="74" customFormat="1" ht="16.5">
      <c r="A147" s="73">
        <v>272</v>
      </c>
      <c r="B147" s="73">
        <v>3.45</v>
      </c>
      <c r="C147" s="73">
        <v>290</v>
      </c>
      <c r="D147" s="73">
        <v>275</v>
      </c>
      <c r="E147" s="277">
        <v>117</v>
      </c>
      <c r="F147" s="55" t="s">
        <v>767</v>
      </c>
      <c r="G147" s="53" t="s">
        <v>766</v>
      </c>
      <c r="H147" s="112" t="s">
        <v>698</v>
      </c>
      <c r="I147" s="112" t="s">
        <v>854</v>
      </c>
      <c r="J147" s="319">
        <f t="shared" si="34"/>
        <v>9.087671232876712</v>
      </c>
      <c r="K147" s="46" t="s">
        <v>465</v>
      </c>
      <c r="L147" s="105">
        <v>300000</v>
      </c>
      <c r="M147" s="46" t="s">
        <v>466</v>
      </c>
      <c r="N147" s="114">
        <v>98.84</v>
      </c>
      <c r="O147" s="91">
        <v>6.1681775999999999</v>
      </c>
      <c r="P147" s="52" t="s">
        <v>358</v>
      </c>
      <c r="Q147" s="48" t="s">
        <v>858</v>
      </c>
      <c r="R147" s="109" t="s">
        <v>859</v>
      </c>
      <c r="S147" s="633">
        <v>40527</v>
      </c>
      <c r="T147" s="633">
        <v>40532</v>
      </c>
      <c r="U147" s="229" t="s">
        <v>760</v>
      </c>
      <c r="W147" s="143">
        <v>304320</v>
      </c>
      <c r="X147" s="143"/>
      <c r="Y147" s="117" t="e">
        <f>W147*#REF!</f>
        <v>#REF!</v>
      </c>
      <c r="Z147" s="70"/>
      <c r="AA147" s="86">
        <v>6</v>
      </c>
      <c r="AB147" s="680">
        <v>43844</v>
      </c>
      <c r="AC147" s="104">
        <f t="shared" si="32"/>
        <v>9.0931506849315067</v>
      </c>
      <c r="AF147" s="214"/>
      <c r="AG147" s="215"/>
      <c r="AH147" s="117"/>
    </row>
    <row r="148" spans="1:34" s="74" customFormat="1" ht="16.5">
      <c r="A148" s="268" t="s">
        <v>902</v>
      </c>
      <c r="C148" s="73"/>
      <c r="D148" s="73"/>
      <c r="E148" s="91">
        <v>118</v>
      </c>
      <c r="F148" s="55" t="s">
        <v>850</v>
      </c>
      <c r="G148" s="53" t="s">
        <v>851</v>
      </c>
      <c r="H148" s="112" t="s">
        <v>852</v>
      </c>
      <c r="I148" s="112" t="s">
        <v>854</v>
      </c>
      <c r="J148" s="319">
        <f t="shared" si="34"/>
        <v>9.087671232876712</v>
      </c>
      <c r="K148" s="46" t="s">
        <v>465</v>
      </c>
      <c r="L148" s="105">
        <v>1800000</v>
      </c>
      <c r="M148" s="46" t="s">
        <v>466</v>
      </c>
      <c r="N148" s="114">
        <v>98.344999999999999</v>
      </c>
      <c r="O148" s="91">
        <v>6.2410049000000001</v>
      </c>
      <c r="P148" s="52" t="s">
        <v>378</v>
      </c>
      <c r="Q148" s="52" t="s">
        <v>379</v>
      </c>
      <c r="R148" s="53" t="s">
        <v>380</v>
      </c>
      <c r="S148" s="633">
        <v>40527</v>
      </c>
      <c r="T148" s="633">
        <v>40532</v>
      </c>
      <c r="U148" s="229" t="s">
        <v>760</v>
      </c>
      <c r="W148" s="143">
        <v>1817010</v>
      </c>
      <c r="X148" s="143"/>
      <c r="Y148" s="117" t="e">
        <f>W148*#REF!</f>
        <v>#REF!</v>
      </c>
      <c r="Z148" s="70"/>
      <c r="AA148" s="86">
        <v>6</v>
      </c>
      <c r="AB148" s="680">
        <v>43844</v>
      </c>
      <c r="AC148" s="104">
        <f t="shared" si="32"/>
        <v>9.0931506849315067</v>
      </c>
      <c r="AF148" s="214"/>
      <c r="AG148" s="215"/>
      <c r="AH148" s="117"/>
    </row>
    <row r="149" spans="1:34" s="74" customFormat="1" ht="16.5">
      <c r="A149" s="73">
        <v>279</v>
      </c>
      <c r="B149" s="73">
        <v>3.45</v>
      </c>
      <c r="C149" s="73">
        <v>297</v>
      </c>
      <c r="D149" s="73">
        <v>282</v>
      </c>
      <c r="E149" s="277">
        <f>E148</f>
        <v>118</v>
      </c>
      <c r="F149" s="55" t="s">
        <v>767</v>
      </c>
      <c r="G149" s="53" t="s">
        <v>766</v>
      </c>
      <c r="H149" s="112" t="s">
        <v>698</v>
      </c>
      <c r="I149" s="112" t="s">
        <v>854</v>
      </c>
      <c r="J149" s="319">
        <f t="shared" si="34"/>
        <v>9.087671232876712</v>
      </c>
      <c r="K149" s="46" t="s">
        <v>465</v>
      </c>
      <c r="L149" s="105">
        <v>200000</v>
      </c>
      <c r="M149" s="46" t="s">
        <v>466</v>
      </c>
      <c r="N149" s="114">
        <v>98.344999999999999</v>
      </c>
      <c r="O149" s="91">
        <v>6.2410049000000001</v>
      </c>
      <c r="P149" s="52" t="s">
        <v>378</v>
      </c>
      <c r="Q149" s="52" t="s">
        <v>379</v>
      </c>
      <c r="R149" s="53" t="s">
        <v>380</v>
      </c>
      <c r="S149" s="633">
        <v>40527</v>
      </c>
      <c r="T149" s="633">
        <v>40532</v>
      </c>
      <c r="U149" s="229" t="s">
        <v>760</v>
      </c>
      <c r="W149" s="143">
        <v>201890</v>
      </c>
      <c r="X149" s="143"/>
      <c r="Y149" s="117" t="e">
        <f>W149*#REF!</f>
        <v>#REF!</v>
      </c>
      <c r="Z149" s="70"/>
      <c r="AA149" s="86">
        <v>6</v>
      </c>
      <c r="AB149" s="680">
        <v>43844</v>
      </c>
      <c r="AC149" s="104">
        <f t="shared" si="32"/>
        <v>9.0931506849315067</v>
      </c>
      <c r="AF149" s="214"/>
      <c r="AG149" s="215"/>
      <c r="AH149" s="117"/>
    </row>
    <row r="150" spans="1:34" s="74" customFormat="1" ht="25.5">
      <c r="A150" s="268" t="s">
        <v>902</v>
      </c>
      <c r="C150" s="73"/>
      <c r="D150" s="73"/>
      <c r="E150" s="91">
        <v>119</v>
      </c>
      <c r="F150" s="55" t="s">
        <v>860</v>
      </c>
      <c r="G150" s="53" t="s">
        <v>861</v>
      </c>
      <c r="H150" s="112" t="s">
        <v>864</v>
      </c>
      <c r="I150" s="112" t="s">
        <v>864</v>
      </c>
      <c r="J150" s="319">
        <f t="shared" si="34"/>
        <v>3.0246575342465754</v>
      </c>
      <c r="K150" s="46" t="s">
        <v>465</v>
      </c>
      <c r="L150" s="105">
        <v>225000000</v>
      </c>
      <c r="M150" s="46" t="s">
        <v>865</v>
      </c>
      <c r="N150" s="114">
        <v>100</v>
      </c>
      <c r="O150" s="91">
        <v>6.8784700000000001</v>
      </c>
      <c r="P150" s="400" t="s">
        <v>1459</v>
      </c>
      <c r="Q150" s="227" t="s">
        <v>748</v>
      </c>
      <c r="R150" s="109" t="s">
        <v>866</v>
      </c>
      <c r="S150" s="633">
        <v>40527</v>
      </c>
      <c r="T150" s="633">
        <v>40535</v>
      </c>
      <c r="U150" s="229" t="s">
        <v>760</v>
      </c>
      <c r="W150" s="117">
        <v>33801039.57</v>
      </c>
      <c r="X150" s="143"/>
      <c r="Y150" s="117" t="e">
        <f>W150*#REF!</f>
        <v>#REF!</v>
      </c>
      <c r="Z150" s="70"/>
      <c r="AA150" s="86">
        <v>6.875</v>
      </c>
      <c r="AB150" s="680">
        <v>41631</v>
      </c>
      <c r="AC150" s="104">
        <f t="shared" si="32"/>
        <v>3.0301369863013701</v>
      </c>
      <c r="AF150" s="214"/>
      <c r="AG150" s="215"/>
      <c r="AH150" s="117"/>
    </row>
    <row r="151" spans="1:34" s="74" customFormat="1" ht="25.5">
      <c r="A151" s="73"/>
      <c r="B151" s="73"/>
      <c r="C151" s="73"/>
      <c r="D151" s="73"/>
      <c r="E151" s="277">
        <f>E150</f>
        <v>119</v>
      </c>
      <c r="F151" s="55" t="s">
        <v>862</v>
      </c>
      <c r="G151" s="53" t="s">
        <v>863</v>
      </c>
      <c r="H151" s="112" t="s">
        <v>864</v>
      </c>
      <c r="I151" s="112" t="s">
        <v>864</v>
      </c>
      <c r="J151" s="319">
        <f t="shared" si="34"/>
        <v>3.0246575342465754</v>
      </c>
      <c r="K151" s="46" t="s">
        <v>465</v>
      </c>
      <c r="L151" s="105">
        <v>25000000</v>
      </c>
      <c r="M151" s="46" t="s">
        <v>865</v>
      </c>
      <c r="N151" s="114">
        <v>100</v>
      </c>
      <c r="O151" s="91">
        <v>6.8784700000000001</v>
      </c>
      <c r="P151" s="227" t="s">
        <v>749</v>
      </c>
      <c r="Q151" s="227" t="s">
        <v>748</v>
      </c>
      <c r="R151" s="109" t="s">
        <v>866</v>
      </c>
      <c r="S151" s="633">
        <v>40527</v>
      </c>
      <c r="T151" s="633">
        <v>40535</v>
      </c>
      <c r="U151" s="229" t="s">
        <v>760</v>
      </c>
      <c r="W151" s="117">
        <v>3755671.06</v>
      </c>
      <c r="X151" s="143"/>
      <c r="Y151" s="117" t="e">
        <f>W151*#REF!</f>
        <v>#REF!</v>
      </c>
      <c r="Z151" s="70"/>
      <c r="AA151" s="86">
        <v>6.875</v>
      </c>
      <c r="AB151" s="680">
        <v>41631</v>
      </c>
      <c r="AC151" s="104">
        <f t="shared" si="32"/>
        <v>3.0301369863013701</v>
      </c>
      <c r="AF151" s="214"/>
      <c r="AG151" s="215"/>
      <c r="AH151" s="117"/>
    </row>
    <row r="152" spans="1:34" s="74" customFormat="1" ht="25.5">
      <c r="A152" s="268" t="s">
        <v>902</v>
      </c>
      <c r="C152" s="73"/>
      <c r="D152" s="73"/>
      <c r="E152" s="91">
        <v>120</v>
      </c>
      <c r="F152" s="55" t="s">
        <v>846</v>
      </c>
      <c r="G152" s="53" t="s">
        <v>847</v>
      </c>
      <c r="H152" s="112" t="s">
        <v>787</v>
      </c>
      <c r="I152" s="112" t="s">
        <v>848</v>
      </c>
      <c r="J152" s="319">
        <f t="shared" si="34"/>
        <v>9.8958904109589039</v>
      </c>
      <c r="K152" s="46" t="s">
        <v>465</v>
      </c>
      <c r="L152" s="49">
        <v>2700000</v>
      </c>
      <c r="M152" s="46" t="s">
        <v>466</v>
      </c>
      <c r="N152" s="50">
        <v>99.62</v>
      </c>
      <c r="O152" s="91">
        <v>6.0505282999999999</v>
      </c>
      <c r="P152" s="227" t="s">
        <v>831</v>
      </c>
      <c r="Q152" s="48" t="s">
        <v>830</v>
      </c>
      <c r="R152" s="109" t="s">
        <v>849</v>
      </c>
      <c r="S152" s="633">
        <v>40527</v>
      </c>
      <c r="T152" s="633">
        <v>40533</v>
      </c>
      <c r="U152" s="229" t="s">
        <v>760</v>
      </c>
      <c r="W152" s="143">
        <v>2710890</v>
      </c>
      <c r="X152" s="143"/>
      <c r="Y152" s="117" t="e">
        <f>W152*#REF!</f>
        <v>#REF!</v>
      </c>
      <c r="AA152" s="86">
        <v>6</v>
      </c>
      <c r="AB152" s="680">
        <v>44139</v>
      </c>
      <c r="AC152" s="104">
        <f>(AB152-S152)/365</f>
        <v>9.8958904109589039</v>
      </c>
      <c r="AF152" s="214"/>
      <c r="AG152" s="215"/>
      <c r="AH152" s="117"/>
    </row>
    <row r="153" spans="1:34" s="74" customFormat="1" ht="25.5">
      <c r="A153" s="73">
        <v>258</v>
      </c>
      <c r="B153" s="73">
        <v>3.45</v>
      </c>
      <c r="C153" s="73">
        <v>258</v>
      </c>
      <c r="D153" s="73">
        <v>249</v>
      </c>
      <c r="E153" s="277">
        <f>E152</f>
        <v>120</v>
      </c>
      <c r="F153" s="55" t="s">
        <v>846</v>
      </c>
      <c r="G153" s="53" t="s">
        <v>847</v>
      </c>
      <c r="H153" s="112" t="s">
        <v>787</v>
      </c>
      <c r="I153" s="112" t="s">
        <v>848</v>
      </c>
      <c r="J153" s="319">
        <f t="shared" si="34"/>
        <v>9.8958904109589039</v>
      </c>
      <c r="K153" s="46" t="s">
        <v>465</v>
      </c>
      <c r="L153" s="49">
        <v>300000</v>
      </c>
      <c r="M153" s="46" t="s">
        <v>466</v>
      </c>
      <c r="N153" s="50">
        <v>99.62</v>
      </c>
      <c r="O153" s="91">
        <v>6.0505282999999999</v>
      </c>
      <c r="P153" s="227" t="s">
        <v>831</v>
      </c>
      <c r="Q153" s="48" t="s">
        <v>830</v>
      </c>
      <c r="R153" s="109" t="s">
        <v>849</v>
      </c>
      <c r="S153" s="633">
        <v>40527</v>
      </c>
      <c r="T153" s="633">
        <v>40533</v>
      </c>
      <c r="U153" s="229" t="s">
        <v>760</v>
      </c>
      <c r="W153" s="143">
        <v>301210</v>
      </c>
      <c r="X153" s="143"/>
      <c r="Y153" s="117" t="e">
        <f>W153*#REF!</f>
        <v>#REF!</v>
      </c>
      <c r="AA153" s="86">
        <v>6</v>
      </c>
      <c r="AB153" s="680">
        <v>44139</v>
      </c>
      <c r="AC153" s="104">
        <f>(AB153-S153)/365</f>
        <v>9.8958904109589039</v>
      </c>
      <c r="AF153" s="214"/>
      <c r="AG153" s="215"/>
      <c r="AH153" s="117"/>
    </row>
    <row r="154" spans="1:34" s="74" customFormat="1" ht="25.5">
      <c r="A154" s="268" t="s">
        <v>902</v>
      </c>
      <c r="C154" s="73"/>
      <c r="D154" s="73"/>
      <c r="E154" s="91">
        <v>121</v>
      </c>
      <c r="F154" s="55" t="s">
        <v>846</v>
      </c>
      <c r="G154" s="53" t="s">
        <v>847</v>
      </c>
      <c r="H154" s="112" t="s">
        <v>787</v>
      </c>
      <c r="I154" s="112" t="s">
        <v>848</v>
      </c>
      <c r="J154" s="319">
        <f>(AB154-S154)/365</f>
        <v>9.8931506849315074</v>
      </c>
      <c r="K154" s="46" t="s">
        <v>465</v>
      </c>
      <c r="L154" s="105">
        <v>900000</v>
      </c>
      <c r="M154" s="46" t="s">
        <v>466</v>
      </c>
      <c r="N154" s="50">
        <v>99.62</v>
      </c>
      <c r="O154" s="91">
        <v>6.0505282999999999</v>
      </c>
      <c r="P154" s="52" t="s">
        <v>358</v>
      </c>
      <c r="Q154" s="48" t="s">
        <v>867</v>
      </c>
      <c r="R154" s="53" t="s">
        <v>868</v>
      </c>
      <c r="S154" s="633">
        <v>40528</v>
      </c>
      <c r="T154" s="633">
        <v>40533</v>
      </c>
      <c r="U154" s="229" t="s">
        <v>760</v>
      </c>
      <c r="W154" s="143">
        <v>903630</v>
      </c>
      <c r="X154" s="143"/>
      <c r="Y154" s="117" t="e">
        <f>W154*#REF!</f>
        <v>#REF!</v>
      </c>
      <c r="AA154" s="86">
        <v>6</v>
      </c>
      <c r="AB154" s="680">
        <v>44139</v>
      </c>
      <c r="AC154" s="104">
        <f>(AB154-S154)/365</f>
        <v>9.8931506849315074</v>
      </c>
      <c r="AF154" s="214"/>
      <c r="AG154" s="215"/>
      <c r="AH154" s="117"/>
    </row>
    <row r="155" spans="1:34" s="74" customFormat="1" ht="25.5">
      <c r="A155" s="268"/>
      <c r="C155" s="73"/>
      <c r="D155" s="73"/>
      <c r="E155" s="277">
        <f>E154</f>
        <v>121</v>
      </c>
      <c r="F155" s="55" t="s">
        <v>846</v>
      </c>
      <c r="G155" s="53" t="s">
        <v>847</v>
      </c>
      <c r="H155" s="112" t="s">
        <v>787</v>
      </c>
      <c r="I155" s="112" t="s">
        <v>848</v>
      </c>
      <c r="J155" s="319">
        <f>(AB155-S155)/365</f>
        <v>9.8931506849315074</v>
      </c>
      <c r="K155" s="46" t="s">
        <v>465</v>
      </c>
      <c r="L155" s="105">
        <v>100000</v>
      </c>
      <c r="M155" s="46" t="s">
        <v>466</v>
      </c>
      <c r="N155" s="50">
        <v>99.62</v>
      </c>
      <c r="O155" s="91">
        <v>6.0505282999999999</v>
      </c>
      <c r="P155" s="52" t="s">
        <v>358</v>
      </c>
      <c r="Q155" s="48" t="s">
        <v>867</v>
      </c>
      <c r="R155" s="53" t="s">
        <v>868</v>
      </c>
      <c r="S155" s="633">
        <v>40528</v>
      </c>
      <c r="T155" s="633">
        <v>40533</v>
      </c>
      <c r="U155" s="229" t="s">
        <v>760</v>
      </c>
      <c r="W155" s="143">
        <v>100403.33</v>
      </c>
      <c r="X155" s="143"/>
      <c r="Y155" s="117" t="e">
        <f>W155*#REF!</f>
        <v>#REF!</v>
      </c>
      <c r="AA155" s="86">
        <v>6</v>
      </c>
      <c r="AB155" s="680">
        <v>44139</v>
      </c>
      <c r="AC155" s="104">
        <f>(AB155-S155)/365</f>
        <v>9.8931506849315074</v>
      </c>
      <c r="AF155" s="214"/>
      <c r="AG155" s="215"/>
      <c r="AH155" s="117"/>
    </row>
    <row r="156" spans="1:34" s="74" customFormat="1" ht="25.5">
      <c r="A156" s="268" t="s">
        <v>902</v>
      </c>
      <c r="C156" s="73"/>
      <c r="D156" s="73"/>
      <c r="E156" s="91">
        <v>122</v>
      </c>
      <c r="F156" s="55" t="s">
        <v>815</v>
      </c>
      <c r="G156" s="53" t="s">
        <v>816</v>
      </c>
      <c r="H156" s="112" t="s">
        <v>817</v>
      </c>
      <c r="I156" s="112" t="s">
        <v>818</v>
      </c>
      <c r="J156" s="319">
        <f>(AB156-S156)/365</f>
        <v>3.6</v>
      </c>
      <c r="K156" s="46" t="s">
        <v>465</v>
      </c>
      <c r="L156" s="341">
        <v>450000</v>
      </c>
      <c r="M156" s="91" t="s">
        <v>466</v>
      </c>
      <c r="N156" s="114">
        <v>108.5</v>
      </c>
      <c r="O156" s="91">
        <v>7.0236972</v>
      </c>
      <c r="P156" s="227" t="s">
        <v>831</v>
      </c>
      <c r="Q156" s="48" t="s">
        <v>830</v>
      </c>
      <c r="R156" s="109" t="s">
        <v>833</v>
      </c>
      <c r="S156" s="633">
        <v>40529</v>
      </c>
      <c r="T156" s="633">
        <v>40534</v>
      </c>
      <c r="U156" s="229" t="s">
        <v>760</v>
      </c>
      <c r="W156" s="143">
        <v>562677.07999999996</v>
      </c>
      <c r="X156" s="143"/>
      <c r="Y156" s="117" t="e">
        <f>W156*#REF!</f>
        <v>#REF!</v>
      </c>
      <c r="Z156" s="70"/>
      <c r="AA156" s="86">
        <v>9.75</v>
      </c>
      <c r="AB156" s="680">
        <v>41843</v>
      </c>
      <c r="AC156" s="104">
        <f t="shared" ref="AC156:AC166" si="35">(AB156-$AB$4)/365</f>
        <v>3.6109589041095891</v>
      </c>
      <c r="AF156" s="214">
        <f t="shared" ref="AF156:AF162" si="36">$AB$4-T156</f>
        <v>-9</v>
      </c>
      <c r="AG156" s="215" t="e">
        <f t="shared" ref="AG156:AG190" si="37">ACCRINT($T156,$T156,$AG$4,AA156/100,100,2,0, 0)*L156/100</f>
        <v>#NUM!</v>
      </c>
      <c r="AH156" s="117" t="e">
        <f t="shared" ref="AH156:AH190" si="38">AG156*$AH$4</f>
        <v>#NUM!</v>
      </c>
    </row>
    <row r="157" spans="1:34" s="74" customFormat="1" ht="25.5">
      <c r="A157" s="73"/>
      <c r="B157" s="73" t="s">
        <v>876</v>
      </c>
      <c r="C157" s="73"/>
      <c r="D157" s="73"/>
      <c r="E157" s="277">
        <f>E156</f>
        <v>122</v>
      </c>
      <c r="F157" s="55" t="s">
        <v>815</v>
      </c>
      <c r="G157" s="53" t="s">
        <v>816</v>
      </c>
      <c r="H157" s="112" t="s">
        <v>817</v>
      </c>
      <c r="I157" s="112" t="s">
        <v>818</v>
      </c>
      <c r="J157" s="319">
        <f>(AB157-S157)/365</f>
        <v>3.6</v>
      </c>
      <c r="K157" s="46" t="s">
        <v>465</v>
      </c>
      <c r="L157" s="341">
        <v>50000</v>
      </c>
      <c r="M157" s="46" t="s">
        <v>466</v>
      </c>
      <c r="N157" s="114">
        <v>108.5</v>
      </c>
      <c r="O157" s="91">
        <v>7.0236972</v>
      </c>
      <c r="P157" s="227" t="s">
        <v>831</v>
      </c>
      <c r="Q157" s="48" t="s">
        <v>830</v>
      </c>
      <c r="R157" s="109" t="s">
        <v>833</v>
      </c>
      <c r="S157" s="633">
        <v>40529</v>
      </c>
      <c r="T157" s="633">
        <v>40534</v>
      </c>
      <c r="U157" s="229" t="s">
        <v>760</v>
      </c>
      <c r="W157" s="143">
        <v>0</v>
      </c>
      <c r="X157" s="143"/>
      <c r="Y157" s="117" t="e">
        <f>W157*#REF!</f>
        <v>#REF!</v>
      </c>
      <c r="Z157" s="70"/>
      <c r="AA157" s="86">
        <v>9.75</v>
      </c>
      <c r="AB157" s="680">
        <v>41843</v>
      </c>
      <c r="AC157" s="104">
        <f t="shared" si="35"/>
        <v>3.6109589041095891</v>
      </c>
      <c r="AF157" s="214">
        <f t="shared" si="36"/>
        <v>-9</v>
      </c>
      <c r="AG157" s="215" t="e">
        <f t="shared" si="37"/>
        <v>#NUM!</v>
      </c>
      <c r="AH157" s="117" t="e">
        <f t="shared" si="38"/>
        <v>#NUM!</v>
      </c>
    </row>
    <row r="158" spans="1:34" s="74" customFormat="1" ht="25.5">
      <c r="A158" s="268" t="s">
        <v>902</v>
      </c>
      <c r="C158" s="73"/>
      <c r="D158" s="73"/>
      <c r="E158" s="91">
        <v>123</v>
      </c>
      <c r="F158" s="55" t="s">
        <v>814</v>
      </c>
      <c r="G158" s="53" t="s">
        <v>813</v>
      </c>
      <c r="H158" s="112" t="s">
        <v>727</v>
      </c>
      <c r="I158" s="112" t="s">
        <v>727</v>
      </c>
      <c r="J158" s="319" t="s">
        <v>812</v>
      </c>
      <c r="K158" s="46" t="s">
        <v>465</v>
      </c>
      <c r="L158" s="105">
        <v>500000</v>
      </c>
      <c r="M158" s="46" t="s">
        <v>466</v>
      </c>
      <c r="N158" s="114">
        <v>100.5</v>
      </c>
      <c r="O158" s="91">
        <v>6.7624069999999996</v>
      </c>
      <c r="P158" s="227" t="s">
        <v>820</v>
      </c>
      <c r="Q158" s="48" t="s">
        <v>887</v>
      </c>
      <c r="R158" s="109" t="s">
        <v>888</v>
      </c>
      <c r="S158" s="633">
        <v>40533</v>
      </c>
      <c r="T158" s="633">
        <v>40540</v>
      </c>
      <c r="U158" s="229" t="s">
        <v>753</v>
      </c>
      <c r="W158" s="117">
        <v>509677.78</v>
      </c>
      <c r="X158" s="143"/>
      <c r="Y158" s="117" t="e">
        <f>W158*#REF!</f>
        <v>#REF!</v>
      </c>
      <c r="Z158" s="70"/>
      <c r="AA158" s="86">
        <v>6.8</v>
      </c>
      <c r="AB158" s="680">
        <v>146383</v>
      </c>
      <c r="AC158" s="104">
        <f t="shared" si="35"/>
        <v>290.0219178082192</v>
      </c>
      <c r="AF158" s="214">
        <f t="shared" si="36"/>
        <v>-15</v>
      </c>
      <c r="AG158" s="215" t="e">
        <f t="shared" si="37"/>
        <v>#NUM!</v>
      </c>
      <c r="AH158" s="117" t="e">
        <f t="shared" si="38"/>
        <v>#NUM!</v>
      </c>
    </row>
    <row r="159" spans="1:34" s="74" customFormat="1" ht="25.5">
      <c r="A159" s="268" t="s">
        <v>902</v>
      </c>
      <c r="C159" s="73"/>
      <c r="D159" s="73"/>
      <c r="E159" s="91">
        <v>124</v>
      </c>
      <c r="F159" s="55" t="s">
        <v>814</v>
      </c>
      <c r="G159" s="53" t="s">
        <v>813</v>
      </c>
      <c r="H159" s="112" t="s">
        <v>727</v>
      </c>
      <c r="I159" s="112" t="s">
        <v>727</v>
      </c>
      <c r="J159" s="319" t="s">
        <v>812</v>
      </c>
      <c r="K159" s="46" t="s">
        <v>465</v>
      </c>
      <c r="L159" s="105">
        <v>1300000</v>
      </c>
      <c r="M159" s="46" t="s">
        <v>466</v>
      </c>
      <c r="N159" s="114">
        <v>99.75</v>
      </c>
      <c r="O159" s="91">
        <v>6.8173880000000002</v>
      </c>
      <c r="P159" s="227" t="s">
        <v>749</v>
      </c>
      <c r="Q159" s="48" t="s">
        <v>344</v>
      </c>
      <c r="R159" s="109" t="s">
        <v>768</v>
      </c>
      <c r="S159" s="633">
        <v>40534</v>
      </c>
      <c r="T159" s="633">
        <v>40540</v>
      </c>
      <c r="U159" s="229" t="s">
        <v>753</v>
      </c>
      <c r="W159" s="117">
        <v>1315412.22</v>
      </c>
      <c r="X159" s="143"/>
      <c r="Y159" s="117" t="e">
        <f>W159*#REF!</f>
        <v>#REF!</v>
      </c>
      <c r="Z159" s="70"/>
      <c r="AA159" s="86">
        <v>6.8</v>
      </c>
      <c r="AB159" s="680">
        <v>146383</v>
      </c>
      <c r="AC159" s="104">
        <f t="shared" si="35"/>
        <v>290.0219178082192</v>
      </c>
      <c r="AF159" s="214">
        <f t="shared" si="36"/>
        <v>-15</v>
      </c>
      <c r="AG159" s="215" t="e">
        <f t="shared" si="37"/>
        <v>#NUM!</v>
      </c>
      <c r="AH159" s="117" t="e">
        <f t="shared" si="38"/>
        <v>#NUM!</v>
      </c>
    </row>
    <row r="160" spans="1:34" s="74" customFormat="1" ht="25.5">
      <c r="A160" s="73" t="s">
        <v>885</v>
      </c>
      <c r="B160" s="73" t="s">
        <v>886</v>
      </c>
      <c r="C160" s="73" t="s">
        <v>889</v>
      </c>
      <c r="D160" s="73"/>
      <c r="E160" s="277">
        <f>E159</f>
        <v>124</v>
      </c>
      <c r="F160" s="55" t="s">
        <v>814</v>
      </c>
      <c r="G160" s="53" t="s">
        <v>813</v>
      </c>
      <c r="H160" s="112" t="s">
        <v>727</v>
      </c>
      <c r="I160" s="112" t="s">
        <v>727</v>
      </c>
      <c r="J160" s="319" t="s">
        <v>812</v>
      </c>
      <c r="K160" s="46" t="s">
        <v>465</v>
      </c>
      <c r="L160" s="105">
        <v>200000</v>
      </c>
      <c r="M160" s="46" t="s">
        <v>466</v>
      </c>
      <c r="N160" s="114">
        <v>99.75</v>
      </c>
      <c r="O160" s="91">
        <v>6.8173880000000002</v>
      </c>
      <c r="P160" s="227" t="s">
        <v>749</v>
      </c>
      <c r="Q160" s="48" t="s">
        <v>344</v>
      </c>
      <c r="R160" s="109" t="s">
        <v>768</v>
      </c>
      <c r="S160" s="633">
        <v>40534</v>
      </c>
      <c r="T160" s="633">
        <v>40540</v>
      </c>
      <c r="U160" s="229" t="s">
        <v>753</v>
      </c>
      <c r="W160" s="117">
        <v>202371.11</v>
      </c>
      <c r="X160" s="143"/>
      <c r="Y160" s="117" t="e">
        <f>W160*#REF!</f>
        <v>#REF!</v>
      </c>
      <c r="Z160" s="70"/>
      <c r="AA160" s="86">
        <v>6.8</v>
      </c>
      <c r="AB160" s="680">
        <v>146383</v>
      </c>
      <c r="AC160" s="104">
        <f t="shared" si="35"/>
        <v>290.0219178082192</v>
      </c>
      <c r="AF160" s="214">
        <f t="shared" si="36"/>
        <v>-15</v>
      </c>
      <c r="AG160" s="215" t="e">
        <f t="shared" si="37"/>
        <v>#NUM!</v>
      </c>
      <c r="AH160" s="117" t="e">
        <f t="shared" si="38"/>
        <v>#NUM!</v>
      </c>
    </row>
    <row r="161" spans="1:34" s="74" customFormat="1" ht="16.5">
      <c r="A161" s="268" t="s">
        <v>902</v>
      </c>
      <c r="C161" s="73"/>
      <c r="D161" s="73"/>
      <c r="E161" s="91">
        <v>125</v>
      </c>
      <c r="F161" s="55" t="s">
        <v>850</v>
      </c>
      <c r="G161" s="53" t="s">
        <v>851</v>
      </c>
      <c r="H161" s="112" t="s">
        <v>852</v>
      </c>
      <c r="I161" s="112" t="s">
        <v>854</v>
      </c>
      <c r="J161" s="319">
        <f t="shared" ref="J161:J166" si="39">(AB161-S161)/365</f>
        <v>9.0657534246575349</v>
      </c>
      <c r="K161" s="46" t="s">
        <v>465</v>
      </c>
      <c r="L161" s="105">
        <v>900000</v>
      </c>
      <c r="M161" s="46" t="s">
        <v>466</v>
      </c>
      <c r="N161" s="114">
        <v>100</v>
      </c>
      <c r="O161" s="91">
        <v>5.9995371999999998</v>
      </c>
      <c r="P161" s="52" t="s">
        <v>892</v>
      </c>
      <c r="Q161" s="52" t="s">
        <v>890</v>
      </c>
      <c r="R161" s="109" t="s">
        <v>891</v>
      </c>
      <c r="S161" s="633">
        <v>40535</v>
      </c>
      <c r="T161" s="633">
        <v>40542</v>
      </c>
      <c r="U161" s="229" t="s">
        <v>760</v>
      </c>
      <c r="W161" s="143">
        <v>924900.03</v>
      </c>
      <c r="Y161" s="117" t="e">
        <f>W161*#REF!</f>
        <v>#REF!</v>
      </c>
      <c r="Z161" s="70"/>
      <c r="AA161" s="86">
        <v>6</v>
      </c>
      <c r="AB161" s="680">
        <v>43844</v>
      </c>
      <c r="AC161" s="104">
        <f t="shared" si="35"/>
        <v>9.0931506849315067</v>
      </c>
      <c r="AF161" s="214">
        <f t="shared" si="36"/>
        <v>-17</v>
      </c>
      <c r="AG161" s="215" t="e">
        <f t="shared" si="37"/>
        <v>#NUM!</v>
      </c>
      <c r="AH161" s="117" t="e">
        <f t="shared" si="38"/>
        <v>#NUM!</v>
      </c>
    </row>
    <row r="162" spans="1:34" s="74" customFormat="1" ht="16.5">
      <c r="A162" s="73"/>
      <c r="B162" s="73">
        <v>3.32</v>
      </c>
      <c r="C162" s="73"/>
      <c r="D162" s="73"/>
      <c r="E162" s="277">
        <f>E161</f>
        <v>125</v>
      </c>
      <c r="F162" s="55" t="s">
        <v>767</v>
      </c>
      <c r="G162" s="53" t="s">
        <v>766</v>
      </c>
      <c r="H162" s="112" t="s">
        <v>698</v>
      </c>
      <c r="I162" s="112" t="s">
        <v>854</v>
      </c>
      <c r="J162" s="319">
        <f t="shared" si="39"/>
        <v>9.0657534246575349</v>
      </c>
      <c r="K162" s="46" t="s">
        <v>465</v>
      </c>
      <c r="L162" s="105">
        <v>100000</v>
      </c>
      <c r="M162" s="46" t="s">
        <v>466</v>
      </c>
      <c r="N162" s="114">
        <v>100</v>
      </c>
      <c r="O162" s="91">
        <v>5.9995371999999998</v>
      </c>
      <c r="P162" s="52" t="s">
        <v>892</v>
      </c>
      <c r="Q162" s="52" t="s">
        <v>890</v>
      </c>
      <c r="R162" s="109" t="s">
        <v>891</v>
      </c>
      <c r="S162" s="633">
        <v>40535</v>
      </c>
      <c r="T162" s="633">
        <v>40542</v>
      </c>
      <c r="U162" s="229" t="s">
        <v>760</v>
      </c>
      <c r="W162" s="143">
        <v>102766.67</v>
      </c>
      <c r="X162" s="143"/>
      <c r="Y162" s="117" t="e">
        <f>W162*#REF!</f>
        <v>#REF!</v>
      </c>
      <c r="Z162" s="70"/>
      <c r="AA162" s="86">
        <v>6</v>
      </c>
      <c r="AB162" s="680">
        <v>43844</v>
      </c>
      <c r="AC162" s="104">
        <f t="shared" si="35"/>
        <v>9.0931506849315067</v>
      </c>
      <c r="AF162" s="214">
        <f t="shared" si="36"/>
        <v>-17</v>
      </c>
      <c r="AG162" s="215" t="e">
        <f t="shared" si="37"/>
        <v>#NUM!</v>
      </c>
      <c r="AH162" s="117" t="e">
        <f t="shared" si="38"/>
        <v>#NUM!</v>
      </c>
    </row>
    <row r="163" spans="1:34" s="74" customFormat="1" ht="16.5">
      <c r="A163" s="268" t="s">
        <v>903</v>
      </c>
      <c r="C163" s="73"/>
      <c r="D163" s="73"/>
      <c r="E163" s="91">
        <v>126</v>
      </c>
      <c r="F163" s="55" t="s">
        <v>895</v>
      </c>
      <c r="G163" s="53" t="s">
        <v>894</v>
      </c>
      <c r="H163" s="112" t="s">
        <v>852</v>
      </c>
      <c r="I163" s="112" t="s">
        <v>854</v>
      </c>
      <c r="J163" s="319">
        <f t="shared" si="39"/>
        <v>10.03013698630137</v>
      </c>
      <c r="K163" s="46" t="s">
        <v>465</v>
      </c>
      <c r="L163" s="105">
        <v>10800000</v>
      </c>
      <c r="M163" s="46" t="s">
        <v>466</v>
      </c>
      <c r="N163" s="114">
        <v>98.941000000000003</v>
      </c>
      <c r="O163" s="91">
        <v>6.3949749000000002</v>
      </c>
      <c r="P163" s="52" t="s">
        <v>378</v>
      </c>
      <c r="Q163" s="52" t="s">
        <v>379</v>
      </c>
      <c r="R163" s="53" t="s">
        <v>380</v>
      </c>
      <c r="S163" s="633">
        <v>40549</v>
      </c>
      <c r="T163" s="633">
        <v>40557</v>
      </c>
      <c r="U163" s="229" t="s">
        <v>760</v>
      </c>
      <c r="W163" s="143">
        <v>10685628</v>
      </c>
      <c r="Y163" s="117" t="e">
        <f>W163*#REF!</f>
        <v>#REF!</v>
      </c>
      <c r="Z163" s="70"/>
      <c r="AA163" s="86">
        <v>6.25</v>
      </c>
      <c r="AB163" s="680">
        <v>44210</v>
      </c>
      <c r="AC163" s="104">
        <f t="shared" si="35"/>
        <v>10.095890410958905</v>
      </c>
      <c r="AF163" s="214">
        <f>$AB$4-T163</f>
        <v>-32</v>
      </c>
      <c r="AG163" s="215" t="e">
        <f t="shared" si="37"/>
        <v>#NUM!</v>
      </c>
      <c r="AH163" s="117" t="e">
        <f t="shared" si="38"/>
        <v>#NUM!</v>
      </c>
    </row>
    <row r="164" spans="1:34" s="74" customFormat="1" ht="16.5">
      <c r="A164" s="73">
        <v>300</v>
      </c>
      <c r="B164" s="73">
        <v>3.39</v>
      </c>
      <c r="C164" s="73"/>
      <c r="D164" s="73">
        <v>290</v>
      </c>
      <c r="E164" s="277">
        <f>E163</f>
        <v>126</v>
      </c>
      <c r="F164" s="55" t="s">
        <v>895</v>
      </c>
      <c r="G164" s="53" t="s">
        <v>894</v>
      </c>
      <c r="H164" s="112" t="s">
        <v>852</v>
      </c>
      <c r="I164" s="112" t="s">
        <v>854</v>
      </c>
      <c r="J164" s="319">
        <f t="shared" si="39"/>
        <v>10.03013698630137</v>
      </c>
      <c r="K164" s="46" t="s">
        <v>465</v>
      </c>
      <c r="L164" s="105">
        <v>1200000</v>
      </c>
      <c r="M164" s="46" t="s">
        <v>466</v>
      </c>
      <c r="N164" s="114">
        <v>98.941000000000003</v>
      </c>
      <c r="O164" s="91">
        <v>6.3949749000000002</v>
      </c>
      <c r="P164" s="52" t="s">
        <v>378</v>
      </c>
      <c r="Q164" s="52" t="s">
        <v>379</v>
      </c>
      <c r="R164" s="53" t="s">
        <v>380</v>
      </c>
      <c r="S164" s="633">
        <v>40549</v>
      </c>
      <c r="T164" s="633">
        <v>40557</v>
      </c>
      <c r="U164" s="229" t="s">
        <v>760</v>
      </c>
      <c r="W164" s="143">
        <v>1187292</v>
      </c>
      <c r="Y164" s="117" t="e">
        <f>W164*#REF!</f>
        <v>#REF!</v>
      </c>
      <c r="Z164" s="70"/>
      <c r="AA164" s="86">
        <v>6.25</v>
      </c>
      <c r="AB164" s="680">
        <v>44210</v>
      </c>
      <c r="AC164" s="104">
        <f t="shared" si="35"/>
        <v>10.095890410958905</v>
      </c>
      <c r="AF164" s="214">
        <f>$AB$4-T164</f>
        <v>-32</v>
      </c>
      <c r="AG164" s="215" t="e">
        <f t="shared" si="37"/>
        <v>#NUM!</v>
      </c>
      <c r="AH164" s="117" t="e">
        <f t="shared" si="38"/>
        <v>#NUM!</v>
      </c>
    </row>
    <row r="165" spans="1:34" s="74" customFormat="1" ht="25.5">
      <c r="A165" s="268" t="s">
        <v>902</v>
      </c>
      <c r="C165" s="73"/>
      <c r="D165" s="73"/>
      <c r="E165" s="91">
        <v>127</v>
      </c>
      <c r="F165" s="55" t="s">
        <v>897</v>
      </c>
      <c r="G165" s="53" t="s">
        <v>896</v>
      </c>
      <c r="H165" s="112" t="s">
        <v>864</v>
      </c>
      <c r="I165" s="112" t="s">
        <v>864</v>
      </c>
      <c r="J165" s="319">
        <f t="shared" si="39"/>
        <v>4.021917808219178</v>
      </c>
      <c r="K165" s="46" t="s">
        <v>465</v>
      </c>
      <c r="L165" s="105">
        <v>90000000</v>
      </c>
      <c r="M165" s="46" t="s">
        <v>865</v>
      </c>
      <c r="N165" s="114">
        <v>100</v>
      </c>
      <c r="O165" s="91">
        <v>7.625</v>
      </c>
      <c r="P165" s="227" t="s">
        <v>749</v>
      </c>
      <c r="Q165" s="227" t="s">
        <v>748</v>
      </c>
      <c r="R165" s="109" t="s">
        <v>866</v>
      </c>
      <c r="S165" s="633">
        <v>40562</v>
      </c>
      <c r="T165" s="633">
        <v>40569</v>
      </c>
      <c r="U165" s="229" t="s">
        <v>760</v>
      </c>
      <c r="W165" s="117">
        <v>13660165.439999999</v>
      </c>
      <c r="X165" s="143"/>
      <c r="Y165" s="117" t="e">
        <f>W165*#REF!</f>
        <v>#REF!</v>
      </c>
      <c r="Z165" s="70"/>
      <c r="AA165" s="86">
        <v>7.625</v>
      </c>
      <c r="AB165" s="680">
        <v>42030</v>
      </c>
      <c r="AC165" s="104">
        <f t="shared" si="35"/>
        <v>4.1232876712328768</v>
      </c>
      <c r="AF165" s="214">
        <f>$AB$4-T165</f>
        <v>-44</v>
      </c>
      <c r="AG165" s="215" t="e">
        <f t="shared" si="37"/>
        <v>#NUM!</v>
      </c>
      <c r="AH165" s="117" t="e">
        <f t="shared" si="38"/>
        <v>#NUM!</v>
      </c>
    </row>
    <row r="166" spans="1:34" s="74" customFormat="1" ht="25.5">
      <c r="A166" s="73" t="s">
        <v>898</v>
      </c>
      <c r="B166" s="73"/>
      <c r="C166" s="73"/>
      <c r="D166" s="73"/>
      <c r="E166" s="277">
        <f>E165</f>
        <v>127</v>
      </c>
      <c r="F166" s="55" t="s">
        <v>897</v>
      </c>
      <c r="G166" s="53" t="s">
        <v>896</v>
      </c>
      <c r="H166" s="112" t="s">
        <v>864</v>
      </c>
      <c r="I166" s="112" t="s">
        <v>864</v>
      </c>
      <c r="J166" s="319">
        <f t="shared" si="39"/>
        <v>4.021917808219178</v>
      </c>
      <c r="K166" s="46" t="s">
        <v>465</v>
      </c>
      <c r="L166" s="105">
        <v>10000000</v>
      </c>
      <c r="M166" s="46" t="s">
        <v>865</v>
      </c>
      <c r="N166" s="114">
        <v>100</v>
      </c>
      <c r="O166" s="91">
        <v>7.625</v>
      </c>
      <c r="P166" s="227" t="s">
        <v>749</v>
      </c>
      <c r="Q166" s="227" t="s">
        <v>215</v>
      </c>
      <c r="R166" s="109" t="s">
        <v>866</v>
      </c>
      <c r="S166" s="633">
        <v>40562</v>
      </c>
      <c r="T166" s="633">
        <v>40569</v>
      </c>
      <c r="U166" s="229" t="s">
        <v>760</v>
      </c>
      <c r="W166" s="117">
        <v>1517796.16</v>
      </c>
      <c r="X166" s="143"/>
      <c r="Y166" s="117" t="e">
        <f>W166*#REF!</f>
        <v>#REF!</v>
      </c>
      <c r="Z166" s="70"/>
      <c r="AA166" s="86">
        <v>7.625</v>
      </c>
      <c r="AB166" s="680">
        <v>42030</v>
      </c>
      <c r="AC166" s="104">
        <f t="shared" si="35"/>
        <v>4.1232876712328768</v>
      </c>
      <c r="AF166" s="214">
        <f>$AB$4-T166</f>
        <v>-44</v>
      </c>
      <c r="AG166" s="215" t="e">
        <f t="shared" si="37"/>
        <v>#NUM!</v>
      </c>
      <c r="AH166" s="117" t="e">
        <f t="shared" si="38"/>
        <v>#NUM!</v>
      </c>
    </row>
    <row r="167" spans="1:34" s="74" customFormat="1" ht="25.5">
      <c r="A167" s="268" t="s">
        <v>902</v>
      </c>
      <c r="C167" s="73"/>
      <c r="D167" s="73"/>
      <c r="E167" s="91">
        <v>128</v>
      </c>
      <c r="F167" s="55" t="s">
        <v>846</v>
      </c>
      <c r="G167" s="53" t="s">
        <v>847</v>
      </c>
      <c r="H167" s="112" t="s">
        <v>787</v>
      </c>
      <c r="I167" s="112" t="s">
        <v>848</v>
      </c>
      <c r="J167" s="319">
        <f t="shared" ref="J167:J173" si="40">(AB167-S167)/365</f>
        <v>9.7835616438356166</v>
      </c>
      <c r="K167" s="46" t="s">
        <v>465</v>
      </c>
      <c r="L167" s="105">
        <v>1500000</v>
      </c>
      <c r="M167" s="46" t="s">
        <v>466</v>
      </c>
      <c r="N167" s="50">
        <v>98.78</v>
      </c>
      <c r="O167" s="91">
        <v>6.166582</v>
      </c>
      <c r="P167" s="227" t="s">
        <v>899</v>
      </c>
      <c r="Q167" s="48" t="s">
        <v>900</v>
      </c>
      <c r="R167" s="109" t="s">
        <v>901</v>
      </c>
      <c r="S167" s="633">
        <v>40568</v>
      </c>
      <c r="T167" s="633">
        <v>40571</v>
      </c>
      <c r="U167" s="229" t="s">
        <v>760</v>
      </c>
      <c r="W167" s="143">
        <v>1502700</v>
      </c>
      <c r="X167" s="143"/>
      <c r="Y167" s="117" t="e">
        <f>W167*#REF!</f>
        <v>#REF!</v>
      </c>
      <c r="AA167" s="86">
        <v>6</v>
      </c>
      <c r="AB167" s="680">
        <v>44139</v>
      </c>
      <c r="AC167" s="104">
        <f>(AB167-S167)/365</f>
        <v>9.7835616438356166</v>
      </c>
      <c r="AF167" s="214">
        <f t="shared" ref="AF167:AF173" si="41">$AB$4-T167</f>
        <v>-46</v>
      </c>
      <c r="AG167" s="215" t="e">
        <f t="shared" si="37"/>
        <v>#NUM!</v>
      </c>
      <c r="AH167" s="117" t="e">
        <f t="shared" si="38"/>
        <v>#NUM!</v>
      </c>
    </row>
    <row r="168" spans="1:34" s="74" customFormat="1" ht="25.5">
      <c r="A168" s="268" t="s">
        <v>903</v>
      </c>
      <c r="C168" s="73"/>
      <c r="D168" s="73"/>
      <c r="E168" s="91">
        <v>129</v>
      </c>
      <c r="F168" s="55" t="s">
        <v>846</v>
      </c>
      <c r="G168" s="53" t="s">
        <v>847</v>
      </c>
      <c r="H168" s="112" t="s">
        <v>787</v>
      </c>
      <c r="I168" s="112" t="s">
        <v>848</v>
      </c>
      <c r="J168" s="319">
        <f t="shared" si="40"/>
        <v>9.7835616438356166</v>
      </c>
      <c r="K168" s="46" t="s">
        <v>465</v>
      </c>
      <c r="L168" s="105">
        <v>2550000</v>
      </c>
      <c r="M168" s="46" t="s">
        <v>466</v>
      </c>
      <c r="N168" s="50">
        <v>99.2</v>
      </c>
      <c r="O168" s="91">
        <v>6.1083999999999996</v>
      </c>
      <c r="P168" s="52" t="s">
        <v>470</v>
      </c>
      <c r="Q168" s="52" t="s">
        <v>471</v>
      </c>
      <c r="R168" s="53" t="s">
        <v>472</v>
      </c>
      <c r="S168" s="633">
        <v>40568</v>
      </c>
      <c r="T168" s="633">
        <v>40571</v>
      </c>
      <c r="U168" s="229" t="s">
        <v>760</v>
      </c>
      <c r="W168" s="143">
        <v>2565300</v>
      </c>
      <c r="X168" s="143"/>
      <c r="Y168" s="117" t="e">
        <f>W168*#REF!</f>
        <v>#REF!</v>
      </c>
      <c r="AA168" s="86">
        <v>6</v>
      </c>
      <c r="AB168" s="680">
        <v>44139</v>
      </c>
      <c r="AC168" s="104">
        <f>(AB168-S168)/365</f>
        <v>9.7835616438356166</v>
      </c>
      <c r="AF168" s="214">
        <f t="shared" si="41"/>
        <v>-46</v>
      </c>
      <c r="AG168" s="215" t="e">
        <f t="shared" si="37"/>
        <v>#NUM!</v>
      </c>
      <c r="AH168" s="117" t="e">
        <f t="shared" si="38"/>
        <v>#NUM!</v>
      </c>
    </row>
    <row r="169" spans="1:34" s="74" customFormat="1" ht="25.5">
      <c r="A169" s="303">
        <v>272</v>
      </c>
      <c r="B169" s="302">
        <v>3.39</v>
      </c>
      <c r="C169" s="303">
        <v>272</v>
      </c>
      <c r="D169" s="303">
        <v>267</v>
      </c>
      <c r="E169" s="277">
        <f>E168</f>
        <v>129</v>
      </c>
      <c r="F169" s="55" t="s">
        <v>846</v>
      </c>
      <c r="G169" s="53" t="s">
        <v>847</v>
      </c>
      <c r="H169" s="112" t="s">
        <v>787</v>
      </c>
      <c r="I169" s="112" t="s">
        <v>848</v>
      </c>
      <c r="J169" s="319">
        <f t="shared" si="40"/>
        <v>9.7835616438356166</v>
      </c>
      <c r="K169" s="46" t="s">
        <v>465</v>
      </c>
      <c r="L169" s="105">
        <v>450000</v>
      </c>
      <c r="M169" s="46" t="s">
        <v>466</v>
      </c>
      <c r="N169" s="50">
        <v>99.2</v>
      </c>
      <c r="O169" s="91">
        <v>6.1083999999999996</v>
      </c>
      <c r="P169" s="52" t="s">
        <v>470</v>
      </c>
      <c r="Q169" s="52" t="s">
        <v>471</v>
      </c>
      <c r="R169" s="53" t="s">
        <v>572</v>
      </c>
      <c r="S169" s="633">
        <v>40568</v>
      </c>
      <c r="T169" s="633">
        <v>40571</v>
      </c>
      <c r="U169" s="229" t="s">
        <v>760</v>
      </c>
      <c r="W169" s="143">
        <v>452700</v>
      </c>
      <c r="X169" s="143"/>
      <c r="Y169" s="117" t="e">
        <f>W169*#REF!</f>
        <v>#REF!</v>
      </c>
      <c r="AA169" s="86">
        <v>6</v>
      </c>
      <c r="AB169" s="680">
        <v>44139</v>
      </c>
      <c r="AC169" s="104">
        <f>(AB169-S169)/365</f>
        <v>9.7835616438356166</v>
      </c>
      <c r="AF169" s="214">
        <f t="shared" si="41"/>
        <v>-46</v>
      </c>
      <c r="AG169" s="215" t="e">
        <f t="shared" si="37"/>
        <v>#NUM!</v>
      </c>
      <c r="AH169" s="117" t="e">
        <f t="shared" si="38"/>
        <v>#NUM!</v>
      </c>
    </row>
    <row r="170" spans="1:34" s="74" customFormat="1" ht="25.5">
      <c r="A170" s="268" t="s">
        <v>902</v>
      </c>
      <c r="C170" s="73"/>
      <c r="D170" s="73"/>
      <c r="E170" s="91">
        <v>130</v>
      </c>
      <c r="F170" s="55" t="s">
        <v>815</v>
      </c>
      <c r="G170" s="53" t="s">
        <v>816</v>
      </c>
      <c r="H170" s="112" t="s">
        <v>817</v>
      </c>
      <c r="I170" s="112" t="s">
        <v>818</v>
      </c>
      <c r="J170" s="319">
        <f t="shared" si="40"/>
        <v>3.4904109589041097</v>
      </c>
      <c r="K170" s="46" t="s">
        <v>465</v>
      </c>
      <c r="L170" s="341">
        <v>1800000</v>
      </c>
      <c r="M170" s="91" t="s">
        <v>466</v>
      </c>
      <c r="N170" s="114">
        <v>108</v>
      </c>
      <c r="O170" s="91">
        <v>7.1137569999999997</v>
      </c>
      <c r="P170" s="52" t="s">
        <v>355</v>
      </c>
      <c r="Q170" s="48" t="s">
        <v>648</v>
      </c>
      <c r="R170" s="53" t="s">
        <v>649</v>
      </c>
      <c r="S170" s="633">
        <v>40569</v>
      </c>
      <c r="T170" s="633">
        <v>40574</v>
      </c>
      <c r="U170" s="229" t="s">
        <v>760</v>
      </c>
      <c r="W170" s="143">
        <v>1947412.5</v>
      </c>
      <c r="X170" s="143"/>
      <c r="Y170" s="117" t="e">
        <f>W170*#REF!</f>
        <v>#REF!</v>
      </c>
      <c r="Z170" s="70"/>
      <c r="AA170" s="86">
        <v>9.75</v>
      </c>
      <c r="AB170" s="680">
        <v>41843</v>
      </c>
      <c r="AC170" s="104">
        <f>(AB170-$AB$4)/365</f>
        <v>3.6109589041095891</v>
      </c>
      <c r="AF170" s="214">
        <f t="shared" si="41"/>
        <v>-49</v>
      </c>
      <c r="AG170" s="215" t="e">
        <f t="shared" si="37"/>
        <v>#NUM!</v>
      </c>
      <c r="AH170" s="117" t="e">
        <f t="shared" si="38"/>
        <v>#NUM!</v>
      </c>
    </row>
    <row r="171" spans="1:34" s="74" customFormat="1" ht="25.5">
      <c r="A171" s="73"/>
      <c r="B171" s="73" t="s">
        <v>904</v>
      </c>
      <c r="C171" s="73"/>
      <c r="D171" s="73"/>
      <c r="E171" s="277">
        <f>E170</f>
        <v>130</v>
      </c>
      <c r="F171" s="55" t="s">
        <v>815</v>
      </c>
      <c r="G171" s="53" t="s">
        <v>816</v>
      </c>
      <c r="H171" s="112" t="s">
        <v>817</v>
      </c>
      <c r="I171" s="112" t="s">
        <v>818</v>
      </c>
      <c r="J171" s="319">
        <f t="shared" si="40"/>
        <v>3.4904109589041097</v>
      </c>
      <c r="K171" s="46" t="s">
        <v>465</v>
      </c>
      <c r="L171" s="105">
        <v>200000</v>
      </c>
      <c r="M171" s="46" t="s">
        <v>466</v>
      </c>
      <c r="N171" s="114">
        <v>108</v>
      </c>
      <c r="O171" s="91">
        <v>7.1137569999999997</v>
      </c>
      <c r="P171" s="52" t="s">
        <v>355</v>
      </c>
      <c r="Q171" s="48" t="s">
        <v>648</v>
      </c>
      <c r="R171" s="53" t="s">
        <v>649</v>
      </c>
      <c r="S171" s="633">
        <v>40569</v>
      </c>
      <c r="T171" s="633">
        <v>40574</v>
      </c>
      <c r="U171" s="229" t="s">
        <v>760</v>
      </c>
      <c r="W171" s="143">
        <v>216379.17</v>
      </c>
      <c r="X171" s="143"/>
      <c r="Y171" s="117" t="e">
        <f>W171*#REF!</f>
        <v>#REF!</v>
      </c>
      <c r="Z171" s="70"/>
      <c r="AA171" s="86">
        <v>9.75</v>
      </c>
      <c r="AB171" s="680">
        <v>41843</v>
      </c>
      <c r="AC171" s="104">
        <f>(AB171-$AB$4)/365</f>
        <v>3.6109589041095891</v>
      </c>
      <c r="AF171" s="214">
        <f t="shared" si="41"/>
        <v>-49</v>
      </c>
      <c r="AG171" s="215" t="e">
        <f t="shared" si="37"/>
        <v>#NUM!</v>
      </c>
      <c r="AH171" s="117" t="e">
        <f t="shared" si="38"/>
        <v>#NUM!</v>
      </c>
    </row>
    <row r="172" spans="1:34" s="74" customFormat="1" ht="25.5">
      <c r="A172" s="268" t="s">
        <v>902</v>
      </c>
      <c r="C172" s="73"/>
      <c r="D172" s="73"/>
      <c r="E172" s="91">
        <v>131</v>
      </c>
      <c r="F172" s="55" t="s">
        <v>846</v>
      </c>
      <c r="G172" s="53" t="s">
        <v>847</v>
      </c>
      <c r="H172" s="112" t="s">
        <v>787</v>
      </c>
      <c r="I172" s="112" t="s">
        <v>848</v>
      </c>
      <c r="J172" s="319">
        <f t="shared" si="40"/>
        <v>9.7808219178082183</v>
      </c>
      <c r="K172" s="46" t="s">
        <v>465</v>
      </c>
      <c r="L172" s="105">
        <v>3600000</v>
      </c>
      <c r="M172" s="46" t="s">
        <v>466</v>
      </c>
      <c r="N172" s="50">
        <v>99.7</v>
      </c>
      <c r="O172" s="91">
        <v>6.0396013000000002</v>
      </c>
      <c r="P172" s="227" t="s">
        <v>905</v>
      </c>
      <c r="Q172" s="48" t="s">
        <v>906</v>
      </c>
      <c r="R172" s="109" t="s">
        <v>907</v>
      </c>
      <c r="S172" s="633">
        <v>40569</v>
      </c>
      <c r="T172" s="633">
        <v>40574</v>
      </c>
      <c r="U172" s="229" t="s">
        <v>760</v>
      </c>
      <c r="W172" s="143">
        <v>3640800</v>
      </c>
      <c r="X172" s="143"/>
      <c r="Y172" s="117" t="e">
        <f>W172*#REF!</f>
        <v>#REF!</v>
      </c>
      <c r="AA172" s="86">
        <v>6</v>
      </c>
      <c r="AB172" s="680">
        <v>44139</v>
      </c>
      <c r="AC172" s="104">
        <f t="shared" ref="AC172:AC177" si="42">(AB172-S172)/365</f>
        <v>9.7808219178082183</v>
      </c>
      <c r="AF172" s="214">
        <f t="shared" si="41"/>
        <v>-49</v>
      </c>
      <c r="AG172" s="215" t="e">
        <f t="shared" si="37"/>
        <v>#NUM!</v>
      </c>
      <c r="AH172" s="117" t="e">
        <f t="shared" si="38"/>
        <v>#NUM!</v>
      </c>
    </row>
    <row r="173" spans="1:34" s="74" customFormat="1" ht="25.5">
      <c r="A173" s="268">
        <v>267</v>
      </c>
      <c r="B173" s="74">
        <v>3.35</v>
      </c>
      <c r="C173" s="73"/>
      <c r="D173" s="73"/>
      <c r="E173" s="277">
        <f>E172</f>
        <v>131</v>
      </c>
      <c r="F173" s="55" t="s">
        <v>846</v>
      </c>
      <c r="G173" s="53" t="s">
        <v>847</v>
      </c>
      <c r="H173" s="112" t="s">
        <v>787</v>
      </c>
      <c r="I173" s="112" t="s">
        <v>848</v>
      </c>
      <c r="J173" s="319">
        <f t="shared" si="40"/>
        <v>9.7808219178082183</v>
      </c>
      <c r="K173" s="46" t="s">
        <v>465</v>
      </c>
      <c r="L173" s="105">
        <v>400000</v>
      </c>
      <c r="M173" s="46" t="s">
        <v>466</v>
      </c>
      <c r="N173" s="50">
        <v>99.7</v>
      </c>
      <c r="O173" s="91">
        <v>6.0396013000000002</v>
      </c>
      <c r="P173" s="227" t="s">
        <v>905</v>
      </c>
      <c r="Q173" s="48" t="s">
        <v>906</v>
      </c>
      <c r="R173" s="109" t="s">
        <v>907</v>
      </c>
      <c r="S173" s="633">
        <v>40569</v>
      </c>
      <c r="T173" s="633">
        <v>40574</v>
      </c>
      <c r="U173" s="229" t="s">
        <v>760</v>
      </c>
      <c r="W173" s="143">
        <v>404533.33</v>
      </c>
      <c r="X173" s="143"/>
      <c r="Y173" s="117" t="e">
        <f>W173*#REF!</f>
        <v>#REF!</v>
      </c>
      <c r="AA173" s="86">
        <v>6</v>
      </c>
      <c r="AB173" s="680">
        <v>44139</v>
      </c>
      <c r="AC173" s="104">
        <f t="shared" si="42"/>
        <v>9.7808219178082183</v>
      </c>
      <c r="AF173" s="214">
        <f t="shared" si="41"/>
        <v>-49</v>
      </c>
      <c r="AG173" s="215" t="e">
        <f t="shared" si="37"/>
        <v>#NUM!</v>
      </c>
      <c r="AH173" s="117" t="e">
        <f t="shared" si="38"/>
        <v>#NUM!</v>
      </c>
    </row>
    <row r="174" spans="1:34" s="74" customFormat="1" ht="25.5">
      <c r="A174" s="268" t="s">
        <v>903</v>
      </c>
      <c r="C174" s="73"/>
      <c r="D174" s="73"/>
      <c r="E174" s="91">
        <v>132</v>
      </c>
      <c r="F174" s="55" t="s">
        <v>846</v>
      </c>
      <c r="G174" s="53" t="s">
        <v>847</v>
      </c>
      <c r="H174" s="112" t="s">
        <v>787</v>
      </c>
      <c r="I174" s="112" t="s">
        <v>848</v>
      </c>
      <c r="J174" s="319">
        <f t="shared" ref="J174:J181" si="43">(AB174-S174)/365</f>
        <v>9.7753424657534254</v>
      </c>
      <c r="K174" s="46" t="s">
        <v>465</v>
      </c>
      <c r="L174" s="105">
        <v>2250000</v>
      </c>
      <c r="M174" s="46" t="s">
        <v>466</v>
      </c>
      <c r="N174" s="114">
        <v>99.57</v>
      </c>
      <c r="O174" s="91">
        <v>6.0574868999999998</v>
      </c>
      <c r="P174" s="227" t="s">
        <v>899</v>
      </c>
      <c r="Q174" s="48" t="s">
        <v>908</v>
      </c>
      <c r="R174" s="109" t="s">
        <v>909</v>
      </c>
      <c r="S174" s="633">
        <v>40571</v>
      </c>
      <c r="T174" s="633">
        <v>40576</v>
      </c>
      <c r="U174" s="229" t="s">
        <v>760</v>
      </c>
      <c r="W174" s="143">
        <v>2273325</v>
      </c>
      <c r="X174" s="143"/>
      <c r="Y174" s="117" t="e">
        <f>W174*#REF!</f>
        <v>#REF!</v>
      </c>
      <c r="Z174" s="70"/>
      <c r="AA174" s="86">
        <v>6</v>
      </c>
      <c r="AB174" s="680">
        <v>44139</v>
      </c>
      <c r="AC174" s="104">
        <f t="shared" si="42"/>
        <v>9.7753424657534254</v>
      </c>
      <c r="AF174" s="214">
        <f t="shared" ref="AF174:AF181" si="44">$AB$4-T174</f>
        <v>-51</v>
      </c>
      <c r="AG174" s="215" t="e">
        <f t="shared" si="37"/>
        <v>#NUM!</v>
      </c>
      <c r="AH174" s="117" t="e">
        <f t="shared" si="38"/>
        <v>#NUM!</v>
      </c>
    </row>
    <row r="175" spans="1:34" s="74" customFormat="1" ht="25.5">
      <c r="A175" s="73">
        <v>265</v>
      </c>
      <c r="B175" s="73">
        <v>3.4</v>
      </c>
      <c r="C175" s="73">
        <v>266</v>
      </c>
      <c r="D175" s="73">
        <v>259</v>
      </c>
      <c r="E175" s="277">
        <f>E174</f>
        <v>132</v>
      </c>
      <c r="F175" s="55" t="s">
        <v>846</v>
      </c>
      <c r="G175" s="53" t="s">
        <v>847</v>
      </c>
      <c r="H175" s="112" t="s">
        <v>787</v>
      </c>
      <c r="I175" s="112" t="s">
        <v>848</v>
      </c>
      <c r="J175" s="319">
        <f t="shared" si="43"/>
        <v>9.7753424657534254</v>
      </c>
      <c r="K175" s="46" t="s">
        <v>465</v>
      </c>
      <c r="L175" s="105">
        <v>250000</v>
      </c>
      <c r="M175" s="46" t="s">
        <v>466</v>
      </c>
      <c r="N175" s="114">
        <v>99.57</v>
      </c>
      <c r="O175" s="91">
        <v>6.0574868999999998</v>
      </c>
      <c r="P175" s="227" t="s">
        <v>899</v>
      </c>
      <c r="Q175" s="48" t="s">
        <v>908</v>
      </c>
      <c r="R175" s="109" t="s">
        <v>909</v>
      </c>
      <c r="S175" s="633">
        <v>40571</v>
      </c>
      <c r="T175" s="633">
        <v>40576</v>
      </c>
      <c r="U175" s="229" t="s">
        <v>760</v>
      </c>
      <c r="W175" s="143">
        <v>252591.67</v>
      </c>
      <c r="X175" s="143"/>
      <c r="Y175" s="117" t="e">
        <f>W175*#REF!</f>
        <v>#REF!</v>
      </c>
      <c r="Z175" s="70"/>
      <c r="AA175" s="86">
        <v>6</v>
      </c>
      <c r="AB175" s="680">
        <v>44139</v>
      </c>
      <c r="AC175" s="104">
        <f t="shared" si="42"/>
        <v>9.7753424657534254</v>
      </c>
      <c r="AF175" s="214">
        <f t="shared" si="44"/>
        <v>-51</v>
      </c>
      <c r="AG175" s="215" t="e">
        <f t="shared" si="37"/>
        <v>#NUM!</v>
      </c>
      <c r="AH175" s="117" t="e">
        <f t="shared" si="38"/>
        <v>#NUM!</v>
      </c>
    </row>
    <row r="176" spans="1:34" s="74" customFormat="1" ht="25.5">
      <c r="A176" s="268" t="s">
        <v>903</v>
      </c>
      <c r="C176" s="73"/>
      <c r="D176" s="73"/>
      <c r="E176" s="91">
        <v>133</v>
      </c>
      <c r="F176" s="55" t="s">
        <v>919</v>
      </c>
      <c r="G176" s="53" t="s">
        <v>920</v>
      </c>
      <c r="H176" s="112" t="s">
        <v>631</v>
      </c>
      <c r="I176" s="112" t="s">
        <v>918</v>
      </c>
      <c r="J176" s="319">
        <f t="shared" si="43"/>
        <v>9.7589041095890412</v>
      </c>
      <c r="K176" s="46" t="s">
        <v>465</v>
      </c>
      <c r="L176" s="105">
        <v>1800000</v>
      </c>
      <c r="M176" s="46" t="s">
        <v>466</v>
      </c>
      <c r="N176" s="114">
        <v>96.3</v>
      </c>
      <c r="O176" s="91">
        <v>6.0059275000000003</v>
      </c>
      <c r="P176" s="227" t="s">
        <v>831</v>
      </c>
      <c r="Q176" s="48" t="s">
        <v>830</v>
      </c>
      <c r="R176" s="109" t="s">
        <v>833</v>
      </c>
      <c r="S176" s="633">
        <v>40583</v>
      </c>
      <c r="T176" s="633">
        <v>40588</v>
      </c>
      <c r="U176" s="229" t="s">
        <v>760</v>
      </c>
      <c r="W176" s="143">
        <v>1759250</v>
      </c>
      <c r="X176" s="143"/>
      <c r="Y176" s="117" t="e">
        <f>W176*#REF!</f>
        <v>#REF!</v>
      </c>
      <c r="Z176" s="70"/>
      <c r="AA176" s="86">
        <v>5.5</v>
      </c>
      <c r="AB176" s="680">
        <v>44145</v>
      </c>
      <c r="AC176" s="104">
        <f t="shared" si="42"/>
        <v>9.7589041095890412</v>
      </c>
      <c r="AF176" s="214">
        <f t="shared" si="44"/>
        <v>-63</v>
      </c>
      <c r="AG176" s="215" t="e">
        <f t="shared" si="37"/>
        <v>#NUM!</v>
      </c>
      <c r="AH176" s="117" t="e">
        <f t="shared" si="38"/>
        <v>#NUM!</v>
      </c>
    </row>
    <row r="177" spans="1:34" s="74" customFormat="1" ht="25.5">
      <c r="A177" s="73">
        <v>227</v>
      </c>
      <c r="B177" s="73">
        <v>3.73</v>
      </c>
      <c r="C177" s="73">
        <v>227</v>
      </c>
      <c r="D177" s="73">
        <v>219</v>
      </c>
      <c r="E177" s="277">
        <f>E176</f>
        <v>133</v>
      </c>
      <c r="F177" s="55" t="s">
        <v>919</v>
      </c>
      <c r="G177" s="53" t="s">
        <v>920</v>
      </c>
      <c r="H177" s="112" t="s">
        <v>631</v>
      </c>
      <c r="I177" s="112" t="s">
        <v>918</v>
      </c>
      <c r="J177" s="319">
        <f t="shared" si="43"/>
        <v>9.7589041095890412</v>
      </c>
      <c r="K177" s="46" t="s">
        <v>465</v>
      </c>
      <c r="L177" s="105">
        <v>200000</v>
      </c>
      <c r="M177" s="46" t="s">
        <v>466</v>
      </c>
      <c r="N177" s="114">
        <v>96.3</v>
      </c>
      <c r="O177" s="91">
        <v>6.0059275000000003</v>
      </c>
      <c r="P177" s="227" t="s">
        <v>831</v>
      </c>
      <c r="Q177" s="48" t="s">
        <v>830</v>
      </c>
      <c r="R177" s="109" t="s">
        <v>833</v>
      </c>
      <c r="S177" s="633">
        <v>40583</v>
      </c>
      <c r="T177" s="633">
        <v>40588</v>
      </c>
      <c r="U177" s="229" t="s">
        <v>760</v>
      </c>
      <c r="W177" s="143">
        <v>195472.22</v>
      </c>
      <c r="X177" s="143"/>
      <c r="Y177" s="117" t="e">
        <f>W177*#REF!</f>
        <v>#REF!</v>
      </c>
      <c r="Z177" s="70"/>
      <c r="AA177" s="86">
        <v>5.5</v>
      </c>
      <c r="AB177" s="680">
        <v>44145</v>
      </c>
      <c r="AC177" s="104">
        <f t="shared" si="42"/>
        <v>9.7589041095890412</v>
      </c>
      <c r="AF177" s="214">
        <f t="shared" si="44"/>
        <v>-63</v>
      </c>
      <c r="AG177" s="215" t="e">
        <f t="shared" si="37"/>
        <v>#NUM!</v>
      </c>
      <c r="AH177" s="117" t="e">
        <f t="shared" si="38"/>
        <v>#NUM!</v>
      </c>
    </row>
    <row r="178" spans="1:34" s="74" customFormat="1" ht="25.5">
      <c r="A178" s="268" t="s">
        <v>903</v>
      </c>
      <c r="C178" s="73"/>
      <c r="D178" s="73"/>
      <c r="E178" s="91">
        <v>134</v>
      </c>
      <c r="F178" s="55" t="s">
        <v>927</v>
      </c>
      <c r="G178" s="53" t="s">
        <v>925</v>
      </c>
      <c r="H178" s="112" t="s">
        <v>727</v>
      </c>
      <c r="I178" s="112" t="s">
        <v>727</v>
      </c>
      <c r="J178" s="319">
        <f t="shared" si="43"/>
        <v>3.021917808219178</v>
      </c>
      <c r="K178" s="46" t="s">
        <v>465</v>
      </c>
      <c r="L178" s="105">
        <v>117000000</v>
      </c>
      <c r="M178" s="46" t="s">
        <v>865</v>
      </c>
      <c r="N178" s="114">
        <v>100</v>
      </c>
      <c r="O178" s="91">
        <v>4.7499500000000001</v>
      </c>
      <c r="P178" s="52" t="s">
        <v>355</v>
      </c>
      <c r="Q178" s="48" t="s">
        <v>648</v>
      </c>
      <c r="R178" s="53" t="s">
        <v>649</v>
      </c>
      <c r="S178" s="633">
        <v>40588</v>
      </c>
      <c r="T178" s="633">
        <v>40598</v>
      </c>
      <c r="U178" s="229" t="s">
        <v>760</v>
      </c>
      <c r="W178" s="143">
        <v>117045678.08</v>
      </c>
      <c r="X178" s="345">
        <f>7.77/6.58</f>
        <v>1.1808510638297871</v>
      </c>
      <c r="Y178" s="117">
        <f>W178*X178</f>
        <v>138213513.47744679</v>
      </c>
      <c r="Z178" s="70"/>
      <c r="AA178" s="86">
        <v>4.75</v>
      </c>
      <c r="AB178" s="680">
        <v>41691</v>
      </c>
      <c r="AC178" s="104">
        <f>(AB178-S178)/365</f>
        <v>3.021917808219178</v>
      </c>
      <c r="AF178" s="214">
        <f t="shared" si="44"/>
        <v>-73</v>
      </c>
      <c r="AG178" s="215" t="e">
        <f t="shared" si="37"/>
        <v>#NUM!</v>
      </c>
      <c r="AH178" s="117" t="e">
        <f t="shared" si="38"/>
        <v>#NUM!</v>
      </c>
    </row>
    <row r="179" spans="1:34" s="74" customFormat="1" ht="25.5">
      <c r="A179" s="73" t="s">
        <v>924</v>
      </c>
      <c r="B179" s="73">
        <v>2.75</v>
      </c>
      <c r="C179" s="73" t="s">
        <v>923</v>
      </c>
      <c r="D179" s="73" t="s">
        <v>922</v>
      </c>
      <c r="E179" s="277">
        <f>E178</f>
        <v>134</v>
      </c>
      <c r="F179" s="55" t="s">
        <v>927</v>
      </c>
      <c r="G179" s="53" t="s">
        <v>925</v>
      </c>
      <c r="H179" s="112" t="s">
        <v>727</v>
      </c>
      <c r="I179" s="112" t="s">
        <v>727</v>
      </c>
      <c r="J179" s="319">
        <f t="shared" si="43"/>
        <v>3.021917808219178</v>
      </c>
      <c r="K179" s="46" t="s">
        <v>465</v>
      </c>
      <c r="L179" s="105">
        <v>13000000</v>
      </c>
      <c r="M179" s="46" t="s">
        <v>865</v>
      </c>
      <c r="N179" s="114">
        <v>100</v>
      </c>
      <c r="O179" s="91">
        <v>4.7499500000000001</v>
      </c>
      <c r="P179" s="52" t="s">
        <v>355</v>
      </c>
      <c r="Q179" s="48" t="s">
        <v>648</v>
      </c>
      <c r="R179" s="53" t="s">
        <v>649</v>
      </c>
      <c r="S179" s="633">
        <v>40588</v>
      </c>
      <c r="T179" s="633">
        <v>40598</v>
      </c>
      <c r="U179" s="229" t="s">
        <v>760</v>
      </c>
      <c r="W179" s="143">
        <v>13005075.34</v>
      </c>
      <c r="X179" s="345">
        <f>X178</f>
        <v>1.1808510638297871</v>
      </c>
      <c r="Y179" s="117">
        <f>W179*X179</f>
        <v>15357057.050425529</v>
      </c>
      <c r="Z179" s="70"/>
      <c r="AA179" s="86">
        <v>4.75</v>
      </c>
      <c r="AB179" s="680">
        <v>41691</v>
      </c>
      <c r="AC179" s="104">
        <f>(AB179-S179)/365</f>
        <v>3.021917808219178</v>
      </c>
      <c r="AF179" s="214">
        <f t="shared" si="44"/>
        <v>-73</v>
      </c>
      <c r="AG179" s="215" t="e">
        <f t="shared" si="37"/>
        <v>#NUM!</v>
      </c>
      <c r="AH179" s="117" t="e">
        <f t="shared" si="38"/>
        <v>#NUM!</v>
      </c>
    </row>
    <row r="180" spans="1:34" s="74" customFormat="1" ht="25.5">
      <c r="A180" s="268" t="s">
        <v>902</v>
      </c>
      <c r="C180" s="73"/>
      <c r="D180" s="73"/>
      <c r="E180" s="91">
        <v>135</v>
      </c>
      <c r="F180" s="55" t="s">
        <v>815</v>
      </c>
      <c r="G180" s="53" t="s">
        <v>816</v>
      </c>
      <c r="H180" s="112" t="s">
        <v>817</v>
      </c>
      <c r="I180" s="112" t="s">
        <v>818</v>
      </c>
      <c r="J180" s="319">
        <f t="shared" si="43"/>
        <v>3.4356164383561643</v>
      </c>
      <c r="K180" s="46" t="s">
        <v>465</v>
      </c>
      <c r="L180" s="341">
        <v>1800000</v>
      </c>
      <c r="M180" s="91" t="s">
        <v>466</v>
      </c>
      <c r="N180" s="114">
        <v>107.5</v>
      </c>
      <c r="O180" s="91">
        <v>7.2385165999999996</v>
      </c>
      <c r="P180" s="227" t="s">
        <v>843</v>
      </c>
      <c r="Q180" s="48" t="s">
        <v>841</v>
      </c>
      <c r="R180" s="109" t="s">
        <v>842</v>
      </c>
      <c r="S180" s="633">
        <v>40589</v>
      </c>
      <c r="T180" s="633">
        <v>40595</v>
      </c>
      <c r="U180" s="229" t="s">
        <v>760</v>
      </c>
      <c r="W180" s="143">
        <v>1947187.5</v>
      </c>
      <c r="X180" s="143"/>
      <c r="Y180" s="117" t="e">
        <f>W180*#REF!</f>
        <v>#REF!</v>
      </c>
      <c r="Z180" s="70"/>
      <c r="AA180" s="86">
        <v>9.75</v>
      </c>
      <c r="AB180" s="680">
        <v>41843</v>
      </c>
      <c r="AC180" s="104">
        <f t="shared" ref="AC180:AC227" si="45">(AB180-$AB$4)/365</f>
        <v>3.6109589041095891</v>
      </c>
      <c r="AF180" s="214">
        <f t="shared" si="44"/>
        <v>-70</v>
      </c>
      <c r="AG180" s="215" t="e">
        <f t="shared" si="37"/>
        <v>#NUM!</v>
      </c>
      <c r="AH180" s="117" t="e">
        <f t="shared" si="38"/>
        <v>#NUM!</v>
      </c>
    </row>
    <row r="181" spans="1:34" s="74" customFormat="1" ht="25.5">
      <c r="A181" s="73"/>
      <c r="B181" s="73" t="s">
        <v>926</v>
      </c>
      <c r="C181" s="73"/>
      <c r="D181" s="73"/>
      <c r="E181" s="277">
        <f>E180</f>
        <v>135</v>
      </c>
      <c r="F181" s="55" t="s">
        <v>815</v>
      </c>
      <c r="G181" s="53" t="s">
        <v>816</v>
      </c>
      <c r="H181" s="112" t="s">
        <v>817</v>
      </c>
      <c r="I181" s="112" t="s">
        <v>818</v>
      </c>
      <c r="J181" s="319">
        <f t="shared" si="43"/>
        <v>3.4356164383561643</v>
      </c>
      <c r="K181" s="46" t="s">
        <v>465</v>
      </c>
      <c r="L181" s="105">
        <v>200000</v>
      </c>
      <c r="M181" s="46" t="s">
        <v>466</v>
      </c>
      <c r="N181" s="114">
        <v>107.5</v>
      </c>
      <c r="O181" s="91">
        <v>7.2385165999999996</v>
      </c>
      <c r="P181" s="227" t="s">
        <v>843</v>
      </c>
      <c r="Q181" s="48" t="s">
        <v>841</v>
      </c>
      <c r="R181" s="109" t="s">
        <v>842</v>
      </c>
      <c r="S181" s="633">
        <v>40589</v>
      </c>
      <c r="T181" s="633">
        <v>40592</v>
      </c>
      <c r="U181" s="229" t="s">
        <v>760</v>
      </c>
      <c r="W181" s="143">
        <v>216354.17</v>
      </c>
      <c r="X181" s="143"/>
      <c r="Y181" s="117" t="e">
        <f>W181*#REF!</f>
        <v>#REF!</v>
      </c>
      <c r="Z181" s="70"/>
      <c r="AA181" s="86">
        <v>9.75</v>
      </c>
      <c r="AB181" s="680">
        <v>41843</v>
      </c>
      <c r="AC181" s="104">
        <f t="shared" si="45"/>
        <v>3.6109589041095891</v>
      </c>
      <c r="AF181" s="214">
        <f t="shared" si="44"/>
        <v>-67</v>
      </c>
      <c r="AG181" s="215" t="e">
        <f t="shared" si="37"/>
        <v>#NUM!</v>
      </c>
      <c r="AH181" s="117" t="e">
        <f t="shared" si="38"/>
        <v>#NUM!</v>
      </c>
    </row>
    <row r="182" spans="1:34" s="74" customFormat="1" ht="25.5">
      <c r="A182" s="268" t="s">
        <v>902</v>
      </c>
      <c r="C182" s="73"/>
      <c r="D182" s="73"/>
      <c r="E182" s="91">
        <v>136</v>
      </c>
      <c r="F182" s="55" t="s">
        <v>815</v>
      </c>
      <c r="G182" s="53" t="s">
        <v>816</v>
      </c>
      <c r="H182" s="112" t="s">
        <v>817</v>
      </c>
      <c r="I182" s="112" t="s">
        <v>818</v>
      </c>
      <c r="J182" s="319">
        <f t="shared" ref="J182:J188" si="46">(AB182-S182)/365</f>
        <v>3.3589041095890413</v>
      </c>
      <c r="K182" s="46" t="s">
        <v>465</v>
      </c>
      <c r="L182" s="341">
        <v>2700000</v>
      </c>
      <c r="M182" s="91" t="s">
        <v>466</v>
      </c>
      <c r="N182" s="114">
        <v>107.41</v>
      </c>
      <c r="O182" s="91">
        <v>7.2125208000000001</v>
      </c>
      <c r="P182" s="227" t="s">
        <v>831</v>
      </c>
      <c r="Q182" s="48" t="s">
        <v>830</v>
      </c>
      <c r="R182" s="109" t="s">
        <v>833</v>
      </c>
      <c r="S182" s="633">
        <v>40617</v>
      </c>
      <c r="T182" s="633">
        <v>40620</v>
      </c>
      <c r="U182" s="229" t="s">
        <v>760</v>
      </c>
      <c r="W182" s="143">
        <v>2940288.75</v>
      </c>
      <c r="X182" s="143"/>
      <c r="Y182" s="117" t="e">
        <f>W182*#REF!</f>
        <v>#REF!</v>
      </c>
      <c r="Z182" s="70"/>
      <c r="AA182" s="86">
        <v>9.75</v>
      </c>
      <c r="AB182" s="680">
        <v>41843</v>
      </c>
      <c r="AC182" s="104">
        <f t="shared" si="45"/>
        <v>3.6109589041095891</v>
      </c>
      <c r="AF182" s="214">
        <f t="shared" ref="AF182:AF188" si="47">$AB$4-T182</f>
        <v>-95</v>
      </c>
      <c r="AG182" s="215" t="e">
        <f t="shared" si="37"/>
        <v>#NUM!</v>
      </c>
      <c r="AH182" s="117" t="e">
        <f t="shared" si="38"/>
        <v>#NUM!</v>
      </c>
    </row>
    <row r="183" spans="1:34" s="74" customFormat="1" ht="25.5">
      <c r="A183" s="73"/>
      <c r="B183" s="73" t="s">
        <v>955</v>
      </c>
      <c r="C183" s="73"/>
      <c r="D183" s="73"/>
      <c r="E183" s="277">
        <f>E182</f>
        <v>136</v>
      </c>
      <c r="F183" s="55" t="s">
        <v>815</v>
      </c>
      <c r="G183" s="53" t="s">
        <v>816</v>
      </c>
      <c r="H183" s="112" t="s">
        <v>817</v>
      </c>
      <c r="I183" s="112" t="s">
        <v>818</v>
      </c>
      <c r="J183" s="319">
        <f t="shared" si="46"/>
        <v>3.3589041095890413</v>
      </c>
      <c r="K183" s="46" t="s">
        <v>465</v>
      </c>
      <c r="L183" s="105">
        <v>300000</v>
      </c>
      <c r="M183" s="46" t="s">
        <v>466</v>
      </c>
      <c r="N183" s="114">
        <v>107.41</v>
      </c>
      <c r="O183" s="91">
        <v>7.2125208000000001</v>
      </c>
      <c r="P183" s="227" t="s">
        <v>831</v>
      </c>
      <c r="Q183" s="48" t="s">
        <v>830</v>
      </c>
      <c r="R183" s="109" t="s">
        <v>833</v>
      </c>
      <c r="S183" s="633">
        <v>40617</v>
      </c>
      <c r="T183" s="633">
        <v>40620</v>
      </c>
      <c r="U183" s="229" t="s">
        <v>760</v>
      </c>
      <c r="W183" s="143">
        <v>326698.75</v>
      </c>
      <c r="X183" s="143"/>
      <c r="Y183" s="117" t="e">
        <f>W183*#REF!</f>
        <v>#REF!</v>
      </c>
      <c r="Z183" s="70"/>
      <c r="AA183" s="86">
        <v>9.75</v>
      </c>
      <c r="AB183" s="680">
        <v>41843</v>
      </c>
      <c r="AC183" s="104">
        <f t="shared" si="45"/>
        <v>3.6109589041095891</v>
      </c>
      <c r="AF183" s="214">
        <f t="shared" si="47"/>
        <v>-95</v>
      </c>
      <c r="AG183" s="215" t="e">
        <f t="shared" si="37"/>
        <v>#NUM!</v>
      </c>
      <c r="AH183" s="117" t="e">
        <f t="shared" si="38"/>
        <v>#NUM!</v>
      </c>
    </row>
    <row r="184" spans="1:34" s="74" customFormat="1" ht="51">
      <c r="A184" s="268" t="s">
        <v>903</v>
      </c>
      <c r="C184" s="73"/>
      <c r="D184" s="73"/>
      <c r="E184" s="91">
        <v>137</v>
      </c>
      <c r="F184" s="55" t="s">
        <v>971</v>
      </c>
      <c r="G184" s="53" t="s">
        <v>972</v>
      </c>
      <c r="H184" s="112" t="s">
        <v>973</v>
      </c>
      <c r="I184" s="399" t="s">
        <v>974</v>
      </c>
      <c r="J184" s="319">
        <f t="shared" si="46"/>
        <v>10.027397260273972</v>
      </c>
      <c r="K184" s="46" t="s">
        <v>465</v>
      </c>
      <c r="L184" s="341">
        <v>22500000</v>
      </c>
      <c r="M184" s="91" t="s">
        <v>466</v>
      </c>
      <c r="N184" s="114">
        <v>100</v>
      </c>
      <c r="O184" s="91">
        <v>6.75</v>
      </c>
      <c r="P184" s="52" t="s">
        <v>355</v>
      </c>
      <c r="Q184" s="48" t="s">
        <v>648</v>
      </c>
      <c r="R184" s="53" t="s">
        <v>649</v>
      </c>
      <c r="S184" s="633">
        <v>40641</v>
      </c>
      <c r="T184" s="633">
        <v>40648</v>
      </c>
      <c r="U184" s="229" t="s">
        <v>760</v>
      </c>
      <c r="W184" s="143">
        <v>22500000</v>
      </c>
      <c r="X184" s="143"/>
      <c r="Y184" s="117" t="e">
        <f>W184*#REF!</f>
        <v>#REF!</v>
      </c>
      <c r="Z184" s="70"/>
      <c r="AA184" s="86">
        <v>6.75</v>
      </c>
      <c r="AB184" s="680">
        <v>44301</v>
      </c>
      <c r="AC184" s="104">
        <f t="shared" si="45"/>
        <v>10.345205479452055</v>
      </c>
      <c r="AF184" s="214">
        <f t="shared" si="47"/>
        <v>-123</v>
      </c>
      <c r="AG184" s="215" t="e">
        <f t="shared" si="37"/>
        <v>#NUM!</v>
      </c>
      <c r="AH184" s="117" t="e">
        <f t="shared" si="38"/>
        <v>#NUM!</v>
      </c>
    </row>
    <row r="185" spans="1:34" s="74" customFormat="1" ht="51">
      <c r="A185" s="73" t="s">
        <v>975</v>
      </c>
      <c r="B185" s="73">
        <v>316</v>
      </c>
      <c r="C185" s="73">
        <v>316</v>
      </c>
      <c r="D185" s="73">
        <v>307</v>
      </c>
      <c r="E185" s="277">
        <f>E184</f>
        <v>137</v>
      </c>
      <c r="F185" s="55" t="s">
        <v>971</v>
      </c>
      <c r="G185" s="53" t="s">
        <v>972</v>
      </c>
      <c r="H185" s="112" t="s">
        <v>973</v>
      </c>
      <c r="I185" s="399" t="s">
        <v>974</v>
      </c>
      <c r="J185" s="319">
        <f t="shared" si="46"/>
        <v>10.027397260273972</v>
      </c>
      <c r="K185" s="46" t="s">
        <v>465</v>
      </c>
      <c r="L185" s="341">
        <v>2500000</v>
      </c>
      <c r="M185" s="91" t="s">
        <v>466</v>
      </c>
      <c r="N185" s="114">
        <v>100</v>
      </c>
      <c r="O185" s="91">
        <v>6.75</v>
      </c>
      <c r="P185" s="52" t="s">
        <v>355</v>
      </c>
      <c r="Q185" s="48" t="s">
        <v>648</v>
      </c>
      <c r="R185" s="53" t="s">
        <v>649</v>
      </c>
      <c r="S185" s="633">
        <v>40641</v>
      </c>
      <c r="T185" s="633">
        <v>40648</v>
      </c>
      <c r="U185" s="229" t="s">
        <v>760</v>
      </c>
      <c r="W185" s="143">
        <v>2500000</v>
      </c>
      <c r="X185" s="143"/>
      <c r="Y185" s="117" t="e">
        <f>W185*#REF!</f>
        <v>#REF!</v>
      </c>
      <c r="Z185" s="70"/>
      <c r="AA185" s="86">
        <v>6.75</v>
      </c>
      <c r="AB185" s="680">
        <v>44301</v>
      </c>
      <c r="AC185" s="104">
        <f t="shared" si="45"/>
        <v>10.345205479452055</v>
      </c>
      <c r="AF185" s="214">
        <f t="shared" si="47"/>
        <v>-123</v>
      </c>
      <c r="AG185" s="215" t="e">
        <f t="shared" si="37"/>
        <v>#NUM!</v>
      </c>
      <c r="AH185" s="117" t="e">
        <f t="shared" si="38"/>
        <v>#NUM!</v>
      </c>
    </row>
    <row r="186" spans="1:34" s="74" customFormat="1" ht="51">
      <c r="A186" s="268" t="s">
        <v>903</v>
      </c>
      <c r="C186" s="73"/>
      <c r="D186" s="73"/>
      <c r="E186" s="91">
        <v>138</v>
      </c>
      <c r="F186" s="55" t="s">
        <v>971</v>
      </c>
      <c r="G186" s="53" t="s">
        <v>972</v>
      </c>
      <c r="H186" s="112" t="s">
        <v>973</v>
      </c>
      <c r="I186" s="399" t="s">
        <v>974</v>
      </c>
      <c r="J186" s="319">
        <f t="shared" si="46"/>
        <v>9.9726027397260282</v>
      </c>
      <c r="K186" s="46" t="s">
        <v>465</v>
      </c>
      <c r="L186" s="341">
        <v>2000000</v>
      </c>
      <c r="M186" s="91" t="s">
        <v>466</v>
      </c>
      <c r="N186" s="114">
        <v>99</v>
      </c>
      <c r="O186" s="91">
        <v>6.889786</v>
      </c>
      <c r="P186" s="227" t="s">
        <v>820</v>
      </c>
      <c r="Q186" s="48" t="s">
        <v>887</v>
      </c>
      <c r="R186" s="109" t="s">
        <v>888</v>
      </c>
      <c r="S186" s="633">
        <v>40661</v>
      </c>
      <c r="T186" s="633">
        <v>40667</v>
      </c>
      <c r="U186" s="229" t="s">
        <v>760</v>
      </c>
      <c r="W186" s="143">
        <v>1987125</v>
      </c>
      <c r="X186" s="143"/>
      <c r="Y186" s="117" t="e">
        <f>W186*#REF!</f>
        <v>#REF!</v>
      </c>
      <c r="Z186" s="70"/>
      <c r="AA186" s="86">
        <v>6.75</v>
      </c>
      <c r="AB186" s="680">
        <v>44301</v>
      </c>
      <c r="AC186" s="104">
        <f t="shared" si="45"/>
        <v>10.345205479452055</v>
      </c>
      <c r="AF186" s="214">
        <f t="shared" si="47"/>
        <v>-142</v>
      </c>
      <c r="AG186" s="215" t="e">
        <f t="shared" si="37"/>
        <v>#NUM!</v>
      </c>
      <c r="AH186" s="117" t="e">
        <f t="shared" si="38"/>
        <v>#NUM!</v>
      </c>
    </row>
    <row r="187" spans="1:34" s="74" customFormat="1" ht="51">
      <c r="A187" s="268" t="s">
        <v>903</v>
      </c>
      <c r="C187" s="73"/>
      <c r="D187" s="73"/>
      <c r="E187" s="91">
        <v>138</v>
      </c>
      <c r="F187" s="55" t="s">
        <v>971</v>
      </c>
      <c r="G187" s="53" t="s">
        <v>972</v>
      </c>
      <c r="H187" s="112" t="s">
        <v>973</v>
      </c>
      <c r="I187" s="399" t="s">
        <v>974</v>
      </c>
      <c r="J187" s="319">
        <f t="shared" si="46"/>
        <v>9.9726027397260282</v>
      </c>
      <c r="K187" s="46" t="s">
        <v>465</v>
      </c>
      <c r="L187" s="341">
        <v>4300000</v>
      </c>
      <c r="M187" s="91" t="s">
        <v>466</v>
      </c>
      <c r="N187" s="114">
        <v>99</v>
      </c>
      <c r="O187" s="91">
        <v>6.889786</v>
      </c>
      <c r="P187" s="227" t="s">
        <v>831</v>
      </c>
      <c r="Q187" s="48" t="s">
        <v>830</v>
      </c>
      <c r="R187" s="109" t="s">
        <v>833</v>
      </c>
      <c r="S187" s="633">
        <v>40661</v>
      </c>
      <c r="T187" s="633">
        <v>40667</v>
      </c>
      <c r="U187" s="229" t="s">
        <v>760</v>
      </c>
      <c r="W187" s="143">
        <v>4272318.75</v>
      </c>
      <c r="X187" s="143"/>
      <c r="Y187" s="117" t="e">
        <f>W187*#REF!</f>
        <v>#REF!</v>
      </c>
      <c r="Z187" s="70"/>
      <c r="AA187" s="86">
        <v>6.75</v>
      </c>
      <c r="AB187" s="680">
        <v>44301</v>
      </c>
      <c r="AC187" s="104">
        <f t="shared" si="45"/>
        <v>10.345205479452055</v>
      </c>
      <c r="AF187" s="214">
        <f t="shared" si="47"/>
        <v>-142</v>
      </c>
      <c r="AG187" s="215" t="e">
        <f t="shared" si="37"/>
        <v>#NUM!</v>
      </c>
      <c r="AH187" s="117" t="e">
        <f t="shared" si="38"/>
        <v>#NUM!</v>
      </c>
    </row>
    <row r="188" spans="1:34" s="74" customFormat="1" ht="51">
      <c r="A188" s="73" t="s">
        <v>984</v>
      </c>
      <c r="B188" s="73">
        <v>354</v>
      </c>
      <c r="C188" s="73">
        <v>354</v>
      </c>
      <c r="D188" s="73">
        <v>347</v>
      </c>
      <c r="E188" s="277">
        <f>E186</f>
        <v>138</v>
      </c>
      <c r="F188" s="55" t="s">
        <v>971</v>
      </c>
      <c r="G188" s="53" t="s">
        <v>972</v>
      </c>
      <c r="H188" s="112" t="s">
        <v>973</v>
      </c>
      <c r="I188" s="399" t="s">
        <v>974</v>
      </c>
      <c r="J188" s="319">
        <f t="shared" si="46"/>
        <v>9.9726027397260282</v>
      </c>
      <c r="K188" s="46" t="s">
        <v>465</v>
      </c>
      <c r="L188" s="341">
        <v>700000</v>
      </c>
      <c r="M188" s="91" t="s">
        <v>466</v>
      </c>
      <c r="N188" s="114">
        <v>99</v>
      </c>
      <c r="O188" s="91">
        <v>6.889786</v>
      </c>
      <c r="P188" s="227" t="s">
        <v>831</v>
      </c>
      <c r="Q188" s="48" t="s">
        <v>830</v>
      </c>
      <c r="R188" s="109" t="s">
        <v>833</v>
      </c>
      <c r="S188" s="633">
        <v>40661</v>
      </c>
      <c r="T188" s="633">
        <v>40667</v>
      </c>
      <c r="U188" s="229" t="s">
        <v>760</v>
      </c>
      <c r="W188" s="143">
        <v>695493.75</v>
      </c>
      <c r="X188" s="143"/>
      <c r="Y188" s="117" t="e">
        <f>W188*#REF!</f>
        <v>#REF!</v>
      </c>
      <c r="Z188" s="70"/>
      <c r="AA188" s="86">
        <v>6.75</v>
      </c>
      <c r="AB188" s="680">
        <v>44301</v>
      </c>
      <c r="AC188" s="104">
        <f t="shared" si="45"/>
        <v>10.345205479452055</v>
      </c>
      <c r="AF188" s="214">
        <f t="shared" si="47"/>
        <v>-142</v>
      </c>
      <c r="AG188" s="215" t="e">
        <f t="shared" si="37"/>
        <v>#NUM!</v>
      </c>
      <c r="AH188" s="117" t="e">
        <f t="shared" si="38"/>
        <v>#NUM!</v>
      </c>
    </row>
    <row r="189" spans="1:34" s="74" customFormat="1" ht="51">
      <c r="A189" s="268" t="s">
        <v>903</v>
      </c>
      <c r="C189" s="73"/>
      <c r="D189" s="73"/>
      <c r="E189" s="91">
        <v>139</v>
      </c>
      <c r="F189" s="55" t="s">
        <v>971</v>
      </c>
      <c r="G189" s="53" t="s">
        <v>972</v>
      </c>
      <c r="H189" s="112" t="s">
        <v>973</v>
      </c>
      <c r="I189" s="399" t="s">
        <v>974</v>
      </c>
      <c r="J189" s="319">
        <f t="shared" ref="J189:J197" si="48">(AB189-S189)/365</f>
        <v>9.9232876712328775</v>
      </c>
      <c r="K189" s="46" t="s">
        <v>465</v>
      </c>
      <c r="L189" s="341">
        <v>2700000</v>
      </c>
      <c r="M189" s="91" t="s">
        <v>466</v>
      </c>
      <c r="N189" s="114">
        <v>98</v>
      </c>
      <c r="O189" s="91">
        <v>7.0324603999999997</v>
      </c>
      <c r="P189" s="227" t="s">
        <v>831</v>
      </c>
      <c r="Q189" s="48" t="s">
        <v>830</v>
      </c>
      <c r="R189" s="109" t="s">
        <v>833</v>
      </c>
      <c r="S189" s="633">
        <v>40679</v>
      </c>
      <c r="T189" s="633">
        <v>40682</v>
      </c>
      <c r="U189" s="229" t="s">
        <v>760</v>
      </c>
      <c r="W189" s="143">
        <v>2663212.5</v>
      </c>
      <c r="X189" s="143"/>
      <c r="Y189" s="117" t="e">
        <f>W189*#REF!</f>
        <v>#REF!</v>
      </c>
      <c r="Z189" s="70"/>
      <c r="AA189" s="86">
        <v>6.75</v>
      </c>
      <c r="AB189" s="680">
        <v>44301</v>
      </c>
      <c r="AC189" s="104">
        <f t="shared" si="45"/>
        <v>10.345205479452055</v>
      </c>
      <c r="AF189" s="214">
        <f>$AB$4-T189</f>
        <v>-157</v>
      </c>
      <c r="AG189" s="215" t="e">
        <f t="shared" si="37"/>
        <v>#NUM!</v>
      </c>
      <c r="AH189" s="117" t="e">
        <f t="shared" si="38"/>
        <v>#NUM!</v>
      </c>
    </row>
    <row r="190" spans="1:34" s="74" customFormat="1" ht="51">
      <c r="A190" s="73" t="s">
        <v>992</v>
      </c>
      <c r="B190" s="73">
        <v>387</v>
      </c>
      <c r="C190" s="73">
        <v>387</v>
      </c>
      <c r="D190" s="73">
        <v>379</v>
      </c>
      <c r="E190" s="277">
        <f>E189</f>
        <v>139</v>
      </c>
      <c r="F190" s="55" t="s">
        <v>971</v>
      </c>
      <c r="G190" s="53" t="s">
        <v>972</v>
      </c>
      <c r="H190" s="112" t="s">
        <v>973</v>
      </c>
      <c r="I190" s="399" t="s">
        <v>974</v>
      </c>
      <c r="J190" s="319">
        <f t="shared" si="48"/>
        <v>9.9232876712328775</v>
      </c>
      <c r="K190" s="46" t="s">
        <v>465</v>
      </c>
      <c r="L190" s="341">
        <v>300000</v>
      </c>
      <c r="M190" s="91" t="s">
        <v>466</v>
      </c>
      <c r="N190" s="114">
        <v>98</v>
      </c>
      <c r="O190" s="91">
        <v>7.0324603999999997</v>
      </c>
      <c r="P190" s="227" t="s">
        <v>831</v>
      </c>
      <c r="Q190" s="48" t="s">
        <v>830</v>
      </c>
      <c r="R190" s="109" t="s">
        <v>833</v>
      </c>
      <c r="S190" s="633">
        <v>40679</v>
      </c>
      <c r="T190" s="633">
        <v>40682</v>
      </c>
      <c r="U190" s="229" t="s">
        <v>760</v>
      </c>
      <c r="W190" s="143">
        <v>295912.5</v>
      </c>
      <c r="X190" s="143"/>
      <c r="Y190" s="117" t="e">
        <f>W190*#REF!</f>
        <v>#REF!</v>
      </c>
      <c r="Z190" s="70"/>
      <c r="AA190" s="86">
        <v>6.75</v>
      </c>
      <c r="AB190" s="680">
        <v>44301</v>
      </c>
      <c r="AC190" s="104">
        <f t="shared" si="45"/>
        <v>10.345205479452055</v>
      </c>
      <c r="AF190" s="214">
        <f>$AB$4-T190</f>
        <v>-157</v>
      </c>
      <c r="AG190" s="215" t="e">
        <f t="shared" si="37"/>
        <v>#NUM!</v>
      </c>
      <c r="AH190" s="117" t="e">
        <f t="shared" si="38"/>
        <v>#NUM!</v>
      </c>
    </row>
    <row r="191" spans="1:34" s="74" customFormat="1" ht="25.5">
      <c r="A191" s="268" t="s">
        <v>903</v>
      </c>
      <c r="C191" s="73"/>
      <c r="D191" s="73"/>
      <c r="E191" s="91">
        <v>140</v>
      </c>
      <c r="F191" s="55" t="s">
        <v>1000</v>
      </c>
      <c r="G191" s="53" t="s">
        <v>920</v>
      </c>
      <c r="H191" s="112" t="s">
        <v>631</v>
      </c>
      <c r="I191" s="112" t="s">
        <v>918</v>
      </c>
      <c r="J191" s="319">
        <f t="shared" si="48"/>
        <v>9.3972602739726021</v>
      </c>
      <c r="K191" s="46" t="s">
        <v>465</v>
      </c>
      <c r="L191" s="105">
        <v>9000000</v>
      </c>
      <c r="M191" s="91" t="s">
        <v>466</v>
      </c>
      <c r="N191" s="50">
        <v>95.733999999999995</v>
      </c>
      <c r="O191" s="91">
        <v>6.1030791999999998</v>
      </c>
      <c r="P191" s="227" t="s">
        <v>843</v>
      </c>
      <c r="Q191" s="48" t="s">
        <v>776</v>
      </c>
      <c r="R191" s="109" t="s">
        <v>777</v>
      </c>
      <c r="S191" s="633">
        <v>40715</v>
      </c>
      <c r="T191" s="633">
        <v>40718</v>
      </c>
      <c r="U191" s="229" t="s">
        <v>760</v>
      </c>
      <c r="W191" s="143">
        <v>8676560</v>
      </c>
      <c r="X191" s="143"/>
      <c r="Y191" s="117" t="e">
        <f>W191*#REF!</f>
        <v>#REF!</v>
      </c>
      <c r="AA191" s="86">
        <v>5.5</v>
      </c>
      <c r="AB191" s="680">
        <v>44145</v>
      </c>
      <c r="AC191" s="104">
        <f t="shared" si="45"/>
        <v>9.9178082191780828</v>
      </c>
      <c r="AF191" s="214"/>
      <c r="AG191" s="215"/>
      <c r="AH191" s="117"/>
    </row>
    <row r="192" spans="1:34" s="74" customFormat="1" ht="25.5">
      <c r="A192" s="73" t="s">
        <v>1004</v>
      </c>
      <c r="B192" s="73">
        <v>315</v>
      </c>
      <c r="C192" s="73">
        <v>326</v>
      </c>
      <c r="D192" s="73">
        <v>313</v>
      </c>
      <c r="E192" s="277">
        <f>E191</f>
        <v>140</v>
      </c>
      <c r="F192" s="55" t="s">
        <v>1000</v>
      </c>
      <c r="G192" s="53" t="s">
        <v>920</v>
      </c>
      <c r="H192" s="112" t="s">
        <v>631</v>
      </c>
      <c r="I192" s="112" t="s">
        <v>918</v>
      </c>
      <c r="J192" s="319">
        <f t="shared" si="48"/>
        <v>9.3972602739726021</v>
      </c>
      <c r="K192" s="46" t="s">
        <v>465</v>
      </c>
      <c r="L192" s="105">
        <v>1000000</v>
      </c>
      <c r="M192" s="91" t="s">
        <v>466</v>
      </c>
      <c r="N192" s="114">
        <v>95.733999999999995</v>
      </c>
      <c r="O192" s="91">
        <v>6.1030791999999998</v>
      </c>
      <c r="P192" s="227" t="s">
        <v>843</v>
      </c>
      <c r="Q192" s="48" t="s">
        <v>776</v>
      </c>
      <c r="R192" s="109" t="s">
        <v>777</v>
      </c>
      <c r="S192" s="633">
        <v>40715</v>
      </c>
      <c r="T192" s="633">
        <v>40718</v>
      </c>
      <c r="U192" s="229" t="s">
        <v>760</v>
      </c>
      <c r="W192" s="143">
        <v>964062.22</v>
      </c>
      <c r="X192" s="143"/>
      <c r="Y192" s="117" t="e">
        <f>W192*#REF!</f>
        <v>#REF!</v>
      </c>
      <c r="Z192" s="70"/>
      <c r="AA192" s="86">
        <v>5.5</v>
      </c>
      <c r="AB192" s="680">
        <v>44145</v>
      </c>
      <c r="AC192" s="104">
        <f t="shared" si="45"/>
        <v>9.9178082191780828</v>
      </c>
      <c r="AF192" s="214"/>
      <c r="AG192" s="215"/>
      <c r="AH192" s="117"/>
    </row>
    <row r="193" spans="1:34" s="74" customFormat="1" ht="25.5" customHeight="1">
      <c r="A193" s="268" t="s">
        <v>903</v>
      </c>
      <c r="C193" s="73"/>
      <c r="D193" s="73"/>
      <c r="E193" s="91">
        <v>141</v>
      </c>
      <c r="F193" s="55" t="s">
        <v>1000</v>
      </c>
      <c r="G193" s="53" t="s">
        <v>920</v>
      </c>
      <c r="H193" s="112" t="s">
        <v>631</v>
      </c>
      <c r="I193" s="112" t="s">
        <v>918</v>
      </c>
      <c r="J193" s="319">
        <f t="shared" si="48"/>
        <v>9.3945205479452056</v>
      </c>
      <c r="K193" s="46" t="s">
        <v>465</v>
      </c>
      <c r="L193" s="105">
        <v>4500000</v>
      </c>
      <c r="M193" s="91" t="s">
        <v>466</v>
      </c>
      <c r="N193" s="114">
        <v>95.45</v>
      </c>
      <c r="O193" s="91">
        <v>6.1448438999999997</v>
      </c>
      <c r="P193" s="227" t="s">
        <v>899</v>
      </c>
      <c r="Q193" s="48" t="s">
        <v>908</v>
      </c>
      <c r="R193" s="109" t="s">
        <v>909</v>
      </c>
      <c r="S193" s="633">
        <v>40716</v>
      </c>
      <c r="T193" s="633">
        <v>40721</v>
      </c>
      <c r="U193" s="229" t="s">
        <v>760</v>
      </c>
      <c r="W193" s="143">
        <v>4327562.5</v>
      </c>
      <c r="X193" s="143"/>
      <c r="Y193" s="117" t="e">
        <f>W193*#REF!</f>
        <v>#REF!</v>
      </c>
      <c r="Z193" s="70"/>
      <c r="AA193" s="86">
        <v>5.5</v>
      </c>
      <c r="AB193" s="680">
        <v>44145</v>
      </c>
      <c r="AC193" s="104">
        <f t="shared" si="45"/>
        <v>9.9178082191780828</v>
      </c>
      <c r="AF193" s="214"/>
      <c r="AG193" s="215"/>
      <c r="AH193" s="117"/>
    </row>
    <row r="194" spans="1:34" s="74" customFormat="1" ht="25.5" customHeight="1">
      <c r="A194" s="73" t="s">
        <v>1009</v>
      </c>
      <c r="B194" s="73">
        <v>316</v>
      </c>
      <c r="C194" s="73">
        <v>327</v>
      </c>
      <c r="D194" s="73">
        <v>314</v>
      </c>
      <c r="E194" s="277">
        <f>E193</f>
        <v>141</v>
      </c>
      <c r="F194" s="55" t="s">
        <v>1000</v>
      </c>
      <c r="G194" s="53" t="s">
        <v>920</v>
      </c>
      <c r="H194" s="112" t="s">
        <v>631</v>
      </c>
      <c r="I194" s="112" t="s">
        <v>918</v>
      </c>
      <c r="J194" s="319">
        <f t="shared" si="48"/>
        <v>9.3945205479452056</v>
      </c>
      <c r="K194" s="46" t="s">
        <v>465</v>
      </c>
      <c r="L194" s="49">
        <v>500000</v>
      </c>
      <c r="M194" s="91" t="s">
        <v>466</v>
      </c>
      <c r="N194" s="50">
        <v>95.45</v>
      </c>
      <c r="O194" s="91">
        <v>6.1448438999999997</v>
      </c>
      <c r="P194" s="227" t="s">
        <v>899</v>
      </c>
      <c r="Q194" s="48" t="s">
        <v>908</v>
      </c>
      <c r="R194" s="109" t="s">
        <v>909</v>
      </c>
      <c r="S194" s="633">
        <v>40716</v>
      </c>
      <c r="T194" s="633">
        <v>40721</v>
      </c>
      <c r="U194" s="229" t="s">
        <v>760</v>
      </c>
      <c r="W194" s="143">
        <v>480840.28</v>
      </c>
      <c r="X194" s="143"/>
      <c r="Y194" s="117" t="e">
        <f>W194*#REF!</f>
        <v>#REF!</v>
      </c>
      <c r="Z194" s="342"/>
      <c r="AA194" s="73">
        <v>5.5</v>
      </c>
      <c r="AB194" s="680">
        <v>44145</v>
      </c>
      <c r="AC194" s="104">
        <f t="shared" si="45"/>
        <v>9.9178082191780828</v>
      </c>
    </row>
    <row r="195" spans="1:34" s="74" customFormat="1" ht="25.5" customHeight="1">
      <c r="A195" s="268" t="s">
        <v>903</v>
      </c>
      <c r="B195" s="73"/>
      <c r="C195" s="73"/>
      <c r="D195" s="73"/>
      <c r="E195" s="91">
        <v>142</v>
      </c>
      <c r="F195" s="55" t="s">
        <v>1000</v>
      </c>
      <c r="G195" s="53" t="s">
        <v>920</v>
      </c>
      <c r="H195" s="112" t="s">
        <v>631</v>
      </c>
      <c r="I195" s="112" t="s">
        <v>918</v>
      </c>
      <c r="J195" s="319">
        <f t="shared" si="48"/>
        <v>9.3945205479452056</v>
      </c>
      <c r="K195" s="46" t="s">
        <v>465</v>
      </c>
      <c r="L195" s="49">
        <v>3000000</v>
      </c>
      <c r="M195" s="91" t="s">
        <v>466</v>
      </c>
      <c r="N195" s="50">
        <v>95.29</v>
      </c>
      <c r="O195" s="91">
        <v>6.1682370000000004</v>
      </c>
      <c r="P195" s="52" t="s">
        <v>355</v>
      </c>
      <c r="Q195" s="48" t="s">
        <v>648</v>
      </c>
      <c r="R195" s="53" t="s">
        <v>649</v>
      </c>
      <c r="S195" s="633">
        <v>40716</v>
      </c>
      <c r="T195" s="633">
        <v>40721</v>
      </c>
      <c r="U195" s="229" t="s">
        <v>760</v>
      </c>
      <c r="W195" s="143">
        <v>2880241.67</v>
      </c>
      <c r="X195" s="143"/>
      <c r="Y195" s="117" t="e">
        <f>W195*#REF!</f>
        <v>#REF!</v>
      </c>
      <c r="Z195" s="342"/>
      <c r="AA195" s="73">
        <v>5.5</v>
      </c>
      <c r="AB195" s="680">
        <v>44145</v>
      </c>
      <c r="AC195" s="104">
        <f t="shared" si="45"/>
        <v>9.9178082191780828</v>
      </c>
    </row>
    <row r="196" spans="1:34" s="74" customFormat="1" ht="25.5" customHeight="1">
      <c r="A196" s="268" t="s">
        <v>903</v>
      </c>
      <c r="B196" s="73"/>
      <c r="C196" s="73"/>
      <c r="D196" s="73"/>
      <c r="E196" s="91">
        <v>142</v>
      </c>
      <c r="F196" s="55" t="s">
        <v>1000</v>
      </c>
      <c r="G196" s="53" t="s">
        <v>920</v>
      </c>
      <c r="H196" s="112" t="s">
        <v>631</v>
      </c>
      <c r="I196" s="112" t="s">
        <v>918</v>
      </c>
      <c r="J196" s="319">
        <f t="shared" si="48"/>
        <v>9.3945205479452056</v>
      </c>
      <c r="K196" s="46" t="s">
        <v>465</v>
      </c>
      <c r="L196" s="49">
        <v>1140000</v>
      </c>
      <c r="M196" s="91" t="s">
        <v>466</v>
      </c>
      <c r="N196" s="50">
        <v>95.29</v>
      </c>
      <c r="O196" s="91">
        <v>6.1682366999999996</v>
      </c>
      <c r="P196" s="227" t="s">
        <v>820</v>
      </c>
      <c r="Q196" s="48" t="s">
        <v>887</v>
      </c>
      <c r="R196" s="109" t="s">
        <v>888</v>
      </c>
      <c r="S196" s="633">
        <v>40716</v>
      </c>
      <c r="T196" s="633">
        <v>40721</v>
      </c>
      <c r="U196" s="229" t="s">
        <v>760</v>
      </c>
      <c r="W196" s="143">
        <v>1094491.83</v>
      </c>
      <c r="X196" s="143"/>
      <c r="Y196" s="117" t="e">
        <f>W196*#REF!</f>
        <v>#REF!</v>
      </c>
      <c r="Z196" s="342"/>
      <c r="AA196" s="73">
        <v>5.5</v>
      </c>
      <c r="AB196" s="680">
        <v>44145</v>
      </c>
      <c r="AC196" s="104">
        <f t="shared" si="45"/>
        <v>9.9178082191780828</v>
      </c>
    </row>
    <row r="197" spans="1:34" s="74" customFormat="1" ht="25.5" customHeight="1">
      <c r="A197" s="73" t="s">
        <v>1010</v>
      </c>
      <c r="B197" s="73">
        <v>321</v>
      </c>
      <c r="C197" s="73">
        <v>332</v>
      </c>
      <c r="D197" s="73">
        <v>319</v>
      </c>
      <c r="E197" s="277">
        <f>E196</f>
        <v>142</v>
      </c>
      <c r="F197" s="55" t="s">
        <v>1000</v>
      </c>
      <c r="G197" s="53" t="s">
        <v>920</v>
      </c>
      <c r="H197" s="112" t="s">
        <v>631</v>
      </c>
      <c r="I197" s="112" t="s">
        <v>918</v>
      </c>
      <c r="J197" s="319">
        <f t="shared" si="48"/>
        <v>9.3945205479452056</v>
      </c>
      <c r="K197" s="46" t="s">
        <v>465</v>
      </c>
      <c r="L197" s="49">
        <v>460000</v>
      </c>
      <c r="M197" s="91" t="s">
        <v>466</v>
      </c>
      <c r="N197" s="50">
        <v>95.29</v>
      </c>
      <c r="O197" s="91">
        <v>6.1682366999999996</v>
      </c>
      <c r="P197" s="227" t="s">
        <v>820</v>
      </c>
      <c r="Q197" s="48" t="s">
        <v>887</v>
      </c>
      <c r="R197" s="109" t="s">
        <v>888</v>
      </c>
      <c r="S197" s="633">
        <v>40716</v>
      </c>
      <c r="T197" s="633">
        <v>40721</v>
      </c>
      <c r="U197" s="229" t="s">
        <v>760</v>
      </c>
      <c r="W197" s="143">
        <v>441637.06</v>
      </c>
      <c r="X197" s="143"/>
      <c r="Y197" s="117" t="e">
        <f>W197*#REF!</f>
        <v>#REF!</v>
      </c>
      <c r="Z197" s="342"/>
      <c r="AA197" s="73">
        <v>5.5</v>
      </c>
      <c r="AB197" s="680">
        <v>44145</v>
      </c>
      <c r="AC197" s="104">
        <f t="shared" si="45"/>
        <v>9.9178082191780828</v>
      </c>
    </row>
    <row r="198" spans="1:34" s="74" customFormat="1" ht="23.25" customHeight="1">
      <c r="A198" s="268" t="s">
        <v>903</v>
      </c>
      <c r="B198" s="73"/>
      <c r="C198" s="73"/>
      <c r="D198" s="73"/>
      <c r="E198" s="91">
        <v>143</v>
      </c>
      <c r="F198" s="55" t="s">
        <v>1000</v>
      </c>
      <c r="G198" s="53" t="s">
        <v>920</v>
      </c>
      <c r="H198" s="112" t="s">
        <v>631</v>
      </c>
      <c r="I198" s="112" t="s">
        <v>918</v>
      </c>
      <c r="J198" s="319">
        <f t="shared" ref="J198:J203" si="49">(AB198-S198)/365</f>
        <v>9.3917808219178074</v>
      </c>
      <c r="K198" s="46" t="s">
        <v>465</v>
      </c>
      <c r="L198" s="49">
        <v>4500000</v>
      </c>
      <c r="M198" s="91" t="s">
        <v>466</v>
      </c>
      <c r="N198" s="50">
        <v>95.27</v>
      </c>
      <c r="O198" s="73">
        <v>6.1713003000000004</v>
      </c>
      <c r="P198" s="52" t="s">
        <v>470</v>
      </c>
      <c r="Q198" s="75" t="s">
        <v>1011</v>
      </c>
      <c r="R198" s="74" t="s">
        <v>1013</v>
      </c>
      <c r="S198" s="633">
        <v>40717</v>
      </c>
      <c r="T198" s="633">
        <v>40722</v>
      </c>
      <c r="U198" s="229" t="s">
        <v>760</v>
      </c>
      <c r="W198" s="143">
        <v>4320150</v>
      </c>
      <c r="X198" s="64"/>
      <c r="Y198" s="117" t="e">
        <f>W198*#REF!</f>
        <v>#REF!</v>
      </c>
      <c r="Z198" s="342"/>
      <c r="AA198" s="73">
        <v>5.5</v>
      </c>
      <c r="AB198" s="680">
        <v>44145</v>
      </c>
      <c r="AC198" s="104">
        <f t="shared" si="45"/>
        <v>9.9178082191780828</v>
      </c>
    </row>
    <row r="199" spans="1:34" s="74" customFormat="1" ht="31.5" customHeight="1">
      <c r="A199" s="73" t="s">
        <v>1010</v>
      </c>
      <c r="B199" s="73">
        <v>321</v>
      </c>
      <c r="C199" s="73">
        <v>332</v>
      </c>
      <c r="D199" s="73">
        <v>319</v>
      </c>
      <c r="E199" s="277">
        <f>E198</f>
        <v>143</v>
      </c>
      <c r="F199" s="55" t="s">
        <v>1000</v>
      </c>
      <c r="G199" s="53" t="s">
        <v>920</v>
      </c>
      <c r="H199" s="112" t="s">
        <v>631</v>
      </c>
      <c r="I199" s="112" t="s">
        <v>918</v>
      </c>
      <c r="J199" s="319">
        <f t="shared" si="49"/>
        <v>9.3917808219178074</v>
      </c>
      <c r="K199" s="46" t="s">
        <v>465</v>
      </c>
      <c r="L199" s="49">
        <v>500000</v>
      </c>
      <c r="M199" s="91" t="s">
        <v>466</v>
      </c>
      <c r="N199" s="50">
        <v>95.27</v>
      </c>
      <c r="O199" s="73">
        <v>6.1713003000000004</v>
      </c>
      <c r="P199" s="52" t="s">
        <v>470</v>
      </c>
      <c r="Q199" s="75" t="s">
        <v>1012</v>
      </c>
      <c r="R199" s="74" t="s">
        <v>1013</v>
      </c>
      <c r="S199" s="633">
        <v>40717</v>
      </c>
      <c r="T199" s="633">
        <v>40722</v>
      </c>
      <c r="U199" s="229" t="s">
        <v>760</v>
      </c>
      <c r="W199" s="143">
        <v>480016.67</v>
      </c>
      <c r="X199" s="64"/>
      <c r="Y199" s="117" t="e">
        <f>W199*#REF!</f>
        <v>#REF!</v>
      </c>
      <c r="Z199" s="342"/>
      <c r="AA199" s="73">
        <v>5.5</v>
      </c>
      <c r="AB199" s="680">
        <v>44145</v>
      </c>
      <c r="AC199" s="104">
        <f t="shared" si="45"/>
        <v>9.9178082191780828</v>
      </c>
    </row>
    <row r="200" spans="1:34" s="74" customFormat="1" ht="31.5" customHeight="1">
      <c r="A200" s="268" t="s">
        <v>903</v>
      </c>
      <c r="B200" s="73"/>
      <c r="C200" s="73"/>
      <c r="D200" s="73"/>
      <c r="E200" s="91">
        <v>144</v>
      </c>
      <c r="F200" s="55" t="s">
        <v>1000</v>
      </c>
      <c r="G200" s="53" t="s">
        <v>920</v>
      </c>
      <c r="H200" s="112" t="s">
        <v>631</v>
      </c>
      <c r="I200" s="112" t="s">
        <v>918</v>
      </c>
      <c r="J200" s="319">
        <f t="shared" si="49"/>
        <v>9.3917808219178074</v>
      </c>
      <c r="K200" s="46" t="s">
        <v>465</v>
      </c>
      <c r="L200" s="49">
        <v>3600000</v>
      </c>
      <c r="M200" s="91" t="s">
        <v>466</v>
      </c>
      <c r="N200" s="50">
        <v>95.25</v>
      </c>
      <c r="O200" s="73">
        <v>6.1742292000000001</v>
      </c>
      <c r="P200" s="1456" t="s">
        <v>1014</v>
      </c>
      <c r="Q200" s="75" t="s">
        <v>1015</v>
      </c>
      <c r="R200" s="109" t="s">
        <v>1016</v>
      </c>
      <c r="S200" s="633">
        <v>40717</v>
      </c>
      <c r="T200" s="633">
        <v>40722</v>
      </c>
      <c r="U200" s="229" t="s">
        <v>760</v>
      </c>
      <c r="W200" s="143">
        <v>3455400</v>
      </c>
      <c r="X200" s="64"/>
      <c r="Y200" s="117" t="e">
        <f>W200*#REF!</f>
        <v>#REF!</v>
      </c>
      <c r="Z200" s="342"/>
      <c r="AA200" s="73">
        <v>5.5</v>
      </c>
      <c r="AB200" s="680">
        <v>44145</v>
      </c>
      <c r="AC200" s="104">
        <f t="shared" si="45"/>
        <v>9.9178082191780828</v>
      </c>
    </row>
    <row r="201" spans="1:34" s="74" customFormat="1" ht="31.5" customHeight="1">
      <c r="A201" s="73" t="s">
        <v>1010</v>
      </c>
      <c r="B201" s="73">
        <v>321</v>
      </c>
      <c r="C201" s="73">
        <v>332</v>
      </c>
      <c r="D201" s="73">
        <v>319</v>
      </c>
      <c r="E201" s="277">
        <f>E200</f>
        <v>144</v>
      </c>
      <c r="F201" s="55" t="s">
        <v>1000</v>
      </c>
      <c r="G201" s="53" t="s">
        <v>920</v>
      </c>
      <c r="H201" s="112" t="s">
        <v>631</v>
      </c>
      <c r="I201" s="112" t="s">
        <v>918</v>
      </c>
      <c r="J201" s="319">
        <f t="shared" si="49"/>
        <v>9.3917808219178074</v>
      </c>
      <c r="K201" s="46" t="s">
        <v>465</v>
      </c>
      <c r="L201" s="49">
        <v>400000</v>
      </c>
      <c r="M201" s="91" t="s">
        <v>466</v>
      </c>
      <c r="N201" s="50">
        <v>95.25</v>
      </c>
      <c r="O201" s="73">
        <v>6.1742292000000001</v>
      </c>
      <c r="P201" s="1456" t="s">
        <v>1014</v>
      </c>
      <c r="Q201" s="75" t="s">
        <v>1015</v>
      </c>
      <c r="R201" s="109" t="s">
        <v>1016</v>
      </c>
      <c r="S201" s="633">
        <v>40717</v>
      </c>
      <c r="T201" s="633">
        <v>40722</v>
      </c>
      <c r="U201" s="229" t="s">
        <v>760</v>
      </c>
      <c r="W201" s="143">
        <v>383933.33</v>
      </c>
      <c r="X201" s="64"/>
      <c r="Y201" s="117" t="e">
        <f>W201*#REF!</f>
        <v>#REF!</v>
      </c>
      <c r="Z201" s="342"/>
      <c r="AA201" s="73">
        <v>5.5</v>
      </c>
      <c r="AB201" s="680">
        <v>44145</v>
      </c>
      <c r="AC201" s="104">
        <f t="shared" si="45"/>
        <v>9.9178082191780828</v>
      </c>
    </row>
    <row r="202" spans="1:34" s="74" customFormat="1" ht="27" customHeight="1">
      <c r="A202" s="268" t="s">
        <v>903</v>
      </c>
      <c r="B202" s="73"/>
      <c r="C202" s="73"/>
      <c r="D202" s="73"/>
      <c r="E202" s="91">
        <v>145</v>
      </c>
      <c r="F202" s="841" t="s">
        <v>1478</v>
      </c>
      <c r="G202" s="53" t="s">
        <v>1017</v>
      </c>
      <c r="H202" s="112" t="s">
        <v>727</v>
      </c>
      <c r="I202" s="112" t="s">
        <v>727</v>
      </c>
      <c r="J202" s="319">
        <f t="shared" si="49"/>
        <v>5.021917808219178</v>
      </c>
      <c r="K202" s="46" t="s">
        <v>465</v>
      </c>
      <c r="L202" s="49">
        <v>180000000</v>
      </c>
      <c r="M202" s="46" t="s">
        <v>865</v>
      </c>
      <c r="N202" s="114">
        <v>100</v>
      </c>
      <c r="O202" s="73">
        <v>4.9999269999999996</v>
      </c>
      <c r="P202" s="227" t="s">
        <v>905</v>
      </c>
      <c r="Q202" s="48" t="s">
        <v>906</v>
      </c>
      <c r="R202" s="109" t="s">
        <v>907</v>
      </c>
      <c r="S202" s="633">
        <v>40718</v>
      </c>
      <c r="T202" s="633">
        <v>40724</v>
      </c>
      <c r="U202" s="229" t="s">
        <v>760</v>
      </c>
      <c r="W202" s="143">
        <v>180000000</v>
      </c>
      <c r="X202" s="345">
        <f>7.787/6.48</f>
        <v>1.2016975308641975</v>
      </c>
      <c r="Y202" s="117">
        <f>W202*X202</f>
        <v>216305555.55555555</v>
      </c>
      <c r="Z202" s="342"/>
      <c r="AA202" s="73">
        <v>5</v>
      </c>
      <c r="AB202" s="680">
        <v>42551</v>
      </c>
      <c r="AC202" s="104">
        <f t="shared" si="45"/>
        <v>5.5506849315068489</v>
      </c>
    </row>
    <row r="203" spans="1:34" s="74" customFormat="1" ht="31.5" customHeight="1">
      <c r="A203" s="73" t="s">
        <v>1024</v>
      </c>
      <c r="B203" s="73"/>
      <c r="C203" s="73"/>
      <c r="D203" s="73"/>
      <c r="E203" s="277">
        <f>E202</f>
        <v>145</v>
      </c>
      <c r="F203" s="841" t="s">
        <v>1478</v>
      </c>
      <c r="G203" s="53" t="s">
        <v>1017</v>
      </c>
      <c r="H203" s="112" t="s">
        <v>1018</v>
      </c>
      <c r="I203" s="112" t="s">
        <v>1018</v>
      </c>
      <c r="J203" s="319">
        <f t="shared" si="49"/>
        <v>5.021917808219178</v>
      </c>
      <c r="K203" s="46" t="s">
        <v>465</v>
      </c>
      <c r="L203" s="49">
        <v>20000000</v>
      </c>
      <c r="M203" s="46" t="s">
        <v>865</v>
      </c>
      <c r="N203" s="114">
        <v>100</v>
      </c>
      <c r="O203" s="73">
        <v>4.9999269999999996</v>
      </c>
      <c r="P203" s="227" t="s">
        <v>905</v>
      </c>
      <c r="Q203" s="48" t="s">
        <v>906</v>
      </c>
      <c r="R203" s="109" t="s">
        <v>907</v>
      </c>
      <c r="S203" s="633">
        <v>40718</v>
      </c>
      <c r="T203" s="633">
        <v>40724</v>
      </c>
      <c r="U203" s="229" t="s">
        <v>760</v>
      </c>
      <c r="W203" s="143">
        <v>20000000</v>
      </c>
      <c r="X203" s="345">
        <f>X202</f>
        <v>1.2016975308641975</v>
      </c>
      <c r="Y203" s="117">
        <f>W203*X203</f>
        <v>24033950.617283951</v>
      </c>
      <c r="Z203" s="342"/>
      <c r="AA203" s="73">
        <v>5</v>
      </c>
      <c r="AB203" s="680">
        <v>42551</v>
      </c>
      <c r="AC203" s="104">
        <f t="shared" si="45"/>
        <v>5.5506849315068489</v>
      </c>
    </row>
    <row r="204" spans="1:34" s="74" customFormat="1" ht="31.5" customHeight="1">
      <c r="A204" s="268" t="s">
        <v>903</v>
      </c>
      <c r="B204" s="73"/>
      <c r="C204" s="73"/>
      <c r="D204" s="73"/>
      <c r="E204" s="91">
        <v>146</v>
      </c>
      <c r="F204" s="55" t="s">
        <v>1000</v>
      </c>
      <c r="G204" s="53" t="s">
        <v>920</v>
      </c>
      <c r="H204" s="112" t="s">
        <v>631</v>
      </c>
      <c r="I204" s="112" t="s">
        <v>918</v>
      </c>
      <c r="J204" s="319">
        <f t="shared" ref="J204:J209" si="50">(AB204-S204)/365</f>
        <v>9.375342465753425</v>
      </c>
      <c r="K204" s="46" t="s">
        <v>465</v>
      </c>
      <c r="L204" s="49">
        <v>9000000</v>
      </c>
      <c r="M204" s="91" t="s">
        <v>466</v>
      </c>
      <c r="N204" s="114">
        <v>95.61</v>
      </c>
      <c r="O204" s="73">
        <v>6.1225119000000001</v>
      </c>
      <c r="P204" s="227" t="s">
        <v>899</v>
      </c>
      <c r="Q204" s="48" t="s">
        <v>1025</v>
      </c>
      <c r="R204" s="109" t="s">
        <v>901</v>
      </c>
      <c r="S204" s="633">
        <v>40723</v>
      </c>
      <c r="T204" s="633">
        <v>40729</v>
      </c>
      <c r="U204" s="229" t="s">
        <v>760</v>
      </c>
      <c r="W204" s="143">
        <v>8680525</v>
      </c>
      <c r="X204" s="143"/>
      <c r="Y204" s="117" t="e">
        <f>W204*#REF!</f>
        <v>#REF!</v>
      </c>
      <c r="Z204" s="342"/>
      <c r="AA204" s="73">
        <v>5.5</v>
      </c>
      <c r="AB204" s="680">
        <v>44145</v>
      </c>
      <c r="AC204" s="104">
        <f t="shared" si="45"/>
        <v>9.9178082191780828</v>
      </c>
    </row>
    <row r="205" spans="1:34" s="74" customFormat="1" ht="31.5" customHeight="1">
      <c r="A205" s="73">
        <v>310</v>
      </c>
      <c r="B205" s="73">
        <v>3.02</v>
      </c>
      <c r="C205" s="73">
        <v>322</v>
      </c>
      <c r="D205" s="73">
        <v>309</v>
      </c>
      <c r="E205" s="277">
        <f>E204</f>
        <v>146</v>
      </c>
      <c r="F205" s="55" t="s">
        <v>1000</v>
      </c>
      <c r="G205" s="53" t="s">
        <v>920</v>
      </c>
      <c r="H205" s="112" t="s">
        <v>631</v>
      </c>
      <c r="I205" s="112" t="s">
        <v>918</v>
      </c>
      <c r="J205" s="319">
        <f t="shared" si="50"/>
        <v>9.375342465753425</v>
      </c>
      <c r="K205" s="46" t="s">
        <v>465</v>
      </c>
      <c r="L205" s="49">
        <v>1000000</v>
      </c>
      <c r="M205" s="91" t="s">
        <v>466</v>
      </c>
      <c r="N205" s="114">
        <v>95.61</v>
      </c>
      <c r="O205" s="73">
        <v>6.1225119000000001</v>
      </c>
      <c r="P205" s="227" t="s">
        <v>899</v>
      </c>
      <c r="Q205" s="48" t="s">
        <v>1025</v>
      </c>
      <c r="R205" s="109" t="s">
        <v>901</v>
      </c>
      <c r="S205" s="633">
        <v>40723</v>
      </c>
      <c r="T205" s="633">
        <v>40729</v>
      </c>
      <c r="U205" s="229" t="s">
        <v>760</v>
      </c>
      <c r="W205" s="143">
        <v>964502.78</v>
      </c>
      <c r="X205" s="143"/>
      <c r="Y205" s="117" t="e">
        <f>W205*#REF!</f>
        <v>#REF!</v>
      </c>
      <c r="Z205" s="342"/>
      <c r="AA205" s="73">
        <v>5.5</v>
      </c>
      <c r="AB205" s="680">
        <v>44145</v>
      </c>
      <c r="AC205" s="104">
        <f t="shared" si="45"/>
        <v>9.9178082191780828</v>
      </c>
    </row>
    <row r="206" spans="1:34" s="74" customFormat="1" ht="31.5" customHeight="1">
      <c r="A206" s="268" t="s">
        <v>903</v>
      </c>
      <c r="B206" s="73"/>
      <c r="C206" s="73"/>
      <c r="D206" s="73"/>
      <c r="E206" s="91">
        <v>147</v>
      </c>
      <c r="F206" s="55" t="s">
        <v>1000</v>
      </c>
      <c r="G206" s="53" t="s">
        <v>920</v>
      </c>
      <c r="H206" s="112" t="s">
        <v>631</v>
      </c>
      <c r="I206" s="112" t="s">
        <v>918</v>
      </c>
      <c r="J206" s="319">
        <f t="shared" si="50"/>
        <v>9.3534246575342461</v>
      </c>
      <c r="K206" s="46" t="s">
        <v>465</v>
      </c>
      <c r="L206" s="49">
        <v>4500000</v>
      </c>
      <c r="M206" s="91" t="s">
        <v>466</v>
      </c>
      <c r="N206" s="114">
        <v>96.11</v>
      </c>
      <c r="O206" s="73">
        <v>6.0505326999999998</v>
      </c>
      <c r="P206" s="227" t="s">
        <v>905</v>
      </c>
      <c r="Q206" s="48" t="s">
        <v>906</v>
      </c>
      <c r="R206" s="109" t="s">
        <v>907</v>
      </c>
      <c r="S206" s="633">
        <v>40731</v>
      </c>
      <c r="T206" s="633">
        <v>40736</v>
      </c>
      <c r="U206" s="229" t="s">
        <v>760</v>
      </c>
      <c r="W206" s="143">
        <v>4367575</v>
      </c>
      <c r="X206" s="143"/>
      <c r="Y206" s="117" t="e">
        <f>W206*#REF!</f>
        <v>#REF!</v>
      </c>
      <c r="Z206" s="342"/>
      <c r="AA206" s="73">
        <v>5.5</v>
      </c>
      <c r="AB206" s="680">
        <v>44145</v>
      </c>
      <c r="AC206" s="104">
        <f t="shared" si="45"/>
        <v>9.9178082191780828</v>
      </c>
    </row>
    <row r="207" spans="1:34" s="74" customFormat="1" ht="31.5" customHeight="1">
      <c r="A207" s="73">
        <v>294</v>
      </c>
      <c r="B207" s="73">
        <v>3.1</v>
      </c>
      <c r="C207" s="73">
        <v>306</v>
      </c>
      <c r="D207" s="73">
        <v>291</v>
      </c>
      <c r="E207" s="277">
        <f>E206</f>
        <v>147</v>
      </c>
      <c r="F207" s="55" t="s">
        <v>1000</v>
      </c>
      <c r="G207" s="53" t="s">
        <v>920</v>
      </c>
      <c r="H207" s="112" t="s">
        <v>631</v>
      </c>
      <c r="I207" s="112" t="s">
        <v>918</v>
      </c>
      <c r="J207" s="319">
        <f t="shared" si="50"/>
        <v>9.3534246575342461</v>
      </c>
      <c r="K207" s="46" t="s">
        <v>465</v>
      </c>
      <c r="L207" s="49">
        <v>500000</v>
      </c>
      <c r="M207" s="91" t="s">
        <v>466</v>
      </c>
      <c r="N207" s="114">
        <v>96.11</v>
      </c>
      <c r="O207" s="73">
        <v>6.0505326999999998</v>
      </c>
      <c r="P207" s="227" t="s">
        <v>905</v>
      </c>
      <c r="Q207" s="48" t="s">
        <v>906</v>
      </c>
      <c r="R207" s="109" t="s">
        <v>907</v>
      </c>
      <c r="S207" s="633">
        <v>40731</v>
      </c>
      <c r="T207" s="633">
        <v>40736</v>
      </c>
      <c r="U207" s="229" t="s">
        <v>760</v>
      </c>
      <c r="W207" s="143">
        <v>485286.11</v>
      </c>
      <c r="X207" s="143"/>
      <c r="Y207" s="117" t="e">
        <f>W207*#REF!</f>
        <v>#REF!</v>
      </c>
      <c r="Z207" s="342"/>
      <c r="AA207" s="73">
        <v>5.5</v>
      </c>
      <c r="AB207" s="680">
        <v>44145</v>
      </c>
      <c r="AC207" s="104">
        <f t="shared" si="45"/>
        <v>9.9178082191780828</v>
      </c>
    </row>
    <row r="208" spans="1:34" s="74" customFormat="1" ht="31.5" customHeight="1">
      <c r="A208" s="268" t="s">
        <v>903</v>
      </c>
      <c r="B208" s="73"/>
      <c r="C208" s="73"/>
      <c r="D208" s="73"/>
      <c r="E208" s="91">
        <v>148</v>
      </c>
      <c r="F208" s="55" t="s">
        <v>1000</v>
      </c>
      <c r="G208" s="53" t="s">
        <v>920</v>
      </c>
      <c r="H208" s="112" t="s">
        <v>631</v>
      </c>
      <c r="I208" s="112" t="s">
        <v>918</v>
      </c>
      <c r="J208" s="319">
        <f t="shared" si="50"/>
        <v>9.3506849315068497</v>
      </c>
      <c r="K208" s="46" t="s">
        <v>465</v>
      </c>
      <c r="L208" s="49">
        <v>4500000</v>
      </c>
      <c r="M208" s="91" t="s">
        <v>466</v>
      </c>
      <c r="N208" s="114">
        <v>96.1</v>
      </c>
      <c r="O208" s="73">
        <v>6.0521016999999997</v>
      </c>
      <c r="P208" s="1456" t="s">
        <v>1014</v>
      </c>
      <c r="Q208" s="75" t="s">
        <v>1015</v>
      </c>
      <c r="R208" s="109" t="s">
        <v>1016</v>
      </c>
      <c r="S208" s="633">
        <v>40732</v>
      </c>
      <c r="T208" s="633">
        <v>40737</v>
      </c>
      <c r="U208" s="229" t="s">
        <v>760</v>
      </c>
      <c r="W208" s="143">
        <v>4367812.5</v>
      </c>
      <c r="X208" s="143"/>
      <c r="Y208" s="117" t="e">
        <f>W208*#REF!</f>
        <v>#REF!</v>
      </c>
      <c r="Z208" s="342"/>
      <c r="AA208" s="73">
        <v>5.5</v>
      </c>
      <c r="AB208" s="680">
        <v>44145</v>
      </c>
      <c r="AC208" s="104">
        <f t="shared" si="45"/>
        <v>9.9178082191780828</v>
      </c>
    </row>
    <row r="209" spans="1:34" s="74" customFormat="1" ht="31.5" customHeight="1">
      <c r="A209" s="73">
        <v>290</v>
      </c>
      <c r="B209" s="73">
        <v>3.15</v>
      </c>
      <c r="C209" s="73">
        <v>302</v>
      </c>
      <c r="D209" s="73">
        <v>287</v>
      </c>
      <c r="E209" s="277">
        <f>E208</f>
        <v>148</v>
      </c>
      <c r="F209" s="55" t="s">
        <v>1000</v>
      </c>
      <c r="G209" s="53" t="s">
        <v>920</v>
      </c>
      <c r="H209" s="112" t="s">
        <v>631</v>
      </c>
      <c r="I209" s="112" t="s">
        <v>918</v>
      </c>
      <c r="J209" s="319">
        <f t="shared" si="50"/>
        <v>9.3506849315068497</v>
      </c>
      <c r="K209" s="46" t="s">
        <v>465</v>
      </c>
      <c r="L209" s="49">
        <v>500000</v>
      </c>
      <c r="M209" s="91" t="s">
        <v>466</v>
      </c>
      <c r="N209" s="114">
        <v>96.1</v>
      </c>
      <c r="O209" s="73">
        <v>6.0521016999999997</v>
      </c>
      <c r="P209" s="1456" t="s">
        <v>1014</v>
      </c>
      <c r="Q209" s="75" t="s">
        <v>1015</v>
      </c>
      <c r="R209" s="109" t="s">
        <v>1016</v>
      </c>
      <c r="S209" s="633">
        <v>40732</v>
      </c>
      <c r="T209" s="633">
        <v>40737</v>
      </c>
      <c r="U209" s="229" t="s">
        <v>760</v>
      </c>
      <c r="W209" s="143">
        <v>485312.5</v>
      </c>
      <c r="X209" s="143"/>
      <c r="Y209" s="117" t="e">
        <f>W209*#REF!</f>
        <v>#REF!</v>
      </c>
      <c r="Z209" s="342"/>
      <c r="AA209" s="73">
        <v>5.5</v>
      </c>
      <c r="AB209" s="680">
        <v>44145</v>
      </c>
      <c r="AC209" s="104">
        <f t="shared" si="45"/>
        <v>9.9178082191780828</v>
      </c>
    </row>
    <row r="210" spans="1:34" s="74" customFormat="1" ht="31.5" customHeight="1">
      <c r="A210" s="268" t="s">
        <v>903</v>
      </c>
      <c r="B210" s="73"/>
      <c r="C210" s="73"/>
      <c r="D210" s="73"/>
      <c r="E210" s="91">
        <v>149</v>
      </c>
      <c r="F210" s="55" t="s">
        <v>1000</v>
      </c>
      <c r="G210" s="53" t="s">
        <v>920</v>
      </c>
      <c r="H210" s="112" t="s">
        <v>631</v>
      </c>
      <c r="I210" s="112" t="s">
        <v>918</v>
      </c>
      <c r="J210" s="319">
        <f t="shared" ref="J210:J215" si="51">(AB210-S210)/365</f>
        <v>9.3424657534246567</v>
      </c>
      <c r="K210" s="46" t="s">
        <v>465</v>
      </c>
      <c r="L210" s="49">
        <v>9000000</v>
      </c>
      <c r="M210" s="91" t="s">
        <v>466</v>
      </c>
      <c r="N210" s="114">
        <v>96.1</v>
      </c>
      <c r="O210" s="73">
        <v>6.0522178999999996</v>
      </c>
      <c r="P210" s="52" t="s">
        <v>470</v>
      </c>
      <c r="Q210" s="75" t="s">
        <v>1011</v>
      </c>
      <c r="R210" s="75" t="s">
        <v>1027</v>
      </c>
      <c r="S210" s="633">
        <v>40735</v>
      </c>
      <c r="T210" s="633">
        <v>40738</v>
      </c>
      <c r="U210" s="229" t="s">
        <v>760</v>
      </c>
      <c r="W210" s="143">
        <v>8737000</v>
      </c>
      <c r="X210" s="143"/>
      <c r="Y210" s="117" t="e">
        <f>W210*#REF!</f>
        <v>#REF!</v>
      </c>
      <c r="Z210" s="342"/>
      <c r="AA210" s="73">
        <v>5.5</v>
      </c>
      <c r="AB210" s="680">
        <v>44145</v>
      </c>
      <c r="AC210" s="104">
        <f t="shared" si="45"/>
        <v>9.9178082191780828</v>
      </c>
    </row>
    <row r="211" spans="1:34" s="74" customFormat="1" ht="31.5" customHeight="1">
      <c r="A211" s="73">
        <v>294</v>
      </c>
      <c r="B211" s="73">
        <v>3.01</v>
      </c>
      <c r="C211" s="73">
        <v>316</v>
      </c>
      <c r="D211" s="73">
        <v>300</v>
      </c>
      <c r="E211" s="277">
        <f>E210</f>
        <v>149</v>
      </c>
      <c r="F211" s="55" t="s">
        <v>1000</v>
      </c>
      <c r="G211" s="53" t="s">
        <v>920</v>
      </c>
      <c r="H211" s="112" t="s">
        <v>631</v>
      </c>
      <c r="I211" s="112" t="s">
        <v>918</v>
      </c>
      <c r="J211" s="319">
        <f t="shared" si="51"/>
        <v>9.3424657534246567</v>
      </c>
      <c r="K211" s="46" t="s">
        <v>465</v>
      </c>
      <c r="L211" s="49">
        <v>1000000</v>
      </c>
      <c r="M211" s="91" t="s">
        <v>466</v>
      </c>
      <c r="N211" s="114">
        <v>96.1</v>
      </c>
      <c r="O211" s="73">
        <v>6.0522178999999996</v>
      </c>
      <c r="P211" s="52" t="s">
        <v>470</v>
      </c>
      <c r="Q211" s="75" t="s">
        <v>1011</v>
      </c>
      <c r="R211" s="75" t="s">
        <v>1026</v>
      </c>
      <c r="S211" s="633">
        <v>40735</v>
      </c>
      <c r="T211" s="633">
        <v>40738</v>
      </c>
      <c r="U211" s="229" t="s">
        <v>760</v>
      </c>
      <c r="W211" s="143">
        <v>970777.78</v>
      </c>
      <c r="X211" s="143"/>
      <c r="Y211" s="117" t="e">
        <f>W211*#REF!</f>
        <v>#REF!</v>
      </c>
      <c r="Z211" s="342"/>
      <c r="AA211" s="73">
        <v>5.5</v>
      </c>
      <c r="AB211" s="680">
        <v>44145</v>
      </c>
      <c r="AC211" s="104">
        <f t="shared" si="45"/>
        <v>9.9178082191780828</v>
      </c>
    </row>
    <row r="212" spans="1:34" s="74" customFormat="1" ht="25.5">
      <c r="A212" s="268" t="s">
        <v>902</v>
      </c>
      <c r="C212" s="73"/>
      <c r="D212" s="73"/>
      <c r="E212" s="91">
        <v>150</v>
      </c>
      <c r="F212" s="55" t="s">
        <v>815</v>
      </c>
      <c r="G212" s="53" t="s">
        <v>816</v>
      </c>
      <c r="H212" s="112" t="s">
        <v>817</v>
      </c>
      <c r="I212" s="112" t="s">
        <v>818</v>
      </c>
      <c r="J212" s="319">
        <f t="shared" si="51"/>
        <v>3.0301369863013701</v>
      </c>
      <c r="K212" s="46" t="s">
        <v>465</v>
      </c>
      <c r="L212" s="341">
        <v>9000000</v>
      </c>
      <c r="M212" s="91" t="s">
        <v>466</v>
      </c>
      <c r="N212" s="114">
        <v>107.75</v>
      </c>
      <c r="O212" s="91">
        <v>6.8591046000000002</v>
      </c>
      <c r="P212" s="227" t="s">
        <v>843</v>
      </c>
      <c r="Q212" s="48" t="s">
        <v>776</v>
      </c>
      <c r="R212" s="109" t="s">
        <v>777</v>
      </c>
      <c r="S212" s="633">
        <v>40737</v>
      </c>
      <c r="T212" s="633">
        <v>40742</v>
      </c>
      <c r="U212" s="229" t="s">
        <v>760</v>
      </c>
      <c r="W212" s="143">
        <v>10124062.5</v>
      </c>
      <c r="X212" s="143"/>
      <c r="Y212" s="117" t="e">
        <f>W212*#REF!</f>
        <v>#REF!</v>
      </c>
      <c r="Z212" s="70"/>
      <c r="AA212" s="86">
        <v>9.75</v>
      </c>
      <c r="AB212" s="680">
        <v>41843</v>
      </c>
      <c r="AC212" s="104">
        <f t="shared" si="45"/>
        <v>3.6109589041095891</v>
      </c>
      <c r="AF212" s="214">
        <f t="shared" ref="AF212:AF217" si="52">$AB$4-T212</f>
        <v>-217</v>
      </c>
      <c r="AG212" s="215" t="e">
        <f t="shared" ref="AG212:AG221" si="53">ACCRINT($T212,$T212,$AG$4,AA212/100,100,2,0, 0)*L212/100</f>
        <v>#NUM!</v>
      </c>
      <c r="AH212" s="117" t="e">
        <f t="shared" ref="AH212:AH221" si="54">AG212*$AH$4</f>
        <v>#NUM!</v>
      </c>
    </row>
    <row r="213" spans="1:34" s="74" customFormat="1" ht="25.5">
      <c r="A213" s="73">
        <v>0.65</v>
      </c>
      <c r="B213" s="73">
        <v>584</v>
      </c>
      <c r="C213" s="73">
        <v>583</v>
      </c>
      <c r="D213" s="73">
        <v>548</v>
      </c>
      <c r="E213" s="277">
        <f>E212</f>
        <v>150</v>
      </c>
      <c r="F213" s="55" t="s">
        <v>815</v>
      </c>
      <c r="G213" s="53" t="s">
        <v>816</v>
      </c>
      <c r="H213" s="112" t="s">
        <v>817</v>
      </c>
      <c r="I213" s="112" t="s">
        <v>818</v>
      </c>
      <c r="J213" s="319">
        <f t="shared" si="51"/>
        <v>3.0301369863013701</v>
      </c>
      <c r="K213" s="46" t="s">
        <v>465</v>
      </c>
      <c r="L213" s="105">
        <v>1000000</v>
      </c>
      <c r="M213" s="46" t="s">
        <v>466</v>
      </c>
      <c r="N213" s="114">
        <v>107.75</v>
      </c>
      <c r="O213" s="91">
        <v>6.8591046000000002</v>
      </c>
      <c r="P213" s="227" t="s">
        <v>843</v>
      </c>
      <c r="Q213" s="48" t="s">
        <v>776</v>
      </c>
      <c r="R213" s="109" t="s">
        <v>777</v>
      </c>
      <c r="S213" s="633">
        <v>40737</v>
      </c>
      <c r="T213" s="633">
        <v>40742</v>
      </c>
      <c r="U213" s="229" t="s">
        <v>760</v>
      </c>
      <c r="W213" s="143">
        <v>1124895.83</v>
      </c>
      <c r="X213" s="143"/>
      <c r="Y213" s="117" t="e">
        <f>W213*#REF!</f>
        <v>#REF!</v>
      </c>
      <c r="Z213" s="70"/>
      <c r="AA213" s="86">
        <v>9.75</v>
      </c>
      <c r="AB213" s="680">
        <v>41843</v>
      </c>
      <c r="AC213" s="104">
        <f t="shared" si="45"/>
        <v>3.6109589041095891</v>
      </c>
      <c r="AF213" s="214">
        <f t="shared" si="52"/>
        <v>-217</v>
      </c>
      <c r="AG213" s="215" t="e">
        <f t="shared" si="53"/>
        <v>#NUM!</v>
      </c>
      <c r="AH213" s="117" t="e">
        <f t="shared" si="54"/>
        <v>#NUM!</v>
      </c>
    </row>
    <row r="214" spans="1:34" s="74" customFormat="1" ht="25.5">
      <c r="A214" s="268" t="s">
        <v>903</v>
      </c>
      <c r="C214" s="73"/>
      <c r="D214" s="73"/>
      <c r="E214" s="91">
        <v>151</v>
      </c>
      <c r="F214" s="55" t="s">
        <v>815</v>
      </c>
      <c r="G214" s="53" t="s">
        <v>816</v>
      </c>
      <c r="H214" s="112" t="s">
        <v>817</v>
      </c>
      <c r="I214" s="112" t="s">
        <v>818</v>
      </c>
      <c r="J214" s="319">
        <f t="shared" si="51"/>
        <v>3.0136986301369864</v>
      </c>
      <c r="K214" s="46" t="s">
        <v>465</v>
      </c>
      <c r="L214" s="341">
        <v>6750000</v>
      </c>
      <c r="M214" s="91" t="s">
        <v>466</v>
      </c>
      <c r="N214" s="114">
        <v>107.85</v>
      </c>
      <c r="O214" s="91">
        <v>6.8148460000000002</v>
      </c>
      <c r="P214" s="400" t="s">
        <v>1028</v>
      </c>
      <c r="Q214" s="48" t="s">
        <v>1030</v>
      </c>
      <c r="R214" s="109" t="s">
        <v>1029</v>
      </c>
      <c r="S214" s="633">
        <v>40743</v>
      </c>
      <c r="T214" s="633">
        <v>40746</v>
      </c>
      <c r="U214" s="229" t="s">
        <v>760</v>
      </c>
      <c r="W214" s="143">
        <v>7607109.3799999999</v>
      </c>
      <c r="X214" s="143"/>
      <c r="Y214" s="117" t="e">
        <f>W214*#REF!</f>
        <v>#REF!</v>
      </c>
      <c r="Z214" s="70"/>
      <c r="AA214" s="86">
        <v>9.75</v>
      </c>
      <c r="AB214" s="680">
        <v>41843</v>
      </c>
      <c r="AC214" s="104">
        <f t="shared" si="45"/>
        <v>3.6109589041095891</v>
      </c>
      <c r="AF214" s="214">
        <f t="shared" si="52"/>
        <v>-221</v>
      </c>
      <c r="AG214" s="215" t="e">
        <f t="shared" si="53"/>
        <v>#NUM!</v>
      </c>
      <c r="AH214" s="117" t="e">
        <f t="shared" si="54"/>
        <v>#NUM!</v>
      </c>
    </row>
    <row r="215" spans="1:34" s="74" customFormat="1" ht="25.5">
      <c r="A215" s="73"/>
      <c r="B215" s="73"/>
      <c r="C215" s="73"/>
      <c r="D215" s="73"/>
      <c r="E215" s="277">
        <f>E214</f>
        <v>151</v>
      </c>
      <c r="F215" s="55" t="s">
        <v>815</v>
      </c>
      <c r="G215" s="53" t="s">
        <v>816</v>
      </c>
      <c r="H215" s="112" t="s">
        <v>817</v>
      </c>
      <c r="I215" s="112" t="s">
        <v>818</v>
      </c>
      <c r="J215" s="319">
        <f t="shared" si="51"/>
        <v>3.0136986301369864</v>
      </c>
      <c r="K215" s="46" t="s">
        <v>465</v>
      </c>
      <c r="L215" s="105">
        <v>750000</v>
      </c>
      <c r="M215" s="46" t="s">
        <v>466</v>
      </c>
      <c r="N215" s="114">
        <v>107.85</v>
      </c>
      <c r="O215" s="91">
        <v>6.8148460000000002</v>
      </c>
      <c r="P215" s="400" t="s">
        <v>1028</v>
      </c>
      <c r="Q215" s="48" t="s">
        <v>1030</v>
      </c>
      <c r="R215" s="109" t="s">
        <v>1029</v>
      </c>
      <c r="S215" s="633">
        <v>40743</v>
      </c>
      <c r="T215" s="633">
        <v>40746</v>
      </c>
      <c r="U215" s="229" t="s">
        <v>760</v>
      </c>
      <c r="W215" s="143">
        <v>845234.38</v>
      </c>
      <c r="X215" s="143"/>
      <c r="Y215" s="117" t="e">
        <f>W215*#REF!</f>
        <v>#REF!</v>
      </c>
      <c r="Z215" s="70"/>
      <c r="AA215" s="86">
        <v>9.75</v>
      </c>
      <c r="AB215" s="680">
        <v>41843</v>
      </c>
      <c r="AC215" s="104">
        <f t="shared" si="45"/>
        <v>3.6109589041095891</v>
      </c>
      <c r="AF215" s="214">
        <f t="shared" si="52"/>
        <v>-221</v>
      </c>
      <c r="AG215" s="215" t="e">
        <f t="shared" si="53"/>
        <v>#NUM!</v>
      </c>
      <c r="AH215" s="117" t="e">
        <f t="shared" si="54"/>
        <v>#NUM!</v>
      </c>
    </row>
    <row r="216" spans="1:34" s="74" customFormat="1" ht="25.5">
      <c r="A216" s="268" t="s">
        <v>903</v>
      </c>
      <c r="C216" s="73"/>
      <c r="D216" s="73"/>
      <c r="E216" s="91">
        <v>152</v>
      </c>
      <c r="F216" s="55" t="s">
        <v>815</v>
      </c>
      <c r="G216" s="53" t="s">
        <v>816</v>
      </c>
      <c r="H216" s="112" t="s">
        <v>817</v>
      </c>
      <c r="I216" s="112" t="s">
        <v>818</v>
      </c>
      <c r="J216" s="319">
        <f t="shared" ref="J216:J223" si="55">(AB216-S216)/365</f>
        <v>2.956164383561644</v>
      </c>
      <c r="K216" s="46" t="s">
        <v>465</v>
      </c>
      <c r="L216" s="341">
        <v>4500000</v>
      </c>
      <c r="M216" s="91" t="s">
        <v>466</v>
      </c>
      <c r="N216" s="114">
        <v>105</v>
      </c>
      <c r="O216" s="91">
        <v>7.8144530999999997</v>
      </c>
      <c r="P216" s="227" t="s">
        <v>831</v>
      </c>
      <c r="Q216" s="48" t="s">
        <v>830</v>
      </c>
      <c r="R216" s="109" t="s">
        <v>833</v>
      </c>
      <c r="S216" s="633">
        <v>40764</v>
      </c>
      <c r="T216" s="633">
        <v>40767</v>
      </c>
      <c r="U216" s="229" t="s">
        <v>760</v>
      </c>
      <c r="W216" s="143">
        <v>4748156.25</v>
      </c>
      <c r="X216" s="143"/>
      <c r="Y216" s="117" t="e">
        <f>W216*#REF!</f>
        <v>#REF!</v>
      </c>
      <c r="Z216" s="70"/>
      <c r="AA216" s="86">
        <v>9.75</v>
      </c>
      <c r="AB216" s="680">
        <v>41843</v>
      </c>
      <c r="AC216" s="104">
        <f t="shared" si="45"/>
        <v>3.6109589041095891</v>
      </c>
      <c r="AF216" s="214">
        <f t="shared" si="52"/>
        <v>-242</v>
      </c>
      <c r="AG216" s="215" t="e">
        <f t="shared" si="53"/>
        <v>#NUM!</v>
      </c>
      <c r="AH216" s="117" t="e">
        <f t="shared" si="54"/>
        <v>#NUM!</v>
      </c>
    </row>
    <row r="217" spans="1:34" s="74" customFormat="1" ht="25.5">
      <c r="A217" s="73">
        <v>737</v>
      </c>
      <c r="B217" s="73">
        <v>0.45</v>
      </c>
      <c r="C217" s="73">
        <v>736</v>
      </c>
      <c r="D217" s="73">
        <v>704</v>
      </c>
      <c r="E217" s="277">
        <f>E216</f>
        <v>152</v>
      </c>
      <c r="F217" s="55" t="s">
        <v>815</v>
      </c>
      <c r="G217" s="53" t="s">
        <v>816</v>
      </c>
      <c r="H217" s="112" t="s">
        <v>817</v>
      </c>
      <c r="I217" s="112" t="s">
        <v>818</v>
      </c>
      <c r="J217" s="319">
        <f t="shared" si="55"/>
        <v>2.956164383561644</v>
      </c>
      <c r="K217" s="46" t="s">
        <v>465</v>
      </c>
      <c r="L217" s="105">
        <v>500000</v>
      </c>
      <c r="M217" s="46" t="s">
        <v>466</v>
      </c>
      <c r="N217" s="114">
        <v>105</v>
      </c>
      <c r="O217" s="91">
        <v>7.8144530999999997</v>
      </c>
      <c r="P217" s="227" t="s">
        <v>831</v>
      </c>
      <c r="Q217" s="48" t="s">
        <v>830</v>
      </c>
      <c r="R217" s="109" t="s">
        <v>833</v>
      </c>
      <c r="S217" s="633">
        <v>40764</v>
      </c>
      <c r="T217" s="633">
        <v>40767</v>
      </c>
      <c r="U217" s="229" t="s">
        <v>760</v>
      </c>
      <c r="W217" s="143">
        <v>527572.92000000004</v>
      </c>
      <c r="X217" s="143"/>
      <c r="Y217" s="117" t="e">
        <f>W217*#REF!</f>
        <v>#REF!</v>
      </c>
      <c r="Z217" s="70"/>
      <c r="AA217" s="86">
        <v>9.75</v>
      </c>
      <c r="AB217" s="680">
        <v>41843</v>
      </c>
      <c r="AC217" s="104">
        <f t="shared" si="45"/>
        <v>3.6109589041095891</v>
      </c>
      <c r="AF217" s="214">
        <f t="shared" si="52"/>
        <v>-242</v>
      </c>
      <c r="AG217" s="215" t="e">
        <f t="shared" si="53"/>
        <v>#NUM!</v>
      </c>
      <c r="AH217" s="117" t="e">
        <f t="shared" si="54"/>
        <v>#NUM!</v>
      </c>
    </row>
    <row r="218" spans="1:34" s="74" customFormat="1" ht="25.5">
      <c r="A218" s="268" t="s">
        <v>903</v>
      </c>
      <c r="C218" s="73"/>
      <c r="D218" s="73"/>
      <c r="E218" s="91">
        <v>153</v>
      </c>
      <c r="F218" s="55" t="s">
        <v>815</v>
      </c>
      <c r="G218" s="53" t="s">
        <v>816</v>
      </c>
      <c r="H218" s="112" t="s">
        <v>817</v>
      </c>
      <c r="I218" s="112" t="s">
        <v>818</v>
      </c>
      <c r="J218" s="319">
        <f t="shared" si="55"/>
        <v>2.9506849315068493</v>
      </c>
      <c r="K218" s="46" t="s">
        <v>465</v>
      </c>
      <c r="L218" s="341">
        <v>2700000</v>
      </c>
      <c r="M218" s="91" t="s">
        <v>466</v>
      </c>
      <c r="N218" s="114">
        <v>104</v>
      </c>
      <c r="O218" s="91">
        <v>8.1855989000000005</v>
      </c>
      <c r="P218" s="227" t="s">
        <v>831</v>
      </c>
      <c r="Q218" s="48" t="s">
        <v>830</v>
      </c>
      <c r="R218" s="109" t="s">
        <v>833</v>
      </c>
      <c r="S218" s="633">
        <v>40766</v>
      </c>
      <c r="T218" s="633">
        <v>40771</v>
      </c>
      <c r="U218" s="229" t="s">
        <v>760</v>
      </c>
      <c r="W218" s="143">
        <v>2824818.75</v>
      </c>
      <c r="X218" s="143"/>
      <c r="Y218" s="117" t="e">
        <f>W218*#REF!</f>
        <v>#REF!</v>
      </c>
      <c r="Z218" s="70"/>
      <c r="AA218" s="86">
        <v>9.75</v>
      </c>
      <c r="AB218" s="680">
        <v>41843</v>
      </c>
      <c r="AC218" s="104">
        <f t="shared" si="45"/>
        <v>3.6109589041095891</v>
      </c>
      <c r="AF218" s="214">
        <f>$AB$4-T218</f>
        <v>-246</v>
      </c>
      <c r="AG218" s="215" t="e">
        <f t="shared" si="53"/>
        <v>#NUM!</v>
      </c>
      <c r="AH218" s="117" t="e">
        <f t="shared" si="54"/>
        <v>#NUM!</v>
      </c>
    </row>
    <row r="219" spans="1:34" s="74" customFormat="1" ht="25.5">
      <c r="A219" s="73"/>
      <c r="B219" s="73"/>
      <c r="C219" s="73"/>
      <c r="D219" s="73"/>
      <c r="E219" s="277">
        <f>E218</f>
        <v>153</v>
      </c>
      <c r="F219" s="55" t="s">
        <v>815</v>
      </c>
      <c r="G219" s="53" t="s">
        <v>816</v>
      </c>
      <c r="H219" s="112" t="s">
        <v>817</v>
      </c>
      <c r="I219" s="112" t="s">
        <v>818</v>
      </c>
      <c r="J219" s="319">
        <f t="shared" si="55"/>
        <v>2.9506849315068493</v>
      </c>
      <c r="K219" s="46" t="s">
        <v>465</v>
      </c>
      <c r="L219" s="105">
        <v>300000</v>
      </c>
      <c r="M219" s="46" t="s">
        <v>466</v>
      </c>
      <c r="N219" s="114">
        <v>104</v>
      </c>
      <c r="O219" s="91">
        <v>8.1855989000000005</v>
      </c>
      <c r="P219" s="227" t="s">
        <v>831</v>
      </c>
      <c r="Q219" s="48" t="s">
        <v>830</v>
      </c>
      <c r="R219" s="109" t="s">
        <v>833</v>
      </c>
      <c r="S219" s="633">
        <v>40766</v>
      </c>
      <c r="T219" s="633">
        <v>40771</v>
      </c>
      <c r="U219" s="229" t="s">
        <v>760</v>
      </c>
      <c r="W219" s="143">
        <v>313868.75</v>
      </c>
      <c r="X219" s="143"/>
      <c r="Y219" s="117" t="e">
        <f>W219*#REF!</f>
        <v>#REF!</v>
      </c>
      <c r="Z219" s="70"/>
      <c r="AA219" s="86">
        <v>9.75</v>
      </c>
      <c r="AB219" s="680">
        <v>41843</v>
      </c>
      <c r="AC219" s="104">
        <f t="shared" si="45"/>
        <v>3.6109589041095891</v>
      </c>
      <c r="AF219" s="214">
        <f>$AB$4-T219</f>
        <v>-246</v>
      </c>
      <c r="AG219" s="215" t="e">
        <f t="shared" si="53"/>
        <v>#NUM!</v>
      </c>
      <c r="AH219" s="117" t="e">
        <f t="shared" si="54"/>
        <v>#NUM!</v>
      </c>
    </row>
    <row r="220" spans="1:34" s="74" customFormat="1" ht="25.5">
      <c r="A220" s="268" t="s">
        <v>903</v>
      </c>
      <c r="C220" s="73"/>
      <c r="D220" s="73"/>
      <c r="E220" s="91">
        <v>154</v>
      </c>
      <c r="F220" s="55" t="s">
        <v>1039</v>
      </c>
      <c r="G220" s="109" t="s">
        <v>1043</v>
      </c>
      <c r="H220" s="112" t="s">
        <v>1042</v>
      </c>
      <c r="I220" s="112" t="s">
        <v>1042</v>
      </c>
      <c r="J220" s="319">
        <f t="shared" si="55"/>
        <v>3.0273972602739727</v>
      </c>
      <c r="K220" s="46" t="s">
        <v>465</v>
      </c>
      <c r="L220" s="341">
        <v>765000000</v>
      </c>
      <c r="M220" s="91" t="s">
        <v>1041</v>
      </c>
      <c r="N220" s="114">
        <v>99.45</v>
      </c>
      <c r="O220" s="91">
        <v>14.03</v>
      </c>
      <c r="P220" s="227" t="s">
        <v>1040</v>
      </c>
      <c r="Q220" s="48" t="s">
        <v>648</v>
      </c>
      <c r="R220" s="53" t="s">
        <v>649</v>
      </c>
      <c r="S220" s="633">
        <v>40785</v>
      </c>
      <c r="T220" s="633">
        <v>40794</v>
      </c>
      <c r="U220" s="229" t="s">
        <v>760</v>
      </c>
      <c r="W220" s="117">
        <f>L220*N220/100/7.8</f>
        <v>97537500</v>
      </c>
      <c r="X220" s="143">
        <v>7.8</v>
      </c>
      <c r="Y220" s="117">
        <f>W220*X220</f>
        <v>760792500</v>
      </c>
      <c r="Z220" s="70"/>
      <c r="AA220" s="86">
        <v>13.8</v>
      </c>
      <c r="AB220" s="680">
        <v>41890</v>
      </c>
      <c r="AC220" s="104">
        <f t="shared" si="45"/>
        <v>3.7397260273972601</v>
      </c>
      <c r="AD220" s="75" t="s">
        <v>5</v>
      </c>
      <c r="AF220" s="214">
        <f>$AB$4-T220</f>
        <v>-269</v>
      </c>
      <c r="AG220" s="215" t="e">
        <f t="shared" si="53"/>
        <v>#NUM!</v>
      </c>
      <c r="AH220" s="117" t="e">
        <f t="shared" si="54"/>
        <v>#NUM!</v>
      </c>
    </row>
    <row r="221" spans="1:34" s="74" customFormat="1" ht="25.5">
      <c r="A221" s="73"/>
      <c r="B221" s="73" t="s">
        <v>1044</v>
      </c>
      <c r="C221" s="73"/>
      <c r="D221" s="73"/>
      <c r="E221" s="277">
        <f>E220</f>
        <v>154</v>
      </c>
      <c r="F221" s="55" t="s">
        <v>1039</v>
      </c>
      <c r="G221" s="109" t="s">
        <v>1043</v>
      </c>
      <c r="H221" s="112" t="s">
        <v>1042</v>
      </c>
      <c r="I221" s="112" t="s">
        <v>1042</v>
      </c>
      <c r="J221" s="319">
        <f t="shared" si="55"/>
        <v>3.0273972602739727</v>
      </c>
      <c r="K221" s="46" t="s">
        <v>465</v>
      </c>
      <c r="L221" s="341">
        <v>85000000</v>
      </c>
      <c r="M221" s="91" t="s">
        <v>1041</v>
      </c>
      <c r="N221" s="114">
        <v>99.45</v>
      </c>
      <c r="O221" s="91">
        <v>14.03</v>
      </c>
      <c r="P221" s="227" t="s">
        <v>1040</v>
      </c>
      <c r="Q221" s="48" t="s">
        <v>648</v>
      </c>
      <c r="R221" s="53" t="s">
        <v>649</v>
      </c>
      <c r="S221" s="633">
        <v>40785</v>
      </c>
      <c r="T221" s="633">
        <v>40794</v>
      </c>
      <c r="U221" s="229" t="s">
        <v>760</v>
      </c>
      <c r="W221" s="117">
        <f>L221*N221/100/7.8</f>
        <v>10837500</v>
      </c>
      <c r="X221" s="143">
        <v>7.8</v>
      </c>
      <c r="Y221" s="117">
        <f>W221*X221</f>
        <v>84532500</v>
      </c>
      <c r="Z221" s="70"/>
      <c r="AA221" s="86">
        <v>13.8</v>
      </c>
      <c r="AB221" s="680">
        <v>41890</v>
      </c>
      <c r="AC221" s="104">
        <f t="shared" si="45"/>
        <v>3.7397260273972601</v>
      </c>
      <c r="AD221" s="75" t="s">
        <v>5</v>
      </c>
      <c r="AF221" s="214">
        <f>$AB$4-T221</f>
        <v>-269</v>
      </c>
      <c r="AG221" s="215" t="e">
        <f t="shared" si="53"/>
        <v>#NUM!</v>
      </c>
      <c r="AH221" s="117" t="e">
        <f t="shared" si="54"/>
        <v>#NUM!</v>
      </c>
    </row>
    <row r="222" spans="1:34" s="74" customFormat="1" ht="31.5" customHeight="1">
      <c r="A222" s="268" t="s">
        <v>903</v>
      </c>
      <c r="B222" s="73"/>
      <c r="C222" s="73"/>
      <c r="D222" s="73"/>
      <c r="E222" s="91">
        <v>155</v>
      </c>
      <c r="F222" s="55" t="s">
        <v>1060</v>
      </c>
      <c r="G222" s="53" t="s">
        <v>920</v>
      </c>
      <c r="H222" s="112" t="s">
        <v>631</v>
      </c>
      <c r="I222" s="112" t="s">
        <v>918</v>
      </c>
      <c r="J222" s="319">
        <f t="shared" si="55"/>
        <v>9.1424657534246574</v>
      </c>
      <c r="K222" s="46" t="s">
        <v>465</v>
      </c>
      <c r="L222" s="341">
        <v>4500000</v>
      </c>
      <c r="M222" s="91" t="s">
        <v>466</v>
      </c>
      <c r="N222" s="114">
        <v>95.74</v>
      </c>
      <c r="O222" s="73">
        <v>6.1152682</v>
      </c>
      <c r="P222" s="52" t="s">
        <v>1046</v>
      </c>
      <c r="Q222" s="75" t="s">
        <v>1047</v>
      </c>
      <c r="R222" s="75" t="s">
        <v>1048</v>
      </c>
      <c r="S222" s="633">
        <v>40808</v>
      </c>
      <c r="T222" s="633">
        <v>40813</v>
      </c>
      <c r="U222" s="229" t="s">
        <v>760</v>
      </c>
      <c r="W222" s="143">
        <v>4402487.5</v>
      </c>
      <c r="X222" s="143"/>
      <c r="Y222" s="117" t="e">
        <f>W222*#REF!</f>
        <v>#REF!</v>
      </c>
      <c r="Z222" s="342"/>
      <c r="AA222" s="73">
        <v>5.5</v>
      </c>
      <c r="AB222" s="680">
        <v>44145</v>
      </c>
      <c r="AC222" s="104">
        <f t="shared" si="45"/>
        <v>9.9178082191780828</v>
      </c>
    </row>
    <row r="223" spans="1:34" s="74" customFormat="1" ht="31.5" customHeight="1">
      <c r="A223" s="73"/>
      <c r="B223" s="73"/>
      <c r="C223" s="73"/>
      <c r="D223" s="73"/>
      <c r="E223" s="277">
        <f>E222</f>
        <v>155</v>
      </c>
      <c r="F223" s="55" t="s">
        <v>1000</v>
      </c>
      <c r="G223" s="53" t="s">
        <v>920</v>
      </c>
      <c r="H223" s="112" t="s">
        <v>631</v>
      </c>
      <c r="I223" s="112" t="s">
        <v>918</v>
      </c>
      <c r="J223" s="319">
        <f t="shared" si="55"/>
        <v>9.1424657534246574</v>
      </c>
      <c r="K223" s="46" t="s">
        <v>465</v>
      </c>
      <c r="L223" s="105">
        <v>500000</v>
      </c>
      <c r="M223" s="91" t="s">
        <v>466</v>
      </c>
      <c r="N223" s="114">
        <v>95.74</v>
      </c>
      <c r="O223" s="73">
        <v>6.1152682</v>
      </c>
      <c r="P223" s="52" t="s">
        <v>1046</v>
      </c>
      <c r="Q223" s="75" t="s">
        <v>1047</v>
      </c>
      <c r="R223" s="75" t="s">
        <v>1048</v>
      </c>
      <c r="S223" s="633">
        <v>40808</v>
      </c>
      <c r="T223" s="633">
        <v>40813</v>
      </c>
      <c r="U223" s="229" t="s">
        <v>760</v>
      </c>
      <c r="W223" s="143">
        <v>489165.28</v>
      </c>
      <c r="X223" s="143"/>
      <c r="Y223" s="117" t="e">
        <f>W223*#REF!</f>
        <v>#REF!</v>
      </c>
      <c r="Z223" s="342"/>
      <c r="AA223" s="73">
        <v>5.5</v>
      </c>
      <c r="AB223" s="680">
        <v>44145</v>
      </c>
      <c r="AC223" s="104">
        <f t="shared" si="45"/>
        <v>9.9178082191780828</v>
      </c>
    </row>
    <row r="224" spans="1:34" s="74" customFormat="1" ht="31.5" customHeight="1">
      <c r="A224" s="268" t="s">
        <v>903</v>
      </c>
      <c r="B224" s="73"/>
      <c r="C224" s="73"/>
      <c r="D224" s="73"/>
      <c r="E224" s="91">
        <v>156</v>
      </c>
      <c r="F224" s="55" t="s">
        <v>1061</v>
      </c>
      <c r="G224" s="53" t="s">
        <v>1062</v>
      </c>
      <c r="H224" s="112" t="s">
        <v>631</v>
      </c>
      <c r="I224" s="112" t="s">
        <v>918</v>
      </c>
      <c r="J224" s="319">
        <f>(AB224-S224)/365</f>
        <v>4.6219178082191785</v>
      </c>
      <c r="K224" s="46" t="s">
        <v>465</v>
      </c>
      <c r="L224" s="341">
        <v>1800000</v>
      </c>
      <c r="M224" s="91" t="s">
        <v>466</v>
      </c>
      <c r="N224" s="114">
        <v>90.66</v>
      </c>
      <c r="O224" s="73">
        <v>7.0338690000000001</v>
      </c>
      <c r="P224" s="52" t="s">
        <v>1063</v>
      </c>
      <c r="Q224" s="75" t="s">
        <v>819</v>
      </c>
      <c r="R224" s="75" t="s">
        <v>1064</v>
      </c>
      <c r="S224" s="633">
        <v>40822</v>
      </c>
      <c r="T224" s="633">
        <v>40828</v>
      </c>
      <c r="U224" s="229" t="s">
        <v>760</v>
      </c>
      <c r="W224" s="143">
        <v>1664948.75</v>
      </c>
      <c r="X224" s="143"/>
      <c r="Y224" s="117" t="e">
        <f>W224*#REF!</f>
        <v>#REF!</v>
      </c>
      <c r="Z224" s="342"/>
      <c r="AA224" s="73">
        <v>4.625</v>
      </c>
      <c r="AB224" s="680">
        <v>42509</v>
      </c>
      <c r="AC224" s="104">
        <f t="shared" si="45"/>
        <v>5.4356164383561643</v>
      </c>
    </row>
    <row r="225" spans="1:33" s="74" customFormat="1" ht="31.5" customHeight="1">
      <c r="A225" s="73"/>
      <c r="B225" s="73"/>
      <c r="C225" s="73"/>
      <c r="D225" s="73"/>
      <c r="E225" s="277">
        <f>E224</f>
        <v>156</v>
      </c>
      <c r="F225" s="55" t="s">
        <v>1061</v>
      </c>
      <c r="G225" s="53" t="s">
        <v>1062</v>
      </c>
      <c r="H225" s="112" t="s">
        <v>631</v>
      </c>
      <c r="I225" s="112" t="s">
        <v>918</v>
      </c>
      <c r="J225" s="319">
        <f>(AB225-S225)/365</f>
        <v>4.6219178082191785</v>
      </c>
      <c r="K225" s="46" t="s">
        <v>465</v>
      </c>
      <c r="L225" s="105">
        <v>200000</v>
      </c>
      <c r="M225" s="91" t="s">
        <v>466</v>
      </c>
      <c r="N225" s="114">
        <v>90.66</v>
      </c>
      <c r="O225" s="73">
        <v>7.0338690000000001</v>
      </c>
      <c r="P225" s="52" t="s">
        <v>1063</v>
      </c>
      <c r="Q225" s="75" t="s">
        <v>819</v>
      </c>
      <c r="R225" s="75" t="s">
        <v>1064</v>
      </c>
      <c r="S225" s="633">
        <v>40822</v>
      </c>
      <c r="T225" s="633">
        <v>40828</v>
      </c>
      <c r="U225" s="229" t="s">
        <v>760</v>
      </c>
      <c r="W225" s="143">
        <v>184994.31</v>
      </c>
      <c r="X225" s="143"/>
      <c r="Y225" s="117" t="e">
        <f>W225*#REF!</f>
        <v>#REF!</v>
      </c>
      <c r="Z225" s="342"/>
      <c r="AA225" s="73">
        <v>4.625</v>
      </c>
      <c r="AB225" s="680">
        <v>42509</v>
      </c>
      <c r="AC225" s="104">
        <f t="shared" si="45"/>
        <v>5.4356164383561643</v>
      </c>
    </row>
    <row r="226" spans="1:33" s="74" customFormat="1" ht="31.5" customHeight="1">
      <c r="A226" s="268" t="s">
        <v>903</v>
      </c>
      <c r="B226" s="73"/>
      <c r="C226" s="73"/>
      <c r="D226" s="73"/>
      <c r="E226" s="91">
        <v>157</v>
      </c>
      <c r="F226" s="55" t="s">
        <v>1060</v>
      </c>
      <c r="G226" s="53" t="s">
        <v>920</v>
      </c>
      <c r="H226" s="112" t="s">
        <v>631</v>
      </c>
      <c r="I226" s="112" t="s">
        <v>918</v>
      </c>
      <c r="J226" s="319">
        <f>(AB226-S226)/365</f>
        <v>9.1013698630136979</v>
      </c>
      <c r="K226" s="46" t="s">
        <v>465</v>
      </c>
      <c r="L226" s="341">
        <v>1800000</v>
      </c>
      <c r="M226" s="91" t="s">
        <v>466</v>
      </c>
      <c r="N226" s="114">
        <v>88.1</v>
      </c>
      <c r="O226" s="73">
        <v>7.3164832999999998</v>
      </c>
      <c r="P226" s="52" t="s">
        <v>1046</v>
      </c>
      <c r="Q226" s="75" t="s">
        <v>1066</v>
      </c>
      <c r="R226" s="75" t="s">
        <v>1067</v>
      </c>
      <c r="S226" s="633">
        <v>40823</v>
      </c>
      <c r="T226" s="633">
        <v>40829</v>
      </c>
      <c r="U226" s="229" t="s">
        <v>760</v>
      </c>
      <c r="W226" s="143">
        <v>1627875</v>
      </c>
      <c r="X226" s="143"/>
      <c r="Y226" s="117" t="e">
        <f>W226*#REF!</f>
        <v>#REF!</v>
      </c>
      <c r="Z226" s="342"/>
      <c r="AA226" s="73">
        <v>5.5</v>
      </c>
      <c r="AB226" s="680">
        <v>44145</v>
      </c>
      <c r="AC226" s="104">
        <f t="shared" si="45"/>
        <v>9.9178082191780828</v>
      </c>
    </row>
    <row r="227" spans="1:33" s="74" customFormat="1" ht="31.5" customHeight="1">
      <c r="A227" s="73"/>
      <c r="B227" s="73"/>
      <c r="C227" s="73"/>
      <c r="D227" s="73"/>
      <c r="E227" s="277">
        <f>E226</f>
        <v>157</v>
      </c>
      <c r="F227" s="55" t="s">
        <v>1000</v>
      </c>
      <c r="G227" s="53" t="s">
        <v>920</v>
      </c>
      <c r="H227" s="112" t="s">
        <v>631</v>
      </c>
      <c r="I227" s="112" t="s">
        <v>918</v>
      </c>
      <c r="J227" s="319">
        <f>(AB227-S227)/365</f>
        <v>9.1013698630136979</v>
      </c>
      <c r="K227" s="46" t="s">
        <v>465</v>
      </c>
      <c r="L227" s="105">
        <v>200000</v>
      </c>
      <c r="M227" s="91" t="s">
        <v>466</v>
      </c>
      <c r="N227" s="114">
        <v>88.1</v>
      </c>
      <c r="O227" s="73">
        <v>7.3164832999999998</v>
      </c>
      <c r="P227" s="52" t="s">
        <v>1046</v>
      </c>
      <c r="Q227" s="75" t="s">
        <v>1066</v>
      </c>
      <c r="R227" s="75" t="s">
        <v>1067</v>
      </c>
      <c r="S227" s="633">
        <v>40823</v>
      </c>
      <c r="T227" s="633">
        <v>40829</v>
      </c>
      <c r="U227" s="229" t="s">
        <v>760</v>
      </c>
      <c r="W227" s="143">
        <v>180875</v>
      </c>
      <c r="X227" s="143"/>
      <c r="Y227" s="117" t="e">
        <f>W227*#REF!</f>
        <v>#REF!</v>
      </c>
      <c r="Z227" s="342"/>
      <c r="AA227" s="73">
        <v>5.5</v>
      </c>
      <c r="AB227" s="680">
        <v>44145</v>
      </c>
      <c r="AC227" s="104">
        <f t="shared" si="45"/>
        <v>9.9178082191780828</v>
      </c>
    </row>
    <row r="228" spans="1:33" s="74" customFormat="1" ht="31.5" customHeight="1">
      <c r="A228" s="268" t="s">
        <v>903</v>
      </c>
      <c r="B228" s="73"/>
      <c r="C228" s="73"/>
      <c r="D228" s="73"/>
      <c r="E228" s="91">
        <v>158</v>
      </c>
      <c r="F228" s="55" t="s">
        <v>895</v>
      </c>
      <c r="G228" s="53" t="s">
        <v>1084</v>
      </c>
      <c r="H228" s="112" t="s">
        <v>852</v>
      </c>
      <c r="I228" s="112" t="s">
        <v>854</v>
      </c>
      <c r="J228" s="319">
        <f t="shared" ref="J228:J235" si="56">(AB228-T228)/365</f>
        <v>9.24931506849315</v>
      </c>
      <c r="K228" s="46" t="s">
        <v>465</v>
      </c>
      <c r="L228" s="341">
        <v>1800000</v>
      </c>
      <c r="M228" s="46" t="s">
        <v>466</v>
      </c>
      <c r="N228" s="114">
        <v>95.19</v>
      </c>
      <c r="O228" s="91">
        <v>6.9626356999999999</v>
      </c>
      <c r="P228" s="52" t="s">
        <v>636</v>
      </c>
      <c r="Q228" s="52" t="s">
        <v>1070</v>
      </c>
      <c r="R228" s="53" t="s">
        <v>1071</v>
      </c>
      <c r="S228" s="633">
        <v>40829</v>
      </c>
      <c r="T228" s="633">
        <v>40834</v>
      </c>
      <c r="U228" s="229" t="s">
        <v>760</v>
      </c>
      <c r="W228" s="143">
        <v>1742795</v>
      </c>
      <c r="Y228" s="117">
        <f>W228*7.8</f>
        <v>13593801</v>
      </c>
      <c r="Z228" s="117"/>
      <c r="AA228" s="86">
        <v>6.25</v>
      </c>
      <c r="AB228" s="680">
        <v>44210</v>
      </c>
      <c r="AC228" s="104">
        <f t="shared" ref="AC228:AC235" si="57">(AB228-S228)/365</f>
        <v>9.2630136986301377</v>
      </c>
      <c r="AD228" s="104"/>
      <c r="AF228" s="214"/>
      <c r="AG228" s="215"/>
    </row>
    <row r="229" spans="1:33" s="74" customFormat="1" ht="31.5" customHeight="1">
      <c r="A229" s="73" t="s">
        <v>1076</v>
      </c>
      <c r="B229" s="73"/>
      <c r="C229" s="73"/>
      <c r="D229" s="73"/>
      <c r="E229" s="277">
        <f>E228</f>
        <v>158</v>
      </c>
      <c r="F229" s="55" t="s">
        <v>895</v>
      </c>
      <c r="G229" s="53" t="s">
        <v>894</v>
      </c>
      <c r="H229" s="112" t="s">
        <v>852</v>
      </c>
      <c r="I229" s="112" t="s">
        <v>854</v>
      </c>
      <c r="J229" s="319">
        <f t="shared" si="56"/>
        <v>9.24931506849315</v>
      </c>
      <c r="K229" s="46" t="s">
        <v>465</v>
      </c>
      <c r="L229" s="105">
        <v>200000</v>
      </c>
      <c r="M229" s="46" t="s">
        <v>466</v>
      </c>
      <c r="N229" s="114">
        <v>95.19</v>
      </c>
      <c r="O229" s="91">
        <v>6.9626356999999999</v>
      </c>
      <c r="P229" s="52" t="s">
        <v>636</v>
      </c>
      <c r="Q229" s="52" t="s">
        <v>1070</v>
      </c>
      <c r="R229" s="53" t="s">
        <v>1071</v>
      </c>
      <c r="S229" s="633">
        <v>40829</v>
      </c>
      <c r="T229" s="633">
        <v>40834</v>
      </c>
      <c r="U229" s="229" t="s">
        <v>760</v>
      </c>
      <c r="W229" s="143">
        <v>193643.89</v>
      </c>
      <c r="Y229" s="117">
        <f>W229*7.8</f>
        <v>1510422.3420000002</v>
      </c>
      <c r="Z229" s="117"/>
      <c r="AA229" s="86">
        <v>6.25</v>
      </c>
      <c r="AB229" s="680">
        <v>44210</v>
      </c>
      <c r="AC229" s="104">
        <f t="shared" si="57"/>
        <v>9.2630136986301377</v>
      </c>
      <c r="AD229" s="104"/>
      <c r="AF229" s="214"/>
      <c r="AG229" s="215"/>
    </row>
    <row r="230" spans="1:33" s="74" customFormat="1" ht="31.5" customHeight="1">
      <c r="A230" s="268" t="s">
        <v>903</v>
      </c>
      <c r="B230" s="73"/>
      <c r="C230" s="73"/>
      <c r="D230" s="73"/>
      <c r="E230" s="91">
        <v>159</v>
      </c>
      <c r="F230" s="55" t="s">
        <v>895</v>
      </c>
      <c r="G230" s="53" t="s">
        <v>894</v>
      </c>
      <c r="H230" s="112" t="s">
        <v>852</v>
      </c>
      <c r="I230" s="112" t="s">
        <v>854</v>
      </c>
      <c r="J230" s="319">
        <f t="shared" si="56"/>
        <v>9.2465753424657535</v>
      </c>
      <c r="K230" s="46" t="s">
        <v>465</v>
      </c>
      <c r="L230" s="341">
        <v>900000</v>
      </c>
      <c r="M230" s="46" t="s">
        <v>466</v>
      </c>
      <c r="N230" s="114">
        <v>95.113</v>
      </c>
      <c r="O230" s="91">
        <v>6.9745980000000003</v>
      </c>
      <c r="P230" s="52" t="s">
        <v>1073</v>
      </c>
      <c r="Q230" s="52" t="s">
        <v>1074</v>
      </c>
      <c r="R230" s="53" t="s">
        <v>1079</v>
      </c>
      <c r="S230" s="633">
        <v>40830</v>
      </c>
      <c r="T230" s="633">
        <v>40835</v>
      </c>
      <c r="U230" s="229" t="s">
        <v>760</v>
      </c>
      <c r="W230" s="143">
        <v>870860.75</v>
      </c>
      <c r="Y230" s="117">
        <f>W230*7.8</f>
        <v>6792713.8499999996</v>
      </c>
      <c r="Z230" s="117"/>
      <c r="AA230" s="86">
        <v>6.25</v>
      </c>
      <c r="AB230" s="680">
        <v>44210</v>
      </c>
      <c r="AC230" s="104">
        <f t="shared" si="57"/>
        <v>9.2602739726027394</v>
      </c>
      <c r="AD230" s="104"/>
      <c r="AF230" s="214"/>
      <c r="AG230" s="215"/>
    </row>
    <row r="231" spans="1:33" s="74" customFormat="1" ht="31.5" customHeight="1">
      <c r="A231" s="73"/>
      <c r="B231" s="73"/>
      <c r="C231" s="73"/>
      <c r="D231" s="73"/>
      <c r="E231" s="277">
        <f>E230</f>
        <v>159</v>
      </c>
      <c r="F231" s="55" t="s">
        <v>895</v>
      </c>
      <c r="G231" s="53" t="s">
        <v>894</v>
      </c>
      <c r="H231" s="112" t="s">
        <v>852</v>
      </c>
      <c r="I231" s="112" t="s">
        <v>854</v>
      </c>
      <c r="J231" s="319">
        <f t="shared" si="56"/>
        <v>9.2465753424657535</v>
      </c>
      <c r="K231" s="46" t="s">
        <v>465</v>
      </c>
      <c r="L231" s="105">
        <v>100000</v>
      </c>
      <c r="M231" s="46" t="s">
        <v>466</v>
      </c>
      <c r="N231" s="114">
        <v>95.113</v>
      </c>
      <c r="O231" s="91">
        <v>6.9745980000000003</v>
      </c>
      <c r="P231" s="52" t="s">
        <v>1073</v>
      </c>
      <c r="Q231" s="52" t="s">
        <v>1074</v>
      </c>
      <c r="R231" s="53" t="s">
        <v>1075</v>
      </c>
      <c r="S231" s="633">
        <v>40830</v>
      </c>
      <c r="T231" s="633">
        <v>40835</v>
      </c>
      <c r="U231" s="229" t="s">
        <v>760</v>
      </c>
      <c r="W231" s="143">
        <v>96762.31</v>
      </c>
      <c r="Y231" s="117">
        <f>W231*7.8</f>
        <v>754746.01799999992</v>
      </c>
      <c r="Z231" s="117"/>
      <c r="AA231" s="86">
        <v>6.25</v>
      </c>
      <c r="AB231" s="680">
        <v>44210</v>
      </c>
      <c r="AC231" s="104">
        <f t="shared" si="57"/>
        <v>9.2602739726027394</v>
      </c>
      <c r="AD231" s="104"/>
      <c r="AF231" s="214"/>
      <c r="AG231" s="215"/>
    </row>
    <row r="232" spans="1:33" s="74" customFormat="1" ht="31.5" customHeight="1">
      <c r="A232" s="268" t="s">
        <v>903</v>
      </c>
      <c r="B232" s="73"/>
      <c r="C232" s="73"/>
      <c r="D232" s="73"/>
      <c r="E232" s="91">
        <v>160</v>
      </c>
      <c r="F232" s="55" t="s">
        <v>2</v>
      </c>
      <c r="G232" s="109" t="s">
        <v>1080</v>
      </c>
      <c r="H232" s="112" t="s">
        <v>1081</v>
      </c>
      <c r="I232" s="112" t="s">
        <v>1042</v>
      </c>
      <c r="J232" s="319">
        <f t="shared" si="56"/>
        <v>10.008219178082191</v>
      </c>
      <c r="K232" s="46" t="s">
        <v>465</v>
      </c>
      <c r="L232" s="341">
        <v>198000000</v>
      </c>
      <c r="M232" s="46" t="s">
        <v>1083</v>
      </c>
      <c r="N232" s="114">
        <v>100</v>
      </c>
      <c r="O232" s="91">
        <v>6</v>
      </c>
      <c r="P232" s="52" t="s">
        <v>1073</v>
      </c>
      <c r="Q232" s="52" t="s">
        <v>1074</v>
      </c>
      <c r="R232" s="53" t="s">
        <v>1079</v>
      </c>
      <c r="S232" s="633">
        <v>40844</v>
      </c>
      <c r="T232" s="633">
        <v>40851</v>
      </c>
      <c r="U232" s="229" t="s">
        <v>760</v>
      </c>
      <c r="W232" s="143">
        <v>198000000</v>
      </c>
      <c r="X232" s="345">
        <f>7.77/6.35</f>
        <v>1.2236220472440944</v>
      </c>
      <c r="Y232" s="117">
        <f>X232*W232</f>
        <v>242277165.35433069</v>
      </c>
      <c r="Z232" s="117"/>
      <c r="AA232" s="86">
        <v>6</v>
      </c>
      <c r="AB232" s="680">
        <v>44504</v>
      </c>
      <c r="AC232" s="104">
        <f t="shared" si="57"/>
        <v>10.027397260273972</v>
      </c>
      <c r="AD232" s="104"/>
      <c r="AF232" s="214"/>
      <c r="AG232" s="215"/>
    </row>
    <row r="233" spans="1:33" s="74" customFormat="1" ht="31.5" customHeight="1">
      <c r="A233" s="73"/>
      <c r="B233" s="73"/>
      <c r="C233" s="73"/>
      <c r="D233" s="73"/>
      <c r="E233" s="277">
        <f>E232</f>
        <v>160</v>
      </c>
      <c r="F233" s="55" t="s">
        <v>3</v>
      </c>
      <c r="G233" s="109" t="s">
        <v>1080</v>
      </c>
      <c r="H233" s="112" t="s">
        <v>1082</v>
      </c>
      <c r="I233" s="112" t="s">
        <v>1042</v>
      </c>
      <c r="J233" s="319">
        <f t="shared" si="56"/>
        <v>10.008219178082191</v>
      </c>
      <c r="K233" s="46" t="s">
        <v>465</v>
      </c>
      <c r="L233" s="341">
        <v>22000000</v>
      </c>
      <c r="M233" s="46" t="s">
        <v>1083</v>
      </c>
      <c r="N233" s="114">
        <v>100</v>
      </c>
      <c r="O233" s="91">
        <v>6</v>
      </c>
      <c r="P233" s="52" t="s">
        <v>1073</v>
      </c>
      <c r="Q233" s="52" t="s">
        <v>1074</v>
      </c>
      <c r="R233" s="53" t="s">
        <v>1075</v>
      </c>
      <c r="S233" s="633">
        <v>40844</v>
      </c>
      <c r="T233" s="633">
        <v>40851</v>
      </c>
      <c r="U233" s="229" t="s">
        <v>760</v>
      </c>
      <c r="W233" s="143">
        <v>22000000</v>
      </c>
      <c r="X233" s="345">
        <f>X232</f>
        <v>1.2236220472440944</v>
      </c>
      <c r="Y233" s="117">
        <f>W233*X233</f>
        <v>26919685.039370079</v>
      </c>
      <c r="Z233" s="117"/>
      <c r="AA233" s="86">
        <v>6</v>
      </c>
      <c r="AB233" s="680">
        <v>44504</v>
      </c>
      <c r="AC233" s="104">
        <f t="shared" si="57"/>
        <v>10.027397260273972</v>
      </c>
      <c r="AD233" s="104"/>
      <c r="AF233" s="214"/>
      <c r="AG233" s="215"/>
    </row>
    <row r="234" spans="1:33" s="74" customFormat="1" ht="31.5" customHeight="1">
      <c r="A234" s="268" t="s">
        <v>903</v>
      </c>
      <c r="B234" s="73"/>
      <c r="C234" s="73"/>
      <c r="D234" s="73"/>
      <c r="E234" s="91">
        <v>161</v>
      </c>
      <c r="F234" s="55" t="s">
        <v>1087</v>
      </c>
      <c r="G234" s="109" t="s">
        <v>1088</v>
      </c>
      <c r="H234" s="112" t="s">
        <v>1089</v>
      </c>
      <c r="I234" s="112" t="s">
        <v>1090</v>
      </c>
      <c r="J234" s="319">
        <f t="shared" si="56"/>
        <v>10.504109589041096</v>
      </c>
      <c r="K234" s="46" t="s">
        <v>465</v>
      </c>
      <c r="L234" s="341">
        <v>30150000</v>
      </c>
      <c r="M234" s="46" t="s">
        <v>466</v>
      </c>
      <c r="N234" s="114">
        <v>99.849000000000004</v>
      </c>
      <c r="O234" s="91">
        <v>6.3949999999999996</v>
      </c>
      <c r="P234" s="52" t="s">
        <v>1093</v>
      </c>
      <c r="Q234" s="52" t="s">
        <v>1091</v>
      </c>
      <c r="R234" s="53" t="s">
        <v>1092</v>
      </c>
      <c r="S234" s="633">
        <v>40844</v>
      </c>
      <c r="T234" s="633">
        <v>40851</v>
      </c>
      <c r="U234" s="229" t="s">
        <v>760</v>
      </c>
      <c r="W234" s="143">
        <v>30104473.5</v>
      </c>
      <c r="Y234" s="117">
        <f>W234*7.8</f>
        <v>234814893.29999998</v>
      </c>
      <c r="Z234" s="117"/>
      <c r="AA234" s="86">
        <v>6.375</v>
      </c>
      <c r="AB234" s="680">
        <v>44685</v>
      </c>
      <c r="AC234" s="104">
        <f t="shared" si="57"/>
        <v>10.523287671232877</v>
      </c>
      <c r="AD234" s="104"/>
      <c r="AF234" s="214"/>
      <c r="AG234" s="215"/>
    </row>
    <row r="235" spans="1:33" s="74" customFormat="1" ht="31.5" customHeight="1">
      <c r="A235" s="73" t="s">
        <v>1086</v>
      </c>
      <c r="B235" s="73"/>
      <c r="C235" s="73"/>
      <c r="D235" s="73"/>
      <c r="E235" s="277">
        <f>E234</f>
        <v>161</v>
      </c>
      <c r="F235" s="55" t="s">
        <v>1087</v>
      </c>
      <c r="G235" s="109" t="s">
        <v>1088</v>
      </c>
      <c r="H235" s="112" t="s">
        <v>1089</v>
      </c>
      <c r="I235" s="112" t="s">
        <v>1090</v>
      </c>
      <c r="J235" s="319">
        <f t="shared" si="56"/>
        <v>10.504109589041096</v>
      </c>
      <c r="K235" s="46" t="s">
        <v>465</v>
      </c>
      <c r="L235" s="341">
        <v>3350000</v>
      </c>
      <c r="M235" s="46" t="s">
        <v>466</v>
      </c>
      <c r="N235" s="114">
        <v>99.849000000000004</v>
      </c>
      <c r="O235" s="91">
        <v>6.3949999999999996</v>
      </c>
      <c r="P235" s="52" t="s">
        <v>1093</v>
      </c>
      <c r="Q235" s="52" t="s">
        <v>1091</v>
      </c>
      <c r="R235" s="53" t="s">
        <v>1092</v>
      </c>
      <c r="S235" s="633">
        <v>40844</v>
      </c>
      <c r="T235" s="633">
        <v>40851</v>
      </c>
      <c r="U235" s="229" t="s">
        <v>760</v>
      </c>
      <c r="W235" s="143">
        <v>3344941.5</v>
      </c>
      <c r="Y235" s="117">
        <f>W235*7.8</f>
        <v>26090543.699999999</v>
      </c>
      <c r="Z235" s="117"/>
      <c r="AA235" s="86">
        <v>6.375</v>
      </c>
      <c r="AB235" s="680">
        <v>44685</v>
      </c>
      <c r="AC235" s="104">
        <f t="shared" si="57"/>
        <v>10.523287671232877</v>
      </c>
      <c r="AD235" s="104"/>
      <c r="AF235" s="214"/>
      <c r="AG235" s="215"/>
    </row>
    <row r="236" spans="1:33" s="74" customFormat="1" ht="31.5" customHeight="1">
      <c r="A236" s="268" t="s">
        <v>903</v>
      </c>
      <c r="B236" s="73"/>
      <c r="C236" s="73"/>
      <c r="D236" s="73"/>
      <c r="E236" s="91">
        <v>162</v>
      </c>
      <c r="F236" s="55" t="s">
        <v>0</v>
      </c>
      <c r="G236" s="109" t="s">
        <v>1124</v>
      </c>
      <c r="H236" s="112" t="s">
        <v>1125</v>
      </c>
      <c r="I236" s="112" t="s">
        <v>1125</v>
      </c>
      <c r="J236" s="319">
        <f t="shared" ref="J236:J243" si="58">(AB236-T236)/365</f>
        <v>5.0054794520547947</v>
      </c>
      <c r="K236" s="46" t="s">
        <v>465</v>
      </c>
      <c r="L236" s="341">
        <v>652500000</v>
      </c>
      <c r="M236" s="46" t="s">
        <v>1083</v>
      </c>
      <c r="N236" s="114">
        <v>99.584000000000003</v>
      </c>
      <c r="O236" s="91">
        <v>7.05</v>
      </c>
      <c r="P236" s="52" t="s">
        <v>1073</v>
      </c>
      <c r="Q236" s="52" t="s">
        <v>665</v>
      </c>
      <c r="R236" s="53" t="s">
        <v>1079</v>
      </c>
      <c r="S236" s="633">
        <v>40893</v>
      </c>
      <c r="T236" s="633">
        <v>40898</v>
      </c>
      <c r="U236" s="229" t="s">
        <v>760</v>
      </c>
      <c r="W236" s="143">
        <f>L236*N236/100</f>
        <v>649785600</v>
      </c>
      <c r="X236" s="345">
        <f>7.77/6.35</f>
        <v>1.2236220472440944</v>
      </c>
      <c r="Y236" s="117">
        <f>X236*W236</f>
        <v>795091986.14173222</v>
      </c>
      <c r="Z236" s="117"/>
      <c r="AA236" s="86">
        <v>6.95</v>
      </c>
      <c r="AB236" s="680">
        <v>42725</v>
      </c>
      <c r="AC236" s="104">
        <f t="shared" ref="AC236:AC243" si="59">(AB236-S236)/365</f>
        <v>5.0191780821917806</v>
      </c>
      <c r="AD236" s="75" t="s">
        <v>5</v>
      </c>
      <c r="AF236" s="214"/>
      <c r="AG236" s="215"/>
    </row>
    <row r="237" spans="1:33" s="74" customFormat="1" ht="31.5" customHeight="1">
      <c r="A237" s="281" t="s">
        <v>1123</v>
      </c>
      <c r="B237" s="73"/>
      <c r="C237" s="73"/>
      <c r="D237" s="73"/>
      <c r="E237" s="277">
        <f>E236</f>
        <v>162</v>
      </c>
      <c r="F237" s="55" t="s">
        <v>0</v>
      </c>
      <c r="G237" s="109" t="s">
        <v>1124</v>
      </c>
      <c r="H237" s="112" t="s">
        <v>1125</v>
      </c>
      <c r="I237" s="112" t="s">
        <v>1125</v>
      </c>
      <c r="J237" s="319">
        <f t="shared" si="58"/>
        <v>5.0054794520547947</v>
      </c>
      <c r="K237" s="46" t="s">
        <v>465</v>
      </c>
      <c r="L237" s="341">
        <v>72500000</v>
      </c>
      <c r="M237" s="46" t="s">
        <v>1083</v>
      </c>
      <c r="N237" s="114">
        <v>99.584000000000003</v>
      </c>
      <c r="O237" s="91">
        <v>7.05</v>
      </c>
      <c r="P237" s="52" t="s">
        <v>1073</v>
      </c>
      <c r="Q237" s="52" t="s">
        <v>1074</v>
      </c>
      <c r="R237" s="53" t="s">
        <v>1075</v>
      </c>
      <c r="S237" s="633">
        <v>40893</v>
      </c>
      <c r="T237" s="633">
        <v>40898</v>
      </c>
      <c r="U237" s="229" t="s">
        <v>760</v>
      </c>
      <c r="W237" s="143">
        <f>L237*N237/100</f>
        <v>72198400</v>
      </c>
      <c r="X237" s="345">
        <f>X236</f>
        <v>1.2236220472440944</v>
      </c>
      <c r="Y237" s="117">
        <f>W237*X237</f>
        <v>88343554.015748024</v>
      </c>
      <c r="Z237" s="117"/>
      <c r="AA237" s="86">
        <v>6.95</v>
      </c>
      <c r="AB237" s="680">
        <v>42725</v>
      </c>
      <c r="AC237" s="104">
        <f t="shared" si="59"/>
        <v>5.0191780821917806</v>
      </c>
      <c r="AD237" s="75" t="s">
        <v>5</v>
      </c>
      <c r="AF237" s="214"/>
      <c r="AG237" s="215"/>
    </row>
    <row r="238" spans="1:33" s="225" customFormat="1" ht="31.5" customHeight="1">
      <c r="A238" s="268" t="s">
        <v>1131</v>
      </c>
      <c r="B238" s="1457"/>
      <c r="C238" s="1457"/>
      <c r="D238" s="1457"/>
      <c r="E238" s="1457">
        <v>162</v>
      </c>
      <c r="F238" s="225" t="s">
        <v>1116</v>
      </c>
      <c r="G238" s="1458" t="s">
        <v>1124</v>
      </c>
      <c r="H238" s="1459" t="s">
        <v>1117</v>
      </c>
      <c r="I238" s="1459" t="s">
        <v>1117</v>
      </c>
      <c r="J238" s="1460">
        <f>(AB238-T238)/365</f>
        <v>5.0054794520547947</v>
      </c>
      <c r="K238" s="1430" t="s">
        <v>1122</v>
      </c>
      <c r="L238" s="1461">
        <f>L239*9</f>
        <v>-25200000</v>
      </c>
      <c r="M238" s="1430" t="s">
        <v>1118</v>
      </c>
      <c r="N238" s="1462">
        <v>99.584000000000003</v>
      </c>
      <c r="O238" s="1457">
        <v>7.05</v>
      </c>
      <c r="P238" s="84" t="s">
        <v>1073</v>
      </c>
      <c r="Q238" s="84" t="s">
        <v>665</v>
      </c>
      <c r="R238" s="1458" t="s">
        <v>1079</v>
      </c>
      <c r="S238" s="1463">
        <v>40893</v>
      </c>
      <c r="T238" s="1463">
        <v>40898</v>
      </c>
      <c r="U238" s="1464" t="s">
        <v>884</v>
      </c>
      <c r="W238" s="1465">
        <f>L238*N238/100</f>
        <v>-25095168</v>
      </c>
      <c r="X238" s="1466">
        <f>7.77/6.35</f>
        <v>1.2236220472440944</v>
      </c>
      <c r="Y238" s="1467">
        <f>X238*W238</f>
        <v>-30707000.844094485</v>
      </c>
      <c r="Z238" s="1467"/>
      <c r="AA238" s="1457">
        <v>6.95</v>
      </c>
      <c r="AB238" s="1468">
        <v>42725</v>
      </c>
      <c r="AC238" s="1469">
        <f>(AB238-S238)/365</f>
        <v>5.0191780821917806</v>
      </c>
      <c r="AD238" s="1458" t="s">
        <v>1119</v>
      </c>
      <c r="AF238" s="1470"/>
      <c r="AG238" s="1471"/>
    </row>
    <row r="239" spans="1:33" s="225" customFormat="1" ht="31.5" customHeight="1">
      <c r="A239" s="1472"/>
      <c r="B239" s="1457"/>
      <c r="C239" s="1457"/>
      <c r="D239" s="1457"/>
      <c r="E239" s="1473">
        <f>E237</f>
        <v>162</v>
      </c>
      <c r="F239" s="225" t="s">
        <v>1110</v>
      </c>
      <c r="G239" s="1458" t="s">
        <v>1112</v>
      </c>
      <c r="H239" s="1459" t="s">
        <v>1113</v>
      </c>
      <c r="I239" s="1459" t="s">
        <v>1113</v>
      </c>
      <c r="J239" s="1460">
        <f>(AB239-T239)/365</f>
        <v>5.0054794520547947</v>
      </c>
      <c r="K239" s="1430" t="s">
        <v>1122</v>
      </c>
      <c r="L239" s="1461">
        <v>-2800000</v>
      </c>
      <c r="M239" s="1430" t="s">
        <v>1114</v>
      </c>
      <c r="N239" s="1462">
        <v>99.584000000000003</v>
      </c>
      <c r="O239" s="1457">
        <v>7.05</v>
      </c>
      <c r="P239" s="84" t="s">
        <v>1073</v>
      </c>
      <c r="Q239" s="84" t="s">
        <v>1074</v>
      </c>
      <c r="R239" s="1458" t="s">
        <v>1075</v>
      </c>
      <c r="S239" s="1463">
        <v>40893</v>
      </c>
      <c r="T239" s="1463">
        <v>40898</v>
      </c>
      <c r="U239" s="1464" t="s">
        <v>1115</v>
      </c>
      <c r="W239" s="1465">
        <f>L239*N239/100</f>
        <v>-2788352</v>
      </c>
      <c r="X239" s="1466">
        <f>X237</f>
        <v>1.2236220472440944</v>
      </c>
      <c r="Y239" s="1467">
        <f>W239*X239</f>
        <v>-3411888.982677165</v>
      </c>
      <c r="Z239" s="1467"/>
      <c r="AA239" s="1457">
        <v>6.95</v>
      </c>
      <c r="AB239" s="1468">
        <v>42725</v>
      </c>
      <c r="AC239" s="1469">
        <f>(AB239-S239)/365</f>
        <v>5.0191780821917806</v>
      </c>
      <c r="AD239" s="1458" t="s">
        <v>1119</v>
      </c>
      <c r="AF239" s="1470"/>
      <c r="AG239" s="1471"/>
    </row>
    <row r="240" spans="1:33" s="74" customFormat="1" ht="31.5" customHeight="1">
      <c r="A240" s="268" t="s">
        <v>1131</v>
      </c>
      <c r="B240" s="73"/>
      <c r="C240" s="73"/>
      <c r="D240" s="73"/>
      <c r="E240" s="91">
        <v>163</v>
      </c>
      <c r="F240" s="55" t="s">
        <v>1127</v>
      </c>
      <c r="G240" s="109" t="s">
        <v>1126</v>
      </c>
      <c r="H240" s="112" t="s">
        <v>1125</v>
      </c>
      <c r="I240" s="112" t="s">
        <v>1125</v>
      </c>
      <c r="J240" s="319">
        <f t="shared" si="58"/>
        <v>2.4465753424657533</v>
      </c>
      <c r="K240" s="46" t="s">
        <v>465</v>
      </c>
      <c r="L240" s="341">
        <v>9900000</v>
      </c>
      <c r="M240" s="46" t="s">
        <v>1083</v>
      </c>
      <c r="N240" s="114">
        <v>94</v>
      </c>
      <c r="O240" s="91">
        <v>6.5945390000000002</v>
      </c>
      <c r="P240" s="227" t="s">
        <v>831</v>
      </c>
      <c r="Q240" s="48" t="s">
        <v>1128</v>
      </c>
      <c r="R240" s="109" t="s">
        <v>1129</v>
      </c>
      <c r="S240" s="633">
        <v>40897</v>
      </c>
      <c r="T240" s="633">
        <v>40900</v>
      </c>
      <c r="U240" s="229" t="s">
        <v>760</v>
      </c>
      <c r="W240" s="143">
        <v>9325040.5500000007</v>
      </c>
      <c r="X240" s="345">
        <f>7.77/6.35</f>
        <v>1.2236220472440944</v>
      </c>
      <c r="Y240" s="117">
        <f t="shared" ref="Y240:Y245" si="60">X240*W240</f>
        <v>11410325.208425198</v>
      </c>
      <c r="Z240" s="117"/>
      <c r="AA240" s="86">
        <v>6.95</v>
      </c>
      <c r="AB240" s="680">
        <v>41793</v>
      </c>
      <c r="AC240" s="104">
        <f t="shared" si="59"/>
        <v>2.4547945205479453</v>
      </c>
      <c r="AD240" s="104"/>
      <c r="AF240" s="214"/>
      <c r="AG240" s="215"/>
    </row>
    <row r="241" spans="1:33" s="74" customFormat="1" ht="31.5" customHeight="1">
      <c r="A241" s="281" t="s">
        <v>1130</v>
      </c>
      <c r="B241" s="73"/>
      <c r="C241" s="73"/>
      <c r="D241" s="73"/>
      <c r="E241" s="277">
        <f>E240</f>
        <v>163</v>
      </c>
      <c r="F241" s="55" t="s">
        <v>1127</v>
      </c>
      <c r="G241" s="109" t="s">
        <v>1126</v>
      </c>
      <c r="H241" s="112" t="s">
        <v>1125</v>
      </c>
      <c r="I241" s="112" t="s">
        <v>1125</v>
      </c>
      <c r="J241" s="319">
        <f t="shared" si="58"/>
        <v>2.4465753424657533</v>
      </c>
      <c r="K241" s="46" t="s">
        <v>465</v>
      </c>
      <c r="L241" s="341">
        <v>1100000</v>
      </c>
      <c r="M241" s="46" t="s">
        <v>1083</v>
      </c>
      <c r="N241" s="114">
        <v>94</v>
      </c>
      <c r="O241" s="91">
        <v>6.5945390000000002</v>
      </c>
      <c r="P241" s="227" t="s">
        <v>831</v>
      </c>
      <c r="Q241" s="48" t="s">
        <v>1128</v>
      </c>
      <c r="R241" s="109" t="s">
        <v>1129</v>
      </c>
      <c r="S241" s="633">
        <v>40897</v>
      </c>
      <c r="T241" s="633">
        <v>40900</v>
      </c>
      <c r="U241" s="229" t="s">
        <v>760</v>
      </c>
      <c r="W241" s="143">
        <v>1036115.62</v>
      </c>
      <c r="X241" s="345">
        <f>7.77/6.35</f>
        <v>1.2236220472440944</v>
      </c>
      <c r="Y241" s="117">
        <f t="shared" si="60"/>
        <v>1267813.9161259842</v>
      </c>
      <c r="Z241" s="117"/>
      <c r="AA241" s="86">
        <v>6.95</v>
      </c>
      <c r="AB241" s="680">
        <v>41793</v>
      </c>
      <c r="AC241" s="104">
        <f t="shared" si="59"/>
        <v>2.4547945205479453</v>
      </c>
      <c r="AD241" s="104"/>
      <c r="AF241" s="214"/>
      <c r="AG241" s="215"/>
    </row>
    <row r="242" spans="1:33" s="74" customFormat="1" ht="39.75" customHeight="1">
      <c r="A242" s="268" t="s">
        <v>1131</v>
      </c>
      <c r="B242" s="73"/>
      <c r="C242" s="73"/>
      <c r="D242" s="73"/>
      <c r="E242" s="91">
        <v>165</v>
      </c>
      <c r="F242" s="841" t="s">
        <v>1476</v>
      </c>
      <c r="G242" s="109" t="s">
        <v>6</v>
      </c>
      <c r="H242" s="112" t="s">
        <v>1125</v>
      </c>
      <c r="I242" s="112" t="s">
        <v>1125</v>
      </c>
      <c r="J242" s="319">
        <f t="shared" si="58"/>
        <v>5.0054794520547947</v>
      </c>
      <c r="K242" s="46" t="s">
        <v>465</v>
      </c>
      <c r="L242" s="341">
        <v>720000000</v>
      </c>
      <c r="M242" s="46" t="s">
        <v>1083</v>
      </c>
      <c r="N242" s="114">
        <v>100</v>
      </c>
      <c r="O242" s="91">
        <v>6.5</v>
      </c>
      <c r="P242" s="227" t="s">
        <v>1050</v>
      </c>
      <c r="Q242" s="48" t="s">
        <v>7</v>
      </c>
      <c r="R242" s="75" t="s">
        <v>8</v>
      </c>
      <c r="S242" s="633">
        <v>40907</v>
      </c>
      <c r="T242" s="633">
        <v>40917</v>
      </c>
      <c r="U242" s="229" t="s">
        <v>760</v>
      </c>
      <c r="W242" s="143">
        <f>L242*N242/100</f>
        <v>720000000</v>
      </c>
      <c r="X242" s="143">
        <v>1.22</v>
      </c>
      <c r="Y242" s="117">
        <f t="shared" si="60"/>
        <v>878400000</v>
      </c>
      <c r="Z242" s="117"/>
      <c r="AA242" s="86">
        <v>6.5</v>
      </c>
      <c r="AB242" s="680">
        <v>42744</v>
      </c>
      <c r="AC242" s="104">
        <f t="shared" si="59"/>
        <v>5.0328767123287674</v>
      </c>
      <c r="AD242" s="75" t="s">
        <v>5</v>
      </c>
      <c r="AF242" s="214"/>
      <c r="AG242" s="215"/>
    </row>
    <row r="243" spans="1:33" s="74" customFormat="1" ht="42.75" customHeight="1">
      <c r="A243" s="281" t="s">
        <v>220</v>
      </c>
      <c r="B243" s="73"/>
      <c r="C243" s="73"/>
      <c r="D243" s="73"/>
      <c r="E243" s="277">
        <f>E242</f>
        <v>165</v>
      </c>
      <c r="F243" s="841" t="s">
        <v>1476</v>
      </c>
      <c r="G243" s="109" t="s">
        <v>6</v>
      </c>
      <c r="H243" s="112" t="s">
        <v>1125</v>
      </c>
      <c r="I243" s="112" t="s">
        <v>1125</v>
      </c>
      <c r="J243" s="319">
        <f t="shared" si="58"/>
        <v>5.0054794520547947</v>
      </c>
      <c r="K243" s="46" t="s">
        <v>465</v>
      </c>
      <c r="L243" s="341">
        <v>80000000</v>
      </c>
      <c r="M243" s="46" t="s">
        <v>1083</v>
      </c>
      <c r="N243" s="114">
        <v>100</v>
      </c>
      <c r="O243" s="91">
        <v>6.5</v>
      </c>
      <c r="P243" s="227" t="s">
        <v>1050</v>
      </c>
      <c r="Q243" s="48" t="s">
        <v>7</v>
      </c>
      <c r="R243" s="75" t="s">
        <v>8</v>
      </c>
      <c r="S243" s="633">
        <v>40907</v>
      </c>
      <c r="T243" s="633">
        <v>40917</v>
      </c>
      <c r="U243" s="229" t="s">
        <v>760</v>
      </c>
      <c r="W243" s="143">
        <f>L243*N243/100</f>
        <v>80000000</v>
      </c>
      <c r="X243" s="143">
        <v>1.22</v>
      </c>
      <c r="Y243" s="117">
        <f t="shared" si="60"/>
        <v>97600000</v>
      </c>
      <c r="Z243" s="117"/>
      <c r="AA243" s="86">
        <v>6.5</v>
      </c>
      <c r="AB243" s="680">
        <v>42744</v>
      </c>
      <c r="AC243" s="104">
        <f t="shared" si="59"/>
        <v>5.0328767123287674</v>
      </c>
      <c r="AD243" s="75" t="s">
        <v>5</v>
      </c>
      <c r="AF243" s="214"/>
      <c r="AG243" s="215"/>
    </row>
    <row r="244" spans="1:33" s="74" customFormat="1" ht="39.75" customHeight="1">
      <c r="A244" s="268" t="s">
        <v>1131</v>
      </c>
      <c r="B244" s="73"/>
      <c r="C244" s="73"/>
      <c r="D244" s="73"/>
      <c r="E244" s="91">
        <v>166</v>
      </c>
      <c r="F244" s="841" t="s">
        <v>1479</v>
      </c>
      <c r="G244" s="109" t="s">
        <v>217</v>
      </c>
      <c r="H244" s="112" t="s">
        <v>1125</v>
      </c>
      <c r="I244" s="112" t="s">
        <v>1125</v>
      </c>
      <c r="J244" s="319">
        <f t="shared" ref="J244:J247" si="61">(AB244-T244)/365</f>
        <v>10.005479452054795</v>
      </c>
      <c r="K244" s="46" t="s">
        <v>465</v>
      </c>
      <c r="L244" s="341">
        <v>756000000</v>
      </c>
      <c r="M244" s="46" t="s">
        <v>1041</v>
      </c>
      <c r="N244" s="114">
        <v>100</v>
      </c>
      <c r="O244" s="91">
        <v>6</v>
      </c>
      <c r="P244" s="227" t="s">
        <v>1050</v>
      </c>
      <c r="Q244" s="48" t="s">
        <v>7</v>
      </c>
      <c r="R244" s="75" t="s">
        <v>8</v>
      </c>
      <c r="S244" s="633">
        <v>40983</v>
      </c>
      <c r="T244" s="633">
        <v>40989</v>
      </c>
      <c r="U244" s="229" t="s">
        <v>760</v>
      </c>
      <c r="W244" s="117">
        <f>L244*N244/100/7.8</f>
        <v>96923076.923076928</v>
      </c>
      <c r="X244" s="143">
        <v>7.8</v>
      </c>
      <c r="Y244" s="117">
        <f t="shared" si="60"/>
        <v>756000000</v>
      </c>
      <c r="Z244" s="117"/>
      <c r="AA244" s="86">
        <v>6</v>
      </c>
      <c r="AB244" s="680">
        <v>44641</v>
      </c>
      <c r="AC244" s="104">
        <f t="shared" ref="AC244:AC247" si="62">(AB244-S244)/365</f>
        <v>10.021917808219179</v>
      </c>
      <c r="AD244" s="75" t="s">
        <v>5</v>
      </c>
      <c r="AF244" s="214"/>
      <c r="AG244" s="215"/>
    </row>
    <row r="245" spans="1:33" s="74" customFormat="1" ht="42.75" customHeight="1">
      <c r="A245" s="281" t="s">
        <v>221</v>
      </c>
      <c r="B245" s="73"/>
      <c r="C245" s="73"/>
      <c r="D245" s="73"/>
      <c r="E245" s="277">
        <f>E244</f>
        <v>166</v>
      </c>
      <c r="F245" s="841" t="s">
        <v>1479</v>
      </c>
      <c r="G245" s="109" t="s">
        <v>217</v>
      </c>
      <c r="H245" s="112" t="s">
        <v>1125</v>
      </c>
      <c r="I245" s="112" t="s">
        <v>1125</v>
      </c>
      <c r="J245" s="319">
        <f t="shared" si="61"/>
        <v>10.005479452054795</v>
      </c>
      <c r="K245" s="46" t="s">
        <v>465</v>
      </c>
      <c r="L245" s="341">
        <v>84000000</v>
      </c>
      <c r="M245" s="46" t="s">
        <v>1041</v>
      </c>
      <c r="N245" s="114">
        <v>100</v>
      </c>
      <c r="O245" s="91">
        <v>6</v>
      </c>
      <c r="P245" s="227" t="s">
        <v>1050</v>
      </c>
      <c r="Q245" s="48" t="s">
        <v>7</v>
      </c>
      <c r="R245" s="75" t="s">
        <v>8</v>
      </c>
      <c r="S245" s="633">
        <v>40983</v>
      </c>
      <c r="T245" s="633">
        <v>40989</v>
      </c>
      <c r="U245" s="229" t="s">
        <v>760</v>
      </c>
      <c r="W245" s="117">
        <f>L245*N245/100/7.8</f>
        <v>10769230.76923077</v>
      </c>
      <c r="X245" s="143">
        <v>7.8</v>
      </c>
      <c r="Y245" s="117">
        <f t="shared" si="60"/>
        <v>84000000</v>
      </c>
      <c r="Z245" s="117"/>
      <c r="AA245" s="86">
        <v>6</v>
      </c>
      <c r="AB245" s="680">
        <v>44641</v>
      </c>
      <c r="AC245" s="104">
        <f t="shared" si="62"/>
        <v>10.021917808219179</v>
      </c>
      <c r="AD245" s="75" t="s">
        <v>5</v>
      </c>
      <c r="AF245" s="214"/>
      <c r="AG245" s="215"/>
    </row>
    <row r="246" spans="1:33" s="74" customFormat="1" ht="39.75" customHeight="1">
      <c r="A246" s="268" t="s">
        <v>1131</v>
      </c>
      <c r="B246" s="73"/>
      <c r="C246" s="73"/>
      <c r="D246" s="73"/>
      <c r="E246" s="91">
        <v>167</v>
      </c>
      <c r="F246" s="55" t="s">
        <v>222</v>
      </c>
      <c r="G246" s="109" t="s">
        <v>288</v>
      </c>
      <c r="H246" s="112" t="s">
        <v>289</v>
      </c>
      <c r="I246" s="112" t="s">
        <v>290</v>
      </c>
      <c r="J246" s="319">
        <f t="shared" si="61"/>
        <v>5.0027397260273974</v>
      </c>
      <c r="K246" s="46" t="s">
        <v>465</v>
      </c>
      <c r="L246" s="341">
        <v>172800000</v>
      </c>
      <c r="M246" s="46" t="s">
        <v>466</v>
      </c>
      <c r="N246" s="114">
        <v>99.48</v>
      </c>
      <c r="O246" s="91">
        <v>7</v>
      </c>
      <c r="P246" s="227" t="s">
        <v>1063</v>
      </c>
      <c r="Q246" s="48" t="s">
        <v>819</v>
      </c>
      <c r="R246" s="75" t="s">
        <v>1064</v>
      </c>
      <c r="S246" s="633">
        <v>40996</v>
      </c>
      <c r="T246" s="633">
        <v>41004</v>
      </c>
      <c r="U246" s="229" t="s">
        <v>760</v>
      </c>
      <c r="W246" s="117">
        <f>L246*N246/100</f>
        <v>171901440</v>
      </c>
      <c r="X246" s="143">
        <v>7.8</v>
      </c>
      <c r="Y246" s="117">
        <f t="shared" ref="Y246:Y249" si="63">X246*W246</f>
        <v>1340831232</v>
      </c>
      <c r="Z246" s="117"/>
      <c r="AA246" s="86">
        <v>6.875</v>
      </c>
      <c r="AB246" s="680">
        <v>42830</v>
      </c>
      <c r="AC246" s="104">
        <f t="shared" si="62"/>
        <v>5.0246575342465754</v>
      </c>
      <c r="AD246" s="75" t="s">
        <v>5</v>
      </c>
      <c r="AF246" s="214"/>
      <c r="AG246" s="215"/>
    </row>
    <row r="247" spans="1:33" s="74" customFormat="1" ht="42.75" customHeight="1">
      <c r="A247" s="281"/>
      <c r="B247" s="73"/>
      <c r="C247" s="73"/>
      <c r="D247" s="73"/>
      <c r="E247" s="277">
        <f>E246</f>
        <v>167</v>
      </c>
      <c r="F247" s="55" t="s">
        <v>222</v>
      </c>
      <c r="G247" s="109" t="s">
        <v>288</v>
      </c>
      <c r="H247" s="112" t="s">
        <v>289</v>
      </c>
      <c r="I247" s="112" t="s">
        <v>290</v>
      </c>
      <c r="J247" s="319">
        <f t="shared" si="61"/>
        <v>5.0027397260273974</v>
      </c>
      <c r="K247" s="46" t="s">
        <v>465</v>
      </c>
      <c r="L247" s="341">
        <v>19200000</v>
      </c>
      <c r="M247" s="46" t="s">
        <v>466</v>
      </c>
      <c r="N247" s="114">
        <v>99.48</v>
      </c>
      <c r="O247" s="91">
        <v>7</v>
      </c>
      <c r="P247" s="227" t="s">
        <v>1063</v>
      </c>
      <c r="Q247" s="48" t="s">
        <v>819</v>
      </c>
      <c r="R247" s="75" t="s">
        <v>1064</v>
      </c>
      <c r="S247" s="633">
        <v>40996</v>
      </c>
      <c r="T247" s="633">
        <v>41004</v>
      </c>
      <c r="U247" s="229" t="s">
        <v>760</v>
      </c>
      <c r="W247" s="117">
        <f>L247*N247/100</f>
        <v>19100160</v>
      </c>
      <c r="X247" s="143">
        <v>7.8</v>
      </c>
      <c r="Y247" s="117">
        <f t="shared" si="63"/>
        <v>148981248</v>
      </c>
      <c r="Z247" s="117"/>
      <c r="AA247" s="86">
        <v>6.875</v>
      </c>
      <c r="AB247" s="680">
        <v>42830</v>
      </c>
      <c r="AC247" s="104">
        <f t="shared" si="62"/>
        <v>5.0246575342465754</v>
      </c>
      <c r="AD247" s="75" t="s">
        <v>5</v>
      </c>
      <c r="AF247" s="214"/>
      <c r="AG247" s="215"/>
    </row>
    <row r="248" spans="1:33" s="74" customFormat="1" ht="25.5">
      <c r="A248" s="268" t="s">
        <v>903</v>
      </c>
      <c r="B248" s="73"/>
      <c r="C248" s="73"/>
      <c r="D248" s="73"/>
      <c r="E248" s="91">
        <v>169</v>
      </c>
      <c r="F248" s="55" t="s">
        <v>238</v>
      </c>
      <c r="G248" s="109" t="s">
        <v>240</v>
      </c>
      <c r="H248" s="112" t="s">
        <v>241</v>
      </c>
      <c r="I248" s="112" t="s">
        <v>257</v>
      </c>
      <c r="J248" s="319">
        <f t="shared" ref="J248:J253" si="64">(AB248-T248)/365</f>
        <v>9.9534246575342458</v>
      </c>
      <c r="K248" s="46" t="s">
        <v>465</v>
      </c>
      <c r="L248" s="341">
        <v>117000000</v>
      </c>
      <c r="M248" s="46" t="s">
        <v>466</v>
      </c>
      <c r="N248" s="114">
        <v>99.926000000000002</v>
      </c>
      <c r="O248" s="91">
        <v>6</v>
      </c>
      <c r="P248" s="227" t="s">
        <v>284</v>
      </c>
      <c r="Q248" s="48" t="s">
        <v>258</v>
      </c>
      <c r="R248" s="75" t="s">
        <v>283</v>
      </c>
      <c r="S248" s="633">
        <v>41054</v>
      </c>
      <c r="T248" s="633">
        <v>41059</v>
      </c>
      <c r="U248" s="229" t="s">
        <v>759</v>
      </c>
      <c r="W248" s="117">
        <f>L248*N248/100</f>
        <v>116913420</v>
      </c>
      <c r="X248" s="143">
        <v>7.8</v>
      </c>
      <c r="Y248" s="117">
        <f t="shared" si="63"/>
        <v>911924676</v>
      </c>
      <c r="Z248" s="117"/>
      <c r="AA248" s="86">
        <v>5.99</v>
      </c>
      <c r="AB248" s="681">
        <v>44692</v>
      </c>
      <c r="AC248" s="104">
        <f t="shared" ref="AC248:AC253" si="65">(AB248-S248)/365</f>
        <v>9.9671232876712335</v>
      </c>
      <c r="AD248" s="75" t="s">
        <v>5</v>
      </c>
      <c r="AF248" s="214"/>
      <c r="AG248" s="215"/>
    </row>
    <row r="249" spans="1:33" s="74" customFormat="1" ht="25.5">
      <c r="A249" s="281"/>
      <c r="B249" s="73"/>
      <c r="C249" s="73"/>
      <c r="D249" s="73"/>
      <c r="E249" s="277">
        <f>E248</f>
        <v>169</v>
      </c>
      <c r="F249" s="55" t="s">
        <v>238</v>
      </c>
      <c r="G249" s="109" t="s">
        <v>240</v>
      </c>
      <c r="H249" s="112" t="s">
        <v>241</v>
      </c>
      <c r="I249" s="112" t="s">
        <v>257</v>
      </c>
      <c r="J249" s="319">
        <f t="shared" si="64"/>
        <v>9.9534246575342458</v>
      </c>
      <c r="K249" s="46" t="s">
        <v>465</v>
      </c>
      <c r="L249" s="341">
        <v>13000000</v>
      </c>
      <c r="M249" s="46" t="s">
        <v>466</v>
      </c>
      <c r="N249" s="114">
        <v>99.926000000000002</v>
      </c>
      <c r="O249" s="91">
        <v>6</v>
      </c>
      <c r="P249" s="227" t="s">
        <v>284</v>
      </c>
      <c r="Q249" s="48" t="s">
        <v>259</v>
      </c>
      <c r="R249" s="75" t="s">
        <v>283</v>
      </c>
      <c r="S249" s="633">
        <v>41054</v>
      </c>
      <c r="T249" s="633">
        <v>41059</v>
      </c>
      <c r="U249" s="229" t="s">
        <v>759</v>
      </c>
      <c r="W249" s="117">
        <f>L249*N249/100</f>
        <v>12990380</v>
      </c>
      <c r="X249" s="143">
        <v>7.8</v>
      </c>
      <c r="Y249" s="117">
        <f t="shared" si="63"/>
        <v>101324964</v>
      </c>
      <c r="Z249" s="117"/>
      <c r="AA249" s="86">
        <v>5.99</v>
      </c>
      <c r="AB249" s="681">
        <v>44692</v>
      </c>
      <c r="AC249" s="104">
        <f t="shared" si="65"/>
        <v>9.9671232876712335</v>
      </c>
      <c r="AD249" s="75" t="s">
        <v>5</v>
      </c>
      <c r="AF249" s="214"/>
      <c r="AG249" s="215"/>
    </row>
    <row r="250" spans="1:33" s="74" customFormat="1" ht="25.5">
      <c r="A250" s="268" t="s">
        <v>903</v>
      </c>
      <c r="B250" s="73"/>
      <c r="C250" s="73"/>
      <c r="D250" s="73"/>
      <c r="E250" s="91">
        <v>170</v>
      </c>
      <c r="F250" s="55" t="s">
        <v>262</v>
      </c>
      <c r="G250" s="109" t="s">
        <v>260</v>
      </c>
      <c r="H250" s="112" t="s">
        <v>261</v>
      </c>
      <c r="I250" s="112" t="s">
        <v>261</v>
      </c>
      <c r="J250" s="319">
        <f t="shared" si="64"/>
        <v>10.005479452054795</v>
      </c>
      <c r="K250" s="46" t="s">
        <v>465</v>
      </c>
      <c r="L250" s="341">
        <f>L251*9</f>
        <v>1282500000</v>
      </c>
      <c r="M250" s="46" t="s">
        <v>264</v>
      </c>
      <c r="N250" s="114">
        <v>100</v>
      </c>
      <c r="O250" s="91">
        <v>6</v>
      </c>
      <c r="P250" s="227" t="s">
        <v>1073</v>
      </c>
      <c r="Q250" s="48" t="s">
        <v>1074</v>
      </c>
      <c r="R250" s="75" t="s">
        <v>1075</v>
      </c>
      <c r="S250" s="633">
        <v>41082</v>
      </c>
      <c r="T250" s="633">
        <v>41088</v>
      </c>
      <c r="U250" s="229" t="s">
        <v>759</v>
      </c>
      <c r="W250" s="117">
        <f>L250*N250/100/7.8</f>
        <v>164423076.92307693</v>
      </c>
      <c r="X250" s="143">
        <v>7.8</v>
      </c>
      <c r="Y250" s="117">
        <f t="shared" ref="Y250:Y259" si="66">X250*W250</f>
        <v>1282500000</v>
      </c>
      <c r="Z250" s="117"/>
      <c r="AA250" s="86">
        <v>6</v>
      </c>
      <c r="AB250" s="681">
        <v>44740</v>
      </c>
      <c r="AC250" s="104">
        <f t="shared" si="65"/>
        <v>10.021917808219179</v>
      </c>
      <c r="AD250" s="75" t="s">
        <v>5</v>
      </c>
      <c r="AF250" s="214"/>
      <c r="AG250" s="215"/>
    </row>
    <row r="251" spans="1:33" s="74" customFormat="1" ht="25.5">
      <c r="A251" s="281" t="s">
        <v>263</v>
      </c>
      <c r="B251" s="73"/>
      <c r="C251" s="73"/>
      <c r="D251" s="73"/>
      <c r="E251" s="277">
        <f>E250</f>
        <v>170</v>
      </c>
      <c r="F251" s="55" t="s">
        <v>262</v>
      </c>
      <c r="G251" s="109" t="s">
        <v>260</v>
      </c>
      <c r="H251" s="112" t="s">
        <v>261</v>
      </c>
      <c r="I251" s="112" t="s">
        <v>261</v>
      </c>
      <c r="J251" s="319">
        <f t="shared" si="64"/>
        <v>10.005479452054795</v>
      </c>
      <c r="K251" s="46" t="s">
        <v>465</v>
      </c>
      <c r="L251" s="341">
        <v>142500000</v>
      </c>
      <c r="M251" s="46" t="s">
        <v>264</v>
      </c>
      <c r="N251" s="114">
        <v>100</v>
      </c>
      <c r="O251" s="91">
        <v>6</v>
      </c>
      <c r="P251" s="227" t="s">
        <v>1073</v>
      </c>
      <c r="Q251" s="48" t="s">
        <v>1074</v>
      </c>
      <c r="R251" s="75" t="s">
        <v>1075</v>
      </c>
      <c r="S251" s="633">
        <v>41082</v>
      </c>
      <c r="T251" s="633">
        <v>41088</v>
      </c>
      <c r="U251" s="229" t="s">
        <v>759</v>
      </c>
      <c r="W251" s="117">
        <f>L251*N251/100/7.8</f>
        <v>18269230.769230768</v>
      </c>
      <c r="X251" s="143">
        <v>7.8</v>
      </c>
      <c r="Y251" s="117">
        <f t="shared" si="66"/>
        <v>142500000</v>
      </c>
      <c r="Z251" s="117"/>
      <c r="AA251" s="86">
        <v>6</v>
      </c>
      <c r="AB251" s="681">
        <v>44740</v>
      </c>
      <c r="AC251" s="104">
        <f t="shared" si="65"/>
        <v>10.021917808219179</v>
      </c>
      <c r="AD251" s="75" t="s">
        <v>5</v>
      </c>
      <c r="AF251" s="214"/>
      <c r="AG251" s="215"/>
    </row>
    <row r="252" spans="1:33" s="74" customFormat="1" ht="25.5">
      <c r="A252" s="268" t="s">
        <v>903</v>
      </c>
      <c r="B252" s="73"/>
      <c r="C252" s="73"/>
      <c r="D252" s="73"/>
      <c r="E252" s="91">
        <v>171</v>
      </c>
      <c r="F252" s="55" t="s">
        <v>274</v>
      </c>
      <c r="G252" s="109" t="s">
        <v>276</v>
      </c>
      <c r="H252" s="112" t="s">
        <v>261</v>
      </c>
      <c r="I252" s="112" t="s">
        <v>261</v>
      </c>
      <c r="J252" s="319">
        <f t="shared" si="64"/>
        <v>9.0054794520547947</v>
      </c>
      <c r="K252" s="46" t="s">
        <v>465</v>
      </c>
      <c r="L252" s="341">
        <v>1023300000</v>
      </c>
      <c r="M252" s="46" t="s">
        <v>273</v>
      </c>
      <c r="N252" s="114">
        <v>100</v>
      </c>
      <c r="O252" s="91">
        <v>6.15</v>
      </c>
      <c r="P252" s="227" t="s">
        <v>1132</v>
      </c>
      <c r="Q252" s="48" t="s">
        <v>234</v>
      </c>
      <c r="R252" s="75" t="s">
        <v>235</v>
      </c>
      <c r="S252" s="633">
        <v>41122</v>
      </c>
      <c r="T252" s="633">
        <v>41128</v>
      </c>
      <c r="U252" s="229" t="s">
        <v>759</v>
      </c>
      <c r="W252" s="117">
        <f t="shared" ref="W252:W259" si="67">L252*N252/100</f>
        <v>1023300000</v>
      </c>
      <c r="X252" s="143">
        <v>1.22</v>
      </c>
      <c r="Y252" s="117">
        <f t="shared" si="66"/>
        <v>1248426000</v>
      </c>
      <c r="Z252" s="117"/>
      <c r="AA252" s="86">
        <v>6.15</v>
      </c>
      <c r="AB252" s="681">
        <v>44415</v>
      </c>
      <c r="AC252" s="104">
        <f t="shared" si="65"/>
        <v>9.0219178082191789</v>
      </c>
      <c r="AD252" s="75" t="s">
        <v>5</v>
      </c>
      <c r="AF252" s="214"/>
      <c r="AG252" s="215"/>
    </row>
    <row r="253" spans="1:33" s="74" customFormat="1" ht="25.5">
      <c r="A253" s="281"/>
      <c r="B253" s="73"/>
      <c r="C253" s="73"/>
      <c r="D253" s="73"/>
      <c r="E253" s="277">
        <f>E252</f>
        <v>171</v>
      </c>
      <c r="F253" s="55" t="s">
        <v>274</v>
      </c>
      <c r="G253" s="109" t="s">
        <v>276</v>
      </c>
      <c r="H253" s="112" t="s">
        <v>261</v>
      </c>
      <c r="I253" s="112" t="s">
        <v>261</v>
      </c>
      <c r="J253" s="319">
        <f t="shared" si="64"/>
        <v>9.0054794520547947</v>
      </c>
      <c r="K253" s="46" t="s">
        <v>465</v>
      </c>
      <c r="L253" s="341">
        <v>113700000</v>
      </c>
      <c r="M253" s="46" t="s">
        <v>273</v>
      </c>
      <c r="N253" s="114">
        <v>100</v>
      </c>
      <c r="O253" s="91">
        <v>6.15</v>
      </c>
      <c r="P253" s="227" t="s">
        <v>1132</v>
      </c>
      <c r="Q253" s="48" t="s">
        <v>234</v>
      </c>
      <c r="R253" s="75" t="s">
        <v>235</v>
      </c>
      <c r="S253" s="633">
        <v>41122</v>
      </c>
      <c r="T253" s="633">
        <v>41128</v>
      </c>
      <c r="U253" s="229" t="s">
        <v>759</v>
      </c>
      <c r="W253" s="117">
        <f t="shared" si="67"/>
        <v>113700000</v>
      </c>
      <c r="X253" s="143">
        <v>1.22</v>
      </c>
      <c r="Y253" s="117">
        <f t="shared" si="66"/>
        <v>138714000</v>
      </c>
      <c r="Z253" s="117"/>
      <c r="AA253" s="86">
        <v>6.15</v>
      </c>
      <c r="AB253" s="681">
        <v>44415</v>
      </c>
      <c r="AC253" s="104">
        <f t="shared" si="65"/>
        <v>9.0219178082191789</v>
      </c>
      <c r="AD253" s="75" t="s">
        <v>5</v>
      </c>
      <c r="AF253" s="214"/>
      <c r="AG253" s="215"/>
    </row>
    <row r="254" spans="1:33" s="74" customFormat="1" ht="25.5">
      <c r="A254" s="268" t="s">
        <v>903</v>
      </c>
      <c r="B254" s="73"/>
      <c r="C254" s="73"/>
      <c r="D254" s="73"/>
      <c r="E254" s="91">
        <v>172</v>
      </c>
      <c r="F254" s="55" t="s">
        <v>247</v>
      </c>
      <c r="G254" s="109" t="s">
        <v>248</v>
      </c>
      <c r="H254" s="112" t="s">
        <v>261</v>
      </c>
      <c r="I254" s="112" t="s">
        <v>261</v>
      </c>
      <c r="J254" s="319">
        <f t="shared" ref="J254:J259" si="68">(AB254-T254)/365</f>
        <v>3</v>
      </c>
      <c r="K254" s="46" t="s">
        <v>465</v>
      </c>
      <c r="L254" s="341">
        <v>234000000</v>
      </c>
      <c r="M254" s="46" t="s">
        <v>273</v>
      </c>
      <c r="N254" s="114">
        <v>99.457999999999998</v>
      </c>
      <c r="O254" s="91">
        <v>6.0000900000000001</v>
      </c>
      <c r="P254" s="227" t="s">
        <v>249</v>
      </c>
      <c r="Q254" s="48" t="s">
        <v>250</v>
      </c>
      <c r="R254" s="109" t="s">
        <v>255</v>
      </c>
      <c r="S254" s="633">
        <v>41243</v>
      </c>
      <c r="T254" s="633">
        <v>41250</v>
      </c>
      <c r="U254" s="229" t="s">
        <v>759</v>
      </c>
      <c r="W254" s="117">
        <f t="shared" si="67"/>
        <v>232731720</v>
      </c>
      <c r="X254" s="143">
        <v>1.22</v>
      </c>
      <c r="Y254" s="117">
        <f t="shared" si="66"/>
        <v>283932698.39999998</v>
      </c>
      <c r="Z254" s="117"/>
      <c r="AA254" s="86">
        <v>6</v>
      </c>
      <c r="AB254" s="681">
        <v>42345</v>
      </c>
      <c r="AC254" s="104">
        <f t="shared" ref="AC254:AC259" si="69">(AB254-S254)/365</f>
        <v>3.0191780821917806</v>
      </c>
      <c r="AD254" s="75" t="s">
        <v>5</v>
      </c>
      <c r="AF254" s="214"/>
      <c r="AG254" s="215"/>
    </row>
    <row r="255" spans="1:33" s="74" customFormat="1" ht="25.5">
      <c r="A255" s="281"/>
      <c r="B255" s="73"/>
      <c r="C255" s="73"/>
      <c r="D255" s="73"/>
      <c r="E255" s="277">
        <f>E254</f>
        <v>172</v>
      </c>
      <c r="F255" s="55" t="s">
        <v>247</v>
      </c>
      <c r="G255" s="109" t="s">
        <v>248</v>
      </c>
      <c r="H255" s="112" t="s">
        <v>261</v>
      </c>
      <c r="I255" s="112" t="s">
        <v>261</v>
      </c>
      <c r="J255" s="319">
        <f t="shared" si="68"/>
        <v>3</v>
      </c>
      <c r="K255" s="46" t="s">
        <v>465</v>
      </c>
      <c r="L255" s="341">
        <v>26000000</v>
      </c>
      <c r="M255" s="46" t="s">
        <v>273</v>
      </c>
      <c r="N255" s="114">
        <v>99.457999999999998</v>
      </c>
      <c r="O255" s="91">
        <v>6.0000900000000001</v>
      </c>
      <c r="P255" s="227" t="s">
        <v>249</v>
      </c>
      <c r="Q255" s="48" t="s">
        <v>250</v>
      </c>
      <c r="R255" s="109" t="s">
        <v>256</v>
      </c>
      <c r="S255" s="633">
        <v>41243</v>
      </c>
      <c r="T255" s="633">
        <v>41250</v>
      </c>
      <c r="U255" s="229" t="s">
        <v>759</v>
      </c>
      <c r="W255" s="117">
        <f t="shared" si="67"/>
        <v>25859080</v>
      </c>
      <c r="X255" s="143">
        <v>1.22</v>
      </c>
      <c r="Y255" s="117">
        <f t="shared" si="66"/>
        <v>31548077.599999998</v>
      </c>
      <c r="Z255" s="117"/>
      <c r="AA255" s="86">
        <v>6</v>
      </c>
      <c r="AB255" s="681">
        <v>42345</v>
      </c>
      <c r="AC255" s="104">
        <f t="shared" si="69"/>
        <v>3.0191780821917806</v>
      </c>
      <c r="AD255" s="75" t="s">
        <v>5</v>
      </c>
      <c r="AF255" s="214"/>
      <c r="AG255" s="215"/>
    </row>
    <row r="256" spans="1:33" s="74" customFormat="1" ht="25.5">
      <c r="A256" s="268" t="s">
        <v>1131</v>
      </c>
      <c r="B256" s="73"/>
      <c r="C256" s="73"/>
      <c r="D256" s="73"/>
      <c r="E256" s="91">
        <v>173</v>
      </c>
      <c r="F256" s="55" t="s">
        <v>232</v>
      </c>
      <c r="G256" s="109" t="s">
        <v>229</v>
      </c>
      <c r="H256" s="112" t="s">
        <v>289</v>
      </c>
      <c r="I256" s="112" t="s">
        <v>290</v>
      </c>
      <c r="J256" s="319">
        <f t="shared" si="68"/>
        <v>10.005479452054795</v>
      </c>
      <c r="K256" s="46" t="s">
        <v>465</v>
      </c>
      <c r="L256" s="341">
        <v>135000000</v>
      </c>
      <c r="M256" s="46" t="s">
        <v>466</v>
      </c>
      <c r="N256" s="114">
        <v>99.08</v>
      </c>
      <c r="O256" s="91">
        <v>6.2501100000000003</v>
      </c>
      <c r="P256" s="227" t="s">
        <v>230</v>
      </c>
      <c r="Q256" s="48" t="s">
        <v>209</v>
      </c>
      <c r="R256" s="75" t="s">
        <v>231</v>
      </c>
      <c r="S256" s="633">
        <v>41256</v>
      </c>
      <c r="T256" s="633">
        <v>41263</v>
      </c>
      <c r="U256" s="229" t="s">
        <v>759</v>
      </c>
      <c r="W256" s="117">
        <f>L256*N256/100</f>
        <v>133758000</v>
      </c>
      <c r="X256" s="143">
        <v>7.8</v>
      </c>
      <c r="Y256" s="117">
        <f>X256*W256</f>
        <v>1043312400</v>
      </c>
      <c r="Z256" s="117"/>
      <c r="AA256" s="86">
        <v>6.125</v>
      </c>
      <c r="AB256" s="680">
        <v>44915</v>
      </c>
      <c r="AC256" s="104">
        <f t="shared" si="69"/>
        <v>10.024657534246575</v>
      </c>
      <c r="AF256" s="214"/>
      <c r="AG256" s="215"/>
    </row>
    <row r="257" spans="1:33" s="74" customFormat="1" ht="25.5">
      <c r="A257" s="281"/>
      <c r="B257" s="73"/>
      <c r="C257" s="73"/>
      <c r="D257" s="73"/>
      <c r="E257" s="277">
        <f>E256</f>
        <v>173</v>
      </c>
      <c r="F257" s="55" t="s">
        <v>232</v>
      </c>
      <c r="G257" s="109" t="s">
        <v>229</v>
      </c>
      <c r="H257" s="112" t="s">
        <v>289</v>
      </c>
      <c r="I257" s="112" t="s">
        <v>290</v>
      </c>
      <c r="J257" s="319">
        <f t="shared" si="68"/>
        <v>10.005479452054795</v>
      </c>
      <c r="K257" s="46" t="s">
        <v>465</v>
      </c>
      <c r="L257" s="341">
        <v>15000000</v>
      </c>
      <c r="M257" s="46" t="s">
        <v>466</v>
      </c>
      <c r="N257" s="114">
        <v>99.08</v>
      </c>
      <c r="O257" s="91">
        <v>6.2501100000000003</v>
      </c>
      <c r="P257" s="227" t="s">
        <v>230</v>
      </c>
      <c r="Q257" s="48" t="s">
        <v>209</v>
      </c>
      <c r="R257" s="75" t="s">
        <v>231</v>
      </c>
      <c r="S257" s="633">
        <v>41256</v>
      </c>
      <c r="T257" s="633">
        <v>41263</v>
      </c>
      <c r="U257" s="229" t="s">
        <v>759</v>
      </c>
      <c r="W257" s="117">
        <f>L257*N257/100</f>
        <v>14862000</v>
      </c>
      <c r="X257" s="143">
        <v>7.8</v>
      </c>
      <c r="Y257" s="117">
        <f>X257*W257</f>
        <v>115923600</v>
      </c>
      <c r="Z257" s="117"/>
      <c r="AA257" s="86">
        <v>6.125</v>
      </c>
      <c r="AB257" s="680">
        <v>44915</v>
      </c>
      <c r="AC257" s="104">
        <f t="shared" si="69"/>
        <v>10.024657534246575</v>
      </c>
      <c r="AF257" s="214"/>
      <c r="AG257" s="215"/>
    </row>
    <row r="258" spans="1:33" s="74" customFormat="1" ht="25.5">
      <c r="A258" s="268" t="s">
        <v>903</v>
      </c>
      <c r="B258" s="73"/>
      <c r="C258" s="73"/>
      <c r="D258" s="73"/>
      <c r="E258" s="91">
        <v>174</v>
      </c>
      <c r="F258" s="841" t="s">
        <v>1477</v>
      </c>
      <c r="G258" s="109" t="s">
        <v>1101</v>
      </c>
      <c r="H258" s="399" t="s">
        <v>1103</v>
      </c>
      <c r="I258" s="399" t="s">
        <v>1103</v>
      </c>
      <c r="J258" s="319">
        <f t="shared" si="68"/>
        <v>4.7506849315068491</v>
      </c>
      <c r="K258" s="46" t="s">
        <v>465</v>
      </c>
      <c r="L258" s="341">
        <v>900000000</v>
      </c>
      <c r="M258" s="167" t="s">
        <v>1106</v>
      </c>
      <c r="N258" s="114">
        <v>98.989000000000004</v>
      </c>
      <c r="O258" s="91">
        <v>5.999943</v>
      </c>
      <c r="P258" s="400" t="s">
        <v>153</v>
      </c>
      <c r="Q258" s="168" t="s">
        <v>1104</v>
      </c>
      <c r="R258" s="109" t="s">
        <v>1105</v>
      </c>
      <c r="S258" s="634">
        <v>41271</v>
      </c>
      <c r="T258" s="633">
        <v>41281</v>
      </c>
      <c r="U258" s="401" t="s">
        <v>1102</v>
      </c>
      <c r="W258" s="117">
        <f>L258*N258/100</f>
        <v>890901000</v>
      </c>
      <c r="X258" s="143">
        <v>1.23</v>
      </c>
      <c r="Y258" s="117">
        <f t="shared" si="66"/>
        <v>1095808230</v>
      </c>
      <c r="Z258" s="117"/>
      <c r="AA258" s="86">
        <v>5.75</v>
      </c>
      <c r="AB258" s="680">
        <v>43015</v>
      </c>
      <c r="AC258" s="104">
        <f t="shared" si="69"/>
        <v>4.7780821917808218</v>
      </c>
      <c r="AD258" s="75" t="s">
        <v>1107</v>
      </c>
      <c r="AF258" s="214"/>
      <c r="AG258" s="215"/>
    </row>
    <row r="259" spans="1:33" s="74" customFormat="1" ht="25.5">
      <c r="A259" s="281"/>
      <c r="B259" s="73"/>
      <c r="C259" s="73"/>
      <c r="D259" s="73"/>
      <c r="E259" s="277">
        <f>E258</f>
        <v>174</v>
      </c>
      <c r="F259" s="841" t="s">
        <v>1477</v>
      </c>
      <c r="G259" s="109" t="s">
        <v>1101</v>
      </c>
      <c r="H259" s="399" t="s">
        <v>1103</v>
      </c>
      <c r="I259" s="399" t="s">
        <v>1103</v>
      </c>
      <c r="J259" s="319">
        <f t="shared" si="68"/>
        <v>4.7506849315068491</v>
      </c>
      <c r="K259" s="46" t="s">
        <v>465</v>
      </c>
      <c r="L259" s="341">
        <v>100000000</v>
      </c>
      <c r="M259" s="167" t="s">
        <v>1106</v>
      </c>
      <c r="N259" s="114">
        <v>98.989000000000004</v>
      </c>
      <c r="O259" s="91">
        <v>5.999943</v>
      </c>
      <c r="P259" s="400" t="s">
        <v>153</v>
      </c>
      <c r="Q259" s="168" t="s">
        <v>1104</v>
      </c>
      <c r="R259" s="109" t="s">
        <v>1105</v>
      </c>
      <c r="S259" s="634">
        <v>41271</v>
      </c>
      <c r="T259" s="633">
        <v>41281</v>
      </c>
      <c r="U259" s="401" t="s">
        <v>1102</v>
      </c>
      <c r="W259" s="117">
        <f t="shared" si="67"/>
        <v>98989000</v>
      </c>
      <c r="X259" s="143">
        <v>1.23</v>
      </c>
      <c r="Y259" s="117">
        <f t="shared" si="66"/>
        <v>121756470</v>
      </c>
      <c r="Z259" s="117"/>
      <c r="AA259" s="86">
        <v>5.75</v>
      </c>
      <c r="AB259" s="680">
        <v>43015</v>
      </c>
      <c r="AC259" s="104">
        <f t="shared" si="69"/>
        <v>4.7780821917808218</v>
      </c>
      <c r="AD259" s="75" t="s">
        <v>1107</v>
      </c>
      <c r="AF259" s="214"/>
      <c r="AG259" s="215"/>
    </row>
    <row r="260" spans="1:33" s="74" customFormat="1" ht="25.5">
      <c r="A260" s="268" t="s">
        <v>903</v>
      </c>
      <c r="B260" s="73"/>
      <c r="C260" s="73"/>
      <c r="D260" s="73"/>
      <c r="E260" s="91">
        <v>175</v>
      </c>
      <c r="F260" s="64" t="s">
        <v>43</v>
      </c>
      <c r="G260" s="109" t="s">
        <v>42</v>
      </c>
      <c r="H260" s="112" t="s">
        <v>44</v>
      </c>
      <c r="I260" s="112" t="s">
        <v>44</v>
      </c>
      <c r="J260" s="319">
        <f t="shared" ref="J260:J266" si="70">(AB260-T260)/365</f>
        <v>12.008219178082191</v>
      </c>
      <c r="K260" s="46" t="s">
        <v>465</v>
      </c>
      <c r="L260" s="341">
        <v>356400000</v>
      </c>
      <c r="M260" s="46" t="s">
        <v>466</v>
      </c>
      <c r="N260" s="114">
        <v>100</v>
      </c>
      <c r="O260" s="91">
        <v>6.1</v>
      </c>
      <c r="P260" s="227" t="s">
        <v>1050</v>
      </c>
      <c r="Q260" s="48" t="s">
        <v>7</v>
      </c>
      <c r="R260" s="109" t="s">
        <v>8</v>
      </c>
      <c r="S260" s="633">
        <v>41331</v>
      </c>
      <c r="T260" s="633">
        <f>S260+7</f>
        <v>41338</v>
      </c>
      <c r="U260" s="229" t="s">
        <v>759</v>
      </c>
      <c r="W260" s="117">
        <f>L260*N260/100</f>
        <v>356400000</v>
      </c>
      <c r="X260" s="143">
        <v>7.8</v>
      </c>
      <c r="Y260" s="117">
        <f t="shared" ref="Y260:Y266" si="71">X260*W260</f>
        <v>2779920000</v>
      </c>
      <c r="Z260" s="117"/>
      <c r="AA260" s="86">
        <v>6.1</v>
      </c>
      <c r="AB260" s="681">
        <v>45721</v>
      </c>
      <c r="AC260" s="104">
        <f t="shared" ref="AC260:AC266" si="72">(AB260-S260)/365</f>
        <v>12.027397260273972</v>
      </c>
      <c r="AD260" s="75"/>
      <c r="AF260" s="214"/>
      <c r="AG260" s="215"/>
    </row>
    <row r="261" spans="1:33" s="74" customFormat="1" ht="25.5">
      <c r="A261" s="281"/>
      <c r="B261" s="73"/>
      <c r="C261" s="73"/>
      <c r="D261" s="73"/>
      <c r="E261" s="277">
        <f>E260</f>
        <v>175</v>
      </c>
      <c r="F261" s="55" t="s">
        <v>43</v>
      </c>
      <c r="G261" s="109" t="s">
        <v>42</v>
      </c>
      <c r="H261" s="112" t="s">
        <v>44</v>
      </c>
      <c r="I261" s="112" t="s">
        <v>44</v>
      </c>
      <c r="J261" s="319">
        <f t="shared" si="70"/>
        <v>12.008219178082191</v>
      </c>
      <c r="K261" s="46" t="s">
        <v>465</v>
      </c>
      <c r="L261" s="341">
        <v>39600000</v>
      </c>
      <c r="M261" s="46" t="s">
        <v>466</v>
      </c>
      <c r="N261" s="114">
        <v>100</v>
      </c>
      <c r="O261" s="91">
        <v>6.1</v>
      </c>
      <c r="P261" s="227" t="s">
        <v>1050</v>
      </c>
      <c r="Q261" s="48" t="s">
        <v>7</v>
      </c>
      <c r="R261" s="109" t="s">
        <v>8</v>
      </c>
      <c r="S261" s="633">
        <v>41331</v>
      </c>
      <c r="T261" s="633">
        <f>S261+7</f>
        <v>41338</v>
      </c>
      <c r="U261" s="229" t="s">
        <v>759</v>
      </c>
      <c r="W261" s="117">
        <f>L261*N261/100</f>
        <v>39600000</v>
      </c>
      <c r="X261" s="143">
        <v>7.8</v>
      </c>
      <c r="Y261" s="117">
        <f t="shared" si="71"/>
        <v>308880000</v>
      </c>
      <c r="Z261" s="117"/>
      <c r="AA261" s="86">
        <v>6.1</v>
      </c>
      <c r="AB261" s="681">
        <v>45721</v>
      </c>
      <c r="AC261" s="104">
        <f t="shared" si="72"/>
        <v>12.027397260273972</v>
      </c>
      <c r="AD261" s="75"/>
      <c r="AF261" s="214"/>
      <c r="AG261" s="215"/>
    </row>
    <row r="262" spans="1:33" s="74" customFormat="1" ht="25.5">
      <c r="A262" s="281"/>
      <c r="B262" s="73"/>
      <c r="C262" s="73"/>
      <c r="D262" s="73"/>
      <c r="E262" s="277">
        <v>176</v>
      </c>
      <c r="F262" s="55" t="s">
        <v>704</v>
      </c>
      <c r="G262" s="109" t="s">
        <v>717</v>
      </c>
      <c r="H262" s="112" t="s">
        <v>44</v>
      </c>
      <c r="I262" s="112" t="s">
        <v>44</v>
      </c>
      <c r="J262" s="319">
        <f t="shared" si="70"/>
        <v>-3.2082191780821918</v>
      </c>
      <c r="K262" s="46" t="s">
        <v>706</v>
      </c>
      <c r="L262" s="341"/>
      <c r="M262" s="46" t="s">
        <v>466</v>
      </c>
      <c r="N262" s="114">
        <v>23.34</v>
      </c>
      <c r="O262" s="91">
        <v>18.209083</v>
      </c>
      <c r="P262" s="227" t="s">
        <v>712</v>
      </c>
      <c r="Q262" s="48" t="s">
        <v>713</v>
      </c>
      <c r="R262" s="109" t="s">
        <v>714</v>
      </c>
      <c r="S262" s="633">
        <v>41373</v>
      </c>
      <c r="T262" s="633">
        <f>S262+3</f>
        <v>41376</v>
      </c>
      <c r="U262" s="229" t="s">
        <v>715</v>
      </c>
      <c r="W262" s="117"/>
      <c r="X262" s="143">
        <v>7.8</v>
      </c>
      <c r="Y262" s="117"/>
      <c r="Z262" s="117"/>
      <c r="AA262" s="86">
        <v>4.25</v>
      </c>
      <c r="AB262" s="681">
        <v>40205</v>
      </c>
      <c r="AC262" s="104">
        <f t="shared" si="72"/>
        <v>-3.2</v>
      </c>
      <c r="AD262" s="75"/>
      <c r="AF262" s="214"/>
      <c r="AG262" s="215"/>
    </row>
    <row r="263" spans="1:33" s="74" customFormat="1" ht="25.5">
      <c r="A263" s="268" t="s">
        <v>903</v>
      </c>
      <c r="B263" s="73"/>
      <c r="C263" s="73"/>
      <c r="D263" s="73"/>
      <c r="E263" s="91">
        <v>177</v>
      </c>
      <c r="F263" s="55" t="s">
        <v>202</v>
      </c>
      <c r="G263" s="109" t="s">
        <v>201</v>
      </c>
      <c r="H263" s="399" t="s">
        <v>787</v>
      </c>
      <c r="I263" s="399" t="s">
        <v>1077</v>
      </c>
      <c r="J263" s="319">
        <f t="shared" si="70"/>
        <v>8.8958904109589039</v>
      </c>
      <c r="K263" s="46" t="s">
        <v>465</v>
      </c>
      <c r="L263" s="341">
        <v>24300000</v>
      </c>
      <c r="M263" s="46" t="s">
        <v>466</v>
      </c>
      <c r="N263" s="114">
        <v>92.972999999999999</v>
      </c>
      <c r="O263" s="91">
        <v>6.7946400000000002</v>
      </c>
      <c r="P263" s="227" t="s">
        <v>230</v>
      </c>
      <c r="Q263" s="48" t="s">
        <v>209</v>
      </c>
      <c r="R263" s="75" t="s">
        <v>231</v>
      </c>
      <c r="S263" s="633">
        <v>41444</v>
      </c>
      <c r="T263" s="633">
        <v>41450</v>
      </c>
      <c r="U263" s="229" t="s">
        <v>715</v>
      </c>
      <c r="W263" s="117">
        <v>22743281.25</v>
      </c>
      <c r="X263" s="143">
        <v>7.8</v>
      </c>
      <c r="Y263" s="117">
        <f t="shared" si="71"/>
        <v>177397593.75</v>
      </c>
      <c r="Z263" s="117"/>
      <c r="AA263" s="86">
        <v>5.73</v>
      </c>
      <c r="AB263" s="681">
        <v>44697</v>
      </c>
      <c r="AC263" s="104">
        <f t="shared" si="72"/>
        <v>8.912328767123288</v>
      </c>
      <c r="AD263" s="75"/>
      <c r="AF263" s="214"/>
      <c r="AG263" s="215"/>
    </row>
    <row r="264" spans="1:33" s="74" customFormat="1" ht="25.5">
      <c r="A264" s="281"/>
      <c r="B264" s="73"/>
      <c r="C264" s="73"/>
      <c r="D264" s="73"/>
      <c r="E264" s="277">
        <f>E263</f>
        <v>177</v>
      </c>
      <c r="F264" s="55" t="s">
        <v>202</v>
      </c>
      <c r="G264" s="109" t="s">
        <v>201</v>
      </c>
      <c r="H264" s="399" t="s">
        <v>787</v>
      </c>
      <c r="I264" s="399" t="s">
        <v>1077</v>
      </c>
      <c r="J264" s="319">
        <f t="shared" si="70"/>
        <v>8.8958904109589039</v>
      </c>
      <c r="K264" s="46" t="s">
        <v>465</v>
      </c>
      <c r="L264" s="341">
        <v>2700000</v>
      </c>
      <c r="M264" s="46" t="s">
        <v>466</v>
      </c>
      <c r="N264" s="114">
        <v>92.972999999999999</v>
      </c>
      <c r="O264" s="91">
        <v>6.7946400000000002</v>
      </c>
      <c r="P264" s="227" t="s">
        <v>230</v>
      </c>
      <c r="Q264" s="48" t="s">
        <v>209</v>
      </c>
      <c r="R264" s="75" t="s">
        <v>231</v>
      </c>
      <c r="S264" s="633">
        <v>41444</v>
      </c>
      <c r="T264" s="633">
        <v>41450</v>
      </c>
      <c r="U264" s="229" t="s">
        <v>715</v>
      </c>
      <c r="W264" s="117">
        <v>2527031.25</v>
      </c>
      <c r="X264" s="143">
        <v>7.8</v>
      </c>
      <c r="Y264" s="117">
        <f t="shared" si="71"/>
        <v>19710843.75</v>
      </c>
      <c r="Z264" s="117"/>
      <c r="AA264" s="86">
        <v>5.73</v>
      </c>
      <c r="AB264" s="681">
        <v>44697</v>
      </c>
      <c r="AC264" s="104">
        <f t="shared" si="72"/>
        <v>8.912328767123288</v>
      </c>
      <c r="AD264" s="75"/>
      <c r="AF264" s="214"/>
      <c r="AG264" s="215"/>
    </row>
    <row r="265" spans="1:33" s="74" customFormat="1" ht="25.5">
      <c r="A265" s="268" t="s">
        <v>903</v>
      </c>
      <c r="B265" s="73"/>
      <c r="C265" s="73"/>
      <c r="D265" s="73"/>
      <c r="E265" s="91">
        <v>178</v>
      </c>
      <c r="F265" s="55" t="s">
        <v>202</v>
      </c>
      <c r="G265" s="109" t="s">
        <v>201</v>
      </c>
      <c r="H265" s="399" t="s">
        <v>787</v>
      </c>
      <c r="I265" s="399" t="s">
        <v>1077</v>
      </c>
      <c r="J265" s="319">
        <f t="shared" si="70"/>
        <v>8.8958904109589039</v>
      </c>
      <c r="K265" s="46" t="s">
        <v>465</v>
      </c>
      <c r="L265" s="341">
        <v>18000000</v>
      </c>
      <c r="M265" s="46" t="s">
        <v>466</v>
      </c>
      <c r="N265" s="114">
        <v>92.248999999999995</v>
      </c>
      <c r="O265" s="91">
        <v>6.9100299999999999</v>
      </c>
      <c r="P265" s="227" t="s">
        <v>230</v>
      </c>
      <c r="Q265" s="48" t="s">
        <v>209</v>
      </c>
      <c r="R265" s="75" t="s">
        <v>231</v>
      </c>
      <c r="S265" s="633">
        <v>41445</v>
      </c>
      <c r="T265" s="633">
        <v>41450</v>
      </c>
      <c r="U265" s="229" t="s">
        <v>715</v>
      </c>
      <c r="W265" s="143">
        <v>16716555</v>
      </c>
      <c r="X265" s="143">
        <v>7.8</v>
      </c>
      <c r="Y265" s="117">
        <f t="shared" si="71"/>
        <v>130389129</v>
      </c>
      <c r="Z265" s="117"/>
      <c r="AA265" s="86">
        <v>5.73</v>
      </c>
      <c r="AB265" s="681">
        <v>44697</v>
      </c>
      <c r="AC265" s="104">
        <f t="shared" si="72"/>
        <v>8.9095890410958898</v>
      </c>
      <c r="AD265" s="104"/>
      <c r="AF265" s="214"/>
      <c r="AG265" s="215"/>
    </row>
    <row r="266" spans="1:33" s="74" customFormat="1" ht="25.5">
      <c r="A266" s="73"/>
      <c r="B266" s="73"/>
      <c r="C266" s="73"/>
      <c r="D266" s="73"/>
      <c r="E266" s="277">
        <v>178</v>
      </c>
      <c r="F266" s="55" t="s">
        <v>202</v>
      </c>
      <c r="G266" s="109" t="s">
        <v>201</v>
      </c>
      <c r="H266" s="399" t="s">
        <v>787</v>
      </c>
      <c r="I266" s="399" t="s">
        <v>1077</v>
      </c>
      <c r="J266" s="319">
        <f t="shared" si="70"/>
        <v>8.8958904109589039</v>
      </c>
      <c r="K266" s="46" t="s">
        <v>465</v>
      </c>
      <c r="L266" s="341">
        <v>2000000</v>
      </c>
      <c r="M266" s="46" t="s">
        <v>466</v>
      </c>
      <c r="N266" s="114">
        <v>92.248999999999995</v>
      </c>
      <c r="O266" s="91">
        <v>6.9100299999999999</v>
      </c>
      <c r="P266" s="227" t="s">
        <v>230</v>
      </c>
      <c r="Q266" s="48" t="s">
        <v>209</v>
      </c>
      <c r="R266" s="75" t="s">
        <v>231</v>
      </c>
      <c r="S266" s="633">
        <v>41445</v>
      </c>
      <c r="T266" s="633">
        <v>41450</v>
      </c>
      <c r="U266" s="229" t="s">
        <v>715</v>
      </c>
      <c r="W266" s="143">
        <v>1857395</v>
      </c>
      <c r="X266" s="143">
        <v>7.8</v>
      </c>
      <c r="Y266" s="117">
        <f t="shared" si="71"/>
        <v>14487681</v>
      </c>
      <c r="Z266" s="342"/>
      <c r="AA266" s="73">
        <v>5.73</v>
      </c>
      <c r="AB266" s="681">
        <v>44697</v>
      </c>
      <c r="AC266" s="104">
        <f t="shared" si="72"/>
        <v>8.9095890410958898</v>
      </c>
    </row>
    <row r="267" spans="1:33" s="417" customFormat="1" ht="25.5">
      <c r="A267" s="268" t="s">
        <v>903</v>
      </c>
      <c r="B267" s="303"/>
      <c r="C267" s="303"/>
      <c r="D267" s="303"/>
      <c r="E267" s="303">
        <v>179</v>
      </c>
      <c r="F267" s="302" t="s">
        <v>202</v>
      </c>
      <c r="G267" s="1474" t="s">
        <v>201</v>
      </c>
      <c r="H267" s="1475" t="s">
        <v>366</v>
      </c>
      <c r="I267" s="1475" t="s">
        <v>368</v>
      </c>
      <c r="J267" s="1476">
        <f t="shared" ref="J267:J282" si="73">(AB267-T267)/365</f>
        <v>8.8931506849315074</v>
      </c>
      <c r="K267" s="1477" t="s">
        <v>465</v>
      </c>
      <c r="L267" s="1478">
        <v>2700000</v>
      </c>
      <c r="M267" s="1477" t="s">
        <v>466</v>
      </c>
      <c r="N267" s="1479">
        <v>92.941999999999993</v>
      </c>
      <c r="O267" s="303">
        <v>6.7997899999999998</v>
      </c>
      <c r="P267" s="1480" t="s">
        <v>230</v>
      </c>
      <c r="Q267" s="1481" t="s">
        <v>369</v>
      </c>
      <c r="R267" s="1474" t="s">
        <v>853</v>
      </c>
      <c r="S267" s="1482">
        <v>41446</v>
      </c>
      <c r="T267" s="1482">
        <v>41451</v>
      </c>
      <c r="U267" s="1483" t="s">
        <v>884</v>
      </c>
      <c r="V267" s="302"/>
      <c r="W267" s="1484">
        <v>2526624</v>
      </c>
      <c r="X267" s="1484">
        <v>7.8</v>
      </c>
      <c r="Y267" s="1484">
        <f t="shared" ref="Y267:Y282" si="74">X267*W267</f>
        <v>19707667.199999999</v>
      </c>
      <c r="Z267" s="1484"/>
      <c r="AA267" s="303">
        <v>5.73</v>
      </c>
      <c r="AB267" s="1485">
        <v>44697</v>
      </c>
      <c r="AC267" s="302">
        <f t="shared" ref="AC267:AC282" si="75">(AB267-S267)/365</f>
        <v>8.9068493150684933</v>
      </c>
      <c r="AD267" s="302"/>
      <c r="AE267" s="302"/>
      <c r="AF267" s="1486"/>
      <c r="AG267" s="415"/>
    </row>
    <row r="268" spans="1:33" s="74" customFormat="1" ht="25.5">
      <c r="A268" s="73"/>
      <c r="B268" s="73"/>
      <c r="C268" s="73"/>
      <c r="D268" s="73"/>
      <c r="E268" s="277">
        <v>179</v>
      </c>
      <c r="F268" s="55" t="s">
        <v>202</v>
      </c>
      <c r="G268" s="109" t="s">
        <v>201</v>
      </c>
      <c r="H268" s="399" t="s">
        <v>787</v>
      </c>
      <c r="I268" s="399" t="s">
        <v>1077</v>
      </c>
      <c r="J268" s="319">
        <f t="shared" si="73"/>
        <v>8.8931506849315074</v>
      </c>
      <c r="K268" s="46" t="s">
        <v>465</v>
      </c>
      <c r="L268" s="341">
        <v>300000</v>
      </c>
      <c r="M268" s="46" t="s">
        <v>466</v>
      </c>
      <c r="N268" s="114">
        <v>92.941999999999993</v>
      </c>
      <c r="O268" s="91">
        <v>6.7997899999999998</v>
      </c>
      <c r="P268" s="227" t="s">
        <v>230</v>
      </c>
      <c r="Q268" s="48" t="s">
        <v>209</v>
      </c>
      <c r="R268" s="75" t="s">
        <v>231</v>
      </c>
      <c r="S268" s="633">
        <v>41446</v>
      </c>
      <c r="T268" s="633">
        <v>41451</v>
      </c>
      <c r="U268" s="229" t="s">
        <v>715</v>
      </c>
      <c r="W268" s="143">
        <v>280736</v>
      </c>
      <c r="X268" s="143">
        <v>7.8</v>
      </c>
      <c r="Y268" s="117">
        <f t="shared" si="74"/>
        <v>2189740.7999999998</v>
      </c>
      <c r="Z268" s="342"/>
      <c r="AA268" s="73">
        <v>5.73</v>
      </c>
      <c r="AB268" s="681">
        <v>44697</v>
      </c>
      <c r="AC268" s="104">
        <f t="shared" si="75"/>
        <v>8.9068493150684933</v>
      </c>
    </row>
    <row r="269" spans="1:33" s="74" customFormat="1" ht="18.75" customHeight="1">
      <c r="A269" s="268" t="s">
        <v>903</v>
      </c>
      <c r="B269" s="73"/>
      <c r="C269" s="73"/>
      <c r="D269" s="73"/>
      <c r="E269" s="91">
        <v>180</v>
      </c>
      <c r="F269" s="64" t="s">
        <v>971</v>
      </c>
      <c r="G269" s="109" t="s">
        <v>711</v>
      </c>
      <c r="H269" s="399" t="s">
        <v>591</v>
      </c>
      <c r="I269" s="399" t="s">
        <v>592</v>
      </c>
      <c r="J269" s="319">
        <f t="shared" si="73"/>
        <v>7.8054794520547945</v>
      </c>
      <c r="K269" s="167" t="s">
        <v>465</v>
      </c>
      <c r="L269" s="341">
        <v>9000000</v>
      </c>
      <c r="M269" s="46" t="s">
        <v>466</v>
      </c>
      <c r="N269" s="46">
        <v>98.25</v>
      </c>
      <c r="O269" s="114">
        <v>7.0430700000000002</v>
      </c>
      <c r="P269" s="91" t="s">
        <v>775</v>
      </c>
      <c r="Q269" s="400" t="s">
        <v>597</v>
      </c>
      <c r="R269" s="168" t="s">
        <v>598</v>
      </c>
      <c r="S269" s="633">
        <v>41449</v>
      </c>
      <c r="T269" s="633">
        <v>41452</v>
      </c>
      <c r="U269" s="229" t="s">
        <v>599</v>
      </c>
      <c r="V269" s="229"/>
      <c r="W269" s="117">
        <v>8964000</v>
      </c>
      <c r="X269" s="117">
        <v>7.8</v>
      </c>
      <c r="Y269" s="117">
        <f t="shared" si="74"/>
        <v>69919200</v>
      </c>
      <c r="Z269" s="117"/>
      <c r="AA269" s="423">
        <v>6.75</v>
      </c>
      <c r="AB269" s="680">
        <v>44301</v>
      </c>
      <c r="AC269" s="104">
        <f t="shared" si="75"/>
        <v>7.8136986301369866</v>
      </c>
      <c r="AD269" s="104"/>
      <c r="AF269" s="214"/>
      <c r="AG269" s="215"/>
    </row>
    <row r="270" spans="1:33" s="74" customFormat="1" ht="17.25" customHeight="1">
      <c r="A270" s="73"/>
      <c r="B270" s="73"/>
      <c r="C270" s="73"/>
      <c r="D270" s="73"/>
      <c r="E270" s="277">
        <v>180</v>
      </c>
      <c r="F270" s="64" t="s">
        <v>971</v>
      </c>
      <c r="G270" s="109" t="s">
        <v>711</v>
      </c>
      <c r="H270" s="399" t="s">
        <v>591</v>
      </c>
      <c r="I270" s="399" t="s">
        <v>592</v>
      </c>
      <c r="J270" s="319">
        <f t="shared" si="73"/>
        <v>7.8054794520547945</v>
      </c>
      <c r="K270" s="167" t="s">
        <v>465</v>
      </c>
      <c r="L270" s="341">
        <v>1000000</v>
      </c>
      <c r="M270" s="46" t="s">
        <v>466</v>
      </c>
      <c r="N270" s="46">
        <v>98.25</v>
      </c>
      <c r="O270" s="114">
        <v>7.0430700000000002</v>
      </c>
      <c r="P270" s="91" t="s">
        <v>775</v>
      </c>
      <c r="Q270" s="400" t="s">
        <v>597</v>
      </c>
      <c r="R270" s="168" t="s">
        <v>598</v>
      </c>
      <c r="S270" s="633">
        <v>41449</v>
      </c>
      <c r="T270" s="633">
        <v>41452</v>
      </c>
      <c r="U270" s="229" t="s">
        <v>599</v>
      </c>
      <c r="V270" s="229"/>
      <c r="W270" s="117">
        <v>996000</v>
      </c>
      <c r="X270" s="117">
        <v>7.8</v>
      </c>
      <c r="Y270" s="117">
        <f t="shared" si="74"/>
        <v>7768800</v>
      </c>
      <c r="Z270" s="117"/>
      <c r="AA270" s="423">
        <v>6.75</v>
      </c>
      <c r="AB270" s="680">
        <v>44301</v>
      </c>
      <c r="AC270" s="104">
        <f t="shared" si="75"/>
        <v>7.8136986301369866</v>
      </c>
    </row>
    <row r="271" spans="1:33" s="74" customFormat="1" ht="24" customHeight="1">
      <c r="A271" s="268" t="s">
        <v>903</v>
      </c>
      <c r="B271" s="73"/>
      <c r="C271" s="73"/>
      <c r="D271" s="73"/>
      <c r="E271" s="91">
        <v>181</v>
      </c>
      <c r="F271" s="64" t="s">
        <v>971</v>
      </c>
      <c r="G271" s="109" t="s">
        <v>711</v>
      </c>
      <c r="H271" s="399" t="s">
        <v>591</v>
      </c>
      <c r="I271" s="399" t="s">
        <v>592</v>
      </c>
      <c r="J271" s="319">
        <f t="shared" si="73"/>
        <v>7.8054794520547945</v>
      </c>
      <c r="K271" s="167" t="s">
        <v>465</v>
      </c>
      <c r="L271" s="341">
        <v>1800000</v>
      </c>
      <c r="M271" s="46" t="s">
        <v>466</v>
      </c>
      <c r="N271" s="46">
        <v>98</v>
      </c>
      <c r="O271" s="114">
        <v>7.0857900000000003</v>
      </c>
      <c r="P271" s="91" t="s">
        <v>331</v>
      </c>
      <c r="Q271" s="400" t="s">
        <v>595</v>
      </c>
      <c r="R271" s="168" t="s">
        <v>596</v>
      </c>
      <c r="S271" s="633">
        <v>41449</v>
      </c>
      <c r="T271" s="633">
        <v>41452</v>
      </c>
      <c r="U271" s="229" t="s">
        <v>599</v>
      </c>
      <c r="V271" s="229"/>
      <c r="W271" s="117">
        <v>1788300</v>
      </c>
      <c r="X271" s="117">
        <v>7.8</v>
      </c>
      <c r="Y271" s="117">
        <f t="shared" si="74"/>
        <v>13948740</v>
      </c>
      <c r="Z271" s="117"/>
      <c r="AA271" s="423">
        <v>6.75</v>
      </c>
      <c r="AB271" s="680">
        <v>44301</v>
      </c>
      <c r="AC271" s="104">
        <f t="shared" si="75"/>
        <v>7.8136986301369866</v>
      </c>
      <c r="AD271" s="104"/>
      <c r="AF271" s="214"/>
      <c r="AG271" s="215"/>
    </row>
    <row r="272" spans="1:33" s="74" customFormat="1" ht="23.25" customHeight="1">
      <c r="A272" s="73"/>
      <c r="B272" s="73"/>
      <c r="C272" s="73"/>
      <c r="D272" s="73"/>
      <c r="E272" s="277">
        <v>181</v>
      </c>
      <c r="F272" s="64" t="s">
        <v>971</v>
      </c>
      <c r="G272" s="109" t="s">
        <v>711</v>
      </c>
      <c r="H272" s="399" t="s">
        <v>591</v>
      </c>
      <c r="I272" s="399" t="s">
        <v>592</v>
      </c>
      <c r="J272" s="319">
        <f t="shared" si="73"/>
        <v>7.8054794520547945</v>
      </c>
      <c r="K272" s="167" t="s">
        <v>465</v>
      </c>
      <c r="L272" s="341">
        <v>200000</v>
      </c>
      <c r="M272" s="46" t="s">
        <v>466</v>
      </c>
      <c r="N272" s="46">
        <v>98</v>
      </c>
      <c r="O272" s="114">
        <v>7.0857900000000003</v>
      </c>
      <c r="P272" s="91" t="s">
        <v>331</v>
      </c>
      <c r="Q272" s="400" t="s">
        <v>595</v>
      </c>
      <c r="R272" s="168" t="s">
        <v>596</v>
      </c>
      <c r="S272" s="633">
        <v>41449</v>
      </c>
      <c r="T272" s="633">
        <v>41452</v>
      </c>
      <c r="U272" s="229" t="s">
        <v>599</v>
      </c>
      <c r="V272" s="229"/>
      <c r="W272" s="117">
        <v>198700</v>
      </c>
      <c r="X272" s="117">
        <v>7.8</v>
      </c>
      <c r="Y272" s="117">
        <f t="shared" si="74"/>
        <v>1549860</v>
      </c>
      <c r="Z272" s="117"/>
      <c r="AA272" s="423">
        <v>6.75</v>
      </c>
      <c r="AB272" s="680">
        <v>44301</v>
      </c>
      <c r="AC272" s="104">
        <f t="shared" si="75"/>
        <v>7.8136986301369866</v>
      </c>
    </row>
    <row r="273" spans="1:33" s="74" customFormat="1" ht="25.5">
      <c r="A273" s="268" t="s">
        <v>903</v>
      </c>
      <c r="B273" s="73"/>
      <c r="C273" s="73"/>
      <c r="D273" s="73"/>
      <c r="E273" s="91">
        <v>182</v>
      </c>
      <c r="F273" s="64" t="s">
        <v>971</v>
      </c>
      <c r="G273" s="109" t="s">
        <v>711</v>
      </c>
      <c r="H273" s="399" t="s">
        <v>591</v>
      </c>
      <c r="I273" s="399" t="s">
        <v>592</v>
      </c>
      <c r="J273" s="319">
        <f t="shared" si="73"/>
        <v>7.8054794520547945</v>
      </c>
      <c r="K273" s="167" t="s">
        <v>465</v>
      </c>
      <c r="L273" s="341">
        <v>900000</v>
      </c>
      <c r="M273" s="46" t="s">
        <v>466</v>
      </c>
      <c r="N273" s="46">
        <v>97.5</v>
      </c>
      <c r="O273" s="114">
        <v>7.1716199999999999</v>
      </c>
      <c r="P273" s="91" t="s">
        <v>331</v>
      </c>
      <c r="Q273" s="400" t="s">
        <v>595</v>
      </c>
      <c r="R273" s="168" t="s">
        <v>596</v>
      </c>
      <c r="S273" s="633">
        <v>41449</v>
      </c>
      <c r="T273" s="633">
        <v>41452</v>
      </c>
      <c r="U273" s="229" t="s">
        <v>599</v>
      </c>
      <c r="V273" s="229"/>
      <c r="W273" s="117">
        <v>889650</v>
      </c>
      <c r="X273" s="117">
        <v>7.8</v>
      </c>
      <c r="Y273" s="117">
        <f t="shared" si="74"/>
        <v>6939270</v>
      </c>
      <c r="Z273" s="117"/>
      <c r="AA273" s="423">
        <v>6.75</v>
      </c>
      <c r="AB273" s="680">
        <v>44301</v>
      </c>
      <c r="AC273" s="104">
        <f t="shared" si="75"/>
        <v>7.8136986301369866</v>
      </c>
      <c r="AD273" s="104"/>
      <c r="AF273" s="214"/>
      <c r="AG273" s="215"/>
    </row>
    <row r="274" spans="1:33" s="74" customFormat="1" ht="25.5">
      <c r="A274" s="73"/>
      <c r="B274" s="73"/>
      <c r="C274" s="73"/>
      <c r="D274" s="73"/>
      <c r="E274" s="277">
        <f>E273</f>
        <v>182</v>
      </c>
      <c r="F274" s="64" t="s">
        <v>971</v>
      </c>
      <c r="G274" s="109" t="s">
        <v>711</v>
      </c>
      <c r="H274" s="399" t="s">
        <v>591</v>
      </c>
      <c r="I274" s="399" t="s">
        <v>592</v>
      </c>
      <c r="J274" s="319">
        <f t="shared" si="73"/>
        <v>7.8054794520547945</v>
      </c>
      <c r="K274" s="167" t="s">
        <v>465</v>
      </c>
      <c r="L274" s="341">
        <v>100000</v>
      </c>
      <c r="M274" s="46" t="s">
        <v>466</v>
      </c>
      <c r="N274" s="46">
        <v>97.5</v>
      </c>
      <c r="O274" s="114">
        <v>7.1716199999999999</v>
      </c>
      <c r="P274" s="91" t="s">
        <v>331</v>
      </c>
      <c r="Q274" s="400" t="s">
        <v>595</v>
      </c>
      <c r="R274" s="168" t="s">
        <v>596</v>
      </c>
      <c r="S274" s="633">
        <v>41449</v>
      </c>
      <c r="T274" s="633">
        <v>41452</v>
      </c>
      <c r="U274" s="229" t="s">
        <v>599</v>
      </c>
      <c r="V274" s="229"/>
      <c r="W274" s="117">
        <v>98850</v>
      </c>
      <c r="X274" s="117">
        <v>7.8</v>
      </c>
      <c r="Y274" s="117">
        <f t="shared" si="74"/>
        <v>771030</v>
      </c>
      <c r="Z274" s="117"/>
      <c r="AA274" s="423">
        <v>6.75</v>
      </c>
      <c r="AB274" s="680">
        <v>44301</v>
      </c>
      <c r="AC274" s="104">
        <f t="shared" si="75"/>
        <v>7.8136986301369866</v>
      </c>
    </row>
    <row r="275" spans="1:33" s="74" customFormat="1" ht="25.5">
      <c r="A275" s="268" t="s">
        <v>903</v>
      </c>
      <c r="B275" s="73"/>
      <c r="C275" s="73"/>
      <c r="D275" s="73"/>
      <c r="E275" s="91">
        <v>183</v>
      </c>
      <c r="F275" s="64" t="s">
        <v>971</v>
      </c>
      <c r="G275" s="109" t="s">
        <v>711</v>
      </c>
      <c r="H275" s="399" t="s">
        <v>591</v>
      </c>
      <c r="I275" s="399" t="s">
        <v>592</v>
      </c>
      <c r="J275" s="319">
        <f t="shared" si="73"/>
        <v>7.8054794520547945</v>
      </c>
      <c r="K275" s="167" t="s">
        <v>465</v>
      </c>
      <c r="L275" s="341">
        <v>2700000</v>
      </c>
      <c r="M275" s="46" t="s">
        <v>466</v>
      </c>
      <c r="N275" s="46">
        <v>97.33</v>
      </c>
      <c r="O275" s="114">
        <v>7.2009299999999996</v>
      </c>
      <c r="P275" s="91" t="s">
        <v>601</v>
      </c>
      <c r="Q275" s="400" t="s">
        <v>600</v>
      </c>
      <c r="R275" s="168" t="s">
        <v>602</v>
      </c>
      <c r="S275" s="633">
        <v>41449</v>
      </c>
      <c r="T275" s="633">
        <v>41452</v>
      </c>
      <c r="U275" s="229" t="s">
        <v>599</v>
      </c>
      <c r="V275" s="229"/>
      <c r="W275" s="117">
        <v>2664360</v>
      </c>
      <c r="X275" s="117">
        <v>7.8</v>
      </c>
      <c r="Y275" s="117">
        <f t="shared" si="74"/>
        <v>20782008</v>
      </c>
      <c r="Z275" s="117"/>
      <c r="AA275" s="423">
        <v>6.75</v>
      </c>
      <c r="AB275" s="680">
        <v>44301</v>
      </c>
      <c r="AC275" s="104">
        <f t="shared" si="75"/>
        <v>7.8136986301369866</v>
      </c>
      <c r="AD275" s="104"/>
      <c r="AF275" s="214"/>
      <c r="AG275" s="215"/>
    </row>
    <row r="276" spans="1:33" s="74" customFormat="1" ht="25.5">
      <c r="A276" s="73"/>
      <c r="B276" s="73"/>
      <c r="C276" s="73"/>
      <c r="D276" s="73"/>
      <c r="E276" s="277">
        <f>E275</f>
        <v>183</v>
      </c>
      <c r="F276" s="64" t="s">
        <v>971</v>
      </c>
      <c r="G276" s="109" t="s">
        <v>711</v>
      </c>
      <c r="H276" s="399" t="s">
        <v>591</v>
      </c>
      <c r="I276" s="399" t="s">
        <v>592</v>
      </c>
      <c r="J276" s="319">
        <f t="shared" si="73"/>
        <v>7.8054794520547945</v>
      </c>
      <c r="K276" s="167" t="s">
        <v>465</v>
      </c>
      <c r="L276" s="341">
        <v>300000</v>
      </c>
      <c r="M276" s="46" t="s">
        <v>466</v>
      </c>
      <c r="N276" s="46">
        <v>97.33</v>
      </c>
      <c r="O276" s="114">
        <v>7.2009299999999996</v>
      </c>
      <c r="P276" s="91" t="s">
        <v>601</v>
      </c>
      <c r="Q276" s="400" t="s">
        <v>600</v>
      </c>
      <c r="R276" s="168" t="s">
        <v>602</v>
      </c>
      <c r="S276" s="633">
        <v>41449</v>
      </c>
      <c r="T276" s="633">
        <v>41452</v>
      </c>
      <c r="U276" s="229" t="s">
        <v>599</v>
      </c>
      <c r="V276" s="229"/>
      <c r="W276" s="117">
        <v>296040</v>
      </c>
      <c r="X276" s="117">
        <v>7.8</v>
      </c>
      <c r="Y276" s="117">
        <f t="shared" si="74"/>
        <v>2309112</v>
      </c>
      <c r="Z276" s="117"/>
      <c r="AA276" s="423">
        <v>6.75</v>
      </c>
      <c r="AB276" s="680">
        <v>44301</v>
      </c>
      <c r="AC276" s="104">
        <f t="shared" si="75"/>
        <v>7.8136986301369866</v>
      </c>
    </row>
    <row r="277" spans="1:33" s="74" customFormat="1" ht="19.5" customHeight="1">
      <c r="A277" s="268" t="s">
        <v>903</v>
      </c>
      <c r="B277" s="73"/>
      <c r="C277" s="73"/>
      <c r="D277" s="73"/>
      <c r="E277" s="91">
        <v>184</v>
      </c>
      <c r="F277" s="64" t="s">
        <v>971</v>
      </c>
      <c r="G277" s="109" t="s">
        <v>711</v>
      </c>
      <c r="H277" s="399" t="s">
        <v>591</v>
      </c>
      <c r="I277" s="399" t="s">
        <v>592</v>
      </c>
      <c r="J277" s="319">
        <f t="shared" si="73"/>
        <v>7.8054794520547945</v>
      </c>
      <c r="K277" s="167" t="s">
        <v>465</v>
      </c>
      <c r="L277" s="341">
        <v>7200000</v>
      </c>
      <c r="M277" s="46" t="s">
        <v>466</v>
      </c>
      <c r="N277" s="46">
        <v>96.9</v>
      </c>
      <c r="O277" s="114">
        <v>7.2753500000000004</v>
      </c>
      <c r="P277" s="91" t="s">
        <v>712</v>
      </c>
      <c r="Q277" s="400" t="s">
        <v>713</v>
      </c>
      <c r="R277" s="168" t="s">
        <v>714</v>
      </c>
      <c r="S277" s="633">
        <v>41449</v>
      </c>
      <c r="T277" s="633">
        <v>41452</v>
      </c>
      <c r="U277" s="229" t="s">
        <v>599</v>
      </c>
      <c r="V277" s="229"/>
      <c r="W277" s="117">
        <v>7074000</v>
      </c>
      <c r="X277" s="117">
        <v>7.8</v>
      </c>
      <c r="Y277" s="117">
        <f t="shared" si="74"/>
        <v>55177200</v>
      </c>
      <c r="Z277" s="117"/>
      <c r="AA277" s="423">
        <v>6.75</v>
      </c>
      <c r="AB277" s="680">
        <v>44301</v>
      </c>
      <c r="AC277" s="104">
        <f t="shared" si="75"/>
        <v>7.8136986301369866</v>
      </c>
      <c r="AD277" s="104"/>
      <c r="AF277" s="214"/>
      <c r="AG277" s="215"/>
    </row>
    <row r="278" spans="1:33" s="74" customFormat="1" ht="19.5" customHeight="1">
      <c r="A278" s="73"/>
      <c r="B278" s="73"/>
      <c r="C278" s="73"/>
      <c r="D278" s="73"/>
      <c r="E278" s="277">
        <f>E277</f>
        <v>184</v>
      </c>
      <c r="F278" s="64" t="s">
        <v>971</v>
      </c>
      <c r="G278" s="109" t="s">
        <v>711</v>
      </c>
      <c r="H278" s="399" t="s">
        <v>591</v>
      </c>
      <c r="I278" s="399" t="s">
        <v>592</v>
      </c>
      <c r="J278" s="319">
        <f t="shared" si="73"/>
        <v>7.8054794520547945</v>
      </c>
      <c r="K278" s="167" t="s">
        <v>465</v>
      </c>
      <c r="L278" s="341">
        <v>800000</v>
      </c>
      <c r="M278" s="46" t="s">
        <v>466</v>
      </c>
      <c r="N278" s="46">
        <v>96.9</v>
      </c>
      <c r="O278" s="114">
        <v>7.2753500000000004</v>
      </c>
      <c r="P278" s="91" t="s">
        <v>712</v>
      </c>
      <c r="Q278" s="400" t="s">
        <v>713</v>
      </c>
      <c r="R278" s="168" t="s">
        <v>714</v>
      </c>
      <c r="S278" s="633">
        <v>41449</v>
      </c>
      <c r="T278" s="633">
        <v>41452</v>
      </c>
      <c r="U278" s="229" t="s">
        <v>599</v>
      </c>
      <c r="V278" s="229"/>
      <c r="W278" s="117">
        <v>786000</v>
      </c>
      <c r="X278" s="117">
        <v>7.8</v>
      </c>
      <c r="Y278" s="117">
        <f t="shared" si="74"/>
        <v>6130800</v>
      </c>
      <c r="Z278" s="117"/>
      <c r="AA278" s="423">
        <v>6.75</v>
      </c>
      <c r="AB278" s="680">
        <v>44301</v>
      </c>
      <c r="AC278" s="104">
        <f t="shared" si="75"/>
        <v>7.8136986301369866</v>
      </c>
    </row>
    <row r="279" spans="1:33" s="74" customFormat="1" ht="19.5" customHeight="1">
      <c r="A279" s="268" t="s">
        <v>903</v>
      </c>
      <c r="B279" s="73"/>
      <c r="C279" s="73"/>
      <c r="D279" s="73"/>
      <c r="E279" s="91">
        <v>185</v>
      </c>
      <c r="F279" s="64" t="s">
        <v>971</v>
      </c>
      <c r="G279" s="109" t="s">
        <v>711</v>
      </c>
      <c r="H279" s="399" t="s">
        <v>591</v>
      </c>
      <c r="I279" s="399" t="s">
        <v>592</v>
      </c>
      <c r="J279" s="319">
        <f t="shared" si="73"/>
        <v>7.8054794520547945</v>
      </c>
      <c r="K279" s="167" t="s">
        <v>465</v>
      </c>
      <c r="L279" s="341">
        <v>1800000</v>
      </c>
      <c r="M279" s="46" t="s">
        <v>466</v>
      </c>
      <c r="N279" s="46">
        <v>96.9</v>
      </c>
      <c r="O279" s="114">
        <v>7.2753500000000004</v>
      </c>
      <c r="P279" s="91" t="s">
        <v>712</v>
      </c>
      <c r="Q279" s="400" t="s">
        <v>713</v>
      </c>
      <c r="R279" s="168" t="s">
        <v>714</v>
      </c>
      <c r="S279" s="633">
        <v>41449</v>
      </c>
      <c r="T279" s="633">
        <v>41452</v>
      </c>
      <c r="U279" s="229" t="s">
        <v>599</v>
      </c>
      <c r="V279" s="229"/>
      <c r="W279" s="117">
        <v>1768500</v>
      </c>
      <c r="X279" s="117">
        <v>7.8</v>
      </c>
      <c r="Y279" s="117">
        <f t="shared" si="74"/>
        <v>13794300</v>
      </c>
      <c r="Z279" s="117"/>
      <c r="AA279" s="423">
        <v>6.75</v>
      </c>
      <c r="AB279" s="680">
        <v>44301</v>
      </c>
      <c r="AC279" s="104">
        <f t="shared" si="75"/>
        <v>7.8136986301369866</v>
      </c>
      <c r="AD279" s="104"/>
      <c r="AF279" s="214"/>
      <c r="AG279" s="215"/>
    </row>
    <row r="280" spans="1:33" s="74" customFormat="1" ht="19.5" customHeight="1">
      <c r="A280" s="73"/>
      <c r="B280" s="73"/>
      <c r="C280" s="73"/>
      <c r="D280" s="73"/>
      <c r="E280" s="277">
        <f>E279</f>
        <v>185</v>
      </c>
      <c r="F280" s="64" t="s">
        <v>971</v>
      </c>
      <c r="G280" s="109" t="s">
        <v>711</v>
      </c>
      <c r="H280" s="399" t="s">
        <v>591</v>
      </c>
      <c r="I280" s="399" t="s">
        <v>592</v>
      </c>
      <c r="J280" s="319">
        <f t="shared" si="73"/>
        <v>7.8054794520547945</v>
      </c>
      <c r="K280" s="167" t="s">
        <v>465</v>
      </c>
      <c r="L280" s="341">
        <v>200000</v>
      </c>
      <c r="M280" s="46" t="s">
        <v>466</v>
      </c>
      <c r="N280" s="46">
        <v>96.9</v>
      </c>
      <c r="O280" s="114">
        <v>7.2753500000000004</v>
      </c>
      <c r="P280" s="91" t="s">
        <v>712</v>
      </c>
      <c r="Q280" s="400" t="s">
        <v>713</v>
      </c>
      <c r="R280" s="168" t="s">
        <v>714</v>
      </c>
      <c r="S280" s="633">
        <v>41449</v>
      </c>
      <c r="T280" s="633">
        <v>41452</v>
      </c>
      <c r="U280" s="229" t="s">
        <v>599</v>
      </c>
      <c r="V280" s="229"/>
      <c r="W280" s="117">
        <v>196500</v>
      </c>
      <c r="X280" s="117">
        <v>7.8</v>
      </c>
      <c r="Y280" s="117">
        <f t="shared" si="74"/>
        <v>1532700</v>
      </c>
      <c r="Z280" s="117"/>
      <c r="AA280" s="423">
        <v>6.75</v>
      </c>
      <c r="AB280" s="680">
        <v>44301</v>
      </c>
      <c r="AC280" s="104">
        <f t="shared" si="75"/>
        <v>7.8136986301369866</v>
      </c>
    </row>
    <row r="281" spans="1:33" s="74" customFormat="1" ht="19.5" customHeight="1">
      <c r="A281" s="268" t="s">
        <v>903</v>
      </c>
      <c r="B281" s="73"/>
      <c r="C281" s="73"/>
      <c r="D281" s="73"/>
      <c r="E281" s="91">
        <v>186</v>
      </c>
      <c r="F281" s="64" t="s">
        <v>971</v>
      </c>
      <c r="G281" s="109" t="s">
        <v>711</v>
      </c>
      <c r="H281" s="399" t="s">
        <v>591</v>
      </c>
      <c r="I281" s="399" t="s">
        <v>592</v>
      </c>
      <c r="J281" s="319">
        <f t="shared" si="73"/>
        <v>7.8054794520547945</v>
      </c>
      <c r="K281" s="167" t="s">
        <v>465</v>
      </c>
      <c r="L281" s="341">
        <v>5400000</v>
      </c>
      <c r="M281" s="46" t="s">
        <v>466</v>
      </c>
      <c r="N281" s="46">
        <v>97.6</v>
      </c>
      <c r="O281" s="114">
        <v>7.1544100000000004</v>
      </c>
      <c r="P281" s="91" t="s">
        <v>775</v>
      </c>
      <c r="Q281" s="400" t="s">
        <v>597</v>
      </c>
      <c r="R281" s="168" t="s">
        <v>598</v>
      </c>
      <c r="S281" s="633">
        <v>41449</v>
      </c>
      <c r="T281" s="633">
        <v>41452</v>
      </c>
      <c r="U281" s="229" t="s">
        <v>599</v>
      </c>
      <c r="V281" s="229"/>
      <c r="W281" s="117">
        <v>5343300</v>
      </c>
      <c r="X281" s="117">
        <v>7.8</v>
      </c>
      <c r="Y281" s="117">
        <f t="shared" si="74"/>
        <v>41677740</v>
      </c>
      <c r="Z281" s="117"/>
      <c r="AA281" s="423">
        <v>6.75</v>
      </c>
      <c r="AB281" s="680">
        <v>44301</v>
      </c>
      <c r="AC281" s="104">
        <f t="shared" si="75"/>
        <v>7.8136986301369866</v>
      </c>
      <c r="AD281" s="104"/>
      <c r="AF281" s="214"/>
      <c r="AG281" s="215"/>
    </row>
    <row r="282" spans="1:33" s="74" customFormat="1" ht="19.5" customHeight="1">
      <c r="A282" s="73"/>
      <c r="B282" s="73"/>
      <c r="C282" s="73"/>
      <c r="D282" s="73"/>
      <c r="E282" s="277">
        <f>E281</f>
        <v>186</v>
      </c>
      <c r="F282" s="64" t="s">
        <v>971</v>
      </c>
      <c r="G282" s="109" t="s">
        <v>711</v>
      </c>
      <c r="H282" s="399" t="s">
        <v>591</v>
      </c>
      <c r="I282" s="399" t="s">
        <v>592</v>
      </c>
      <c r="J282" s="319">
        <f t="shared" si="73"/>
        <v>7.8054794520547945</v>
      </c>
      <c r="K282" s="167" t="s">
        <v>465</v>
      </c>
      <c r="L282" s="341">
        <v>600000</v>
      </c>
      <c r="M282" s="46" t="s">
        <v>466</v>
      </c>
      <c r="N282" s="46">
        <v>97.6</v>
      </c>
      <c r="O282" s="114">
        <v>7.1544100000000004</v>
      </c>
      <c r="P282" s="91" t="s">
        <v>775</v>
      </c>
      <c r="Q282" s="400" t="s">
        <v>597</v>
      </c>
      <c r="R282" s="168" t="s">
        <v>598</v>
      </c>
      <c r="S282" s="633">
        <v>41449</v>
      </c>
      <c r="T282" s="633">
        <v>41452</v>
      </c>
      <c r="U282" s="229" t="s">
        <v>599</v>
      </c>
      <c r="V282" s="229"/>
      <c r="W282" s="117">
        <v>593700</v>
      </c>
      <c r="X282" s="117">
        <v>7.8</v>
      </c>
      <c r="Y282" s="117">
        <f t="shared" si="74"/>
        <v>4630860</v>
      </c>
      <c r="Z282" s="117"/>
      <c r="AA282" s="423">
        <v>6.75</v>
      </c>
      <c r="AB282" s="680">
        <v>44301</v>
      </c>
      <c r="AC282" s="104">
        <f t="shared" si="75"/>
        <v>7.8136986301369866</v>
      </c>
    </row>
    <row r="283" spans="1:33" s="74" customFormat="1" ht="19.5" customHeight="1">
      <c r="A283" s="268" t="s">
        <v>903</v>
      </c>
      <c r="B283" s="73"/>
      <c r="C283" s="73"/>
      <c r="D283" s="73"/>
      <c r="E283" s="91">
        <v>187</v>
      </c>
      <c r="F283" s="64" t="s">
        <v>971</v>
      </c>
      <c r="G283" s="109" t="s">
        <v>711</v>
      </c>
      <c r="H283" s="399" t="s">
        <v>591</v>
      </c>
      <c r="I283" s="399" t="s">
        <v>592</v>
      </c>
      <c r="J283" s="319">
        <f t="shared" ref="J283:J290" si="76">(AB283-T283)/365</f>
        <v>7.8054794520547945</v>
      </c>
      <c r="K283" s="167" t="s">
        <v>465</v>
      </c>
      <c r="L283" s="341">
        <v>4500000</v>
      </c>
      <c r="M283" s="46" t="s">
        <v>466</v>
      </c>
      <c r="N283" s="46">
        <v>97.4</v>
      </c>
      <c r="O283" s="114">
        <v>7.18886</v>
      </c>
      <c r="P283" s="91" t="s">
        <v>775</v>
      </c>
      <c r="Q283" s="400" t="s">
        <v>597</v>
      </c>
      <c r="R283" s="168" t="s">
        <v>598</v>
      </c>
      <c r="S283" s="633">
        <v>41449</v>
      </c>
      <c r="T283" s="633">
        <v>41452</v>
      </c>
      <c r="U283" s="229" t="s">
        <v>599</v>
      </c>
      <c r="V283" s="229"/>
      <c r="W283" s="117">
        <v>4443750</v>
      </c>
      <c r="X283" s="117">
        <v>7.8</v>
      </c>
      <c r="Y283" s="117">
        <f t="shared" ref="Y283:Y290" si="77">X283*W283</f>
        <v>34661250</v>
      </c>
      <c r="Z283" s="117"/>
      <c r="AA283" s="423">
        <v>6.75</v>
      </c>
      <c r="AB283" s="680">
        <v>44301</v>
      </c>
      <c r="AC283" s="104">
        <f t="shared" ref="AC283:AC290" si="78">(AB283-S283)/365</f>
        <v>7.8136986301369866</v>
      </c>
      <c r="AD283" s="104"/>
      <c r="AF283" s="214"/>
      <c r="AG283" s="215"/>
    </row>
    <row r="284" spans="1:33" s="74" customFormat="1" ht="19.5" customHeight="1">
      <c r="A284" s="73"/>
      <c r="B284" s="73"/>
      <c r="C284" s="73"/>
      <c r="D284" s="73"/>
      <c r="E284" s="277">
        <f>E283</f>
        <v>187</v>
      </c>
      <c r="F284" s="64" t="s">
        <v>971</v>
      </c>
      <c r="G284" s="109" t="s">
        <v>711</v>
      </c>
      <c r="H284" s="399" t="s">
        <v>591</v>
      </c>
      <c r="I284" s="399" t="s">
        <v>592</v>
      </c>
      <c r="J284" s="319">
        <f t="shared" si="76"/>
        <v>7.8054794520547945</v>
      </c>
      <c r="K284" s="167" t="s">
        <v>465</v>
      </c>
      <c r="L284" s="341">
        <v>500000</v>
      </c>
      <c r="M284" s="46" t="s">
        <v>466</v>
      </c>
      <c r="N284" s="46">
        <v>97.4</v>
      </c>
      <c r="O284" s="114">
        <v>7.18886</v>
      </c>
      <c r="P284" s="91" t="s">
        <v>775</v>
      </c>
      <c r="Q284" s="400" t="s">
        <v>597</v>
      </c>
      <c r="R284" s="168" t="s">
        <v>598</v>
      </c>
      <c r="S284" s="633">
        <v>41449</v>
      </c>
      <c r="T284" s="633">
        <v>41452</v>
      </c>
      <c r="U284" s="229" t="s">
        <v>599</v>
      </c>
      <c r="V284" s="229"/>
      <c r="W284" s="117">
        <v>493750</v>
      </c>
      <c r="X284" s="117">
        <v>7.8</v>
      </c>
      <c r="Y284" s="117">
        <f t="shared" si="77"/>
        <v>3851250</v>
      </c>
      <c r="Z284" s="117"/>
      <c r="AA284" s="423">
        <v>6.75</v>
      </c>
      <c r="AB284" s="680">
        <v>44301</v>
      </c>
      <c r="AC284" s="104">
        <f t="shared" si="78"/>
        <v>7.8136986301369866</v>
      </c>
    </row>
    <row r="285" spans="1:33" s="74" customFormat="1" ht="25.5">
      <c r="A285" s="268" t="s">
        <v>903</v>
      </c>
      <c r="B285" s="73"/>
      <c r="C285" s="73"/>
      <c r="D285" s="73"/>
      <c r="E285" s="91">
        <v>188</v>
      </c>
      <c r="F285" s="64" t="s">
        <v>971</v>
      </c>
      <c r="G285" s="109" t="s">
        <v>711</v>
      </c>
      <c r="H285" s="399" t="s">
        <v>591</v>
      </c>
      <c r="I285" s="399" t="s">
        <v>592</v>
      </c>
      <c r="J285" s="319">
        <f t="shared" si="76"/>
        <v>7.8027397260273972</v>
      </c>
      <c r="K285" s="167" t="s">
        <v>465</v>
      </c>
      <c r="L285" s="341">
        <v>1800000</v>
      </c>
      <c r="M285" s="46" t="s">
        <v>466</v>
      </c>
      <c r="N285" s="46">
        <v>96.894999999999996</v>
      </c>
      <c r="O285" s="114">
        <v>7.2763499999999999</v>
      </c>
      <c r="P285" s="91" t="s">
        <v>1063</v>
      </c>
      <c r="Q285" s="400" t="s">
        <v>600</v>
      </c>
      <c r="R285" s="168" t="s">
        <v>88</v>
      </c>
      <c r="S285" s="633">
        <v>41450</v>
      </c>
      <c r="T285" s="633">
        <v>41453</v>
      </c>
      <c r="U285" s="229" t="s">
        <v>599</v>
      </c>
      <c r="V285" s="229"/>
      <c r="W285" s="117">
        <v>1768747.5</v>
      </c>
      <c r="X285" s="117">
        <v>7.8</v>
      </c>
      <c r="Y285" s="117">
        <f t="shared" si="77"/>
        <v>13796230.5</v>
      </c>
      <c r="Z285" s="117"/>
      <c r="AA285" s="423">
        <v>6.75</v>
      </c>
      <c r="AB285" s="680">
        <v>44301</v>
      </c>
      <c r="AC285" s="104">
        <f t="shared" si="78"/>
        <v>7.8109589041095893</v>
      </c>
      <c r="AD285" s="104"/>
      <c r="AF285" s="214"/>
      <c r="AG285" s="215"/>
    </row>
    <row r="286" spans="1:33" s="74" customFormat="1" ht="25.5">
      <c r="A286" s="73"/>
      <c r="B286" s="73"/>
      <c r="C286" s="73"/>
      <c r="D286" s="73"/>
      <c r="E286" s="277">
        <f>E285</f>
        <v>188</v>
      </c>
      <c r="F286" s="64" t="s">
        <v>971</v>
      </c>
      <c r="G286" s="109" t="s">
        <v>711</v>
      </c>
      <c r="H286" s="399" t="s">
        <v>591</v>
      </c>
      <c r="I286" s="399" t="s">
        <v>592</v>
      </c>
      <c r="J286" s="319">
        <f t="shared" si="76"/>
        <v>7.8027397260273972</v>
      </c>
      <c r="K286" s="167" t="s">
        <v>465</v>
      </c>
      <c r="L286" s="341">
        <v>200000</v>
      </c>
      <c r="M286" s="46" t="s">
        <v>466</v>
      </c>
      <c r="N286" s="46">
        <v>96.894999999999996</v>
      </c>
      <c r="O286" s="114">
        <v>7.2763499999999999</v>
      </c>
      <c r="P286" s="91" t="s">
        <v>1063</v>
      </c>
      <c r="Q286" s="400" t="s">
        <v>600</v>
      </c>
      <c r="R286" s="168" t="s">
        <v>88</v>
      </c>
      <c r="S286" s="633">
        <v>41450</v>
      </c>
      <c r="T286" s="633">
        <v>41453</v>
      </c>
      <c r="U286" s="229" t="s">
        <v>599</v>
      </c>
      <c r="V286" s="229"/>
      <c r="W286" s="117">
        <v>196527.5</v>
      </c>
      <c r="X286" s="117">
        <v>7.8</v>
      </c>
      <c r="Y286" s="117">
        <f t="shared" si="77"/>
        <v>1532914.5</v>
      </c>
      <c r="Z286" s="117"/>
      <c r="AA286" s="423">
        <v>6.75</v>
      </c>
      <c r="AB286" s="680">
        <v>44301</v>
      </c>
      <c r="AC286" s="104">
        <f t="shared" si="78"/>
        <v>7.8109589041095893</v>
      </c>
    </row>
    <row r="287" spans="1:33" s="74" customFormat="1" ht="16.5">
      <c r="A287" s="268" t="s">
        <v>903</v>
      </c>
      <c r="B287" s="73"/>
      <c r="C287" s="73"/>
      <c r="D287" s="73"/>
      <c r="E287" s="91">
        <v>189</v>
      </c>
      <c r="F287" s="64" t="s">
        <v>971</v>
      </c>
      <c r="G287" s="109" t="s">
        <v>711</v>
      </c>
      <c r="H287" s="399" t="s">
        <v>591</v>
      </c>
      <c r="I287" s="399" t="s">
        <v>592</v>
      </c>
      <c r="J287" s="319">
        <f t="shared" si="76"/>
        <v>7.8027397260273972</v>
      </c>
      <c r="K287" s="167" t="s">
        <v>465</v>
      </c>
      <c r="L287" s="341">
        <v>1800000</v>
      </c>
      <c r="M287" s="46" t="s">
        <v>466</v>
      </c>
      <c r="N287" s="46">
        <v>97.7</v>
      </c>
      <c r="O287" s="114">
        <v>7.1373199999999999</v>
      </c>
      <c r="P287" s="91" t="s">
        <v>712</v>
      </c>
      <c r="Q287" s="400" t="s">
        <v>713</v>
      </c>
      <c r="R287" s="168" t="s">
        <v>714</v>
      </c>
      <c r="S287" s="633">
        <v>41450</v>
      </c>
      <c r="T287" s="633">
        <v>41453</v>
      </c>
      <c r="U287" s="229" t="s">
        <v>599</v>
      </c>
      <c r="V287" s="229"/>
      <c r="W287" s="117">
        <v>1783237.5</v>
      </c>
      <c r="X287" s="117">
        <v>7.8</v>
      </c>
      <c r="Y287" s="117">
        <f t="shared" si="77"/>
        <v>13909252.5</v>
      </c>
      <c r="Z287" s="117"/>
      <c r="AA287" s="423">
        <v>6.75</v>
      </c>
      <c r="AB287" s="680">
        <v>44301</v>
      </c>
      <c r="AC287" s="104">
        <f t="shared" si="78"/>
        <v>7.8109589041095893</v>
      </c>
      <c r="AD287" s="104"/>
      <c r="AF287" s="214"/>
      <c r="AG287" s="215"/>
    </row>
    <row r="288" spans="1:33" s="74" customFormat="1">
      <c r="A288" s="73"/>
      <c r="B288" s="73"/>
      <c r="C288" s="73"/>
      <c r="D288" s="73"/>
      <c r="E288" s="277">
        <f>E287</f>
        <v>189</v>
      </c>
      <c r="F288" s="64" t="s">
        <v>971</v>
      </c>
      <c r="G288" s="109" t="s">
        <v>711</v>
      </c>
      <c r="H288" s="399" t="s">
        <v>591</v>
      </c>
      <c r="I288" s="399" t="s">
        <v>592</v>
      </c>
      <c r="J288" s="319">
        <f t="shared" si="76"/>
        <v>7.8027397260273972</v>
      </c>
      <c r="K288" s="167" t="s">
        <v>465</v>
      </c>
      <c r="L288" s="341">
        <v>200000</v>
      </c>
      <c r="M288" s="46" t="s">
        <v>466</v>
      </c>
      <c r="N288" s="46">
        <v>97.7</v>
      </c>
      <c r="O288" s="114">
        <v>7.1373199999999999</v>
      </c>
      <c r="P288" s="91" t="s">
        <v>712</v>
      </c>
      <c r="Q288" s="400" t="s">
        <v>713</v>
      </c>
      <c r="R288" s="168" t="s">
        <v>714</v>
      </c>
      <c r="S288" s="633">
        <v>41450</v>
      </c>
      <c r="T288" s="633">
        <v>41453</v>
      </c>
      <c r="U288" s="229" t="s">
        <v>599</v>
      </c>
      <c r="V288" s="229"/>
      <c r="W288" s="117">
        <v>198137.5</v>
      </c>
      <c r="X288" s="117">
        <v>7.8</v>
      </c>
      <c r="Y288" s="117">
        <f t="shared" si="77"/>
        <v>1545472.5</v>
      </c>
      <c r="Z288" s="117"/>
      <c r="AA288" s="423">
        <v>6.75</v>
      </c>
      <c r="AB288" s="680">
        <v>44301</v>
      </c>
      <c r="AC288" s="104">
        <f t="shared" si="78"/>
        <v>7.8109589041095893</v>
      </c>
    </row>
    <row r="289" spans="1:33" s="417" customFormat="1" ht="25.5">
      <c r="A289" s="268" t="s">
        <v>903</v>
      </c>
      <c r="B289" s="303"/>
      <c r="C289" s="303"/>
      <c r="D289" s="303"/>
      <c r="E289" s="303">
        <v>190</v>
      </c>
      <c r="F289" s="302" t="s">
        <v>202</v>
      </c>
      <c r="G289" s="1474" t="s">
        <v>201</v>
      </c>
      <c r="H289" s="1475" t="s">
        <v>366</v>
      </c>
      <c r="I289" s="1475" t="s">
        <v>368</v>
      </c>
      <c r="J289" s="1476">
        <f t="shared" si="76"/>
        <v>8.8876712328767127</v>
      </c>
      <c r="K289" s="1477" t="s">
        <v>465</v>
      </c>
      <c r="L289" s="341">
        <v>1800000</v>
      </c>
      <c r="M289" s="1477" t="s">
        <v>466</v>
      </c>
      <c r="N289" s="1479">
        <v>91.385000000000005</v>
      </c>
      <c r="O289" s="303">
        <v>7.0500699999999998</v>
      </c>
      <c r="P289" s="91" t="s">
        <v>331</v>
      </c>
      <c r="Q289" s="400" t="s">
        <v>595</v>
      </c>
      <c r="R289" s="1474" t="s">
        <v>596</v>
      </c>
      <c r="S289" s="633">
        <v>41450</v>
      </c>
      <c r="T289" s="633">
        <v>41453</v>
      </c>
      <c r="U289" s="1483" t="s">
        <v>884</v>
      </c>
      <c r="V289" s="302"/>
      <c r="W289" s="1484">
        <v>1656963</v>
      </c>
      <c r="X289" s="1484">
        <v>7.8</v>
      </c>
      <c r="Y289" s="1484">
        <f t="shared" si="77"/>
        <v>12924311.4</v>
      </c>
      <c r="Z289" s="1484"/>
      <c r="AA289" s="303">
        <v>5.73</v>
      </c>
      <c r="AB289" s="1485">
        <v>44697</v>
      </c>
      <c r="AC289" s="302">
        <f t="shared" si="78"/>
        <v>8.8958904109589039</v>
      </c>
      <c r="AD289" s="302"/>
      <c r="AE289" s="302"/>
      <c r="AF289" s="1486"/>
      <c r="AG289" s="415"/>
    </row>
    <row r="290" spans="1:33" s="74" customFormat="1" ht="25.5">
      <c r="A290" s="73"/>
      <c r="B290" s="73"/>
      <c r="C290" s="73"/>
      <c r="D290" s="73"/>
      <c r="E290" s="277">
        <v>190</v>
      </c>
      <c r="F290" s="55" t="s">
        <v>202</v>
      </c>
      <c r="G290" s="109" t="s">
        <v>201</v>
      </c>
      <c r="H290" s="399" t="s">
        <v>787</v>
      </c>
      <c r="I290" s="399" t="s">
        <v>1077</v>
      </c>
      <c r="J290" s="319">
        <f t="shared" si="76"/>
        <v>8.8876712328767127</v>
      </c>
      <c r="K290" s="46" t="s">
        <v>465</v>
      </c>
      <c r="L290" s="341">
        <v>200000</v>
      </c>
      <c r="M290" s="46" t="s">
        <v>466</v>
      </c>
      <c r="N290" s="114">
        <v>91.385000000000005</v>
      </c>
      <c r="O290" s="91">
        <v>7.0500699999999998</v>
      </c>
      <c r="P290" s="91" t="s">
        <v>331</v>
      </c>
      <c r="Q290" s="400" t="s">
        <v>595</v>
      </c>
      <c r="R290" s="75" t="s">
        <v>596</v>
      </c>
      <c r="S290" s="633">
        <v>41450</v>
      </c>
      <c r="T290" s="633">
        <v>41453</v>
      </c>
      <c r="U290" s="229" t="s">
        <v>599</v>
      </c>
      <c r="W290" s="143">
        <v>184107</v>
      </c>
      <c r="X290" s="143">
        <v>7.8</v>
      </c>
      <c r="Y290" s="117">
        <f t="shared" si="77"/>
        <v>1436034.5999999999</v>
      </c>
      <c r="Z290" s="342"/>
      <c r="AA290" s="73">
        <v>5.73</v>
      </c>
      <c r="AB290" s="681">
        <v>44697</v>
      </c>
      <c r="AC290" s="104">
        <f t="shared" si="78"/>
        <v>8.8958904109589039</v>
      </c>
    </row>
    <row r="291" spans="1:33" s="74" customFormat="1" ht="19.5" customHeight="1">
      <c r="A291" s="268" t="s">
        <v>903</v>
      </c>
      <c r="B291" s="73"/>
      <c r="C291" s="73"/>
      <c r="D291" s="73"/>
      <c r="E291" s="91">
        <v>191</v>
      </c>
      <c r="F291" s="64" t="s">
        <v>971</v>
      </c>
      <c r="G291" s="109" t="s">
        <v>711</v>
      </c>
      <c r="H291" s="399" t="s">
        <v>591</v>
      </c>
      <c r="I291" s="399" t="s">
        <v>592</v>
      </c>
      <c r="J291" s="319">
        <f t="shared" ref="J291:J296" si="79">(AB291-T291)/365</f>
        <v>7.7917808219178086</v>
      </c>
      <c r="K291" s="167" t="s">
        <v>465</v>
      </c>
      <c r="L291" s="341">
        <v>4500000</v>
      </c>
      <c r="M291" s="46" t="s">
        <v>466</v>
      </c>
      <c r="N291" s="46">
        <v>97.78</v>
      </c>
      <c r="O291" s="114">
        <v>7.1239499999999998</v>
      </c>
      <c r="P291" s="91" t="s">
        <v>712</v>
      </c>
      <c r="Q291" s="400" t="s">
        <v>713</v>
      </c>
      <c r="R291" s="168" t="s">
        <v>714</v>
      </c>
      <c r="S291" s="633">
        <v>41451</v>
      </c>
      <c r="T291" s="633">
        <v>41457</v>
      </c>
      <c r="U291" s="229" t="s">
        <v>715</v>
      </c>
      <c r="V291" s="229"/>
      <c r="W291" s="117">
        <v>4465068.75</v>
      </c>
      <c r="X291" s="117">
        <v>7.8</v>
      </c>
      <c r="Y291" s="117">
        <f t="shared" ref="Y291:Y296" si="80">X291*W291</f>
        <v>34827536.25</v>
      </c>
      <c r="Z291" s="117"/>
      <c r="AA291" s="423">
        <v>6.75</v>
      </c>
      <c r="AB291" s="680">
        <v>44301</v>
      </c>
      <c r="AC291" s="104">
        <f t="shared" ref="AC291:AC296" si="81">(AB291-S291)/365</f>
        <v>7.8082191780821919</v>
      </c>
      <c r="AD291" s="104"/>
      <c r="AF291" s="214"/>
      <c r="AG291" s="215"/>
    </row>
    <row r="292" spans="1:33" s="74" customFormat="1" ht="19.5" customHeight="1">
      <c r="A292" s="73"/>
      <c r="B292" s="73"/>
      <c r="C292" s="73"/>
      <c r="D292" s="73"/>
      <c r="E292" s="277">
        <v>191</v>
      </c>
      <c r="F292" s="64" t="s">
        <v>971</v>
      </c>
      <c r="G292" s="109" t="s">
        <v>711</v>
      </c>
      <c r="H292" s="399" t="s">
        <v>591</v>
      </c>
      <c r="I292" s="399" t="s">
        <v>592</v>
      </c>
      <c r="J292" s="319">
        <f t="shared" si="79"/>
        <v>7.7917808219178086</v>
      </c>
      <c r="K292" s="167" t="s">
        <v>465</v>
      </c>
      <c r="L292" s="341">
        <v>500000</v>
      </c>
      <c r="M292" s="46" t="s">
        <v>466</v>
      </c>
      <c r="N292" s="46">
        <v>97.78</v>
      </c>
      <c r="O292" s="114">
        <v>7.1239499999999998</v>
      </c>
      <c r="P292" s="91" t="s">
        <v>712</v>
      </c>
      <c r="Q292" s="400" t="s">
        <v>713</v>
      </c>
      <c r="R292" s="168" t="s">
        <v>714</v>
      </c>
      <c r="S292" s="633">
        <v>41451</v>
      </c>
      <c r="T292" s="633">
        <v>41457</v>
      </c>
      <c r="U292" s="229" t="s">
        <v>715</v>
      </c>
      <c r="V292" s="229"/>
      <c r="W292" s="117">
        <v>496118.75</v>
      </c>
      <c r="X292" s="117">
        <v>7.8</v>
      </c>
      <c r="Y292" s="117">
        <f t="shared" si="80"/>
        <v>3869726.25</v>
      </c>
      <c r="Z292" s="117"/>
      <c r="AA292" s="423">
        <v>6.75</v>
      </c>
      <c r="AB292" s="680">
        <v>44301</v>
      </c>
      <c r="AC292" s="104">
        <f t="shared" si="81"/>
        <v>7.8082191780821919</v>
      </c>
    </row>
    <row r="293" spans="1:33" s="74" customFormat="1" ht="25.5" customHeight="1">
      <c r="A293" s="268" t="s">
        <v>903</v>
      </c>
      <c r="B293" s="73"/>
      <c r="C293" s="73"/>
      <c r="D293" s="73"/>
      <c r="E293" s="91">
        <v>192</v>
      </c>
      <c r="F293" s="64" t="s">
        <v>971</v>
      </c>
      <c r="G293" s="109" t="s">
        <v>711</v>
      </c>
      <c r="H293" s="399" t="s">
        <v>591</v>
      </c>
      <c r="I293" s="399" t="s">
        <v>592</v>
      </c>
      <c r="J293" s="319">
        <f t="shared" si="79"/>
        <v>7.7917808219178086</v>
      </c>
      <c r="K293" s="167" t="s">
        <v>465</v>
      </c>
      <c r="L293" s="341">
        <v>1800000</v>
      </c>
      <c r="M293" s="46" t="s">
        <v>466</v>
      </c>
      <c r="N293" s="46">
        <v>96.7</v>
      </c>
      <c r="O293" s="114">
        <v>7.31081</v>
      </c>
      <c r="P293" s="91" t="s">
        <v>84</v>
      </c>
      <c r="Q293" s="400" t="s">
        <v>674</v>
      </c>
      <c r="R293" s="168" t="s">
        <v>86</v>
      </c>
      <c r="S293" s="633">
        <v>41451</v>
      </c>
      <c r="T293" s="633">
        <v>41457</v>
      </c>
      <c r="U293" s="229" t="s">
        <v>715</v>
      </c>
      <c r="V293" s="229"/>
      <c r="W293" s="117">
        <v>1766587.5</v>
      </c>
      <c r="X293" s="117">
        <v>7.8</v>
      </c>
      <c r="Y293" s="117">
        <f t="shared" si="80"/>
        <v>13779382.5</v>
      </c>
      <c r="Z293" s="117"/>
      <c r="AA293" s="423">
        <v>6.75</v>
      </c>
      <c r="AB293" s="680">
        <v>44301</v>
      </c>
      <c r="AC293" s="104">
        <f t="shared" si="81"/>
        <v>7.8082191780821919</v>
      </c>
      <c r="AD293" s="104"/>
      <c r="AF293" s="214"/>
      <c r="AG293" s="215"/>
    </row>
    <row r="294" spans="1:33" s="74" customFormat="1" ht="27" customHeight="1">
      <c r="A294" s="73"/>
      <c r="B294" s="73"/>
      <c r="C294" s="73"/>
      <c r="D294" s="73"/>
      <c r="E294" s="277">
        <v>192</v>
      </c>
      <c r="F294" s="64" t="s">
        <v>971</v>
      </c>
      <c r="G294" s="109" t="s">
        <v>711</v>
      </c>
      <c r="H294" s="399" t="s">
        <v>591</v>
      </c>
      <c r="I294" s="399" t="s">
        <v>592</v>
      </c>
      <c r="J294" s="319">
        <f t="shared" si="79"/>
        <v>7.7917808219178086</v>
      </c>
      <c r="K294" s="167" t="s">
        <v>465</v>
      </c>
      <c r="L294" s="341">
        <v>200000</v>
      </c>
      <c r="M294" s="46" t="s">
        <v>466</v>
      </c>
      <c r="N294" s="46">
        <v>96.7</v>
      </c>
      <c r="O294" s="114">
        <v>7.31081</v>
      </c>
      <c r="P294" s="91" t="s">
        <v>84</v>
      </c>
      <c r="Q294" s="400" t="s">
        <v>674</v>
      </c>
      <c r="R294" s="168" t="s">
        <v>86</v>
      </c>
      <c r="S294" s="633">
        <v>41451</v>
      </c>
      <c r="T294" s="633">
        <v>41457</v>
      </c>
      <c r="U294" s="229" t="s">
        <v>715</v>
      </c>
      <c r="V294" s="229"/>
      <c r="W294" s="117">
        <v>196287.5</v>
      </c>
      <c r="X294" s="117">
        <v>7.8</v>
      </c>
      <c r="Y294" s="117">
        <f t="shared" si="80"/>
        <v>1531042.5</v>
      </c>
      <c r="Z294" s="117"/>
      <c r="AA294" s="423">
        <v>6.75</v>
      </c>
      <c r="AB294" s="680">
        <v>44301</v>
      </c>
      <c r="AC294" s="104">
        <f t="shared" si="81"/>
        <v>7.8082191780821919</v>
      </c>
    </row>
    <row r="295" spans="1:33" s="74" customFormat="1" ht="25.5" customHeight="1">
      <c r="A295" s="268" t="s">
        <v>903</v>
      </c>
      <c r="B295" s="73"/>
      <c r="C295" s="73"/>
      <c r="D295" s="73"/>
      <c r="E295" s="91">
        <v>193</v>
      </c>
      <c r="F295" s="64" t="s">
        <v>971</v>
      </c>
      <c r="G295" s="109" t="s">
        <v>711</v>
      </c>
      <c r="H295" s="399" t="s">
        <v>591</v>
      </c>
      <c r="I295" s="399" t="s">
        <v>592</v>
      </c>
      <c r="J295" s="319">
        <f t="shared" si="79"/>
        <v>7.7917808219178086</v>
      </c>
      <c r="K295" s="167" t="s">
        <v>465</v>
      </c>
      <c r="L295" s="341">
        <v>1800000</v>
      </c>
      <c r="M295" s="46" t="s">
        <v>466</v>
      </c>
      <c r="N295" s="46">
        <v>97.625</v>
      </c>
      <c r="O295" s="114">
        <v>7.1506100000000004</v>
      </c>
      <c r="P295" s="91" t="s">
        <v>331</v>
      </c>
      <c r="Q295" s="400" t="s">
        <v>595</v>
      </c>
      <c r="R295" s="168" t="s">
        <v>596</v>
      </c>
      <c r="S295" s="633">
        <v>41451</v>
      </c>
      <c r="T295" s="633">
        <v>41457</v>
      </c>
      <c r="U295" s="229" t="s">
        <v>715</v>
      </c>
      <c r="V295" s="229"/>
      <c r="W295" s="117">
        <v>1783237.5</v>
      </c>
      <c r="X295" s="117">
        <v>7.8</v>
      </c>
      <c r="Y295" s="117">
        <f t="shared" si="80"/>
        <v>13909252.5</v>
      </c>
      <c r="Z295" s="117"/>
      <c r="AA295" s="423">
        <v>6.75</v>
      </c>
      <c r="AB295" s="680">
        <v>44301</v>
      </c>
      <c r="AC295" s="104">
        <f t="shared" si="81"/>
        <v>7.8082191780821919</v>
      </c>
      <c r="AD295" s="104"/>
      <c r="AF295" s="214"/>
      <c r="AG295" s="215"/>
    </row>
    <row r="296" spans="1:33" s="74" customFormat="1" ht="27" customHeight="1">
      <c r="A296" s="73"/>
      <c r="B296" s="73"/>
      <c r="C296" s="73"/>
      <c r="D296" s="73"/>
      <c r="E296" s="277">
        <v>193</v>
      </c>
      <c r="F296" s="64" t="s">
        <v>971</v>
      </c>
      <c r="G296" s="109" t="s">
        <v>711</v>
      </c>
      <c r="H296" s="399" t="s">
        <v>591</v>
      </c>
      <c r="I296" s="399" t="s">
        <v>592</v>
      </c>
      <c r="J296" s="319">
        <f t="shared" si="79"/>
        <v>7.7917808219178086</v>
      </c>
      <c r="K296" s="167" t="s">
        <v>465</v>
      </c>
      <c r="L296" s="341">
        <v>200000</v>
      </c>
      <c r="M296" s="46" t="s">
        <v>466</v>
      </c>
      <c r="N296" s="46">
        <v>97.625</v>
      </c>
      <c r="O296" s="114">
        <v>7.1506100000000004</v>
      </c>
      <c r="P296" s="91" t="s">
        <v>331</v>
      </c>
      <c r="Q296" s="400" t="s">
        <v>595</v>
      </c>
      <c r="R296" s="168" t="s">
        <v>596</v>
      </c>
      <c r="S296" s="633">
        <v>41451</v>
      </c>
      <c r="T296" s="633">
        <v>41457</v>
      </c>
      <c r="U296" s="229" t="s">
        <v>715</v>
      </c>
      <c r="V296" s="229"/>
      <c r="W296" s="117">
        <v>198137.5</v>
      </c>
      <c r="X296" s="117">
        <v>7.8</v>
      </c>
      <c r="Y296" s="117">
        <f t="shared" si="80"/>
        <v>1545472.5</v>
      </c>
      <c r="Z296" s="117"/>
      <c r="AA296" s="423">
        <v>6.75</v>
      </c>
      <c r="AB296" s="680">
        <v>44301</v>
      </c>
      <c r="AC296" s="104">
        <f t="shared" si="81"/>
        <v>7.8082191780821919</v>
      </c>
    </row>
    <row r="297" spans="1:33" s="74" customFormat="1" ht="25.5" customHeight="1">
      <c r="A297" s="268" t="s">
        <v>903</v>
      </c>
      <c r="B297" s="73"/>
      <c r="C297" s="73"/>
      <c r="D297" s="73"/>
      <c r="E297" s="91">
        <v>194</v>
      </c>
      <c r="F297" s="64" t="s">
        <v>675</v>
      </c>
      <c r="G297" s="109" t="s">
        <v>676</v>
      </c>
      <c r="H297" s="399" t="s">
        <v>1082</v>
      </c>
      <c r="I297" s="399" t="s">
        <v>368</v>
      </c>
      <c r="J297" s="319">
        <f t="shared" ref="J297:J302" si="82">(AB297-T297)/365</f>
        <v>9.838356164383562</v>
      </c>
      <c r="K297" s="167" t="s">
        <v>465</v>
      </c>
      <c r="L297" s="341">
        <v>1800000</v>
      </c>
      <c r="M297" s="46" t="s">
        <v>466</v>
      </c>
      <c r="N297" s="46">
        <v>88.051000000000002</v>
      </c>
      <c r="O297" s="114">
        <v>6.0003469999999997</v>
      </c>
      <c r="P297" s="91" t="s">
        <v>331</v>
      </c>
      <c r="Q297" s="400" t="s">
        <v>595</v>
      </c>
      <c r="R297" s="168" t="s">
        <v>596</v>
      </c>
      <c r="S297" s="633">
        <v>41451</v>
      </c>
      <c r="T297" s="633">
        <v>41457</v>
      </c>
      <c r="U297" s="229" t="s">
        <v>715</v>
      </c>
      <c r="V297" s="229"/>
      <c r="W297" s="117">
        <v>1598043</v>
      </c>
      <c r="X297" s="117">
        <v>7.8</v>
      </c>
      <c r="Y297" s="117">
        <f t="shared" ref="Y297:Y302" si="83">X297*W297</f>
        <v>12464735.4</v>
      </c>
      <c r="Z297" s="117"/>
      <c r="AA297" s="423">
        <v>4.375</v>
      </c>
      <c r="AB297" s="680">
        <v>45048</v>
      </c>
      <c r="AC297" s="104">
        <f t="shared" ref="AC297:AC302" si="84">(AB297-S297)/365</f>
        <v>9.8547945205479444</v>
      </c>
      <c r="AD297" s="104"/>
      <c r="AF297" s="214"/>
      <c r="AG297" s="215"/>
    </row>
    <row r="298" spans="1:33" s="74" customFormat="1" ht="27" customHeight="1">
      <c r="A298" s="73"/>
      <c r="B298" s="73"/>
      <c r="C298" s="73"/>
      <c r="D298" s="73"/>
      <c r="E298" s="277">
        <v>194</v>
      </c>
      <c r="F298" s="64" t="s">
        <v>675</v>
      </c>
      <c r="G298" s="109" t="s">
        <v>676</v>
      </c>
      <c r="H298" s="399" t="s">
        <v>1082</v>
      </c>
      <c r="I298" s="399" t="s">
        <v>368</v>
      </c>
      <c r="J298" s="319">
        <f t="shared" si="82"/>
        <v>9.838356164383562</v>
      </c>
      <c r="K298" s="167" t="s">
        <v>465</v>
      </c>
      <c r="L298" s="341">
        <v>200000</v>
      </c>
      <c r="M298" s="46" t="s">
        <v>466</v>
      </c>
      <c r="N298" s="46">
        <v>88.051000000000002</v>
      </c>
      <c r="O298" s="114">
        <v>6.0003469999999997</v>
      </c>
      <c r="P298" s="91" t="s">
        <v>331</v>
      </c>
      <c r="Q298" s="400" t="s">
        <v>595</v>
      </c>
      <c r="R298" s="168" t="s">
        <v>596</v>
      </c>
      <c r="S298" s="633">
        <v>41451</v>
      </c>
      <c r="T298" s="633">
        <v>41457</v>
      </c>
      <c r="U298" s="229" t="s">
        <v>715</v>
      </c>
      <c r="V298" s="229"/>
      <c r="W298" s="117">
        <v>177560.33</v>
      </c>
      <c r="X298" s="117">
        <v>7.8</v>
      </c>
      <c r="Y298" s="117">
        <f t="shared" si="83"/>
        <v>1384970.5739999998</v>
      </c>
      <c r="Z298" s="117"/>
      <c r="AA298" s="423">
        <v>4.375</v>
      </c>
      <c r="AB298" s="680">
        <v>45048</v>
      </c>
      <c r="AC298" s="104">
        <f t="shared" si="84"/>
        <v>9.8547945205479444</v>
      </c>
    </row>
    <row r="299" spans="1:33" s="74" customFormat="1" ht="25.5" customHeight="1">
      <c r="A299" s="268" t="s">
        <v>903</v>
      </c>
      <c r="B299" s="73"/>
      <c r="C299" s="73"/>
      <c r="D299" s="73"/>
      <c r="E299" s="91">
        <v>195</v>
      </c>
      <c r="F299" s="64" t="s">
        <v>590</v>
      </c>
      <c r="G299" s="109" t="s">
        <v>711</v>
      </c>
      <c r="H299" s="399" t="s">
        <v>591</v>
      </c>
      <c r="I299" s="399" t="s">
        <v>592</v>
      </c>
      <c r="J299" s="319">
        <f t="shared" si="82"/>
        <v>7.7917808219178086</v>
      </c>
      <c r="K299" s="167" t="s">
        <v>465</v>
      </c>
      <c r="L299" s="341">
        <v>3000000</v>
      </c>
      <c r="M299" s="46" t="s">
        <v>466</v>
      </c>
      <c r="N299" s="46">
        <v>97.95</v>
      </c>
      <c r="O299" s="114">
        <v>7.09476</v>
      </c>
      <c r="P299" s="86" t="s">
        <v>685</v>
      </c>
      <c r="Q299" s="400" t="s">
        <v>684</v>
      </c>
      <c r="R299" s="168" t="s">
        <v>686</v>
      </c>
      <c r="S299" s="633">
        <v>41452</v>
      </c>
      <c r="T299" s="633">
        <v>41457</v>
      </c>
      <c r="U299" s="229" t="s">
        <v>683</v>
      </c>
      <c r="V299" s="229"/>
      <c r="W299" s="117">
        <v>2981812.5</v>
      </c>
      <c r="X299" s="117">
        <v>7.8</v>
      </c>
      <c r="Y299" s="117">
        <f t="shared" si="83"/>
        <v>23258137.5</v>
      </c>
      <c r="Z299" s="117"/>
      <c r="AA299" s="423">
        <v>6.75</v>
      </c>
      <c r="AB299" s="680">
        <v>44301</v>
      </c>
      <c r="AC299" s="104">
        <f t="shared" si="84"/>
        <v>7.8054794520547945</v>
      </c>
      <c r="AD299" s="104"/>
      <c r="AF299" s="214"/>
      <c r="AG299" s="215"/>
    </row>
    <row r="300" spans="1:33" s="74" customFormat="1" ht="27" customHeight="1">
      <c r="A300" s="73"/>
      <c r="B300" s="73"/>
      <c r="C300" s="73"/>
      <c r="D300" s="73"/>
      <c r="E300" s="277">
        <v>196</v>
      </c>
      <c r="F300" s="64" t="s">
        <v>590</v>
      </c>
      <c r="G300" s="109" t="s">
        <v>711</v>
      </c>
      <c r="H300" s="399" t="s">
        <v>591</v>
      </c>
      <c r="I300" s="399" t="s">
        <v>592</v>
      </c>
      <c r="J300" s="319">
        <f t="shared" si="82"/>
        <v>7.7917808219178086</v>
      </c>
      <c r="K300" s="167" t="s">
        <v>465</v>
      </c>
      <c r="L300" s="341">
        <v>1000000</v>
      </c>
      <c r="M300" s="46" t="s">
        <v>466</v>
      </c>
      <c r="N300" s="46">
        <v>97.85</v>
      </c>
      <c r="O300" s="114">
        <v>7.1119199999999996</v>
      </c>
      <c r="P300" s="91" t="s">
        <v>677</v>
      </c>
      <c r="Q300" s="400" t="s">
        <v>687</v>
      </c>
      <c r="R300" s="168" t="s">
        <v>679</v>
      </c>
      <c r="S300" s="633">
        <v>41452</v>
      </c>
      <c r="T300" s="633">
        <v>41457</v>
      </c>
      <c r="U300" s="229" t="s">
        <v>683</v>
      </c>
      <c r="V300" s="229"/>
      <c r="W300" s="117">
        <v>992937.5</v>
      </c>
      <c r="X300" s="117">
        <v>7.8</v>
      </c>
      <c r="Y300" s="117">
        <f t="shared" si="83"/>
        <v>7744912.5</v>
      </c>
      <c r="Z300" s="117"/>
      <c r="AA300" s="423">
        <v>6.75</v>
      </c>
      <c r="AB300" s="680">
        <v>44301</v>
      </c>
      <c r="AC300" s="104">
        <f t="shared" si="84"/>
        <v>7.8054794520547945</v>
      </c>
    </row>
    <row r="301" spans="1:33" s="74" customFormat="1" ht="25.5" customHeight="1">
      <c r="A301" s="268" t="s">
        <v>903</v>
      </c>
      <c r="B301" s="73"/>
      <c r="C301" s="73"/>
      <c r="D301" s="73"/>
      <c r="E301" s="91">
        <v>197</v>
      </c>
      <c r="F301" s="64" t="s">
        <v>590</v>
      </c>
      <c r="G301" s="109" t="s">
        <v>711</v>
      </c>
      <c r="H301" s="399" t="s">
        <v>591</v>
      </c>
      <c r="I301" s="399" t="s">
        <v>592</v>
      </c>
      <c r="J301" s="319">
        <f t="shared" si="82"/>
        <v>7.7917808219178086</v>
      </c>
      <c r="K301" s="167" t="s">
        <v>465</v>
      </c>
      <c r="L301" s="341">
        <v>1000000</v>
      </c>
      <c r="M301" s="46" t="s">
        <v>466</v>
      </c>
      <c r="N301" s="46">
        <v>98.2</v>
      </c>
      <c r="O301" s="114">
        <v>7.0519600000000002</v>
      </c>
      <c r="P301" s="86" t="s">
        <v>688</v>
      </c>
      <c r="Q301" s="400" t="s">
        <v>689</v>
      </c>
      <c r="R301" s="168" t="s">
        <v>690</v>
      </c>
      <c r="S301" s="633">
        <v>41452</v>
      </c>
      <c r="T301" s="633">
        <v>41457</v>
      </c>
      <c r="U301" s="229" t="s">
        <v>683</v>
      </c>
      <c r="V301" s="229"/>
      <c r="W301" s="117">
        <v>996437.5</v>
      </c>
      <c r="X301" s="117">
        <v>7.8</v>
      </c>
      <c r="Y301" s="117">
        <f t="shared" si="83"/>
        <v>7772212.5</v>
      </c>
      <c r="Z301" s="117"/>
      <c r="AA301" s="423">
        <v>6.75</v>
      </c>
      <c r="AB301" s="680">
        <v>44301</v>
      </c>
      <c r="AC301" s="104">
        <f t="shared" si="84"/>
        <v>7.8054794520547945</v>
      </c>
      <c r="AD301" s="104"/>
      <c r="AF301" s="214"/>
      <c r="AG301" s="215"/>
    </row>
    <row r="302" spans="1:33" s="74" customFormat="1" ht="25.5" customHeight="1">
      <c r="A302" s="268" t="s">
        <v>903</v>
      </c>
      <c r="B302" s="73"/>
      <c r="C302" s="73"/>
      <c r="D302" s="73"/>
      <c r="E302" s="91">
        <v>198</v>
      </c>
      <c r="F302" s="64" t="s">
        <v>202</v>
      </c>
      <c r="G302" s="109" t="s">
        <v>201</v>
      </c>
      <c r="H302" s="399" t="s">
        <v>879</v>
      </c>
      <c r="I302" s="399" t="s">
        <v>368</v>
      </c>
      <c r="J302" s="319">
        <f t="shared" si="82"/>
        <v>8.8767123287671232</v>
      </c>
      <c r="K302" s="167" t="s">
        <v>465</v>
      </c>
      <c r="L302" s="341">
        <v>1000000</v>
      </c>
      <c r="M302" s="46" t="s">
        <v>466</v>
      </c>
      <c r="N302" s="46">
        <v>91.7</v>
      </c>
      <c r="O302" s="114">
        <v>7.0002300000000002</v>
      </c>
      <c r="P302" s="86" t="s">
        <v>691</v>
      </c>
      <c r="Q302" s="400" t="s">
        <v>692</v>
      </c>
      <c r="R302" s="168" t="s">
        <v>693</v>
      </c>
      <c r="S302" s="633">
        <v>41452</v>
      </c>
      <c r="T302" s="633">
        <v>41457</v>
      </c>
      <c r="U302" s="229" t="s">
        <v>884</v>
      </c>
      <c r="V302" s="229"/>
      <c r="W302" s="117">
        <v>924321.67</v>
      </c>
      <c r="X302" s="117">
        <v>7.8</v>
      </c>
      <c r="Y302" s="117">
        <f t="shared" si="83"/>
        <v>7209709.0260000005</v>
      </c>
      <c r="Z302" s="117"/>
      <c r="AA302" s="423">
        <v>5.73</v>
      </c>
      <c r="AB302" s="680">
        <v>44697</v>
      </c>
      <c r="AC302" s="104">
        <f t="shared" si="84"/>
        <v>8.8904109589041092</v>
      </c>
      <c r="AD302" s="104"/>
      <c r="AF302" s="214"/>
      <c r="AG302" s="215"/>
    </row>
    <row r="303" spans="1:33" s="74" customFormat="1" ht="25.5" customHeight="1">
      <c r="A303" s="268" t="s">
        <v>903</v>
      </c>
      <c r="B303" s="73"/>
      <c r="C303" s="73"/>
      <c r="D303" s="73"/>
      <c r="E303" s="91">
        <v>199</v>
      </c>
      <c r="F303" s="64" t="s">
        <v>590</v>
      </c>
      <c r="G303" s="109" t="s">
        <v>711</v>
      </c>
      <c r="H303" s="399" t="s">
        <v>591</v>
      </c>
      <c r="I303" s="399" t="s">
        <v>592</v>
      </c>
      <c r="J303" s="319">
        <f t="shared" ref="J303:J309" si="85">(AB303-T303)/365</f>
        <v>7.7753424657534245</v>
      </c>
      <c r="K303" s="167" t="s">
        <v>465</v>
      </c>
      <c r="L303" s="341">
        <v>4000000</v>
      </c>
      <c r="M303" s="46" t="s">
        <v>466</v>
      </c>
      <c r="N303" s="46">
        <v>100.7</v>
      </c>
      <c r="O303" s="114">
        <v>6.6309800000000001</v>
      </c>
      <c r="P303" s="86" t="s">
        <v>712</v>
      </c>
      <c r="Q303" s="400" t="s">
        <v>713</v>
      </c>
      <c r="R303" s="168" t="s">
        <v>714</v>
      </c>
      <c r="S303" s="633">
        <v>41457</v>
      </c>
      <c r="T303" s="633">
        <v>41463</v>
      </c>
      <c r="U303" s="229" t="s">
        <v>683</v>
      </c>
      <c r="V303" s="229"/>
      <c r="W303" s="117">
        <v>4090250</v>
      </c>
      <c r="X303" s="117">
        <v>7.8</v>
      </c>
      <c r="Y303" s="117">
        <f t="shared" ref="Y303:Y309" si="86">X303*W303</f>
        <v>31903950</v>
      </c>
      <c r="Z303" s="117"/>
      <c r="AA303" s="423">
        <v>6.75</v>
      </c>
      <c r="AB303" s="680">
        <v>44301</v>
      </c>
      <c r="AC303" s="104">
        <f t="shared" ref="AC303:AC309" si="87">(AB303-S303)/365</f>
        <v>7.7917808219178086</v>
      </c>
      <c r="AD303" s="104"/>
      <c r="AF303" s="214"/>
      <c r="AG303" s="215"/>
    </row>
    <row r="304" spans="1:33" s="74" customFormat="1" ht="25.5" customHeight="1">
      <c r="A304" s="268" t="s">
        <v>903</v>
      </c>
      <c r="B304" s="73"/>
      <c r="C304" s="73"/>
      <c r="D304" s="73"/>
      <c r="E304" s="91">
        <v>200</v>
      </c>
      <c r="F304" s="64" t="s">
        <v>590</v>
      </c>
      <c r="G304" s="109" t="s">
        <v>711</v>
      </c>
      <c r="H304" s="399" t="s">
        <v>591</v>
      </c>
      <c r="I304" s="399" t="s">
        <v>592</v>
      </c>
      <c r="J304" s="319">
        <f t="shared" si="85"/>
        <v>7.7753424657534245</v>
      </c>
      <c r="K304" s="167" t="s">
        <v>465</v>
      </c>
      <c r="L304" s="341">
        <v>1000000</v>
      </c>
      <c r="M304" s="46" t="s">
        <v>466</v>
      </c>
      <c r="N304" s="46">
        <v>100.4</v>
      </c>
      <c r="O304" s="114">
        <v>6.6808699999999996</v>
      </c>
      <c r="P304" s="86" t="s">
        <v>775</v>
      </c>
      <c r="Q304" s="400" t="s">
        <v>776</v>
      </c>
      <c r="R304" s="168" t="s">
        <v>99</v>
      </c>
      <c r="S304" s="633">
        <v>41457</v>
      </c>
      <c r="T304" s="633">
        <v>41463</v>
      </c>
      <c r="U304" s="229" t="s">
        <v>683</v>
      </c>
      <c r="V304" s="229"/>
      <c r="W304" s="117">
        <v>1019562.5</v>
      </c>
      <c r="X304" s="117">
        <v>7.8</v>
      </c>
      <c r="Y304" s="117">
        <f t="shared" si="86"/>
        <v>7952587.5</v>
      </c>
      <c r="Z304" s="117"/>
      <c r="AA304" s="423">
        <v>6.75</v>
      </c>
      <c r="AB304" s="680">
        <v>44301</v>
      </c>
      <c r="AC304" s="104">
        <f t="shared" si="87"/>
        <v>7.7917808219178086</v>
      </c>
      <c r="AD304" s="104"/>
      <c r="AF304" s="214"/>
      <c r="AG304" s="215"/>
    </row>
    <row r="305" spans="1:33" s="417" customFormat="1" ht="25.5">
      <c r="A305" s="268" t="s">
        <v>1131</v>
      </c>
      <c r="B305" s="303"/>
      <c r="C305" s="303"/>
      <c r="D305" s="303"/>
      <c r="E305" s="303">
        <v>201</v>
      </c>
      <c r="F305" s="302" t="s">
        <v>202</v>
      </c>
      <c r="G305" s="1474" t="s">
        <v>201</v>
      </c>
      <c r="H305" s="1475" t="s">
        <v>366</v>
      </c>
      <c r="I305" s="1475" t="s">
        <v>368</v>
      </c>
      <c r="J305" s="1476">
        <f t="shared" si="85"/>
        <v>8.8575342465753426</v>
      </c>
      <c r="K305" s="1477" t="s">
        <v>465</v>
      </c>
      <c r="L305" s="341">
        <v>3600000</v>
      </c>
      <c r="M305" s="1477" t="s">
        <v>466</v>
      </c>
      <c r="N305" s="1479">
        <v>93.385499999999993</v>
      </c>
      <c r="O305" s="303">
        <v>6.7324700000000002</v>
      </c>
      <c r="P305" s="91" t="s">
        <v>331</v>
      </c>
      <c r="Q305" s="400" t="s">
        <v>595</v>
      </c>
      <c r="R305" s="1474" t="s">
        <v>596</v>
      </c>
      <c r="S305" s="633">
        <v>41458</v>
      </c>
      <c r="T305" s="633">
        <v>41464</v>
      </c>
      <c r="U305" s="1483" t="s">
        <v>1115</v>
      </c>
      <c r="V305" s="302"/>
      <c r="W305" s="1484">
        <v>3392247</v>
      </c>
      <c r="X305" s="1484">
        <v>7.8</v>
      </c>
      <c r="Y305" s="1484">
        <f t="shared" si="86"/>
        <v>26459526.599999998</v>
      </c>
      <c r="Z305" s="1484"/>
      <c r="AA305" s="303">
        <v>5.73</v>
      </c>
      <c r="AB305" s="1485">
        <v>44697</v>
      </c>
      <c r="AC305" s="302">
        <f t="shared" si="87"/>
        <v>8.8739726027397268</v>
      </c>
      <c r="AD305" s="302"/>
      <c r="AE305" s="302"/>
      <c r="AF305" s="1486"/>
      <c r="AG305" s="415"/>
    </row>
    <row r="306" spans="1:33" s="74" customFormat="1" ht="25.5">
      <c r="A306" s="73"/>
      <c r="B306" s="73"/>
      <c r="C306" s="73"/>
      <c r="D306" s="73"/>
      <c r="E306" s="277">
        <v>201</v>
      </c>
      <c r="F306" s="55" t="s">
        <v>202</v>
      </c>
      <c r="G306" s="109" t="s">
        <v>201</v>
      </c>
      <c r="H306" s="399" t="s">
        <v>787</v>
      </c>
      <c r="I306" s="399" t="s">
        <v>1077</v>
      </c>
      <c r="J306" s="319">
        <f t="shared" si="85"/>
        <v>8.8575342465753426</v>
      </c>
      <c r="K306" s="46" t="s">
        <v>465</v>
      </c>
      <c r="L306" s="341">
        <v>400000</v>
      </c>
      <c r="M306" s="46" t="s">
        <v>466</v>
      </c>
      <c r="N306" s="114">
        <v>93.385499999999993</v>
      </c>
      <c r="O306" s="91">
        <v>6.7324700000000002</v>
      </c>
      <c r="P306" s="91" t="s">
        <v>331</v>
      </c>
      <c r="Q306" s="400" t="s">
        <v>595</v>
      </c>
      <c r="R306" s="75" t="s">
        <v>596</v>
      </c>
      <c r="S306" s="633">
        <v>41458</v>
      </c>
      <c r="T306" s="633">
        <v>41464</v>
      </c>
      <c r="U306" s="229" t="s">
        <v>1102</v>
      </c>
      <c r="W306" s="143">
        <v>376916.33</v>
      </c>
      <c r="X306" s="143">
        <v>7.8</v>
      </c>
      <c r="Y306" s="117">
        <f t="shared" si="86"/>
        <v>2939947.3739999998</v>
      </c>
      <c r="Z306" s="342"/>
      <c r="AA306" s="73">
        <v>5.73</v>
      </c>
      <c r="AB306" s="681">
        <v>44697</v>
      </c>
      <c r="AC306" s="104">
        <f t="shared" si="87"/>
        <v>8.8739726027397268</v>
      </c>
    </row>
    <row r="307" spans="1:33" s="74" customFormat="1" ht="25.5" customHeight="1">
      <c r="A307" s="268" t="s">
        <v>1131</v>
      </c>
      <c r="B307" s="73"/>
      <c r="C307" s="73"/>
      <c r="D307" s="73"/>
      <c r="E307" s="91">
        <v>202</v>
      </c>
      <c r="F307" s="64" t="s">
        <v>590</v>
      </c>
      <c r="G307" s="109" t="s">
        <v>711</v>
      </c>
      <c r="H307" s="399" t="s">
        <v>591</v>
      </c>
      <c r="I307" s="399" t="s">
        <v>592</v>
      </c>
      <c r="J307" s="319">
        <f t="shared" si="85"/>
        <v>7.7726027397260271</v>
      </c>
      <c r="K307" s="167" t="s">
        <v>465</v>
      </c>
      <c r="L307" s="341">
        <v>12600000</v>
      </c>
      <c r="M307" s="46" t="s">
        <v>466</v>
      </c>
      <c r="N307" s="46">
        <v>100.718</v>
      </c>
      <c r="O307" s="114">
        <v>6.6279500000000002</v>
      </c>
      <c r="P307" s="86" t="s">
        <v>712</v>
      </c>
      <c r="Q307" s="400" t="s">
        <v>713</v>
      </c>
      <c r="R307" s="168" t="s">
        <v>714</v>
      </c>
      <c r="S307" s="633">
        <v>41459</v>
      </c>
      <c r="T307" s="633">
        <v>41464</v>
      </c>
      <c r="U307" s="229" t="s">
        <v>683</v>
      </c>
      <c r="V307" s="229"/>
      <c r="W307" s="117">
        <v>12888918</v>
      </c>
      <c r="X307" s="117">
        <v>7.8</v>
      </c>
      <c r="Y307" s="117">
        <f t="shared" si="86"/>
        <v>100533560.39999999</v>
      </c>
      <c r="Z307" s="117"/>
      <c r="AA307" s="423">
        <v>6.75</v>
      </c>
      <c r="AB307" s="680">
        <v>44301</v>
      </c>
      <c r="AC307" s="104">
        <f t="shared" si="87"/>
        <v>7.7863013698630139</v>
      </c>
      <c r="AD307" s="104"/>
      <c r="AF307" s="214"/>
      <c r="AG307" s="215"/>
    </row>
    <row r="308" spans="1:33" s="74" customFormat="1" ht="27" customHeight="1">
      <c r="A308" s="73"/>
      <c r="B308" s="73"/>
      <c r="C308" s="73"/>
      <c r="D308" s="73"/>
      <c r="E308" s="277">
        <v>202</v>
      </c>
      <c r="F308" s="64" t="s">
        <v>590</v>
      </c>
      <c r="G308" s="109" t="s">
        <v>711</v>
      </c>
      <c r="H308" s="399" t="s">
        <v>591</v>
      </c>
      <c r="I308" s="399" t="s">
        <v>592</v>
      </c>
      <c r="J308" s="319">
        <f t="shared" si="85"/>
        <v>7.7726027397260271</v>
      </c>
      <c r="K308" s="167" t="s">
        <v>465</v>
      </c>
      <c r="L308" s="341">
        <v>1400000</v>
      </c>
      <c r="M308" s="46" t="s">
        <v>466</v>
      </c>
      <c r="N308" s="46">
        <v>100.718</v>
      </c>
      <c r="O308" s="114">
        <v>6.6279500000000002</v>
      </c>
      <c r="P308" s="91" t="s">
        <v>712</v>
      </c>
      <c r="Q308" s="400" t="s">
        <v>713</v>
      </c>
      <c r="R308" s="168" t="s">
        <v>714</v>
      </c>
      <c r="S308" s="633">
        <v>41459</v>
      </c>
      <c r="T308" s="633">
        <v>41464</v>
      </c>
      <c r="U308" s="229" t="s">
        <v>683</v>
      </c>
      <c r="V308" s="229"/>
      <c r="W308" s="117">
        <v>1432102</v>
      </c>
      <c r="X308" s="117">
        <v>7.8</v>
      </c>
      <c r="Y308" s="117">
        <f t="shared" si="86"/>
        <v>11170395.6</v>
      </c>
      <c r="Z308" s="117"/>
      <c r="AA308" s="423">
        <v>6.75</v>
      </c>
      <c r="AB308" s="680">
        <v>44301</v>
      </c>
      <c r="AC308" s="104">
        <f t="shared" si="87"/>
        <v>7.7863013698630139</v>
      </c>
    </row>
    <row r="309" spans="1:33" s="417" customFormat="1" ht="25.5">
      <c r="A309" s="268" t="s">
        <v>1131</v>
      </c>
      <c r="B309" s="303"/>
      <c r="C309" s="303"/>
      <c r="D309" s="303"/>
      <c r="E309" s="303">
        <v>203</v>
      </c>
      <c r="F309" s="302" t="s">
        <v>202</v>
      </c>
      <c r="G309" s="1474" t="s">
        <v>201</v>
      </c>
      <c r="H309" s="1475" t="s">
        <v>366</v>
      </c>
      <c r="I309" s="1475" t="s">
        <v>368</v>
      </c>
      <c r="J309" s="1476">
        <f t="shared" si="85"/>
        <v>8.8575342465753426</v>
      </c>
      <c r="K309" s="1477" t="s">
        <v>465</v>
      </c>
      <c r="L309" s="341">
        <v>1000000</v>
      </c>
      <c r="M309" s="1477" t="s">
        <v>466</v>
      </c>
      <c r="N309" s="1479">
        <v>93.27</v>
      </c>
      <c r="O309" s="303">
        <v>6.7507599999999996</v>
      </c>
      <c r="P309" s="91" t="s">
        <v>775</v>
      </c>
      <c r="Q309" s="400" t="s">
        <v>941</v>
      </c>
      <c r="R309" s="1474" t="s">
        <v>942</v>
      </c>
      <c r="S309" s="633">
        <v>41459</v>
      </c>
      <c r="T309" s="633">
        <v>41464</v>
      </c>
      <c r="U309" s="1483" t="s">
        <v>1115</v>
      </c>
      <c r="V309" s="302"/>
      <c r="W309" s="1484">
        <v>941135.83</v>
      </c>
      <c r="X309" s="1484">
        <v>7.8</v>
      </c>
      <c r="Y309" s="1484">
        <f t="shared" si="86"/>
        <v>7340859.4739999995</v>
      </c>
      <c r="Z309" s="1484"/>
      <c r="AA309" s="303">
        <v>5.73</v>
      </c>
      <c r="AB309" s="1485">
        <v>44697</v>
      </c>
      <c r="AC309" s="302">
        <f t="shared" si="87"/>
        <v>8.8712328767123285</v>
      </c>
      <c r="AD309" s="302"/>
      <c r="AE309" s="302"/>
      <c r="AF309" s="1486"/>
      <c r="AG309" s="415"/>
    </row>
    <row r="310" spans="1:33" s="74" customFormat="1" ht="25.5" customHeight="1">
      <c r="A310" s="268" t="s">
        <v>1131</v>
      </c>
      <c r="B310" s="73"/>
      <c r="C310" s="73"/>
      <c r="D310" s="73"/>
      <c r="E310" s="91">
        <v>204</v>
      </c>
      <c r="F310" s="64" t="s">
        <v>590</v>
      </c>
      <c r="G310" s="109" t="s">
        <v>711</v>
      </c>
      <c r="H310" s="399" t="s">
        <v>591</v>
      </c>
      <c r="I310" s="399" t="s">
        <v>592</v>
      </c>
      <c r="J310" s="319">
        <f t="shared" ref="J310:J315" si="88">(AB310-T310)/365</f>
        <v>7.7671232876712333</v>
      </c>
      <c r="K310" s="167" t="s">
        <v>465</v>
      </c>
      <c r="L310" s="341">
        <v>6300000</v>
      </c>
      <c r="M310" s="167" t="s">
        <v>945</v>
      </c>
      <c r="N310" s="46">
        <v>100.05</v>
      </c>
      <c r="O310" s="114">
        <v>6.7392799999999999</v>
      </c>
      <c r="P310" s="86" t="s">
        <v>712</v>
      </c>
      <c r="Q310" s="400" t="s">
        <v>713</v>
      </c>
      <c r="R310" s="168" t="s">
        <v>714</v>
      </c>
      <c r="S310" s="633">
        <v>41463</v>
      </c>
      <c r="T310" s="633">
        <v>41466</v>
      </c>
      <c r="U310" s="229" t="s">
        <v>683</v>
      </c>
      <c r="V310" s="229"/>
      <c r="W310" s="117">
        <v>6303150</v>
      </c>
      <c r="X310" s="117">
        <v>7.8</v>
      </c>
      <c r="Y310" s="117">
        <f t="shared" ref="Y310:Y315" si="89">X310*W310</f>
        <v>49164570</v>
      </c>
      <c r="Z310" s="117"/>
      <c r="AA310" s="423">
        <v>6.75</v>
      </c>
      <c r="AB310" s="680">
        <v>44301</v>
      </c>
      <c r="AC310" s="104">
        <f t="shared" ref="AC310:AC315" si="90">(AB310-S310)/365</f>
        <v>7.7753424657534245</v>
      </c>
      <c r="AD310" s="104"/>
      <c r="AF310" s="214"/>
      <c r="AG310" s="215"/>
    </row>
    <row r="311" spans="1:33" s="74" customFormat="1" ht="27" customHeight="1">
      <c r="A311" s="73"/>
      <c r="B311" s="73"/>
      <c r="C311" s="73"/>
      <c r="D311" s="73"/>
      <c r="E311" s="277">
        <v>204</v>
      </c>
      <c r="F311" s="64" t="s">
        <v>590</v>
      </c>
      <c r="G311" s="109" t="s">
        <v>711</v>
      </c>
      <c r="H311" s="399" t="s">
        <v>591</v>
      </c>
      <c r="I311" s="399" t="s">
        <v>592</v>
      </c>
      <c r="J311" s="319">
        <f t="shared" si="88"/>
        <v>7.7671232876712333</v>
      </c>
      <c r="K311" s="167" t="s">
        <v>465</v>
      </c>
      <c r="L311" s="341">
        <v>700000</v>
      </c>
      <c r="M311" s="167" t="s">
        <v>945</v>
      </c>
      <c r="N311" s="46">
        <v>100.05</v>
      </c>
      <c r="O311" s="114">
        <v>6.7392799999999999</v>
      </c>
      <c r="P311" s="91" t="s">
        <v>712</v>
      </c>
      <c r="Q311" s="400" t="s">
        <v>713</v>
      </c>
      <c r="R311" s="168" t="s">
        <v>714</v>
      </c>
      <c r="S311" s="633">
        <v>41463</v>
      </c>
      <c r="T311" s="633">
        <v>41466</v>
      </c>
      <c r="U311" s="229" t="s">
        <v>683</v>
      </c>
      <c r="V311" s="229"/>
      <c r="W311" s="117">
        <v>711637.5</v>
      </c>
      <c r="X311" s="117">
        <v>7.8</v>
      </c>
      <c r="Y311" s="117">
        <f t="shared" si="89"/>
        <v>5550772.5</v>
      </c>
      <c r="Z311" s="117"/>
      <c r="AA311" s="423">
        <v>6.75</v>
      </c>
      <c r="AB311" s="680">
        <v>44301</v>
      </c>
      <c r="AC311" s="104">
        <f t="shared" si="90"/>
        <v>7.7753424657534245</v>
      </c>
    </row>
    <row r="312" spans="1:33" s="74" customFormat="1" ht="25.5" customHeight="1">
      <c r="A312" s="268" t="s">
        <v>1131</v>
      </c>
      <c r="B312" s="73"/>
      <c r="C312" s="73"/>
      <c r="D312" s="73"/>
      <c r="E312" s="91">
        <v>205</v>
      </c>
      <c r="F312" s="64" t="s">
        <v>590</v>
      </c>
      <c r="G312" s="109" t="s">
        <v>711</v>
      </c>
      <c r="H312" s="399" t="s">
        <v>591</v>
      </c>
      <c r="I312" s="399" t="s">
        <v>592</v>
      </c>
      <c r="J312" s="319">
        <f t="shared" si="88"/>
        <v>7.7671232876712333</v>
      </c>
      <c r="K312" s="167" t="s">
        <v>465</v>
      </c>
      <c r="L312" s="341">
        <v>2700000</v>
      </c>
      <c r="M312" s="167" t="s">
        <v>945</v>
      </c>
      <c r="N312" s="46">
        <v>100.375</v>
      </c>
      <c r="O312" s="114">
        <v>6.6849689999999997</v>
      </c>
      <c r="P312" s="86" t="s">
        <v>946</v>
      </c>
      <c r="Q312" s="400" t="s">
        <v>947</v>
      </c>
      <c r="R312" s="168" t="s">
        <v>948</v>
      </c>
      <c r="S312" s="633">
        <v>41463</v>
      </c>
      <c r="T312" s="633">
        <v>41466</v>
      </c>
      <c r="U312" s="229" t="s">
        <v>683</v>
      </c>
      <c r="V312" s="229"/>
      <c r="W312" s="117">
        <v>2710125</v>
      </c>
      <c r="X312" s="117">
        <v>7.8</v>
      </c>
      <c r="Y312" s="117">
        <f t="shared" si="89"/>
        <v>21138975</v>
      </c>
      <c r="Z312" s="117"/>
      <c r="AA312" s="423">
        <v>6.75</v>
      </c>
      <c r="AB312" s="680">
        <v>44301</v>
      </c>
      <c r="AC312" s="104">
        <f t="shared" si="90"/>
        <v>7.7753424657534245</v>
      </c>
      <c r="AD312" s="104"/>
      <c r="AF312" s="214"/>
      <c r="AG312" s="215"/>
    </row>
    <row r="313" spans="1:33" s="74" customFormat="1" ht="27" customHeight="1">
      <c r="A313" s="73"/>
      <c r="B313" s="73"/>
      <c r="C313" s="73"/>
      <c r="D313" s="73"/>
      <c r="E313" s="277">
        <v>205</v>
      </c>
      <c r="F313" s="64" t="s">
        <v>590</v>
      </c>
      <c r="G313" s="109" t="s">
        <v>711</v>
      </c>
      <c r="H313" s="399" t="s">
        <v>591</v>
      </c>
      <c r="I313" s="399" t="s">
        <v>592</v>
      </c>
      <c r="J313" s="319">
        <f t="shared" si="88"/>
        <v>7.7671232876712333</v>
      </c>
      <c r="K313" s="167" t="s">
        <v>465</v>
      </c>
      <c r="L313" s="341">
        <v>300000</v>
      </c>
      <c r="M313" s="167" t="s">
        <v>466</v>
      </c>
      <c r="N313" s="46">
        <v>100.375</v>
      </c>
      <c r="O313" s="114">
        <v>6.6849689999999997</v>
      </c>
      <c r="P313" s="91" t="s">
        <v>946</v>
      </c>
      <c r="Q313" s="400" t="s">
        <v>947</v>
      </c>
      <c r="R313" s="168" t="s">
        <v>948</v>
      </c>
      <c r="S313" s="633">
        <v>41463</v>
      </c>
      <c r="T313" s="633">
        <v>41466</v>
      </c>
      <c r="U313" s="229" t="s">
        <v>683</v>
      </c>
      <c r="V313" s="229"/>
      <c r="W313" s="117">
        <v>305962.5</v>
      </c>
      <c r="X313" s="117">
        <v>7.8</v>
      </c>
      <c r="Y313" s="117">
        <f t="shared" si="89"/>
        <v>2386507.5</v>
      </c>
      <c r="Z313" s="117"/>
      <c r="AA313" s="423">
        <v>6.75</v>
      </c>
      <c r="AB313" s="680">
        <v>44301</v>
      </c>
      <c r="AC313" s="104">
        <f t="shared" si="90"/>
        <v>7.7753424657534245</v>
      </c>
    </row>
    <row r="314" spans="1:33" s="417" customFormat="1" ht="16.5">
      <c r="A314" s="268" t="s">
        <v>1131</v>
      </c>
      <c r="B314" s="303"/>
      <c r="C314" s="303"/>
      <c r="D314" s="303"/>
      <c r="E314" s="303">
        <v>206</v>
      </c>
      <c r="F314" s="302" t="s">
        <v>202</v>
      </c>
      <c r="G314" s="1474" t="s">
        <v>201</v>
      </c>
      <c r="H314" s="1475" t="s">
        <v>366</v>
      </c>
      <c r="I314" s="1475" t="s">
        <v>368</v>
      </c>
      <c r="J314" s="1476">
        <f t="shared" si="88"/>
        <v>8.8520547945205479</v>
      </c>
      <c r="K314" s="1477" t="s">
        <v>465</v>
      </c>
      <c r="L314" s="341">
        <v>2700000</v>
      </c>
      <c r="M314" s="1477" t="s">
        <v>466</v>
      </c>
      <c r="N314" s="1479">
        <v>92.4</v>
      </c>
      <c r="O314" s="303">
        <v>6.8899860000000004</v>
      </c>
      <c r="P314" s="86" t="s">
        <v>946</v>
      </c>
      <c r="Q314" s="400" t="s">
        <v>947</v>
      </c>
      <c r="R314" s="168" t="s">
        <v>948</v>
      </c>
      <c r="S314" s="633">
        <v>41463</v>
      </c>
      <c r="T314" s="633">
        <v>41466</v>
      </c>
      <c r="U314" s="1483" t="s">
        <v>1115</v>
      </c>
      <c r="V314" s="302"/>
      <c r="W314" s="1484">
        <v>2518436.25</v>
      </c>
      <c r="X314" s="1484">
        <v>7.8</v>
      </c>
      <c r="Y314" s="1484">
        <f t="shared" si="89"/>
        <v>19643802.75</v>
      </c>
      <c r="Z314" s="1484"/>
      <c r="AA314" s="303">
        <v>5.73</v>
      </c>
      <c r="AB314" s="1485">
        <v>44697</v>
      </c>
      <c r="AC314" s="302">
        <f t="shared" si="90"/>
        <v>8.8602739726027391</v>
      </c>
      <c r="AD314" s="302"/>
      <c r="AE314" s="302"/>
      <c r="AF314" s="1486"/>
      <c r="AG314" s="415"/>
    </row>
    <row r="315" spans="1:33" s="74" customFormat="1">
      <c r="A315" s="73"/>
      <c r="B315" s="73"/>
      <c r="C315" s="73"/>
      <c r="D315" s="73"/>
      <c r="E315" s="277">
        <v>206</v>
      </c>
      <c r="F315" s="55" t="s">
        <v>202</v>
      </c>
      <c r="G315" s="109" t="s">
        <v>201</v>
      </c>
      <c r="H315" s="399" t="s">
        <v>787</v>
      </c>
      <c r="I315" s="399" t="s">
        <v>1077</v>
      </c>
      <c r="J315" s="319">
        <f t="shared" si="88"/>
        <v>8.8520547945205479</v>
      </c>
      <c r="K315" s="46" t="s">
        <v>465</v>
      </c>
      <c r="L315" s="341">
        <v>300000</v>
      </c>
      <c r="M315" s="46" t="s">
        <v>466</v>
      </c>
      <c r="N315" s="114">
        <v>92.4</v>
      </c>
      <c r="O315" s="91">
        <v>6.8899860000000004</v>
      </c>
      <c r="P315" s="91" t="s">
        <v>946</v>
      </c>
      <c r="Q315" s="400" t="s">
        <v>947</v>
      </c>
      <c r="R315" s="168" t="s">
        <v>948</v>
      </c>
      <c r="S315" s="633">
        <v>41463</v>
      </c>
      <c r="T315" s="633">
        <v>41466</v>
      </c>
      <c r="U315" s="229" t="s">
        <v>1102</v>
      </c>
      <c r="W315" s="143">
        <v>279826.25</v>
      </c>
      <c r="X315" s="143">
        <v>7.8</v>
      </c>
      <c r="Y315" s="117">
        <f t="shared" si="89"/>
        <v>2182644.75</v>
      </c>
      <c r="Z315" s="342"/>
      <c r="AA315" s="73">
        <v>5.73</v>
      </c>
      <c r="AB315" s="681">
        <v>44697</v>
      </c>
      <c r="AC315" s="104">
        <f t="shared" si="90"/>
        <v>8.8602739726027391</v>
      </c>
    </row>
    <row r="316" spans="1:33" s="74" customFormat="1" ht="25.5" customHeight="1">
      <c r="A316" s="268" t="s">
        <v>903</v>
      </c>
      <c r="B316" s="73"/>
      <c r="C316" s="73"/>
      <c r="D316" s="73"/>
      <c r="E316" s="91">
        <v>207</v>
      </c>
      <c r="F316" s="64" t="s">
        <v>590</v>
      </c>
      <c r="G316" s="109" t="s">
        <v>711</v>
      </c>
      <c r="H316" s="399" t="s">
        <v>591</v>
      </c>
      <c r="I316" s="399" t="s">
        <v>592</v>
      </c>
      <c r="J316" s="319">
        <f t="shared" ref="J316:J326" si="91">(AB316-T316)/365</f>
        <v>7.7643835616438359</v>
      </c>
      <c r="K316" s="167" t="s">
        <v>465</v>
      </c>
      <c r="L316" s="341">
        <v>1000000</v>
      </c>
      <c r="M316" s="167" t="s">
        <v>945</v>
      </c>
      <c r="N316" s="46">
        <v>100.7</v>
      </c>
      <c r="O316" s="114">
        <v>6.6308400000000001</v>
      </c>
      <c r="P316" s="86" t="s">
        <v>946</v>
      </c>
      <c r="Q316" s="400" t="s">
        <v>947</v>
      </c>
      <c r="R316" s="168" t="s">
        <v>948</v>
      </c>
      <c r="S316" s="633">
        <v>41464</v>
      </c>
      <c r="T316" s="633">
        <v>41467</v>
      </c>
      <c r="U316" s="229" t="s">
        <v>683</v>
      </c>
      <c r="V316" s="229"/>
      <c r="W316" s="117">
        <v>1023312.5</v>
      </c>
      <c r="X316" s="117">
        <v>7.8</v>
      </c>
      <c r="Y316" s="117">
        <f t="shared" ref="Y316:Y322" si="92">X316*W316</f>
        <v>7981837.5</v>
      </c>
      <c r="Z316" s="117"/>
      <c r="AA316" s="423">
        <v>6.75</v>
      </c>
      <c r="AB316" s="680">
        <v>44301</v>
      </c>
      <c r="AC316" s="104">
        <f t="shared" ref="AC316:AC326" si="93">(AB316-S316)/365</f>
        <v>7.7726027397260271</v>
      </c>
      <c r="AD316" s="104"/>
      <c r="AF316" s="214"/>
      <c r="AG316" s="215"/>
    </row>
    <row r="317" spans="1:33" s="74" customFormat="1" ht="25.5" customHeight="1">
      <c r="A317" s="268" t="s">
        <v>903</v>
      </c>
      <c r="B317" s="73"/>
      <c r="C317" s="73"/>
      <c r="D317" s="73"/>
      <c r="E317" s="91">
        <v>208</v>
      </c>
      <c r="F317" s="64" t="s">
        <v>590</v>
      </c>
      <c r="G317" s="109" t="s">
        <v>711</v>
      </c>
      <c r="H317" s="399" t="s">
        <v>591</v>
      </c>
      <c r="I317" s="399" t="s">
        <v>592</v>
      </c>
      <c r="J317" s="319">
        <f t="shared" si="91"/>
        <v>7.7561643835616438</v>
      </c>
      <c r="K317" s="167" t="s">
        <v>465</v>
      </c>
      <c r="L317" s="341">
        <v>1800000</v>
      </c>
      <c r="M317" s="167" t="s">
        <v>466</v>
      </c>
      <c r="N317" s="46">
        <v>100.375</v>
      </c>
      <c r="O317" s="114">
        <v>6.6848900000000002</v>
      </c>
      <c r="P317" s="86" t="s">
        <v>946</v>
      </c>
      <c r="Q317" s="400" t="s">
        <v>947</v>
      </c>
      <c r="R317" s="168" t="s">
        <v>948</v>
      </c>
      <c r="S317" s="633">
        <v>41465</v>
      </c>
      <c r="T317" s="633">
        <v>41470</v>
      </c>
      <c r="U317" s="229" t="s">
        <v>683</v>
      </c>
      <c r="V317" s="229"/>
      <c r="W317" s="117">
        <v>1837125</v>
      </c>
      <c r="X317" s="117">
        <v>7.8</v>
      </c>
      <c r="Y317" s="117">
        <f t="shared" si="92"/>
        <v>14329575</v>
      </c>
      <c r="Z317" s="117"/>
      <c r="AA317" s="423">
        <v>6.75</v>
      </c>
      <c r="AB317" s="680">
        <v>44301</v>
      </c>
      <c r="AC317" s="104">
        <f t="shared" si="93"/>
        <v>7.7698630136986298</v>
      </c>
      <c r="AD317" s="104"/>
      <c r="AF317" s="214"/>
      <c r="AG317" s="215"/>
    </row>
    <row r="318" spans="1:33" s="74" customFormat="1" ht="25.5" customHeight="1">
      <c r="A318" s="268"/>
      <c r="B318" s="73"/>
      <c r="C318" s="73"/>
      <c r="D318" s="73"/>
      <c r="E318" s="91">
        <v>208</v>
      </c>
      <c r="F318" s="64" t="s">
        <v>590</v>
      </c>
      <c r="G318" s="109" t="s">
        <v>711</v>
      </c>
      <c r="H318" s="399" t="s">
        <v>591</v>
      </c>
      <c r="I318" s="399" t="s">
        <v>592</v>
      </c>
      <c r="J318" s="319">
        <f t="shared" si="91"/>
        <v>7.7561643835616438</v>
      </c>
      <c r="K318" s="167" t="s">
        <v>465</v>
      </c>
      <c r="L318" s="341">
        <v>200000</v>
      </c>
      <c r="M318" s="167" t="s">
        <v>466</v>
      </c>
      <c r="N318" s="46">
        <v>100.375</v>
      </c>
      <c r="O318" s="114">
        <v>6.6848900000000002</v>
      </c>
      <c r="P318" s="86" t="s">
        <v>946</v>
      </c>
      <c r="Q318" s="400" t="s">
        <v>947</v>
      </c>
      <c r="R318" s="168" t="s">
        <v>948</v>
      </c>
      <c r="S318" s="633">
        <v>41465</v>
      </c>
      <c r="T318" s="633">
        <v>41470</v>
      </c>
      <c r="U318" s="229" t="s">
        <v>683</v>
      </c>
      <c r="V318" s="229"/>
      <c r="W318" s="117">
        <v>204125</v>
      </c>
      <c r="X318" s="117">
        <v>7.8</v>
      </c>
      <c r="Y318" s="117">
        <f t="shared" si="92"/>
        <v>1592175</v>
      </c>
      <c r="Z318" s="117"/>
      <c r="AA318" s="423">
        <v>6.75</v>
      </c>
      <c r="AB318" s="680">
        <v>44301</v>
      </c>
      <c r="AC318" s="104">
        <f t="shared" si="93"/>
        <v>7.7698630136986298</v>
      </c>
      <c r="AD318" s="104"/>
      <c r="AF318" s="214"/>
      <c r="AG318" s="215"/>
    </row>
    <row r="319" spans="1:33" s="74" customFormat="1" ht="25.5" customHeight="1">
      <c r="A319" s="268" t="s">
        <v>903</v>
      </c>
      <c r="B319" s="73"/>
      <c r="C319" s="73"/>
      <c r="D319" s="73"/>
      <c r="E319" s="91">
        <v>209</v>
      </c>
      <c r="F319" s="64" t="s">
        <v>590</v>
      </c>
      <c r="G319" s="109" t="s">
        <v>711</v>
      </c>
      <c r="H319" s="399" t="s">
        <v>591</v>
      </c>
      <c r="I319" s="399" t="s">
        <v>592</v>
      </c>
      <c r="J319" s="319">
        <f t="shared" si="91"/>
        <v>7.7561643835616438</v>
      </c>
      <c r="K319" s="167" t="s">
        <v>465</v>
      </c>
      <c r="L319" s="341">
        <v>1000000</v>
      </c>
      <c r="M319" s="167" t="s">
        <v>466</v>
      </c>
      <c r="N319" s="46">
        <v>100.2</v>
      </c>
      <c r="O319" s="114">
        <v>6.7141400000000004</v>
      </c>
      <c r="P319" s="86" t="s">
        <v>677</v>
      </c>
      <c r="Q319" s="400" t="s">
        <v>678</v>
      </c>
      <c r="R319" s="168" t="s">
        <v>679</v>
      </c>
      <c r="S319" s="633">
        <v>41465</v>
      </c>
      <c r="T319" s="633">
        <v>41470</v>
      </c>
      <c r="U319" s="229" t="s">
        <v>683</v>
      </c>
      <c r="V319" s="229"/>
      <c r="W319" s="117">
        <v>1018875</v>
      </c>
      <c r="X319" s="117">
        <v>7.8</v>
      </c>
      <c r="Y319" s="117">
        <f t="shared" si="92"/>
        <v>7947225</v>
      </c>
      <c r="Z319" s="117"/>
      <c r="AA319" s="423">
        <v>6.75</v>
      </c>
      <c r="AB319" s="680">
        <v>44301</v>
      </c>
      <c r="AC319" s="104">
        <f t="shared" si="93"/>
        <v>7.7698630136986298</v>
      </c>
      <c r="AD319" s="104"/>
      <c r="AF319" s="214"/>
      <c r="AG319" s="215"/>
    </row>
    <row r="320" spans="1:33" s="74" customFormat="1" ht="25.5" customHeight="1">
      <c r="A320" s="268" t="s">
        <v>902</v>
      </c>
      <c r="B320" s="73"/>
      <c r="C320" s="73"/>
      <c r="D320" s="73"/>
      <c r="E320" s="91">
        <v>210</v>
      </c>
      <c r="F320" s="64" t="s">
        <v>202</v>
      </c>
      <c r="G320" s="109" t="s">
        <v>1078</v>
      </c>
      <c r="H320" s="399" t="s">
        <v>79</v>
      </c>
      <c r="I320" s="399" t="s">
        <v>340</v>
      </c>
      <c r="J320" s="319">
        <f t="shared" si="91"/>
        <v>8.8328767123287673</v>
      </c>
      <c r="K320" s="167" t="s">
        <v>465</v>
      </c>
      <c r="L320" s="341">
        <v>1000000</v>
      </c>
      <c r="M320" s="167" t="s">
        <v>347</v>
      </c>
      <c r="N320" s="46">
        <v>93.92</v>
      </c>
      <c r="O320" s="114">
        <v>6.6500300000000001</v>
      </c>
      <c r="P320" s="86" t="s">
        <v>331</v>
      </c>
      <c r="Q320" s="400" t="s">
        <v>595</v>
      </c>
      <c r="R320" s="168" t="s">
        <v>596</v>
      </c>
      <c r="S320" s="633">
        <v>41470</v>
      </c>
      <c r="T320" s="633">
        <v>41473</v>
      </c>
      <c r="U320" s="229" t="s">
        <v>683</v>
      </c>
      <c r="V320" s="229"/>
      <c r="W320" s="117">
        <v>949068.33</v>
      </c>
      <c r="X320" s="117">
        <v>7.8</v>
      </c>
      <c r="Y320" s="117">
        <f t="shared" si="92"/>
        <v>7402732.9739999995</v>
      </c>
      <c r="Z320" s="117"/>
      <c r="AA320" s="423">
        <v>5.73</v>
      </c>
      <c r="AB320" s="680">
        <v>44697</v>
      </c>
      <c r="AC320" s="104">
        <f t="shared" si="93"/>
        <v>8.8410958904109584</v>
      </c>
      <c r="AD320" s="104"/>
      <c r="AF320" s="214"/>
      <c r="AG320" s="215"/>
    </row>
    <row r="321" spans="1:33" s="74" customFormat="1" ht="25.5" customHeight="1">
      <c r="A321" s="268" t="s">
        <v>903</v>
      </c>
      <c r="B321" s="73"/>
      <c r="C321" s="73"/>
      <c r="D321" s="73"/>
      <c r="E321" s="91">
        <v>211</v>
      </c>
      <c r="F321" s="64" t="s">
        <v>590</v>
      </c>
      <c r="G321" s="109" t="s">
        <v>711</v>
      </c>
      <c r="H321" s="399" t="s">
        <v>591</v>
      </c>
      <c r="I321" s="399" t="s">
        <v>592</v>
      </c>
      <c r="J321" s="319">
        <f t="shared" si="91"/>
        <v>7.7369863013698632</v>
      </c>
      <c r="K321" s="167" t="s">
        <v>465</v>
      </c>
      <c r="L321" s="341">
        <v>6300000</v>
      </c>
      <c r="M321" s="167" t="s">
        <v>466</v>
      </c>
      <c r="N321" s="46">
        <v>102.646</v>
      </c>
      <c r="O321" s="114">
        <v>6.3100560000000003</v>
      </c>
      <c r="P321" s="86" t="s">
        <v>335</v>
      </c>
      <c r="Q321" s="400" t="s">
        <v>7</v>
      </c>
      <c r="R321" s="168" t="s">
        <v>8</v>
      </c>
      <c r="S321" s="633">
        <v>41472</v>
      </c>
      <c r="T321" s="633">
        <v>41477</v>
      </c>
      <c r="U321" s="229" t="s">
        <v>683</v>
      </c>
      <c r="V321" s="229"/>
      <c r="W321" s="117">
        <v>6581279.25</v>
      </c>
      <c r="X321" s="117">
        <v>7.8</v>
      </c>
      <c r="Y321" s="117">
        <f t="shared" si="92"/>
        <v>51333978.149999999</v>
      </c>
      <c r="Z321" s="117"/>
      <c r="AA321" s="423">
        <v>6.75</v>
      </c>
      <c r="AB321" s="680">
        <v>44301</v>
      </c>
      <c r="AC321" s="104">
        <f t="shared" si="93"/>
        <v>7.7506849315068491</v>
      </c>
      <c r="AD321" s="104"/>
      <c r="AF321" s="214"/>
      <c r="AG321" s="215"/>
    </row>
    <row r="322" spans="1:33" s="74" customFormat="1" ht="25.5" customHeight="1">
      <c r="A322" s="268"/>
      <c r="B322" s="73"/>
      <c r="C322" s="73"/>
      <c r="D322" s="73"/>
      <c r="E322" s="91">
        <v>211</v>
      </c>
      <c r="F322" s="64" t="s">
        <v>590</v>
      </c>
      <c r="G322" s="109" t="s">
        <v>711</v>
      </c>
      <c r="H322" s="399" t="s">
        <v>591</v>
      </c>
      <c r="I322" s="399" t="s">
        <v>592</v>
      </c>
      <c r="J322" s="319">
        <f t="shared" si="91"/>
        <v>7.7369863013698632</v>
      </c>
      <c r="K322" s="167" t="s">
        <v>465</v>
      </c>
      <c r="L322" s="341">
        <v>700000</v>
      </c>
      <c r="M322" s="167" t="s">
        <v>466</v>
      </c>
      <c r="N322" s="46">
        <v>102.646</v>
      </c>
      <c r="O322" s="114">
        <v>6.3100560000000003</v>
      </c>
      <c r="P322" s="86" t="s">
        <v>335</v>
      </c>
      <c r="Q322" s="400" t="s">
        <v>7</v>
      </c>
      <c r="R322" s="168" t="s">
        <v>8</v>
      </c>
      <c r="S322" s="633">
        <v>41472</v>
      </c>
      <c r="T322" s="633">
        <v>41477</v>
      </c>
      <c r="U322" s="229" t="s">
        <v>683</v>
      </c>
      <c r="V322" s="229"/>
      <c r="W322" s="117">
        <v>731253.25</v>
      </c>
      <c r="X322" s="117">
        <v>7.8</v>
      </c>
      <c r="Y322" s="117">
        <f t="shared" si="92"/>
        <v>5703775.3499999996</v>
      </c>
      <c r="Z322" s="117"/>
      <c r="AA322" s="423">
        <v>6.75</v>
      </c>
      <c r="AB322" s="680">
        <v>44301</v>
      </c>
      <c r="AC322" s="104">
        <f t="shared" si="93"/>
        <v>7.7506849315068491</v>
      </c>
      <c r="AD322" s="104"/>
      <c r="AF322" s="214"/>
      <c r="AG322" s="215"/>
    </row>
    <row r="323" spans="1:33" s="74" customFormat="1" ht="25.5" customHeight="1">
      <c r="A323" s="268" t="s">
        <v>902</v>
      </c>
      <c r="B323" s="73"/>
      <c r="C323" s="73"/>
      <c r="D323" s="73"/>
      <c r="E323" s="91">
        <v>212</v>
      </c>
      <c r="F323" s="64" t="s">
        <v>202</v>
      </c>
      <c r="G323" s="109" t="s">
        <v>1078</v>
      </c>
      <c r="H323" s="399" t="s">
        <v>79</v>
      </c>
      <c r="I323" s="399" t="s">
        <v>340</v>
      </c>
      <c r="J323" s="319">
        <f t="shared" si="91"/>
        <v>8.8191780821917813</v>
      </c>
      <c r="K323" s="167" t="s">
        <v>465</v>
      </c>
      <c r="L323" s="341">
        <v>600000</v>
      </c>
      <c r="M323" s="167" t="s">
        <v>92</v>
      </c>
      <c r="N323" s="46">
        <v>95.5</v>
      </c>
      <c r="O323" s="114">
        <v>6.4044800000000004</v>
      </c>
      <c r="P323" s="86" t="s">
        <v>1063</v>
      </c>
      <c r="Q323" s="400" t="s">
        <v>600</v>
      </c>
      <c r="R323" s="168" t="s">
        <v>88</v>
      </c>
      <c r="S323" s="633">
        <v>41473</v>
      </c>
      <c r="T323" s="633">
        <v>41478</v>
      </c>
      <c r="U323" s="229" t="s">
        <v>683</v>
      </c>
      <c r="V323" s="229"/>
      <c r="W323" s="117">
        <v>579398.5</v>
      </c>
      <c r="X323" s="117">
        <v>7.8</v>
      </c>
      <c r="Y323" s="117">
        <f t="shared" ref="Y323:Y329" si="94">X323*W323</f>
        <v>4519308.3</v>
      </c>
      <c r="Z323" s="117"/>
      <c r="AA323" s="423">
        <v>5.73</v>
      </c>
      <c r="AB323" s="680">
        <v>44697</v>
      </c>
      <c r="AC323" s="104">
        <f t="shared" si="93"/>
        <v>8.8328767123287673</v>
      </c>
      <c r="AD323" s="104"/>
      <c r="AF323" s="214"/>
      <c r="AG323" s="215"/>
    </row>
    <row r="324" spans="1:33" s="74" customFormat="1" ht="25.5" customHeight="1">
      <c r="A324" s="268"/>
      <c r="B324" s="73"/>
      <c r="C324" s="73"/>
      <c r="D324" s="73"/>
      <c r="E324" s="91">
        <v>212</v>
      </c>
      <c r="F324" s="64" t="s">
        <v>202</v>
      </c>
      <c r="G324" s="109" t="s">
        <v>1078</v>
      </c>
      <c r="H324" s="399" t="s">
        <v>79</v>
      </c>
      <c r="I324" s="399" t="s">
        <v>340</v>
      </c>
      <c r="J324" s="319">
        <f t="shared" si="91"/>
        <v>8.8191780821917813</v>
      </c>
      <c r="K324" s="167" t="s">
        <v>465</v>
      </c>
      <c r="L324" s="341">
        <v>400000</v>
      </c>
      <c r="M324" s="167" t="s">
        <v>92</v>
      </c>
      <c r="N324" s="46">
        <v>95.5</v>
      </c>
      <c r="O324" s="114">
        <v>6.4044800000000004</v>
      </c>
      <c r="P324" s="86" t="s">
        <v>1063</v>
      </c>
      <c r="Q324" s="400" t="s">
        <v>600</v>
      </c>
      <c r="R324" s="168" t="s">
        <v>88</v>
      </c>
      <c r="S324" s="633">
        <v>41473</v>
      </c>
      <c r="T324" s="633">
        <v>41478</v>
      </c>
      <c r="U324" s="229" t="s">
        <v>683</v>
      </c>
      <c r="V324" s="229"/>
      <c r="W324" s="117">
        <v>386265.67</v>
      </c>
      <c r="X324" s="117">
        <v>7.8</v>
      </c>
      <c r="Y324" s="117">
        <f t="shared" si="94"/>
        <v>3012872.2259999998</v>
      </c>
      <c r="Z324" s="117"/>
      <c r="AA324" s="423">
        <v>5.73</v>
      </c>
      <c r="AB324" s="680">
        <v>44697</v>
      </c>
      <c r="AC324" s="104">
        <f t="shared" si="93"/>
        <v>8.8328767123287673</v>
      </c>
      <c r="AD324" s="104"/>
      <c r="AF324" s="214"/>
      <c r="AG324" s="215"/>
    </row>
    <row r="325" spans="1:33" s="74" customFormat="1" ht="25.5" customHeight="1">
      <c r="A325" s="268" t="s">
        <v>903</v>
      </c>
      <c r="B325" s="73"/>
      <c r="C325" s="73"/>
      <c r="D325" s="73"/>
      <c r="E325" s="91">
        <v>213</v>
      </c>
      <c r="F325" s="64" t="s">
        <v>202</v>
      </c>
      <c r="G325" s="109" t="s">
        <v>201</v>
      </c>
      <c r="H325" s="399" t="s">
        <v>366</v>
      </c>
      <c r="I325" s="399" t="s">
        <v>368</v>
      </c>
      <c r="J325" s="319">
        <f t="shared" si="91"/>
        <v>8.8191780821917813</v>
      </c>
      <c r="K325" s="167" t="s">
        <v>465</v>
      </c>
      <c r="L325" s="341">
        <v>2700000</v>
      </c>
      <c r="M325" s="167" t="s">
        <v>92</v>
      </c>
      <c r="N325" s="46">
        <v>96.18</v>
      </c>
      <c r="O325" s="114">
        <v>6.2998839999999996</v>
      </c>
      <c r="P325" s="86" t="s">
        <v>1133</v>
      </c>
      <c r="Q325" s="400" t="s">
        <v>1134</v>
      </c>
      <c r="R325" s="168" t="s">
        <v>1135</v>
      </c>
      <c r="S325" s="633">
        <v>41473</v>
      </c>
      <c r="T325" s="633">
        <v>41478</v>
      </c>
      <c r="U325" s="229" t="s">
        <v>884</v>
      </c>
      <c r="V325" s="229"/>
      <c r="W325" s="117">
        <v>2625653.25</v>
      </c>
      <c r="X325" s="117">
        <v>7.8</v>
      </c>
      <c r="Y325" s="117">
        <f t="shared" si="94"/>
        <v>20480095.349999998</v>
      </c>
      <c r="Z325" s="117"/>
      <c r="AA325" s="423">
        <v>5.73</v>
      </c>
      <c r="AB325" s="680">
        <v>44697</v>
      </c>
      <c r="AC325" s="104">
        <f t="shared" si="93"/>
        <v>8.8328767123287673</v>
      </c>
      <c r="AD325" s="104"/>
      <c r="AF325" s="214"/>
      <c r="AG325" s="215"/>
    </row>
    <row r="326" spans="1:33" s="74" customFormat="1" ht="25.5" customHeight="1">
      <c r="A326" s="268"/>
      <c r="B326" s="73"/>
      <c r="C326" s="73"/>
      <c r="D326" s="73"/>
      <c r="E326" s="91">
        <v>213</v>
      </c>
      <c r="F326" s="64" t="s">
        <v>202</v>
      </c>
      <c r="G326" s="109" t="s">
        <v>201</v>
      </c>
      <c r="H326" s="399" t="s">
        <v>787</v>
      </c>
      <c r="I326" s="399" t="s">
        <v>1077</v>
      </c>
      <c r="J326" s="319">
        <f t="shared" si="91"/>
        <v>8.8191780821917813</v>
      </c>
      <c r="K326" s="167" t="s">
        <v>465</v>
      </c>
      <c r="L326" s="341">
        <v>300000</v>
      </c>
      <c r="M326" s="167" t="s">
        <v>92</v>
      </c>
      <c r="N326" s="46">
        <v>96.18</v>
      </c>
      <c r="O326" s="114">
        <v>6.2998839999999996</v>
      </c>
      <c r="P326" s="86" t="s">
        <v>1133</v>
      </c>
      <c r="Q326" s="400" t="s">
        <v>1134</v>
      </c>
      <c r="R326" s="168" t="s">
        <v>1136</v>
      </c>
      <c r="S326" s="633">
        <v>41473</v>
      </c>
      <c r="T326" s="633">
        <v>41478</v>
      </c>
      <c r="U326" s="229" t="s">
        <v>599</v>
      </c>
      <c r="V326" s="229"/>
      <c r="W326" s="117">
        <v>291739.25</v>
      </c>
      <c r="X326" s="117">
        <v>7.8</v>
      </c>
      <c r="Y326" s="117">
        <f t="shared" si="94"/>
        <v>2275566.15</v>
      </c>
      <c r="Z326" s="117"/>
      <c r="AA326" s="423">
        <v>5.73</v>
      </c>
      <c r="AB326" s="680">
        <v>44697</v>
      </c>
      <c r="AC326" s="104">
        <f t="shared" si="93"/>
        <v>8.8328767123287673</v>
      </c>
      <c r="AD326" s="104"/>
      <c r="AF326" s="214"/>
      <c r="AG326" s="215"/>
    </row>
    <row r="327" spans="1:33" s="74" customFormat="1" ht="25.5" customHeight="1">
      <c r="A327" s="268" t="s">
        <v>903</v>
      </c>
      <c r="B327" s="73"/>
      <c r="C327" s="73"/>
      <c r="D327" s="73"/>
      <c r="E327" s="91">
        <v>214</v>
      </c>
      <c r="F327" s="64" t="s">
        <v>202</v>
      </c>
      <c r="G327" s="109" t="s">
        <v>201</v>
      </c>
      <c r="H327" s="399" t="s">
        <v>366</v>
      </c>
      <c r="I327" s="399" t="s">
        <v>368</v>
      </c>
      <c r="J327" s="319">
        <f t="shared" ref="J327:J333" si="95">(AB327-T327)/365</f>
        <v>8.8109589041095884</v>
      </c>
      <c r="K327" s="167" t="s">
        <v>465</v>
      </c>
      <c r="L327" s="341">
        <v>500000</v>
      </c>
      <c r="M327" s="167" t="s">
        <v>92</v>
      </c>
      <c r="N327" s="46">
        <v>96.180999999999997</v>
      </c>
      <c r="O327" s="114">
        <v>6.3001180000000003</v>
      </c>
      <c r="P327" s="86" t="s">
        <v>938</v>
      </c>
      <c r="Q327" s="400" t="s">
        <v>7</v>
      </c>
      <c r="R327" s="168" t="s">
        <v>8</v>
      </c>
      <c r="S327" s="633">
        <v>41478</v>
      </c>
      <c r="T327" s="633">
        <v>41481</v>
      </c>
      <c r="U327" s="229" t="s">
        <v>884</v>
      </c>
      <c r="V327" s="229"/>
      <c r="W327" s="117">
        <v>486475.83</v>
      </c>
      <c r="X327" s="117">
        <v>7.8</v>
      </c>
      <c r="Y327" s="117">
        <f t="shared" si="94"/>
        <v>3794511.4739999999</v>
      </c>
      <c r="Z327" s="117"/>
      <c r="AA327" s="423">
        <v>5.73</v>
      </c>
      <c r="AB327" s="680">
        <v>44697</v>
      </c>
      <c r="AC327" s="104">
        <f t="shared" ref="AC327:AC333" si="96">(AB327-S327)/365</f>
        <v>8.8191780821917813</v>
      </c>
      <c r="AD327" s="104"/>
      <c r="AF327" s="214"/>
      <c r="AG327" s="215"/>
    </row>
    <row r="328" spans="1:33" s="74" customFormat="1" ht="25.5" customHeight="1">
      <c r="A328" s="268" t="s">
        <v>903</v>
      </c>
      <c r="B328" s="73"/>
      <c r="C328" s="73"/>
      <c r="D328" s="73"/>
      <c r="E328" s="91">
        <v>215</v>
      </c>
      <c r="F328" s="64" t="s">
        <v>202</v>
      </c>
      <c r="G328" s="109" t="s">
        <v>201</v>
      </c>
      <c r="H328" s="399" t="s">
        <v>366</v>
      </c>
      <c r="I328" s="399" t="s">
        <v>368</v>
      </c>
      <c r="J328" s="319">
        <f t="shared" si="95"/>
        <v>8.8109589041095884</v>
      </c>
      <c r="K328" s="167" t="s">
        <v>465</v>
      </c>
      <c r="L328" s="341">
        <v>5350000</v>
      </c>
      <c r="M328" s="167" t="s">
        <v>92</v>
      </c>
      <c r="N328" s="46">
        <v>96.77</v>
      </c>
      <c r="O328" s="114">
        <v>6.2101800000000003</v>
      </c>
      <c r="P328" s="86" t="s">
        <v>331</v>
      </c>
      <c r="Q328" s="400" t="s">
        <v>595</v>
      </c>
      <c r="R328" s="168" t="s">
        <v>596</v>
      </c>
      <c r="S328" s="633">
        <v>41478</v>
      </c>
      <c r="T328" s="633">
        <v>41481</v>
      </c>
      <c r="U328" s="229" t="s">
        <v>884</v>
      </c>
      <c r="V328" s="229"/>
      <c r="W328" s="117">
        <v>5236802.92</v>
      </c>
      <c r="X328" s="117">
        <v>7.8</v>
      </c>
      <c r="Y328" s="117">
        <f t="shared" si="94"/>
        <v>40847062.776000001</v>
      </c>
      <c r="Z328" s="117"/>
      <c r="AA328" s="423">
        <v>5.73</v>
      </c>
      <c r="AB328" s="680">
        <v>44697</v>
      </c>
      <c r="AC328" s="104">
        <f t="shared" si="96"/>
        <v>8.8191780821917813</v>
      </c>
      <c r="AD328" s="104"/>
      <c r="AF328" s="214"/>
      <c r="AG328" s="215"/>
    </row>
    <row r="329" spans="1:33" s="74" customFormat="1" ht="25.5" customHeight="1">
      <c r="A329" s="268"/>
      <c r="B329" s="73"/>
      <c r="C329" s="73"/>
      <c r="D329" s="73"/>
      <c r="E329" s="91">
        <v>215</v>
      </c>
      <c r="F329" s="64" t="s">
        <v>202</v>
      </c>
      <c r="G329" s="109" t="s">
        <v>201</v>
      </c>
      <c r="H329" s="399" t="s">
        <v>366</v>
      </c>
      <c r="I329" s="399" t="s">
        <v>368</v>
      </c>
      <c r="J329" s="319">
        <f t="shared" si="95"/>
        <v>8.8109589041095884</v>
      </c>
      <c r="K329" s="167" t="s">
        <v>465</v>
      </c>
      <c r="L329" s="341">
        <v>650000</v>
      </c>
      <c r="M329" s="167" t="s">
        <v>92</v>
      </c>
      <c r="N329" s="46">
        <v>96.77</v>
      </c>
      <c r="O329" s="114">
        <v>6.2101800000000003</v>
      </c>
      <c r="P329" s="86" t="s">
        <v>331</v>
      </c>
      <c r="Q329" s="400" t="s">
        <v>595</v>
      </c>
      <c r="R329" s="168" t="s">
        <v>596</v>
      </c>
      <c r="S329" s="633">
        <v>41478</v>
      </c>
      <c r="T329" s="633">
        <v>41481</v>
      </c>
      <c r="U329" s="229" t="s">
        <v>884</v>
      </c>
      <c r="V329" s="229"/>
      <c r="W329" s="117">
        <v>636247.07999999996</v>
      </c>
      <c r="X329" s="117">
        <v>7.8</v>
      </c>
      <c r="Y329" s="117">
        <f t="shared" si="94"/>
        <v>4962727.2239999995</v>
      </c>
      <c r="Z329" s="117"/>
      <c r="AA329" s="423">
        <v>5.73</v>
      </c>
      <c r="AB329" s="680">
        <v>44697</v>
      </c>
      <c r="AC329" s="104">
        <f t="shared" si="96"/>
        <v>8.8191780821917813</v>
      </c>
      <c r="AD329" s="104"/>
      <c r="AF329" s="214"/>
      <c r="AG329" s="215"/>
    </row>
    <row r="330" spans="1:33" s="74" customFormat="1" ht="25.5" customHeight="1">
      <c r="A330" s="268" t="s">
        <v>903</v>
      </c>
      <c r="B330" s="73"/>
      <c r="C330" s="73"/>
      <c r="D330" s="73"/>
      <c r="E330" s="91">
        <v>216</v>
      </c>
      <c r="F330" s="64" t="s">
        <v>590</v>
      </c>
      <c r="G330" s="109" t="s">
        <v>711</v>
      </c>
      <c r="H330" s="399" t="s">
        <v>591</v>
      </c>
      <c r="I330" s="399" t="s">
        <v>592</v>
      </c>
      <c r="J330" s="319">
        <f t="shared" si="95"/>
        <v>7.7178082191780826</v>
      </c>
      <c r="K330" s="167" t="s">
        <v>465</v>
      </c>
      <c r="L330" s="341">
        <v>1600000</v>
      </c>
      <c r="M330" s="167" t="s">
        <v>466</v>
      </c>
      <c r="N330" s="46">
        <v>104.44</v>
      </c>
      <c r="O330" s="114">
        <v>6.0197900000000004</v>
      </c>
      <c r="P330" s="86" t="s">
        <v>775</v>
      </c>
      <c r="Q330" s="400" t="s">
        <v>941</v>
      </c>
      <c r="R330" s="168" t="s">
        <v>942</v>
      </c>
      <c r="S330" s="633">
        <v>41479</v>
      </c>
      <c r="T330" s="633">
        <v>41484</v>
      </c>
      <c r="U330" s="229" t="s">
        <v>683</v>
      </c>
      <c r="V330" s="229"/>
      <c r="W330" s="699">
        <v>1702240</v>
      </c>
      <c r="X330" s="117">
        <v>7.8</v>
      </c>
      <c r="Y330" s="117">
        <f t="shared" ref="Y330:Y335" si="97">X330*W330</f>
        <v>13277472</v>
      </c>
      <c r="Z330" s="117"/>
      <c r="AA330" s="423">
        <v>6.75</v>
      </c>
      <c r="AB330" s="680">
        <v>44301</v>
      </c>
      <c r="AC330" s="104">
        <f t="shared" si="96"/>
        <v>7.7315068493150685</v>
      </c>
      <c r="AD330" s="104"/>
      <c r="AF330" s="214"/>
      <c r="AG330" s="215"/>
    </row>
    <row r="331" spans="1:33" s="74" customFormat="1" ht="25.5" customHeight="1">
      <c r="A331" s="268"/>
      <c r="B331" s="73"/>
      <c r="C331" s="73"/>
      <c r="D331" s="73"/>
      <c r="E331" s="91">
        <v>216</v>
      </c>
      <c r="F331" s="64" t="s">
        <v>590</v>
      </c>
      <c r="G331" s="109" t="s">
        <v>711</v>
      </c>
      <c r="H331" s="399" t="s">
        <v>591</v>
      </c>
      <c r="I331" s="399" t="s">
        <v>592</v>
      </c>
      <c r="J331" s="319">
        <f t="shared" si="95"/>
        <v>7.7178082191780826</v>
      </c>
      <c r="K331" s="167" t="s">
        <v>465</v>
      </c>
      <c r="L331" s="341">
        <v>400000</v>
      </c>
      <c r="M331" s="167" t="s">
        <v>466</v>
      </c>
      <c r="N331" s="46">
        <v>104.44</v>
      </c>
      <c r="O331" s="114">
        <v>6.0197900000000004</v>
      </c>
      <c r="P331" s="86" t="s">
        <v>775</v>
      </c>
      <c r="Q331" s="400" t="s">
        <v>941</v>
      </c>
      <c r="R331" s="168" t="s">
        <v>942</v>
      </c>
      <c r="S331" s="633">
        <v>41479</v>
      </c>
      <c r="T331" s="633">
        <v>41484</v>
      </c>
      <c r="U331" s="229" t="s">
        <v>683</v>
      </c>
      <c r="V331" s="229"/>
      <c r="W331" s="117">
        <v>425560</v>
      </c>
      <c r="X331" s="117">
        <v>7.8</v>
      </c>
      <c r="Y331" s="117">
        <f t="shared" si="97"/>
        <v>3319368</v>
      </c>
      <c r="Z331" s="117"/>
      <c r="AA331" s="423">
        <v>6.75</v>
      </c>
      <c r="AB331" s="680">
        <v>44301</v>
      </c>
      <c r="AC331" s="104">
        <f t="shared" si="96"/>
        <v>7.7315068493150685</v>
      </c>
      <c r="AD331" s="104"/>
      <c r="AF331" s="214"/>
      <c r="AG331" s="215"/>
    </row>
    <row r="332" spans="1:33" s="74" customFormat="1" ht="25.5" customHeight="1">
      <c r="A332" s="268" t="s">
        <v>902</v>
      </c>
      <c r="B332" s="73"/>
      <c r="C332" s="73"/>
      <c r="D332" s="73"/>
      <c r="E332" s="91">
        <v>217</v>
      </c>
      <c r="F332" s="64" t="s">
        <v>202</v>
      </c>
      <c r="G332" s="109" t="s">
        <v>1078</v>
      </c>
      <c r="H332" s="399" t="s">
        <v>79</v>
      </c>
      <c r="I332" s="399" t="s">
        <v>340</v>
      </c>
      <c r="J332" s="319">
        <f t="shared" si="95"/>
        <v>8.8000000000000007</v>
      </c>
      <c r="K332" s="167" t="s">
        <v>465</v>
      </c>
      <c r="L332" s="341">
        <v>1800000</v>
      </c>
      <c r="M332" s="167" t="s">
        <v>466</v>
      </c>
      <c r="N332" s="46">
        <v>93.588999999999999</v>
      </c>
      <c r="O332" s="114">
        <v>6.7049799999999999</v>
      </c>
      <c r="P332" s="86" t="s">
        <v>331</v>
      </c>
      <c r="Q332" s="400" t="s">
        <v>595</v>
      </c>
      <c r="R332" s="168" t="s">
        <v>596</v>
      </c>
      <c r="S332" s="633">
        <v>41480</v>
      </c>
      <c r="T332" s="633">
        <v>41485</v>
      </c>
      <c r="U332" s="229" t="s">
        <v>683</v>
      </c>
      <c r="V332" s="229"/>
      <c r="W332" s="699">
        <v>1705803</v>
      </c>
      <c r="X332" s="117">
        <v>7.8</v>
      </c>
      <c r="Y332" s="117">
        <f t="shared" si="97"/>
        <v>13305263.4</v>
      </c>
      <c r="Z332" s="117"/>
      <c r="AA332" s="423">
        <v>5.73</v>
      </c>
      <c r="AB332" s="680">
        <v>44697</v>
      </c>
      <c r="AC332" s="104">
        <f t="shared" si="96"/>
        <v>8.8136986301369866</v>
      </c>
      <c r="AD332" s="104"/>
      <c r="AF332" s="214"/>
      <c r="AG332" s="215"/>
    </row>
    <row r="333" spans="1:33" s="74" customFormat="1" ht="25.5" customHeight="1">
      <c r="A333" s="268"/>
      <c r="B333" s="73"/>
      <c r="C333" s="73"/>
      <c r="D333" s="73"/>
      <c r="E333" s="91">
        <v>217</v>
      </c>
      <c r="F333" s="64" t="s">
        <v>202</v>
      </c>
      <c r="G333" s="109" t="s">
        <v>1078</v>
      </c>
      <c r="H333" s="399" t="s">
        <v>79</v>
      </c>
      <c r="I333" s="399" t="s">
        <v>340</v>
      </c>
      <c r="J333" s="319">
        <f t="shared" si="95"/>
        <v>8.8000000000000007</v>
      </c>
      <c r="K333" s="167" t="s">
        <v>465</v>
      </c>
      <c r="L333" s="341">
        <v>200000</v>
      </c>
      <c r="M333" s="167" t="s">
        <v>466</v>
      </c>
      <c r="N333" s="46">
        <v>93.588999999999999</v>
      </c>
      <c r="O333" s="114">
        <v>6.7049799999999999</v>
      </c>
      <c r="P333" s="86" t="s">
        <v>331</v>
      </c>
      <c r="Q333" s="400" t="s">
        <v>595</v>
      </c>
      <c r="R333" s="168" t="s">
        <v>596</v>
      </c>
      <c r="S333" s="633">
        <v>41480</v>
      </c>
      <c r="T333" s="633">
        <v>41485</v>
      </c>
      <c r="U333" s="229" t="s">
        <v>683</v>
      </c>
      <c r="V333" s="229"/>
      <c r="W333" s="117">
        <v>189533.67</v>
      </c>
      <c r="X333" s="117">
        <v>7.8</v>
      </c>
      <c r="Y333" s="117">
        <f t="shared" si="97"/>
        <v>1478362.6260000002</v>
      </c>
      <c r="Z333" s="117"/>
      <c r="AA333" s="423">
        <v>5.73</v>
      </c>
      <c r="AB333" s="680">
        <v>44697</v>
      </c>
      <c r="AC333" s="104">
        <f t="shared" si="96"/>
        <v>8.8136986301369866</v>
      </c>
      <c r="AD333" s="104"/>
      <c r="AF333" s="214"/>
      <c r="AG333" s="215"/>
    </row>
    <row r="334" spans="1:33" s="74" customFormat="1" ht="25.5" customHeight="1">
      <c r="A334" s="268" t="s">
        <v>902</v>
      </c>
      <c r="B334" s="73"/>
      <c r="C334" s="73"/>
      <c r="D334" s="73"/>
      <c r="E334" s="91">
        <v>218</v>
      </c>
      <c r="F334" s="64" t="s">
        <v>202</v>
      </c>
      <c r="G334" s="109" t="s">
        <v>1078</v>
      </c>
      <c r="H334" s="399" t="s">
        <v>79</v>
      </c>
      <c r="I334" s="399" t="s">
        <v>340</v>
      </c>
      <c r="J334" s="319">
        <f t="shared" ref="J334:J341" si="98">(AB334-T334)/365</f>
        <v>8.8000000000000007</v>
      </c>
      <c r="K334" s="167" t="s">
        <v>465</v>
      </c>
      <c r="L334" s="341">
        <v>2700000</v>
      </c>
      <c r="M334" s="167" t="s">
        <v>466</v>
      </c>
      <c r="N334" s="46">
        <v>93.515000000000001</v>
      </c>
      <c r="O334" s="114">
        <v>6.7167300000000001</v>
      </c>
      <c r="P334" s="86" t="s">
        <v>331</v>
      </c>
      <c r="Q334" s="400" t="s">
        <v>595</v>
      </c>
      <c r="R334" s="168" t="s">
        <v>596</v>
      </c>
      <c r="S334" s="633">
        <v>41480</v>
      </c>
      <c r="T334" s="633">
        <v>41485</v>
      </c>
      <c r="U334" s="229" t="s">
        <v>683</v>
      </c>
      <c r="V334" s="229"/>
      <c r="W334" s="699">
        <v>2556706.5</v>
      </c>
      <c r="X334" s="117">
        <v>7.8</v>
      </c>
      <c r="Y334" s="117">
        <f t="shared" si="97"/>
        <v>19942310.699999999</v>
      </c>
      <c r="Z334" s="117"/>
      <c r="AA334" s="423">
        <v>5.73</v>
      </c>
      <c r="AB334" s="680">
        <v>44697</v>
      </c>
      <c r="AC334" s="104">
        <f t="shared" ref="AC334:AC342" si="99">(AB334-S334)/365</f>
        <v>8.8136986301369866</v>
      </c>
      <c r="AD334" s="104"/>
      <c r="AF334" s="214"/>
      <c r="AG334" s="215"/>
    </row>
    <row r="335" spans="1:33" s="74" customFormat="1" ht="25.5" customHeight="1">
      <c r="A335" s="268"/>
      <c r="B335" s="73"/>
      <c r="C335" s="73"/>
      <c r="D335" s="73"/>
      <c r="E335" s="91">
        <v>218</v>
      </c>
      <c r="F335" s="64" t="s">
        <v>202</v>
      </c>
      <c r="G335" s="109" t="s">
        <v>1078</v>
      </c>
      <c r="H335" s="399" t="s">
        <v>79</v>
      </c>
      <c r="I335" s="399" t="s">
        <v>340</v>
      </c>
      <c r="J335" s="319">
        <f t="shared" si="98"/>
        <v>8.8000000000000007</v>
      </c>
      <c r="K335" s="167" t="s">
        <v>465</v>
      </c>
      <c r="L335" s="341">
        <v>300000</v>
      </c>
      <c r="M335" s="167" t="s">
        <v>466</v>
      </c>
      <c r="N335" s="46">
        <v>93.515000000000001</v>
      </c>
      <c r="O335" s="114">
        <v>6.7167300000000001</v>
      </c>
      <c r="P335" s="86" t="s">
        <v>331</v>
      </c>
      <c r="Q335" s="400" t="s">
        <v>595</v>
      </c>
      <c r="R335" s="168" t="s">
        <v>596</v>
      </c>
      <c r="S335" s="633">
        <v>41480</v>
      </c>
      <c r="T335" s="633">
        <v>41485</v>
      </c>
      <c r="U335" s="229" t="s">
        <v>683</v>
      </c>
      <c r="V335" s="229"/>
      <c r="W335" s="117">
        <v>284078.5</v>
      </c>
      <c r="X335" s="117">
        <v>7.8</v>
      </c>
      <c r="Y335" s="117">
        <f t="shared" si="97"/>
        <v>2215812.2999999998</v>
      </c>
      <c r="Z335" s="117"/>
      <c r="AA335" s="423">
        <v>5.73</v>
      </c>
      <c r="AB335" s="680">
        <v>44697</v>
      </c>
      <c r="AC335" s="104">
        <f t="shared" si="99"/>
        <v>8.8136986301369866</v>
      </c>
      <c r="AD335" s="104"/>
      <c r="AF335" s="214"/>
      <c r="AG335" s="215"/>
    </row>
    <row r="336" spans="1:33" s="74" customFormat="1" ht="25.5" customHeight="1">
      <c r="A336" s="268" t="s">
        <v>902</v>
      </c>
      <c r="B336" s="73"/>
      <c r="C336" s="73"/>
      <c r="D336" s="73"/>
      <c r="E336" s="91">
        <v>219</v>
      </c>
      <c r="F336" s="64" t="s">
        <v>668</v>
      </c>
      <c r="G336" s="109" t="s">
        <v>420</v>
      </c>
      <c r="H336" s="399" t="s">
        <v>192</v>
      </c>
      <c r="I336" s="399" t="s">
        <v>421</v>
      </c>
      <c r="J336" s="319">
        <f t="shared" si="98"/>
        <v>29.30958904109589</v>
      </c>
      <c r="K336" s="167" t="s">
        <v>465</v>
      </c>
      <c r="L336" s="341">
        <v>3150000</v>
      </c>
      <c r="M336" s="167" t="s">
        <v>945</v>
      </c>
      <c r="N336" s="46">
        <v>90.819000000000003</v>
      </c>
      <c r="O336" s="114">
        <v>6.0200589999999998</v>
      </c>
      <c r="P336" s="86" t="s">
        <v>938</v>
      </c>
      <c r="Q336" s="400" t="s">
        <v>342</v>
      </c>
      <c r="R336" s="168" t="s">
        <v>343</v>
      </c>
      <c r="S336" s="633">
        <v>41480</v>
      </c>
      <c r="T336" s="633">
        <v>41487</v>
      </c>
      <c r="U336" s="229" t="s">
        <v>683</v>
      </c>
      <c r="V336" s="229"/>
      <c r="W336" s="699">
        <v>2896376</v>
      </c>
      <c r="X336" s="117">
        <v>7.8</v>
      </c>
      <c r="Y336" s="117">
        <f t="shared" ref="Y336:Y341" si="100">X336*W336</f>
        <v>22591732.800000001</v>
      </c>
      <c r="Z336" s="117"/>
      <c r="AA336" s="423">
        <v>5.35</v>
      </c>
      <c r="AB336" s="680">
        <v>52185</v>
      </c>
      <c r="AC336" s="104">
        <f t="shared" si="99"/>
        <v>29.328767123287673</v>
      </c>
      <c r="AD336" s="104"/>
      <c r="AF336" s="214"/>
      <c r="AG336" s="215"/>
    </row>
    <row r="337" spans="1:33" s="74" customFormat="1" ht="25.5" customHeight="1">
      <c r="A337" s="268"/>
      <c r="B337" s="73"/>
      <c r="C337" s="73"/>
      <c r="D337" s="73"/>
      <c r="E337" s="91">
        <v>219</v>
      </c>
      <c r="F337" s="64" t="s">
        <v>668</v>
      </c>
      <c r="G337" s="109" t="s">
        <v>420</v>
      </c>
      <c r="H337" s="399" t="s">
        <v>192</v>
      </c>
      <c r="I337" s="399" t="s">
        <v>421</v>
      </c>
      <c r="J337" s="319">
        <f t="shared" si="98"/>
        <v>29.30958904109589</v>
      </c>
      <c r="K337" s="167" t="s">
        <v>465</v>
      </c>
      <c r="L337" s="341">
        <v>350000</v>
      </c>
      <c r="M337" s="167" t="s">
        <v>945</v>
      </c>
      <c r="N337" s="46">
        <v>90.819000000000003</v>
      </c>
      <c r="O337" s="114">
        <v>6.0200589999999998</v>
      </c>
      <c r="P337" s="86" t="s">
        <v>938</v>
      </c>
      <c r="Q337" s="400" t="s">
        <v>342</v>
      </c>
      <c r="R337" s="168" t="s">
        <v>343</v>
      </c>
      <c r="S337" s="633">
        <v>41480</v>
      </c>
      <c r="T337" s="633">
        <v>41487</v>
      </c>
      <c r="U337" s="229" t="s">
        <v>683</v>
      </c>
      <c r="V337" s="229"/>
      <c r="W337" s="699">
        <v>321819.56</v>
      </c>
      <c r="X337" s="117">
        <v>7.8</v>
      </c>
      <c r="Y337" s="117">
        <f t="shared" si="100"/>
        <v>2510192.568</v>
      </c>
      <c r="Z337" s="117"/>
      <c r="AA337" s="423">
        <v>5.35</v>
      </c>
      <c r="AB337" s="680">
        <v>52185</v>
      </c>
      <c r="AC337" s="104">
        <f t="shared" si="99"/>
        <v>29.328767123287673</v>
      </c>
      <c r="AD337" s="104"/>
      <c r="AF337" s="214"/>
      <c r="AG337" s="215"/>
    </row>
    <row r="338" spans="1:33" s="74" customFormat="1" ht="41.25" customHeight="1">
      <c r="A338" s="268" t="s">
        <v>902</v>
      </c>
      <c r="B338" s="73"/>
      <c r="C338" s="73"/>
      <c r="D338" s="73"/>
      <c r="E338" s="91">
        <v>220</v>
      </c>
      <c r="F338" s="64" t="s">
        <v>1140</v>
      </c>
      <c r="G338" s="109" t="s">
        <v>1141</v>
      </c>
      <c r="H338" s="399" t="s">
        <v>1113</v>
      </c>
      <c r="I338" s="399" t="s">
        <v>1113</v>
      </c>
      <c r="J338" s="319">
        <f t="shared" si="98"/>
        <v>6.0027397260273974</v>
      </c>
      <c r="K338" s="167" t="s">
        <v>465</v>
      </c>
      <c r="L338" s="341">
        <v>1350000000</v>
      </c>
      <c r="M338" s="167" t="s">
        <v>264</v>
      </c>
      <c r="N338" s="46">
        <v>100</v>
      </c>
      <c r="O338" s="114">
        <v>10</v>
      </c>
      <c r="P338" s="86" t="s">
        <v>1132</v>
      </c>
      <c r="Q338" s="400" t="s">
        <v>1142</v>
      </c>
      <c r="R338" s="168" t="s">
        <v>1143</v>
      </c>
      <c r="S338" s="633">
        <v>41480</v>
      </c>
      <c r="T338" s="633">
        <v>41485</v>
      </c>
      <c r="U338" s="229" t="s">
        <v>683</v>
      </c>
      <c r="V338" s="229"/>
      <c r="W338" s="117">
        <v>1350000000</v>
      </c>
      <c r="X338" s="117">
        <v>1</v>
      </c>
      <c r="Y338" s="117">
        <f t="shared" si="100"/>
        <v>1350000000</v>
      </c>
      <c r="Z338" s="117"/>
      <c r="AA338" s="423">
        <v>10</v>
      </c>
      <c r="AB338" s="680">
        <v>43676</v>
      </c>
      <c r="AC338" s="104">
        <f t="shared" si="99"/>
        <v>6.0164383561643833</v>
      </c>
      <c r="AD338" s="104"/>
      <c r="AF338" s="214"/>
      <c r="AG338" s="215"/>
    </row>
    <row r="339" spans="1:33" s="74" customFormat="1" ht="41.25" customHeight="1">
      <c r="A339" s="268"/>
      <c r="B339" s="73"/>
      <c r="C339" s="73"/>
      <c r="D339" s="73"/>
      <c r="E339" s="91">
        <v>220</v>
      </c>
      <c r="F339" s="64" t="s">
        <v>1140</v>
      </c>
      <c r="G339" s="109" t="s">
        <v>1141</v>
      </c>
      <c r="H339" s="399" t="s">
        <v>1113</v>
      </c>
      <c r="I339" s="399" t="s">
        <v>1113</v>
      </c>
      <c r="J339" s="319">
        <f t="shared" si="98"/>
        <v>6.0027397260273974</v>
      </c>
      <c r="K339" s="167" t="s">
        <v>465</v>
      </c>
      <c r="L339" s="341">
        <v>150000000</v>
      </c>
      <c r="M339" s="167" t="s">
        <v>264</v>
      </c>
      <c r="N339" s="46">
        <v>100</v>
      </c>
      <c r="O339" s="114">
        <v>10</v>
      </c>
      <c r="P339" s="86" t="s">
        <v>1132</v>
      </c>
      <c r="Q339" s="400" t="s">
        <v>1142</v>
      </c>
      <c r="R339" s="168" t="s">
        <v>1143</v>
      </c>
      <c r="S339" s="633">
        <v>41480</v>
      </c>
      <c r="T339" s="633">
        <v>41485</v>
      </c>
      <c r="U339" s="229" t="s">
        <v>683</v>
      </c>
      <c r="V339" s="229"/>
      <c r="W339" s="117">
        <v>150000000</v>
      </c>
      <c r="X339" s="117">
        <v>1</v>
      </c>
      <c r="Y339" s="117">
        <f t="shared" si="100"/>
        <v>150000000</v>
      </c>
      <c r="Z339" s="117"/>
      <c r="AA339" s="423">
        <v>10</v>
      </c>
      <c r="AB339" s="680">
        <v>43676</v>
      </c>
      <c r="AC339" s="104">
        <f t="shared" si="99"/>
        <v>6.0164383561643833</v>
      </c>
      <c r="AD339" s="104"/>
      <c r="AF339" s="214"/>
      <c r="AG339" s="215"/>
    </row>
    <row r="340" spans="1:33" s="74" customFormat="1" ht="25.5" customHeight="1">
      <c r="A340" s="268" t="s">
        <v>902</v>
      </c>
      <c r="B340" s="73"/>
      <c r="C340" s="73"/>
      <c r="D340" s="73"/>
      <c r="E340" s="91">
        <v>221</v>
      </c>
      <c r="F340" s="64" t="s">
        <v>202</v>
      </c>
      <c r="G340" s="109" t="s">
        <v>1078</v>
      </c>
      <c r="H340" s="399" t="s">
        <v>79</v>
      </c>
      <c r="I340" s="399" t="s">
        <v>340</v>
      </c>
      <c r="J340" s="319">
        <f t="shared" si="98"/>
        <v>8.7972602739726025</v>
      </c>
      <c r="K340" s="167" t="s">
        <v>465</v>
      </c>
      <c r="L340" s="341">
        <v>2700000</v>
      </c>
      <c r="M340" s="167" t="s">
        <v>466</v>
      </c>
      <c r="N340" s="46">
        <v>93.62</v>
      </c>
      <c r="O340" s="114">
        <v>6.7000700000000002</v>
      </c>
      <c r="P340" s="86" t="s">
        <v>712</v>
      </c>
      <c r="Q340" s="400" t="s">
        <v>713</v>
      </c>
      <c r="R340" s="168" t="s">
        <v>714</v>
      </c>
      <c r="S340" s="633">
        <v>41481</v>
      </c>
      <c r="T340" s="633">
        <v>41486</v>
      </c>
      <c r="U340" s="229" t="s">
        <v>683</v>
      </c>
      <c r="V340" s="229"/>
      <c r="W340" s="699">
        <v>2559541.5</v>
      </c>
      <c r="X340" s="117">
        <v>7.8</v>
      </c>
      <c r="Y340" s="117">
        <f t="shared" si="100"/>
        <v>19964423.699999999</v>
      </c>
      <c r="Z340" s="117"/>
      <c r="AA340" s="423">
        <v>5.73</v>
      </c>
      <c r="AB340" s="680">
        <v>44697</v>
      </c>
      <c r="AC340" s="104">
        <f t="shared" si="99"/>
        <v>8.8109589041095884</v>
      </c>
      <c r="AD340" s="104"/>
      <c r="AF340" s="214"/>
      <c r="AG340" s="215"/>
    </row>
    <row r="341" spans="1:33" s="74" customFormat="1" ht="25.5" customHeight="1">
      <c r="A341" s="268"/>
      <c r="B341" s="73"/>
      <c r="C341" s="73"/>
      <c r="D341" s="73"/>
      <c r="E341" s="91">
        <v>221</v>
      </c>
      <c r="F341" s="64" t="s">
        <v>202</v>
      </c>
      <c r="G341" s="109" t="s">
        <v>1078</v>
      </c>
      <c r="H341" s="399" t="s">
        <v>79</v>
      </c>
      <c r="I341" s="399" t="s">
        <v>340</v>
      </c>
      <c r="J341" s="319">
        <f t="shared" si="98"/>
        <v>8.7972602739726025</v>
      </c>
      <c r="K341" s="167" t="s">
        <v>465</v>
      </c>
      <c r="L341" s="341">
        <v>300000</v>
      </c>
      <c r="M341" s="167" t="s">
        <v>466</v>
      </c>
      <c r="N341" s="46">
        <v>93.62</v>
      </c>
      <c r="O341" s="114">
        <v>6.7000700000000002</v>
      </c>
      <c r="P341" s="86" t="s">
        <v>712</v>
      </c>
      <c r="Q341" s="400" t="s">
        <v>713</v>
      </c>
      <c r="R341" s="168" t="s">
        <v>714</v>
      </c>
      <c r="S341" s="633">
        <v>41481</v>
      </c>
      <c r="T341" s="633">
        <v>41486</v>
      </c>
      <c r="U341" s="229" t="s">
        <v>683</v>
      </c>
      <c r="V341" s="229"/>
      <c r="W341" s="117">
        <v>284393.5</v>
      </c>
      <c r="X341" s="117">
        <v>7.8</v>
      </c>
      <c r="Y341" s="117">
        <f t="shared" si="100"/>
        <v>2218269.2999999998</v>
      </c>
      <c r="Z341" s="117"/>
      <c r="AA341" s="423">
        <v>5.73</v>
      </c>
      <c r="AB341" s="680">
        <v>44697</v>
      </c>
      <c r="AC341" s="104">
        <f t="shared" si="99"/>
        <v>8.8109589041095884</v>
      </c>
      <c r="AD341" s="104"/>
      <c r="AF341" s="214"/>
      <c r="AG341" s="215"/>
    </row>
    <row r="342" spans="1:33" s="74" customFormat="1" ht="25.5" customHeight="1">
      <c r="A342" s="268" t="s">
        <v>903</v>
      </c>
      <c r="B342" s="73"/>
      <c r="C342" s="73"/>
      <c r="D342" s="73"/>
      <c r="E342" s="91">
        <v>222</v>
      </c>
      <c r="F342" s="64" t="s">
        <v>590</v>
      </c>
      <c r="G342" s="109" t="s">
        <v>711</v>
      </c>
      <c r="H342" s="399" t="s">
        <v>591</v>
      </c>
      <c r="I342" s="399" t="s">
        <v>592</v>
      </c>
      <c r="J342" s="319">
        <f t="shared" ref="J342:J352" si="101">(AB342-T342)/365</f>
        <v>7.7095890410958905</v>
      </c>
      <c r="K342" s="167" t="s">
        <v>465</v>
      </c>
      <c r="L342" s="341">
        <v>1000000</v>
      </c>
      <c r="M342" s="167" t="s">
        <v>466</v>
      </c>
      <c r="N342" s="46">
        <v>104</v>
      </c>
      <c r="O342" s="114">
        <v>6.0898649999999996</v>
      </c>
      <c r="P342" s="86" t="s">
        <v>938</v>
      </c>
      <c r="Q342" s="400" t="s">
        <v>342</v>
      </c>
      <c r="R342" s="168" t="s">
        <v>343</v>
      </c>
      <c r="S342" s="633">
        <v>41484</v>
      </c>
      <c r="T342" s="633">
        <v>41487</v>
      </c>
      <c r="U342" s="229" t="s">
        <v>683</v>
      </c>
      <c r="V342" s="229"/>
      <c r="W342" s="699">
        <v>1059875</v>
      </c>
      <c r="X342" s="117">
        <v>7.8</v>
      </c>
      <c r="Y342" s="117">
        <f t="shared" ref="Y342:Y352" si="102">X342*W342</f>
        <v>8267025</v>
      </c>
      <c r="Z342" s="117"/>
      <c r="AA342" s="423">
        <v>6.75</v>
      </c>
      <c r="AB342" s="680">
        <v>44301</v>
      </c>
      <c r="AC342" s="104">
        <f t="shared" si="99"/>
        <v>7.7178082191780826</v>
      </c>
      <c r="AD342" s="104"/>
      <c r="AF342" s="214"/>
      <c r="AG342" s="215"/>
    </row>
    <row r="343" spans="1:33" s="74" customFormat="1" ht="25.5" customHeight="1">
      <c r="A343" s="268" t="s">
        <v>903</v>
      </c>
      <c r="B343" s="73"/>
      <c r="C343" s="73"/>
      <c r="D343" s="73"/>
      <c r="E343" s="91">
        <v>223</v>
      </c>
      <c r="F343" s="64" t="s">
        <v>590</v>
      </c>
      <c r="G343" s="109" t="s">
        <v>711</v>
      </c>
      <c r="H343" s="399" t="s">
        <v>591</v>
      </c>
      <c r="I343" s="399" t="s">
        <v>592</v>
      </c>
      <c r="J343" s="319">
        <f t="shared" si="101"/>
        <v>7.7095890410958905</v>
      </c>
      <c r="K343" s="167" t="s">
        <v>465</v>
      </c>
      <c r="L343" s="341">
        <v>13850000</v>
      </c>
      <c r="M343" s="167" t="s">
        <v>466</v>
      </c>
      <c r="N343" s="46">
        <v>103.999</v>
      </c>
      <c r="O343" s="114">
        <v>6.0900299999999996</v>
      </c>
      <c r="P343" s="86" t="s">
        <v>946</v>
      </c>
      <c r="Q343" s="400" t="s">
        <v>1145</v>
      </c>
      <c r="R343" s="168" t="s">
        <v>1146</v>
      </c>
      <c r="S343" s="633">
        <v>41484</v>
      </c>
      <c r="T343" s="633">
        <v>41487</v>
      </c>
      <c r="U343" s="229" t="s">
        <v>683</v>
      </c>
      <c r="V343" s="229"/>
      <c r="W343" s="699">
        <v>14679130.25</v>
      </c>
      <c r="X343" s="117">
        <v>7.8</v>
      </c>
      <c r="Y343" s="117">
        <f t="shared" si="102"/>
        <v>114497215.95</v>
      </c>
      <c r="Z343" s="117"/>
      <c r="AA343" s="423">
        <v>6.75</v>
      </c>
      <c r="AB343" s="680">
        <v>44301</v>
      </c>
      <c r="AC343" s="104">
        <f t="shared" ref="AC343:AC352" si="103">(AB343-S343)/365</f>
        <v>7.7178082191780826</v>
      </c>
      <c r="AD343" s="104"/>
      <c r="AF343" s="214"/>
      <c r="AG343" s="215"/>
    </row>
    <row r="344" spans="1:33" s="74" customFormat="1" ht="25.5" customHeight="1">
      <c r="A344" s="268"/>
      <c r="B344" s="73"/>
      <c r="C344" s="73"/>
      <c r="D344" s="73"/>
      <c r="E344" s="91">
        <v>223</v>
      </c>
      <c r="F344" s="64" t="s">
        <v>590</v>
      </c>
      <c r="G344" s="109" t="s">
        <v>711</v>
      </c>
      <c r="H344" s="399" t="s">
        <v>591</v>
      </c>
      <c r="I344" s="399" t="s">
        <v>592</v>
      </c>
      <c r="J344" s="319">
        <f t="shared" si="101"/>
        <v>7.7095890410958905</v>
      </c>
      <c r="K344" s="167" t="s">
        <v>465</v>
      </c>
      <c r="L344" s="341">
        <v>1650000</v>
      </c>
      <c r="M344" s="167" t="s">
        <v>466</v>
      </c>
      <c r="N344" s="46">
        <v>103.999</v>
      </c>
      <c r="O344" s="114">
        <v>6.0900299999999996</v>
      </c>
      <c r="P344" s="86" t="s">
        <v>946</v>
      </c>
      <c r="Q344" s="400" t="s">
        <v>1145</v>
      </c>
      <c r="R344" s="168" t="s">
        <v>1146</v>
      </c>
      <c r="S344" s="633">
        <v>41484</v>
      </c>
      <c r="T344" s="633">
        <v>41487</v>
      </c>
      <c r="U344" s="229" t="s">
        <v>683</v>
      </c>
      <c r="V344" s="229"/>
      <c r="W344" s="699">
        <v>1748777.25</v>
      </c>
      <c r="X344" s="117">
        <v>7.8</v>
      </c>
      <c r="Y344" s="117">
        <f t="shared" si="102"/>
        <v>13640462.549999999</v>
      </c>
      <c r="Z344" s="117"/>
      <c r="AA344" s="423">
        <v>6.75</v>
      </c>
      <c r="AB344" s="680">
        <v>44301</v>
      </c>
      <c r="AC344" s="104">
        <f t="shared" si="103"/>
        <v>7.7178082191780826</v>
      </c>
      <c r="AD344" s="104"/>
      <c r="AF344" s="214"/>
      <c r="AG344" s="215"/>
    </row>
    <row r="345" spans="1:33" s="74" customFormat="1" ht="25.5" customHeight="1">
      <c r="A345" s="268" t="s">
        <v>902</v>
      </c>
      <c r="B345" s="73"/>
      <c r="C345" s="73"/>
      <c r="D345" s="73"/>
      <c r="E345" s="91">
        <v>224</v>
      </c>
      <c r="F345" s="64" t="s">
        <v>202</v>
      </c>
      <c r="G345" s="109" t="s">
        <v>1078</v>
      </c>
      <c r="H345" s="399" t="s">
        <v>79</v>
      </c>
      <c r="I345" s="399" t="s">
        <v>340</v>
      </c>
      <c r="J345" s="319">
        <f t="shared" si="101"/>
        <v>8.7917808219178077</v>
      </c>
      <c r="K345" s="167" t="s">
        <v>465</v>
      </c>
      <c r="L345" s="341">
        <v>1800000</v>
      </c>
      <c r="M345" s="167" t="s">
        <v>466</v>
      </c>
      <c r="N345" s="46">
        <v>91.878</v>
      </c>
      <c r="O345" s="114">
        <v>6.9809000000000001</v>
      </c>
      <c r="P345" s="86" t="s">
        <v>775</v>
      </c>
      <c r="Q345" s="400" t="s">
        <v>776</v>
      </c>
      <c r="R345" s="168" t="s">
        <v>99</v>
      </c>
      <c r="S345" s="633">
        <v>41485</v>
      </c>
      <c r="T345" s="633">
        <v>41488</v>
      </c>
      <c r="U345" s="229" t="s">
        <v>683</v>
      </c>
      <c r="V345" s="229"/>
      <c r="W345" s="699">
        <v>1675578</v>
      </c>
      <c r="X345" s="117">
        <v>7.8</v>
      </c>
      <c r="Y345" s="117">
        <f t="shared" si="102"/>
        <v>13069508.4</v>
      </c>
      <c r="Z345" s="117"/>
      <c r="AA345" s="423">
        <v>5.73</v>
      </c>
      <c r="AB345" s="680">
        <v>44697</v>
      </c>
      <c r="AC345" s="104">
        <f t="shared" si="103"/>
        <v>8.8000000000000007</v>
      </c>
      <c r="AD345" s="104"/>
      <c r="AF345" s="214"/>
      <c r="AG345" s="215"/>
    </row>
    <row r="346" spans="1:33" s="74" customFormat="1" ht="25.5" customHeight="1">
      <c r="A346" s="268"/>
      <c r="B346" s="73"/>
      <c r="C346" s="73"/>
      <c r="D346" s="73"/>
      <c r="E346" s="91">
        <v>224</v>
      </c>
      <c r="F346" s="64" t="s">
        <v>202</v>
      </c>
      <c r="G346" s="109" t="s">
        <v>1078</v>
      </c>
      <c r="H346" s="399" t="s">
        <v>79</v>
      </c>
      <c r="I346" s="399" t="s">
        <v>340</v>
      </c>
      <c r="J346" s="319">
        <f t="shared" si="101"/>
        <v>8.7917808219178077</v>
      </c>
      <c r="K346" s="167" t="s">
        <v>465</v>
      </c>
      <c r="L346" s="341">
        <v>200000</v>
      </c>
      <c r="M346" s="167" t="s">
        <v>466</v>
      </c>
      <c r="N346" s="46">
        <v>91.878</v>
      </c>
      <c r="O346" s="114">
        <v>6.9809000000000001</v>
      </c>
      <c r="P346" s="86" t="s">
        <v>775</v>
      </c>
      <c r="Q346" s="400" t="s">
        <v>776</v>
      </c>
      <c r="R346" s="168" t="s">
        <v>99</v>
      </c>
      <c r="S346" s="633">
        <v>41485</v>
      </c>
      <c r="T346" s="633">
        <v>41488</v>
      </c>
      <c r="U346" s="229" t="s">
        <v>683</v>
      </c>
      <c r="V346" s="229"/>
      <c r="W346" s="117">
        <v>186175.33</v>
      </c>
      <c r="X346" s="117">
        <v>7.8</v>
      </c>
      <c r="Y346" s="117">
        <f t="shared" si="102"/>
        <v>1452167.5739999998</v>
      </c>
      <c r="Z346" s="117"/>
      <c r="AA346" s="423">
        <v>5.73</v>
      </c>
      <c r="AB346" s="680">
        <v>44697</v>
      </c>
      <c r="AC346" s="104">
        <f t="shared" si="103"/>
        <v>8.8000000000000007</v>
      </c>
      <c r="AD346" s="104"/>
      <c r="AF346" s="214"/>
      <c r="AG346" s="215"/>
    </row>
    <row r="347" spans="1:33" s="74" customFormat="1" ht="25.5" customHeight="1">
      <c r="A347" s="268" t="s">
        <v>902</v>
      </c>
      <c r="B347" s="73"/>
      <c r="C347" s="73"/>
      <c r="D347" s="73"/>
      <c r="E347" s="91">
        <v>225</v>
      </c>
      <c r="F347" s="64" t="s">
        <v>202</v>
      </c>
      <c r="G347" s="109" t="s">
        <v>1078</v>
      </c>
      <c r="H347" s="399" t="s">
        <v>79</v>
      </c>
      <c r="I347" s="399" t="s">
        <v>340</v>
      </c>
      <c r="J347" s="319">
        <f t="shared" si="101"/>
        <v>8.7917808219178077</v>
      </c>
      <c r="K347" s="167" t="s">
        <v>465</v>
      </c>
      <c r="L347" s="341">
        <v>1000000</v>
      </c>
      <c r="M347" s="167" t="s">
        <v>466</v>
      </c>
      <c r="N347" s="46">
        <v>91.754999999999995</v>
      </c>
      <c r="O347" s="698">
        <v>7.00007</v>
      </c>
      <c r="P347" s="86" t="s">
        <v>331</v>
      </c>
      <c r="Q347" s="400" t="s">
        <v>595</v>
      </c>
      <c r="R347" s="168" t="s">
        <v>596</v>
      </c>
      <c r="S347" s="633">
        <v>41485</v>
      </c>
      <c r="T347" s="633">
        <v>41488</v>
      </c>
      <c r="U347" s="229" t="s">
        <v>683</v>
      </c>
      <c r="V347" s="229"/>
      <c r="W347" s="699">
        <v>929646.67</v>
      </c>
      <c r="X347" s="117">
        <v>7.8</v>
      </c>
      <c r="Y347" s="117">
        <f t="shared" si="102"/>
        <v>7251244.0260000005</v>
      </c>
      <c r="Z347" s="117"/>
      <c r="AA347" s="423">
        <v>5.73</v>
      </c>
      <c r="AB347" s="680">
        <v>44697</v>
      </c>
      <c r="AC347" s="104">
        <f t="shared" si="103"/>
        <v>8.8000000000000007</v>
      </c>
      <c r="AD347" s="104"/>
      <c r="AF347" s="214"/>
      <c r="AG347" s="215"/>
    </row>
    <row r="348" spans="1:33" s="74" customFormat="1" ht="25.5" customHeight="1">
      <c r="A348" s="268" t="s">
        <v>902</v>
      </c>
      <c r="B348" s="73"/>
      <c r="C348" s="73"/>
      <c r="D348" s="73"/>
      <c r="E348" s="91">
        <v>226</v>
      </c>
      <c r="F348" s="64" t="s">
        <v>202</v>
      </c>
      <c r="G348" s="109" t="s">
        <v>1078</v>
      </c>
      <c r="H348" s="399" t="s">
        <v>79</v>
      </c>
      <c r="I348" s="399" t="s">
        <v>340</v>
      </c>
      <c r="J348" s="319">
        <f t="shared" si="101"/>
        <v>8.7917808219178077</v>
      </c>
      <c r="K348" s="167" t="s">
        <v>465</v>
      </c>
      <c r="L348" s="341">
        <v>1700000</v>
      </c>
      <c r="M348" s="167" t="s">
        <v>466</v>
      </c>
      <c r="N348" s="46">
        <v>91.754999999999995</v>
      </c>
      <c r="O348" s="698">
        <v>7.00007</v>
      </c>
      <c r="P348" s="86" t="s">
        <v>712</v>
      </c>
      <c r="Q348" s="400" t="s">
        <v>713</v>
      </c>
      <c r="R348" s="168" t="s">
        <v>714</v>
      </c>
      <c r="S348" s="633">
        <v>41485</v>
      </c>
      <c r="T348" s="633">
        <v>41488</v>
      </c>
      <c r="U348" s="229" t="s">
        <v>683</v>
      </c>
      <c r="V348" s="229"/>
      <c r="W348" s="699">
        <v>1580399.33</v>
      </c>
      <c r="X348" s="117">
        <v>7.8</v>
      </c>
      <c r="Y348" s="117">
        <f t="shared" si="102"/>
        <v>12327114.774</v>
      </c>
      <c r="Z348" s="117"/>
      <c r="AA348" s="423">
        <v>5.73</v>
      </c>
      <c r="AB348" s="680">
        <v>44697</v>
      </c>
      <c r="AC348" s="104">
        <f t="shared" si="103"/>
        <v>8.8000000000000007</v>
      </c>
      <c r="AD348" s="104"/>
      <c r="AF348" s="214"/>
      <c r="AG348" s="215"/>
    </row>
    <row r="349" spans="1:33" s="74" customFormat="1" ht="25.5" customHeight="1">
      <c r="A349" s="268"/>
      <c r="B349" s="73"/>
      <c r="C349" s="73"/>
      <c r="D349" s="73"/>
      <c r="E349" s="91">
        <v>226</v>
      </c>
      <c r="F349" s="64" t="s">
        <v>202</v>
      </c>
      <c r="G349" s="109" t="s">
        <v>1078</v>
      </c>
      <c r="H349" s="399" t="s">
        <v>79</v>
      </c>
      <c r="I349" s="399" t="s">
        <v>340</v>
      </c>
      <c r="J349" s="319">
        <f t="shared" si="101"/>
        <v>8.7917808219178077</v>
      </c>
      <c r="K349" s="167" t="s">
        <v>465</v>
      </c>
      <c r="L349" s="341">
        <v>300000</v>
      </c>
      <c r="M349" s="167" t="s">
        <v>466</v>
      </c>
      <c r="N349" s="46">
        <v>91.754999999999995</v>
      </c>
      <c r="O349" s="114">
        <v>7.00007</v>
      </c>
      <c r="P349" s="86" t="s">
        <v>712</v>
      </c>
      <c r="Q349" s="400" t="s">
        <v>713</v>
      </c>
      <c r="R349" s="168" t="s">
        <v>714</v>
      </c>
      <c r="S349" s="633">
        <v>41485</v>
      </c>
      <c r="T349" s="633">
        <v>41488</v>
      </c>
      <c r="U349" s="229" t="s">
        <v>683</v>
      </c>
      <c r="V349" s="229"/>
      <c r="W349" s="117">
        <v>278894</v>
      </c>
      <c r="X349" s="117">
        <v>7.8</v>
      </c>
      <c r="Y349" s="117">
        <f t="shared" si="102"/>
        <v>2175373.1999999997</v>
      </c>
      <c r="Z349" s="117"/>
      <c r="AA349" s="423">
        <v>5.73</v>
      </c>
      <c r="AB349" s="680">
        <v>44697</v>
      </c>
      <c r="AC349" s="104">
        <f t="shared" si="103"/>
        <v>8.8000000000000007</v>
      </c>
      <c r="AD349" s="104"/>
      <c r="AF349" s="214"/>
      <c r="AG349" s="215"/>
    </row>
    <row r="350" spans="1:33" s="74" customFormat="1" ht="25.5" customHeight="1">
      <c r="A350" s="268" t="s">
        <v>902</v>
      </c>
      <c r="B350" s="73"/>
      <c r="C350" s="73"/>
      <c r="D350" s="73"/>
      <c r="E350" s="91">
        <v>227</v>
      </c>
      <c r="F350" s="64" t="s">
        <v>202</v>
      </c>
      <c r="G350" s="109" t="s">
        <v>1078</v>
      </c>
      <c r="H350" s="399" t="s">
        <v>79</v>
      </c>
      <c r="I350" s="399" t="s">
        <v>340</v>
      </c>
      <c r="J350" s="319">
        <f t="shared" si="101"/>
        <v>8.7917808219178077</v>
      </c>
      <c r="K350" s="167" t="s">
        <v>465</v>
      </c>
      <c r="L350" s="341">
        <v>1000000</v>
      </c>
      <c r="M350" s="167" t="s">
        <v>466</v>
      </c>
      <c r="N350" s="46">
        <v>91.754999999999995</v>
      </c>
      <c r="O350" s="698">
        <v>7.00007</v>
      </c>
      <c r="P350" s="86" t="s">
        <v>331</v>
      </c>
      <c r="Q350" s="400" t="s">
        <v>595</v>
      </c>
      <c r="R350" s="168" t="s">
        <v>596</v>
      </c>
      <c r="S350" s="633">
        <v>41485</v>
      </c>
      <c r="T350" s="633">
        <v>41488</v>
      </c>
      <c r="U350" s="229" t="s">
        <v>683</v>
      </c>
      <c r="V350" s="229"/>
      <c r="W350" s="699">
        <v>929646.67</v>
      </c>
      <c r="X350" s="117">
        <v>7.8</v>
      </c>
      <c r="Y350" s="117">
        <f t="shared" si="102"/>
        <v>7251244.0260000005</v>
      </c>
      <c r="Z350" s="117"/>
      <c r="AA350" s="423">
        <v>5.73</v>
      </c>
      <c r="AB350" s="680">
        <v>44697</v>
      </c>
      <c r="AC350" s="104">
        <f t="shared" si="103"/>
        <v>8.8000000000000007</v>
      </c>
      <c r="AD350" s="104"/>
      <c r="AF350" s="214"/>
      <c r="AG350" s="215"/>
    </row>
    <row r="351" spans="1:33" s="74" customFormat="1" ht="25.5" customHeight="1">
      <c r="A351" s="268" t="s">
        <v>902</v>
      </c>
      <c r="B351" s="73"/>
      <c r="C351" s="73"/>
      <c r="D351" s="73"/>
      <c r="E351" s="91">
        <v>228</v>
      </c>
      <c r="F351" s="64" t="s">
        <v>202</v>
      </c>
      <c r="G351" s="109" t="s">
        <v>1078</v>
      </c>
      <c r="H351" s="399" t="s">
        <v>79</v>
      </c>
      <c r="I351" s="399" t="s">
        <v>340</v>
      </c>
      <c r="J351" s="319">
        <f t="shared" si="101"/>
        <v>8.7917808219178077</v>
      </c>
      <c r="K351" s="167" t="s">
        <v>465</v>
      </c>
      <c r="L351" s="341">
        <v>800000</v>
      </c>
      <c r="M351" s="167" t="s">
        <v>466</v>
      </c>
      <c r="N351" s="46">
        <v>91.754999999999995</v>
      </c>
      <c r="O351" s="698">
        <v>7.00007</v>
      </c>
      <c r="P351" s="86" t="s">
        <v>712</v>
      </c>
      <c r="Q351" s="400" t="s">
        <v>713</v>
      </c>
      <c r="R351" s="168" t="s">
        <v>714</v>
      </c>
      <c r="S351" s="633">
        <v>41485</v>
      </c>
      <c r="T351" s="633">
        <v>41488</v>
      </c>
      <c r="U351" s="229" t="s">
        <v>683</v>
      </c>
      <c r="V351" s="229"/>
      <c r="W351" s="699">
        <v>743717.33</v>
      </c>
      <c r="X351" s="117">
        <v>7.8</v>
      </c>
      <c r="Y351" s="117">
        <f t="shared" si="102"/>
        <v>5800995.1739999996</v>
      </c>
      <c r="Z351" s="117"/>
      <c r="AA351" s="423">
        <v>5.73</v>
      </c>
      <c r="AB351" s="680">
        <v>44697</v>
      </c>
      <c r="AC351" s="104">
        <f t="shared" si="103"/>
        <v>8.8000000000000007</v>
      </c>
      <c r="AD351" s="104"/>
      <c r="AF351" s="214"/>
      <c r="AG351" s="215"/>
    </row>
    <row r="352" spans="1:33" s="74" customFormat="1" ht="25.5" customHeight="1">
      <c r="A352" s="268"/>
      <c r="B352" s="73"/>
      <c r="C352" s="73"/>
      <c r="D352" s="73"/>
      <c r="E352" s="91">
        <v>228</v>
      </c>
      <c r="F352" s="64" t="s">
        <v>202</v>
      </c>
      <c r="G352" s="109" t="s">
        <v>1078</v>
      </c>
      <c r="H352" s="399" t="s">
        <v>79</v>
      </c>
      <c r="I352" s="399" t="s">
        <v>340</v>
      </c>
      <c r="J352" s="319">
        <f t="shared" si="101"/>
        <v>8.7917808219178077</v>
      </c>
      <c r="K352" s="167" t="s">
        <v>465</v>
      </c>
      <c r="L352" s="341">
        <v>200000</v>
      </c>
      <c r="M352" s="167" t="s">
        <v>466</v>
      </c>
      <c r="N352" s="46">
        <v>91.754999999999995</v>
      </c>
      <c r="O352" s="698">
        <v>7.00007</v>
      </c>
      <c r="P352" s="86" t="s">
        <v>712</v>
      </c>
      <c r="Q352" s="400" t="s">
        <v>713</v>
      </c>
      <c r="R352" s="168" t="s">
        <v>714</v>
      </c>
      <c r="S352" s="633">
        <v>41485</v>
      </c>
      <c r="T352" s="633">
        <v>41488</v>
      </c>
      <c r="U352" s="229" t="s">
        <v>683</v>
      </c>
      <c r="V352" s="229"/>
      <c r="W352" s="117">
        <v>185929.33</v>
      </c>
      <c r="X352" s="117">
        <v>7.8</v>
      </c>
      <c r="Y352" s="117">
        <f t="shared" si="102"/>
        <v>1450248.774</v>
      </c>
      <c r="Z352" s="117"/>
      <c r="AA352" s="423">
        <v>5.73</v>
      </c>
      <c r="AB352" s="680">
        <v>44697</v>
      </c>
      <c r="AC352" s="104">
        <f t="shared" si="103"/>
        <v>8.8000000000000007</v>
      </c>
      <c r="AD352" s="104"/>
      <c r="AF352" s="214"/>
      <c r="AG352" s="215"/>
    </row>
    <row r="353" spans="1:34" s="74" customFormat="1" ht="25.5" customHeight="1">
      <c r="A353" s="268" t="s">
        <v>902</v>
      </c>
      <c r="B353" s="73"/>
      <c r="C353" s="73"/>
      <c r="D353" s="73"/>
      <c r="E353" s="91">
        <v>229</v>
      </c>
      <c r="F353" s="64" t="s">
        <v>202</v>
      </c>
      <c r="G353" s="109" t="s">
        <v>1078</v>
      </c>
      <c r="H353" s="399" t="s">
        <v>79</v>
      </c>
      <c r="I353" s="399" t="s">
        <v>340</v>
      </c>
      <c r="J353" s="319">
        <f t="shared" ref="J353:J363" si="104">(AB353-T353)/365</f>
        <v>8.7808219178082183</v>
      </c>
      <c r="K353" s="167" t="s">
        <v>465</v>
      </c>
      <c r="L353" s="341">
        <v>4100000</v>
      </c>
      <c r="M353" s="167" t="s">
        <v>466</v>
      </c>
      <c r="N353" s="46">
        <v>91.64</v>
      </c>
      <c r="O353" s="698">
        <v>7.0200199999999997</v>
      </c>
      <c r="P353" s="86" t="s">
        <v>331</v>
      </c>
      <c r="Q353" s="400" t="s">
        <v>595</v>
      </c>
      <c r="R353" s="168" t="s">
        <v>596</v>
      </c>
      <c r="S353" s="633">
        <v>41487</v>
      </c>
      <c r="T353" s="633">
        <v>41492</v>
      </c>
      <c r="U353" s="229" t="s">
        <v>683</v>
      </c>
      <c r="V353" s="229"/>
      <c r="W353" s="699">
        <v>3809446.67</v>
      </c>
      <c r="X353" s="117">
        <v>7.8</v>
      </c>
      <c r="Y353" s="117">
        <f t="shared" ref="Y353:Y363" si="105">X353*W353</f>
        <v>29713684.026000001</v>
      </c>
      <c r="Z353" s="117"/>
      <c r="AA353" s="423">
        <v>5.73</v>
      </c>
      <c r="AB353" s="680">
        <v>44697</v>
      </c>
      <c r="AC353" s="104">
        <f t="shared" ref="AC353:AC363" si="106">(AB353-S353)/365</f>
        <v>8.794520547945206</v>
      </c>
      <c r="AD353" s="104"/>
      <c r="AF353" s="214"/>
      <c r="AG353" s="215"/>
    </row>
    <row r="354" spans="1:34" s="74" customFormat="1" ht="25.5" customHeight="1">
      <c r="A354" s="268"/>
      <c r="B354" s="73"/>
      <c r="C354" s="73"/>
      <c r="D354" s="73"/>
      <c r="E354" s="91">
        <v>229</v>
      </c>
      <c r="F354" s="64" t="s">
        <v>202</v>
      </c>
      <c r="G354" s="109" t="s">
        <v>1078</v>
      </c>
      <c r="H354" s="399" t="s">
        <v>79</v>
      </c>
      <c r="I354" s="399" t="s">
        <v>340</v>
      </c>
      <c r="J354" s="319">
        <f t="shared" si="104"/>
        <v>8.7808219178082183</v>
      </c>
      <c r="K354" s="167" t="s">
        <v>465</v>
      </c>
      <c r="L354" s="341">
        <v>900000</v>
      </c>
      <c r="M354" s="167" t="s">
        <v>466</v>
      </c>
      <c r="N354" s="46">
        <v>91.64</v>
      </c>
      <c r="O354" s="698">
        <v>7.0200199999999997</v>
      </c>
      <c r="P354" s="86" t="s">
        <v>331</v>
      </c>
      <c r="Q354" s="400" t="s">
        <v>595</v>
      </c>
      <c r="R354" s="168" t="s">
        <v>596</v>
      </c>
      <c r="S354" s="633">
        <v>41487</v>
      </c>
      <c r="T354" s="633">
        <v>41492</v>
      </c>
      <c r="U354" s="229" t="s">
        <v>683</v>
      </c>
      <c r="V354" s="229"/>
      <c r="W354" s="117">
        <v>836220</v>
      </c>
      <c r="X354" s="117">
        <v>7.8</v>
      </c>
      <c r="Y354" s="117">
        <f t="shared" si="105"/>
        <v>6522516</v>
      </c>
      <c r="Z354" s="117"/>
      <c r="AA354" s="423">
        <v>5.73</v>
      </c>
      <c r="AB354" s="680">
        <v>44697</v>
      </c>
      <c r="AC354" s="104">
        <f t="shared" si="106"/>
        <v>8.794520547945206</v>
      </c>
      <c r="AD354" s="104"/>
      <c r="AF354" s="214"/>
      <c r="AG354" s="215"/>
    </row>
    <row r="355" spans="1:34" s="74" customFormat="1" ht="25.5" customHeight="1">
      <c r="A355" s="268" t="s">
        <v>902</v>
      </c>
      <c r="B355" s="73"/>
      <c r="C355" s="73"/>
      <c r="D355" s="73"/>
      <c r="E355" s="91">
        <v>230</v>
      </c>
      <c r="F355" s="64" t="s">
        <v>202</v>
      </c>
      <c r="G355" s="109" t="s">
        <v>1078</v>
      </c>
      <c r="H355" s="399" t="s">
        <v>79</v>
      </c>
      <c r="I355" s="399" t="s">
        <v>340</v>
      </c>
      <c r="J355" s="319">
        <f t="shared" si="104"/>
        <v>8.7808219178082183</v>
      </c>
      <c r="K355" s="167" t="s">
        <v>465</v>
      </c>
      <c r="L355" s="341">
        <v>3000000</v>
      </c>
      <c r="M355" s="167" t="s">
        <v>466</v>
      </c>
      <c r="N355" s="46">
        <v>91.62</v>
      </c>
      <c r="O355" s="698">
        <v>7.0232799999999997</v>
      </c>
      <c r="P355" s="86" t="s">
        <v>1063</v>
      </c>
      <c r="Q355" s="400" t="s">
        <v>1149</v>
      </c>
      <c r="R355" s="168" t="s">
        <v>1150</v>
      </c>
      <c r="S355" s="633">
        <v>41487</v>
      </c>
      <c r="T355" s="633">
        <v>41492</v>
      </c>
      <c r="U355" s="229" t="s">
        <v>683</v>
      </c>
      <c r="V355" s="229"/>
      <c r="W355" s="699">
        <v>2786800</v>
      </c>
      <c r="X355" s="117">
        <v>7.8</v>
      </c>
      <c r="Y355" s="117">
        <f t="shared" si="105"/>
        <v>21737040</v>
      </c>
      <c r="Z355" s="117"/>
      <c r="AA355" s="423">
        <v>5.73</v>
      </c>
      <c r="AB355" s="680">
        <v>44697</v>
      </c>
      <c r="AC355" s="104">
        <f t="shared" si="106"/>
        <v>8.794520547945206</v>
      </c>
      <c r="AD355" s="104"/>
      <c r="AF355" s="214"/>
      <c r="AG355" s="215"/>
    </row>
    <row r="356" spans="1:34" s="74" customFormat="1" ht="25.5" customHeight="1">
      <c r="A356" s="268" t="s">
        <v>902</v>
      </c>
      <c r="B356" s="73"/>
      <c r="C356" s="73"/>
      <c r="D356" s="73"/>
      <c r="E356" s="91">
        <v>231</v>
      </c>
      <c r="F356" s="64" t="s">
        <v>202</v>
      </c>
      <c r="G356" s="109" t="s">
        <v>1078</v>
      </c>
      <c r="H356" s="399" t="s">
        <v>79</v>
      </c>
      <c r="I356" s="399" t="s">
        <v>340</v>
      </c>
      <c r="J356" s="319">
        <f t="shared" si="104"/>
        <v>8.7808219178082183</v>
      </c>
      <c r="K356" s="167" t="s">
        <v>465</v>
      </c>
      <c r="L356" s="341">
        <v>1000000</v>
      </c>
      <c r="M356" s="167" t="s">
        <v>466</v>
      </c>
      <c r="N356" s="46">
        <v>91.456000000000003</v>
      </c>
      <c r="O356" s="698">
        <v>7.0500489999999996</v>
      </c>
      <c r="P356" s="86" t="s">
        <v>249</v>
      </c>
      <c r="Q356" s="400" t="s">
        <v>1151</v>
      </c>
      <c r="R356" s="168" t="s">
        <v>1152</v>
      </c>
      <c r="S356" s="633">
        <v>41487</v>
      </c>
      <c r="T356" s="633">
        <v>41492</v>
      </c>
      <c r="U356" s="229" t="s">
        <v>683</v>
      </c>
      <c r="V356" s="229"/>
      <c r="W356" s="699">
        <v>927293.33</v>
      </c>
      <c r="X356" s="117">
        <v>7.8</v>
      </c>
      <c r="Y356" s="117">
        <f t="shared" si="105"/>
        <v>7232887.9739999995</v>
      </c>
      <c r="Z356" s="117"/>
      <c r="AA356" s="423">
        <v>5.73</v>
      </c>
      <c r="AB356" s="680">
        <v>44697</v>
      </c>
      <c r="AC356" s="104">
        <f t="shared" si="106"/>
        <v>8.794520547945206</v>
      </c>
      <c r="AD356" s="104"/>
      <c r="AF356" s="214"/>
      <c r="AG356" s="215"/>
    </row>
    <row r="357" spans="1:34" s="74" customFormat="1" ht="25.5" customHeight="1">
      <c r="A357" s="268" t="s">
        <v>902</v>
      </c>
      <c r="B357" s="73"/>
      <c r="C357" s="73"/>
      <c r="D357" s="73"/>
      <c r="E357" s="91">
        <v>232</v>
      </c>
      <c r="F357" s="64" t="s">
        <v>668</v>
      </c>
      <c r="G357" s="109" t="s">
        <v>420</v>
      </c>
      <c r="H357" s="399" t="s">
        <v>192</v>
      </c>
      <c r="I357" s="399" t="s">
        <v>421</v>
      </c>
      <c r="J357" s="319">
        <f t="shared" si="104"/>
        <v>29.293150684931508</v>
      </c>
      <c r="K357" s="167" t="s">
        <v>465</v>
      </c>
      <c r="L357" s="341">
        <v>2500000</v>
      </c>
      <c r="M357" s="167" t="s">
        <v>466</v>
      </c>
      <c r="N357" s="46">
        <v>90.820999999999998</v>
      </c>
      <c r="O357" s="698">
        <v>6.0200399999999998</v>
      </c>
      <c r="P357" s="86" t="s">
        <v>331</v>
      </c>
      <c r="Q357" s="400" t="s">
        <v>595</v>
      </c>
      <c r="R357" s="168" t="s">
        <v>596</v>
      </c>
      <c r="S357" s="633">
        <v>41488</v>
      </c>
      <c r="T357" s="633">
        <v>41493</v>
      </c>
      <c r="U357" s="229" t="s">
        <v>683</v>
      </c>
      <c r="V357" s="229"/>
      <c r="W357" s="699">
        <v>2300990.2799999998</v>
      </c>
      <c r="X357" s="117">
        <v>7.8</v>
      </c>
      <c r="Y357" s="117">
        <f t="shared" si="105"/>
        <v>17947724.183999997</v>
      </c>
      <c r="Z357" s="117"/>
      <c r="AA357" s="423">
        <v>5.35</v>
      </c>
      <c r="AB357" s="680">
        <v>52185</v>
      </c>
      <c r="AC357" s="104">
        <f t="shared" si="106"/>
        <v>29.306849315068494</v>
      </c>
      <c r="AD357" s="104"/>
      <c r="AF357" s="214"/>
      <c r="AG357" s="215"/>
    </row>
    <row r="358" spans="1:34" s="74" customFormat="1" ht="25.5" customHeight="1">
      <c r="A358" s="268"/>
      <c r="B358" s="73"/>
      <c r="C358" s="73"/>
      <c r="D358" s="73"/>
      <c r="E358" s="91">
        <v>232</v>
      </c>
      <c r="F358" s="64" t="s">
        <v>668</v>
      </c>
      <c r="G358" s="109" t="s">
        <v>420</v>
      </c>
      <c r="H358" s="399" t="s">
        <v>192</v>
      </c>
      <c r="I358" s="399" t="s">
        <v>421</v>
      </c>
      <c r="J358" s="319">
        <f t="shared" si="104"/>
        <v>29.293150684931508</v>
      </c>
      <c r="K358" s="167" t="s">
        <v>465</v>
      </c>
      <c r="L358" s="341">
        <v>500000</v>
      </c>
      <c r="M358" s="167" t="s">
        <v>466</v>
      </c>
      <c r="N358" s="46">
        <v>90.820999999999998</v>
      </c>
      <c r="O358" s="698">
        <v>6.0200399999999998</v>
      </c>
      <c r="P358" s="86" t="s">
        <v>331</v>
      </c>
      <c r="Q358" s="400" t="s">
        <v>595</v>
      </c>
      <c r="R358" s="168" t="s">
        <v>596</v>
      </c>
      <c r="S358" s="633">
        <v>41488</v>
      </c>
      <c r="T358" s="633">
        <v>41493</v>
      </c>
      <c r="U358" s="229" t="s">
        <v>683</v>
      </c>
      <c r="V358" s="229"/>
      <c r="W358" s="699">
        <v>460198.06</v>
      </c>
      <c r="X358" s="117">
        <v>7.8</v>
      </c>
      <c r="Y358" s="117">
        <f t="shared" si="105"/>
        <v>3589544.8679999998</v>
      </c>
      <c r="Z358" s="117"/>
      <c r="AA358" s="423">
        <v>5.35</v>
      </c>
      <c r="AB358" s="680">
        <v>52185</v>
      </c>
      <c r="AC358" s="104">
        <f t="shared" si="106"/>
        <v>29.306849315068494</v>
      </c>
      <c r="AD358" s="104"/>
      <c r="AF358" s="214"/>
      <c r="AG358" s="215"/>
    </row>
    <row r="359" spans="1:34" s="74" customFormat="1" ht="25.5" customHeight="1">
      <c r="A359" s="268" t="s">
        <v>902</v>
      </c>
      <c r="B359" s="73"/>
      <c r="C359" s="73"/>
      <c r="D359" s="73"/>
      <c r="E359" s="91">
        <v>233</v>
      </c>
      <c r="F359" s="64" t="s">
        <v>668</v>
      </c>
      <c r="G359" s="109" t="s">
        <v>420</v>
      </c>
      <c r="H359" s="399" t="s">
        <v>192</v>
      </c>
      <c r="I359" s="399" t="s">
        <v>421</v>
      </c>
      <c r="J359" s="319">
        <f t="shared" si="104"/>
        <v>29.293150684931508</v>
      </c>
      <c r="K359" s="167" t="s">
        <v>465</v>
      </c>
      <c r="L359" s="341">
        <v>2000000</v>
      </c>
      <c r="M359" s="167" t="s">
        <v>466</v>
      </c>
      <c r="N359" s="46">
        <v>90.822000000000003</v>
      </c>
      <c r="O359" s="698">
        <v>6.0199632999999997</v>
      </c>
      <c r="P359" s="86" t="s">
        <v>946</v>
      </c>
      <c r="Q359" s="400" t="s">
        <v>1154</v>
      </c>
      <c r="R359" s="168" t="s">
        <v>1155</v>
      </c>
      <c r="S359" s="633">
        <v>41488</v>
      </c>
      <c r="T359" s="633">
        <v>41493</v>
      </c>
      <c r="U359" s="229" t="s">
        <v>683</v>
      </c>
      <c r="V359" s="229"/>
      <c r="W359" s="699">
        <v>1840812.22</v>
      </c>
      <c r="X359" s="117">
        <v>7.8</v>
      </c>
      <c r="Y359" s="117">
        <f t="shared" si="105"/>
        <v>14358335.316</v>
      </c>
      <c r="Z359" s="117"/>
      <c r="AA359" s="423">
        <v>5.35</v>
      </c>
      <c r="AB359" s="680">
        <v>52185</v>
      </c>
      <c r="AC359" s="104">
        <f t="shared" si="106"/>
        <v>29.306849315068494</v>
      </c>
      <c r="AD359" s="104"/>
      <c r="AF359" s="214"/>
      <c r="AG359" s="215"/>
    </row>
    <row r="360" spans="1:34" s="74" customFormat="1" ht="25.5" customHeight="1">
      <c r="A360" s="268" t="s">
        <v>902</v>
      </c>
      <c r="B360" s="73"/>
      <c r="C360" s="73"/>
      <c r="D360" s="73"/>
      <c r="E360" s="91">
        <v>234</v>
      </c>
      <c r="F360" s="64" t="s">
        <v>202</v>
      </c>
      <c r="G360" s="109" t="s">
        <v>1078</v>
      </c>
      <c r="H360" s="399" t="s">
        <v>79</v>
      </c>
      <c r="I360" s="399" t="s">
        <v>340</v>
      </c>
      <c r="J360" s="319">
        <f t="shared" si="104"/>
        <v>8.7780821917808218</v>
      </c>
      <c r="K360" s="167" t="s">
        <v>465</v>
      </c>
      <c r="L360" s="341">
        <v>1800000</v>
      </c>
      <c r="M360" s="167" t="s">
        <v>466</v>
      </c>
      <c r="N360" s="46">
        <v>90.787999999999997</v>
      </c>
      <c r="O360" s="698">
        <v>7.1600539999999997</v>
      </c>
      <c r="P360" s="86" t="s">
        <v>1133</v>
      </c>
      <c r="Q360" s="400" t="s">
        <v>1156</v>
      </c>
      <c r="R360" s="168" t="s">
        <v>1157</v>
      </c>
      <c r="S360" s="633">
        <v>41488</v>
      </c>
      <c r="T360" s="633">
        <v>41493</v>
      </c>
      <c r="U360" s="229" t="s">
        <v>683</v>
      </c>
      <c r="V360" s="229"/>
      <c r="W360" s="699">
        <v>1657390.5</v>
      </c>
      <c r="X360" s="117">
        <v>7.8</v>
      </c>
      <c r="Y360" s="117">
        <f t="shared" si="105"/>
        <v>12927645.9</v>
      </c>
      <c r="Z360" s="117"/>
      <c r="AA360" s="423">
        <v>5.73</v>
      </c>
      <c r="AB360" s="680">
        <v>44697</v>
      </c>
      <c r="AC360" s="104">
        <f t="shared" si="106"/>
        <v>8.7917808219178077</v>
      </c>
      <c r="AD360" s="104"/>
      <c r="AF360" s="214"/>
      <c r="AG360" s="215"/>
    </row>
    <row r="361" spans="1:34" s="74" customFormat="1" ht="25.5" customHeight="1">
      <c r="A361" s="268"/>
      <c r="B361" s="73"/>
      <c r="C361" s="73"/>
      <c r="D361" s="73"/>
      <c r="E361" s="91">
        <v>234</v>
      </c>
      <c r="F361" s="64" t="s">
        <v>202</v>
      </c>
      <c r="G361" s="109" t="s">
        <v>1078</v>
      </c>
      <c r="H361" s="399" t="s">
        <v>79</v>
      </c>
      <c r="I361" s="399" t="s">
        <v>340</v>
      </c>
      <c r="J361" s="319">
        <f t="shared" si="104"/>
        <v>8.7780821917808218</v>
      </c>
      <c r="K361" s="167" t="s">
        <v>465</v>
      </c>
      <c r="L361" s="341">
        <v>200000</v>
      </c>
      <c r="M361" s="167" t="s">
        <v>466</v>
      </c>
      <c r="N361" s="46">
        <v>90.787999999999997</v>
      </c>
      <c r="O361" s="698">
        <v>7.1600539999999997</v>
      </c>
      <c r="P361" s="86" t="s">
        <v>1133</v>
      </c>
      <c r="Q361" s="400" t="s">
        <v>1156</v>
      </c>
      <c r="R361" s="168" t="s">
        <v>1157</v>
      </c>
      <c r="S361" s="633">
        <v>41488</v>
      </c>
      <c r="T361" s="633">
        <v>41493</v>
      </c>
      <c r="U361" s="229" t="s">
        <v>683</v>
      </c>
      <c r="V361" s="229"/>
      <c r="W361" s="699">
        <v>184154.5</v>
      </c>
      <c r="X361" s="117">
        <v>7.8</v>
      </c>
      <c r="Y361" s="117">
        <f t="shared" si="105"/>
        <v>1436405.0999999999</v>
      </c>
      <c r="Z361" s="117"/>
      <c r="AA361" s="423">
        <v>5.73</v>
      </c>
      <c r="AB361" s="680">
        <v>44697</v>
      </c>
      <c r="AC361" s="104">
        <f t="shared" si="106"/>
        <v>8.7917808219178077</v>
      </c>
      <c r="AD361" s="104"/>
      <c r="AF361" s="214"/>
      <c r="AG361" s="215"/>
    </row>
    <row r="362" spans="1:34" s="74" customFormat="1" ht="25.5" customHeight="1">
      <c r="A362" s="268" t="s">
        <v>902</v>
      </c>
      <c r="B362" s="73"/>
      <c r="C362" s="73"/>
      <c r="D362" s="73"/>
      <c r="E362" s="91">
        <v>235</v>
      </c>
      <c r="F362" s="64" t="s">
        <v>202</v>
      </c>
      <c r="G362" s="109" t="s">
        <v>1078</v>
      </c>
      <c r="H362" s="399" t="s">
        <v>79</v>
      </c>
      <c r="I362" s="399" t="s">
        <v>340</v>
      </c>
      <c r="J362" s="319">
        <f t="shared" si="104"/>
        <v>8.7780821917808218</v>
      </c>
      <c r="K362" s="167" t="s">
        <v>465</v>
      </c>
      <c r="L362" s="341">
        <v>4500000</v>
      </c>
      <c r="M362" s="167" t="s">
        <v>466</v>
      </c>
      <c r="N362" s="46">
        <v>90.727000000000004</v>
      </c>
      <c r="O362" s="698">
        <v>7.1701199999999998</v>
      </c>
      <c r="P362" s="86" t="s">
        <v>331</v>
      </c>
      <c r="Q362" s="400" t="s">
        <v>595</v>
      </c>
      <c r="R362" s="168" t="s">
        <v>596</v>
      </c>
      <c r="S362" s="633">
        <v>41488</v>
      </c>
      <c r="T362" s="633">
        <v>41493</v>
      </c>
      <c r="U362" s="229" t="s">
        <v>683</v>
      </c>
      <c r="V362" s="229"/>
      <c r="W362" s="699">
        <v>4140731.25</v>
      </c>
      <c r="X362" s="117">
        <v>7.8</v>
      </c>
      <c r="Y362" s="117">
        <f t="shared" si="105"/>
        <v>32297703.75</v>
      </c>
      <c r="Z362" s="117"/>
      <c r="AA362" s="423">
        <v>5.73</v>
      </c>
      <c r="AB362" s="680">
        <v>44697</v>
      </c>
      <c r="AC362" s="104">
        <f t="shared" si="106"/>
        <v>8.7917808219178077</v>
      </c>
      <c r="AD362" s="104"/>
      <c r="AF362" s="214"/>
      <c r="AG362" s="215"/>
    </row>
    <row r="363" spans="1:34" s="74" customFormat="1" ht="25.5" customHeight="1">
      <c r="A363" s="268"/>
      <c r="B363" s="73"/>
      <c r="C363" s="73"/>
      <c r="D363" s="73"/>
      <c r="E363" s="91">
        <v>235</v>
      </c>
      <c r="F363" s="64" t="s">
        <v>202</v>
      </c>
      <c r="G363" s="109" t="s">
        <v>1078</v>
      </c>
      <c r="H363" s="399" t="s">
        <v>79</v>
      </c>
      <c r="I363" s="399" t="s">
        <v>340</v>
      </c>
      <c r="J363" s="319">
        <f t="shared" si="104"/>
        <v>8.7780821917808218</v>
      </c>
      <c r="K363" s="167" t="s">
        <v>465</v>
      </c>
      <c r="L363" s="341">
        <v>500000</v>
      </c>
      <c r="M363" s="167" t="s">
        <v>466</v>
      </c>
      <c r="N363" s="46">
        <v>90.727000000000004</v>
      </c>
      <c r="O363" s="698">
        <v>7.1701199999999998</v>
      </c>
      <c r="P363" s="86" t="s">
        <v>331</v>
      </c>
      <c r="Q363" s="400" t="s">
        <v>595</v>
      </c>
      <c r="R363" s="168" t="s">
        <v>596</v>
      </c>
      <c r="S363" s="633">
        <v>41488</v>
      </c>
      <c r="T363" s="633">
        <v>41493</v>
      </c>
      <c r="U363" s="229" t="s">
        <v>683</v>
      </c>
      <c r="V363" s="229"/>
      <c r="W363" s="699">
        <v>460081.25</v>
      </c>
      <c r="X363" s="117">
        <v>7.8</v>
      </c>
      <c r="Y363" s="117">
        <f t="shared" si="105"/>
        <v>3588633.75</v>
      </c>
      <c r="Z363" s="117"/>
      <c r="AA363" s="423">
        <v>5.73</v>
      </c>
      <c r="AB363" s="680">
        <v>44697</v>
      </c>
      <c r="AC363" s="104">
        <f t="shared" si="106"/>
        <v>8.7917808219178077</v>
      </c>
      <c r="AD363" s="104"/>
      <c r="AF363" s="214"/>
      <c r="AG363" s="215"/>
    </row>
    <row r="364" spans="1:34" s="74" customFormat="1" ht="25.5" customHeight="1">
      <c r="A364" s="268" t="s">
        <v>902</v>
      </c>
      <c r="B364" s="73"/>
      <c r="C364" s="73"/>
      <c r="D364" s="73"/>
      <c r="E364" s="91">
        <v>236</v>
      </c>
      <c r="F364" s="64" t="s">
        <v>202</v>
      </c>
      <c r="G364" s="109" t="s">
        <v>1078</v>
      </c>
      <c r="H364" s="399" t="s">
        <v>79</v>
      </c>
      <c r="I364" s="399" t="s">
        <v>340</v>
      </c>
      <c r="J364" s="319">
        <f t="shared" ref="J364:J381" si="107">(AB364-T364)/365</f>
        <v>8.7643835616438359</v>
      </c>
      <c r="K364" s="167" t="s">
        <v>465</v>
      </c>
      <c r="L364" s="341">
        <v>1000000</v>
      </c>
      <c r="M364" s="167" t="s">
        <v>466</v>
      </c>
      <c r="N364" s="46">
        <v>91.162999999999997</v>
      </c>
      <c r="O364" s="698">
        <v>7.1</v>
      </c>
      <c r="P364" s="86" t="s">
        <v>331</v>
      </c>
      <c r="Q364" s="400" t="s">
        <v>595</v>
      </c>
      <c r="R364" s="168" t="s">
        <v>596</v>
      </c>
      <c r="S364" s="633">
        <v>41493</v>
      </c>
      <c r="T364" s="633">
        <v>41498</v>
      </c>
      <c r="U364" s="229" t="s">
        <v>683</v>
      </c>
      <c r="V364" s="229"/>
      <c r="W364" s="699">
        <v>925318.33</v>
      </c>
      <c r="X364" s="117">
        <v>7.8</v>
      </c>
      <c r="Y364" s="117">
        <f t="shared" ref="Y364:Y381" si="108">X364*W364</f>
        <v>7217482.9739999995</v>
      </c>
      <c r="Z364" s="117"/>
      <c r="AA364" s="423">
        <v>5.73</v>
      </c>
      <c r="AB364" s="680">
        <v>44697</v>
      </c>
      <c r="AC364" s="104">
        <f t="shared" ref="AC364:AC381" si="109">(AB364-S364)/365</f>
        <v>8.7780821917808218</v>
      </c>
      <c r="AD364" s="104"/>
      <c r="AF364" s="214"/>
      <c r="AG364" s="215"/>
    </row>
    <row r="365" spans="1:34" s="74" customFormat="1" ht="25.5" customHeight="1">
      <c r="A365" s="268" t="s">
        <v>902</v>
      </c>
      <c r="B365" s="73"/>
      <c r="C365" s="73"/>
      <c r="D365" s="73"/>
      <c r="E365" s="91">
        <v>237</v>
      </c>
      <c r="F365" s="64" t="s">
        <v>668</v>
      </c>
      <c r="G365" s="109" t="s">
        <v>420</v>
      </c>
      <c r="H365" s="399" t="s">
        <v>192</v>
      </c>
      <c r="I365" s="399" t="s">
        <v>421</v>
      </c>
      <c r="J365" s="319">
        <f t="shared" si="107"/>
        <v>29.252054794520546</v>
      </c>
      <c r="K365" s="167" t="s">
        <v>465</v>
      </c>
      <c r="L365" s="341">
        <v>1800000</v>
      </c>
      <c r="M365" s="167" t="s">
        <v>945</v>
      </c>
      <c r="N365" s="46">
        <v>88.58</v>
      </c>
      <c r="O365" s="114">
        <v>6.2000900000000003</v>
      </c>
      <c r="P365" s="86" t="s">
        <v>775</v>
      </c>
      <c r="Q365" s="400" t="s">
        <v>776</v>
      </c>
      <c r="R365" s="168" t="s">
        <v>99</v>
      </c>
      <c r="S365" s="633">
        <v>41505</v>
      </c>
      <c r="T365" s="633">
        <v>41508</v>
      </c>
      <c r="U365" s="229" t="s">
        <v>683</v>
      </c>
      <c r="V365" s="229"/>
      <c r="W365" s="699">
        <v>1620387.5</v>
      </c>
      <c r="X365" s="117">
        <v>7.8</v>
      </c>
      <c r="Y365" s="117">
        <f t="shared" si="108"/>
        <v>12639022.5</v>
      </c>
      <c r="Z365" s="117"/>
      <c r="AA365" s="423">
        <v>5.35</v>
      </c>
      <c r="AB365" s="680">
        <v>52185</v>
      </c>
      <c r="AC365" s="104">
        <f t="shared" si="109"/>
        <v>29.260273972602739</v>
      </c>
      <c r="AD365" s="104"/>
      <c r="AF365" s="214"/>
      <c r="AG365" s="215"/>
    </row>
    <row r="366" spans="1:34" s="74" customFormat="1" ht="25.5">
      <c r="A366" s="268" t="s">
        <v>902</v>
      </c>
      <c r="B366" s="73"/>
      <c r="C366" s="73"/>
      <c r="D366" s="73"/>
      <c r="E366" s="91">
        <v>238</v>
      </c>
      <c r="F366" s="64" t="s">
        <v>1159</v>
      </c>
      <c r="G366" s="109" t="s">
        <v>1158</v>
      </c>
      <c r="H366" s="399" t="s">
        <v>631</v>
      </c>
      <c r="I366" s="399" t="s">
        <v>1082</v>
      </c>
      <c r="J366" s="319">
        <f t="shared" si="107"/>
        <v>9.668493150684931</v>
      </c>
      <c r="K366" s="46" t="s">
        <v>465</v>
      </c>
      <c r="L366" s="341">
        <v>1800000</v>
      </c>
      <c r="M366" s="167" t="s">
        <v>945</v>
      </c>
      <c r="N366" s="114">
        <v>85.71</v>
      </c>
      <c r="O366" s="91">
        <v>6.1032719999999996</v>
      </c>
      <c r="P366" s="400" t="s">
        <v>1161</v>
      </c>
      <c r="Q366" s="400" t="s">
        <v>1162</v>
      </c>
      <c r="R366" s="109" t="s">
        <v>1163</v>
      </c>
      <c r="S366" s="633">
        <v>41505</v>
      </c>
      <c r="T366" s="633">
        <v>41512</v>
      </c>
      <c r="U366" s="229" t="s">
        <v>599</v>
      </c>
      <c r="W366" s="143">
        <v>1567736.25</v>
      </c>
      <c r="X366" s="143">
        <v>7.8</v>
      </c>
      <c r="Y366" s="117">
        <f t="shared" si="108"/>
        <v>12228342.75</v>
      </c>
      <c r="Z366" s="110"/>
      <c r="AA366" s="86">
        <v>4.125</v>
      </c>
      <c r="AB366" s="681">
        <v>45041</v>
      </c>
      <c r="AC366" s="104">
        <f t="shared" si="109"/>
        <v>9.6876712328767116</v>
      </c>
      <c r="AF366" s="214"/>
      <c r="AG366" s="215"/>
      <c r="AH366" s="117"/>
    </row>
    <row r="367" spans="1:34" s="74" customFormat="1" ht="25.5">
      <c r="A367" s="73"/>
      <c r="B367" s="73"/>
      <c r="C367" s="73"/>
      <c r="D367" s="73"/>
      <c r="E367" s="91">
        <v>238</v>
      </c>
      <c r="F367" s="64" t="s">
        <v>1159</v>
      </c>
      <c r="G367" s="109" t="s">
        <v>1158</v>
      </c>
      <c r="H367" s="399" t="s">
        <v>631</v>
      </c>
      <c r="I367" s="399" t="s">
        <v>1082</v>
      </c>
      <c r="J367" s="319">
        <f t="shared" si="107"/>
        <v>9.668493150684931</v>
      </c>
      <c r="K367" s="46" t="s">
        <v>465</v>
      </c>
      <c r="L367" s="341">
        <v>200000</v>
      </c>
      <c r="M367" s="167" t="s">
        <v>945</v>
      </c>
      <c r="N367" s="114">
        <v>85.71</v>
      </c>
      <c r="O367" s="91">
        <v>6.1032719999999996</v>
      </c>
      <c r="P367" s="400" t="s">
        <v>1161</v>
      </c>
      <c r="Q367" s="400" t="s">
        <v>1162</v>
      </c>
      <c r="R367" s="109" t="s">
        <v>1163</v>
      </c>
      <c r="S367" s="633">
        <v>41505</v>
      </c>
      <c r="T367" s="633">
        <v>41512</v>
      </c>
      <c r="U367" s="229" t="s">
        <v>599</v>
      </c>
      <c r="W367" s="143">
        <v>174192.92</v>
      </c>
      <c r="X367" s="143">
        <v>7.8</v>
      </c>
      <c r="Y367" s="117">
        <f t="shared" si="108"/>
        <v>1358704.7760000001</v>
      </c>
      <c r="Z367" s="110"/>
      <c r="AA367" s="86">
        <v>4.125</v>
      </c>
      <c r="AB367" s="681">
        <v>45041</v>
      </c>
      <c r="AC367" s="104">
        <f t="shared" si="109"/>
        <v>9.6876712328767116</v>
      </c>
      <c r="AF367" s="214"/>
      <c r="AG367" s="215"/>
      <c r="AH367" s="117"/>
    </row>
    <row r="368" spans="1:34" s="74" customFormat="1" ht="25.5">
      <c r="A368" s="268" t="s">
        <v>1170</v>
      </c>
      <c r="B368" s="73"/>
      <c r="C368" s="73"/>
      <c r="D368" s="73"/>
      <c r="E368" s="91">
        <v>239</v>
      </c>
      <c r="F368" s="64" t="s">
        <v>1171</v>
      </c>
      <c r="G368" s="109" t="s">
        <v>22</v>
      </c>
      <c r="H368" s="399" t="s">
        <v>23</v>
      </c>
      <c r="I368" s="399" t="s">
        <v>24</v>
      </c>
      <c r="J368" s="319">
        <f t="shared" si="107"/>
        <v>9.7479452054794518</v>
      </c>
      <c r="K368" s="46" t="s">
        <v>465</v>
      </c>
      <c r="L368" s="341">
        <v>10000000</v>
      </c>
      <c r="M368" s="167" t="s">
        <v>945</v>
      </c>
      <c r="N368" s="114">
        <v>88.13</v>
      </c>
      <c r="O368" s="91">
        <v>6.0003310000000001</v>
      </c>
      <c r="P368" s="400" t="s">
        <v>84</v>
      </c>
      <c r="Q368" s="400" t="s">
        <v>85</v>
      </c>
      <c r="R368" s="109" t="s">
        <v>86</v>
      </c>
      <c r="S368" s="633">
        <v>41505</v>
      </c>
      <c r="T368" s="633">
        <v>41508</v>
      </c>
      <c r="U368" s="229" t="s">
        <v>599</v>
      </c>
      <c r="W368" s="143">
        <v>8924805.5600000005</v>
      </c>
      <c r="X368" s="143">
        <v>7.8</v>
      </c>
      <c r="Y368" s="117">
        <f t="shared" si="108"/>
        <v>69613483.368000001</v>
      </c>
      <c r="Z368" s="110"/>
      <c r="AA368" s="86">
        <v>4.375</v>
      </c>
      <c r="AB368" s="681">
        <v>45066</v>
      </c>
      <c r="AC368" s="104">
        <f t="shared" si="109"/>
        <v>9.7561643835616429</v>
      </c>
      <c r="AF368" s="214"/>
      <c r="AG368" s="215"/>
      <c r="AH368" s="117"/>
    </row>
    <row r="369" spans="1:34" s="74" customFormat="1" ht="25.5">
      <c r="A369" s="268" t="s">
        <v>1170</v>
      </c>
      <c r="B369" s="73"/>
      <c r="C369" s="73"/>
      <c r="D369" s="73"/>
      <c r="E369" s="91">
        <v>240</v>
      </c>
      <c r="F369" s="64" t="s">
        <v>1171</v>
      </c>
      <c r="G369" s="109" t="s">
        <v>22</v>
      </c>
      <c r="H369" s="399" t="s">
        <v>23</v>
      </c>
      <c r="I369" s="399" t="s">
        <v>24</v>
      </c>
      <c r="J369" s="319">
        <f t="shared" si="107"/>
        <v>9.7479452054794518</v>
      </c>
      <c r="K369" s="46" t="s">
        <v>465</v>
      </c>
      <c r="L369" s="341">
        <v>6200000</v>
      </c>
      <c r="M369" s="167" t="s">
        <v>945</v>
      </c>
      <c r="N369" s="114">
        <v>88.132000000000005</v>
      </c>
      <c r="O369" s="399">
        <v>6.0000359999999997</v>
      </c>
      <c r="P369" s="400" t="s">
        <v>331</v>
      </c>
      <c r="Q369" s="400" t="s">
        <v>595</v>
      </c>
      <c r="R369" s="109" t="s">
        <v>596</v>
      </c>
      <c r="S369" s="633">
        <v>41505</v>
      </c>
      <c r="T369" s="633">
        <v>41508</v>
      </c>
      <c r="U369" s="229" t="s">
        <v>599</v>
      </c>
      <c r="W369" s="143">
        <v>5533503.4400000004</v>
      </c>
      <c r="X369" s="143">
        <v>7.8</v>
      </c>
      <c r="Y369" s="117">
        <f t="shared" si="108"/>
        <v>43161326.832000002</v>
      </c>
      <c r="Z369" s="110"/>
      <c r="AA369" s="86">
        <v>4.375</v>
      </c>
      <c r="AB369" s="681">
        <v>45066</v>
      </c>
      <c r="AC369" s="104">
        <f t="shared" si="109"/>
        <v>9.7561643835616429</v>
      </c>
      <c r="AF369" s="214"/>
      <c r="AG369" s="215"/>
      <c r="AH369" s="117"/>
    </row>
    <row r="370" spans="1:34" s="74" customFormat="1" ht="25.5">
      <c r="A370" s="268"/>
      <c r="B370" s="73"/>
      <c r="C370" s="73"/>
      <c r="D370" s="73"/>
      <c r="E370" s="91">
        <v>240</v>
      </c>
      <c r="F370" s="64" t="s">
        <v>1171</v>
      </c>
      <c r="G370" s="109" t="s">
        <v>22</v>
      </c>
      <c r="H370" s="399" t="s">
        <v>23</v>
      </c>
      <c r="I370" s="399" t="s">
        <v>24</v>
      </c>
      <c r="J370" s="319">
        <f t="shared" si="107"/>
        <v>9.7479452054794518</v>
      </c>
      <c r="K370" s="46" t="s">
        <v>465</v>
      </c>
      <c r="L370" s="341">
        <v>1800000</v>
      </c>
      <c r="M370" s="167" t="s">
        <v>945</v>
      </c>
      <c r="N370" s="114">
        <v>88.132000000000005</v>
      </c>
      <c r="O370" s="399">
        <v>6.0000359999999997</v>
      </c>
      <c r="P370" s="400" t="s">
        <v>331</v>
      </c>
      <c r="Q370" s="400" t="s">
        <v>595</v>
      </c>
      <c r="R370" s="109" t="s">
        <v>596</v>
      </c>
      <c r="S370" s="633">
        <v>41505</v>
      </c>
      <c r="T370" s="633">
        <v>41508</v>
      </c>
      <c r="U370" s="229" t="s">
        <v>599</v>
      </c>
      <c r="W370" s="143">
        <v>1606501</v>
      </c>
      <c r="X370" s="143">
        <v>7.8</v>
      </c>
      <c r="Y370" s="117">
        <f t="shared" si="108"/>
        <v>12530707.799999999</v>
      </c>
      <c r="Z370" s="110"/>
      <c r="AA370" s="86">
        <v>4.375</v>
      </c>
      <c r="AB370" s="681">
        <v>45066</v>
      </c>
      <c r="AC370" s="104">
        <f t="shared" si="109"/>
        <v>9.7561643835616429</v>
      </c>
      <c r="AF370" s="214"/>
      <c r="AG370" s="215"/>
      <c r="AH370" s="117"/>
    </row>
    <row r="371" spans="1:34" s="74" customFormat="1" ht="25.5">
      <c r="A371" s="268" t="s">
        <v>902</v>
      </c>
      <c r="B371" s="73"/>
      <c r="C371" s="73"/>
      <c r="D371" s="73"/>
      <c r="E371" s="91">
        <v>241</v>
      </c>
      <c r="F371" s="64" t="s">
        <v>1159</v>
      </c>
      <c r="G371" s="109" t="s">
        <v>1158</v>
      </c>
      <c r="H371" s="399" t="s">
        <v>631</v>
      </c>
      <c r="I371" s="399" t="s">
        <v>1082</v>
      </c>
      <c r="J371" s="319">
        <f t="shared" si="107"/>
        <v>9.6767123287671239</v>
      </c>
      <c r="K371" s="46" t="s">
        <v>465</v>
      </c>
      <c r="L371" s="341">
        <v>3600000</v>
      </c>
      <c r="M371" s="167" t="s">
        <v>945</v>
      </c>
      <c r="N371" s="114">
        <v>86.25</v>
      </c>
      <c r="O371" s="91">
        <v>6.0201789999999997</v>
      </c>
      <c r="P371" s="400" t="s">
        <v>938</v>
      </c>
      <c r="Q371" s="400" t="s">
        <v>342</v>
      </c>
      <c r="R371" s="109" t="s">
        <v>343</v>
      </c>
      <c r="S371" s="633">
        <v>41506</v>
      </c>
      <c r="T371" s="633">
        <v>41509</v>
      </c>
      <c r="U371" s="229" t="s">
        <v>599</v>
      </c>
      <c r="W371" s="1487">
        <v>3153675</v>
      </c>
      <c r="X371" s="143">
        <v>7.8</v>
      </c>
      <c r="Y371" s="117">
        <f t="shared" si="108"/>
        <v>24598665</v>
      </c>
      <c r="Z371" s="110"/>
      <c r="AA371" s="86">
        <v>4.125</v>
      </c>
      <c r="AB371" s="681">
        <v>45041</v>
      </c>
      <c r="AC371" s="104">
        <f t="shared" si="109"/>
        <v>9.6849315068493151</v>
      </c>
      <c r="AF371" s="214"/>
      <c r="AG371" s="215"/>
      <c r="AH371" s="117"/>
    </row>
    <row r="372" spans="1:34" s="74" customFormat="1" ht="25.5">
      <c r="A372" s="73"/>
      <c r="B372" s="73"/>
      <c r="C372" s="73"/>
      <c r="D372" s="73"/>
      <c r="E372" s="91">
        <v>241</v>
      </c>
      <c r="F372" s="64" t="s">
        <v>1159</v>
      </c>
      <c r="G372" s="109" t="s">
        <v>1158</v>
      </c>
      <c r="H372" s="399" t="s">
        <v>631</v>
      </c>
      <c r="I372" s="399" t="s">
        <v>1082</v>
      </c>
      <c r="J372" s="319">
        <f t="shared" si="107"/>
        <v>9.6767123287671239</v>
      </c>
      <c r="K372" s="46" t="s">
        <v>465</v>
      </c>
      <c r="L372" s="341">
        <v>400000</v>
      </c>
      <c r="M372" s="167" t="s">
        <v>945</v>
      </c>
      <c r="N372" s="114">
        <v>86.25</v>
      </c>
      <c r="O372" s="91">
        <v>6.0201789999999997</v>
      </c>
      <c r="P372" s="400" t="s">
        <v>938</v>
      </c>
      <c r="Q372" s="400" t="s">
        <v>342</v>
      </c>
      <c r="R372" s="109" t="s">
        <v>343</v>
      </c>
      <c r="S372" s="633">
        <v>41506</v>
      </c>
      <c r="T372" s="633">
        <v>41509</v>
      </c>
      <c r="U372" s="229" t="s">
        <v>599</v>
      </c>
      <c r="W372" s="1488">
        <v>350408.33</v>
      </c>
      <c r="X372" s="143">
        <v>7.8</v>
      </c>
      <c r="Y372" s="117">
        <f t="shared" si="108"/>
        <v>2733184.9739999999</v>
      </c>
      <c r="Z372" s="110"/>
      <c r="AA372" s="86">
        <v>4.125</v>
      </c>
      <c r="AB372" s="681">
        <v>45041</v>
      </c>
      <c r="AC372" s="104">
        <f t="shared" si="109"/>
        <v>9.6849315068493151</v>
      </c>
      <c r="AF372" s="214"/>
      <c r="AG372" s="215"/>
      <c r="AH372" s="117"/>
    </row>
    <row r="373" spans="1:34" s="74" customFormat="1" ht="25.5" customHeight="1">
      <c r="A373" s="268" t="s">
        <v>902</v>
      </c>
      <c r="B373" s="73"/>
      <c r="C373" s="73"/>
      <c r="D373" s="73"/>
      <c r="E373" s="91">
        <v>242</v>
      </c>
      <c r="F373" s="64" t="s">
        <v>202</v>
      </c>
      <c r="G373" s="109" t="s">
        <v>1078</v>
      </c>
      <c r="H373" s="399" t="s">
        <v>79</v>
      </c>
      <c r="I373" s="399" t="s">
        <v>340</v>
      </c>
      <c r="J373" s="319">
        <f t="shared" si="107"/>
        <v>8.7342465753424658</v>
      </c>
      <c r="K373" s="167" t="s">
        <v>465</v>
      </c>
      <c r="L373" s="341">
        <v>2150000</v>
      </c>
      <c r="M373" s="167" t="s">
        <v>466</v>
      </c>
      <c r="N373" s="46">
        <v>89.921000000000006</v>
      </c>
      <c r="O373" s="698">
        <v>7.3100399999999999</v>
      </c>
      <c r="P373" s="86" t="s">
        <v>331</v>
      </c>
      <c r="Q373" s="400" t="s">
        <v>595</v>
      </c>
      <c r="R373" s="168" t="s">
        <v>596</v>
      </c>
      <c r="S373" s="633">
        <v>41506</v>
      </c>
      <c r="T373" s="633">
        <v>41509</v>
      </c>
      <c r="U373" s="229" t="s">
        <v>683</v>
      </c>
      <c r="V373" s="229"/>
      <c r="W373" s="699">
        <v>1966495.71</v>
      </c>
      <c r="X373" s="117">
        <v>7.8</v>
      </c>
      <c r="Y373" s="117">
        <f t="shared" si="108"/>
        <v>15338666.537999999</v>
      </c>
      <c r="Z373" s="117"/>
      <c r="AA373" s="423">
        <v>5.73</v>
      </c>
      <c r="AB373" s="680">
        <v>44697</v>
      </c>
      <c r="AC373" s="104">
        <f t="shared" si="109"/>
        <v>8.742465753424657</v>
      </c>
      <c r="AD373" s="104"/>
      <c r="AF373" s="214"/>
      <c r="AG373" s="215"/>
    </row>
    <row r="374" spans="1:34" s="74" customFormat="1" ht="25.5" customHeight="1">
      <c r="A374" s="268"/>
      <c r="B374" s="73"/>
      <c r="C374" s="73"/>
      <c r="D374" s="73"/>
      <c r="E374" s="91">
        <v>242</v>
      </c>
      <c r="F374" s="64" t="s">
        <v>202</v>
      </c>
      <c r="G374" s="109" t="s">
        <v>1078</v>
      </c>
      <c r="H374" s="399" t="s">
        <v>79</v>
      </c>
      <c r="I374" s="399" t="s">
        <v>340</v>
      </c>
      <c r="J374" s="319">
        <f t="shared" si="107"/>
        <v>8.7342465753424658</v>
      </c>
      <c r="K374" s="167" t="s">
        <v>465</v>
      </c>
      <c r="L374" s="341">
        <v>350000</v>
      </c>
      <c r="M374" s="167" t="s">
        <v>466</v>
      </c>
      <c r="N374" s="46">
        <v>89.921000000000006</v>
      </c>
      <c r="O374" s="698">
        <v>7.3100399999999999</v>
      </c>
      <c r="P374" s="86" t="s">
        <v>331</v>
      </c>
      <c r="Q374" s="400" t="s">
        <v>595</v>
      </c>
      <c r="R374" s="168" t="s">
        <v>596</v>
      </c>
      <c r="S374" s="633">
        <v>41506</v>
      </c>
      <c r="T374" s="633">
        <v>41509</v>
      </c>
      <c r="U374" s="229" t="s">
        <v>683</v>
      </c>
      <c r="V374" s="229"/>
      <c r="W374" s="699">
        <v>320127.21000000002</v>
      </c>
      <c r="X374" s="117">
        <v>7.8</v>
      </c>
      <c r="Y374" s="117">
        <f t="shared" si="108"/>
        <v>2496992.2379999999</v>
      </c>
      <c r="Z374" s="117"/>
      <c r="AA374" s="423">
        <v>5.73</v>
      </c>
      <c r="AB374" s="680">
        <v>44697</v>
      </c>
      <c r="AC374" s="104">
        <f t="shared" si="109"/>
        <v>8.742465753424657</v>
      </c>
      <c r="AD374" s="104"/>
      <c r="AF374" s="214"/>
      <c r="AG374" s="215"/>
    </row>
    <row r="375" spans="1:34" s="74" customFormat="1" ht="25.5" customHeight="1">
      <c r="A375" s="268" t="s">
        <v>1170</v>
      </c>
      <c r="B375" s="73"/>
      <c r="C375" s="73"/>
      <c r="D375" s="73"/>
      <c r="E375" s="91">
        <v>243</v>
      </c>
      <c r="F375" s="64" t="s">
        <v>1171</v>
      </c>
      <c r="G375" s="109" t="s">
        <v>22</v>
      </c>
      <c r="H375" s="399" t="s">
        <v>23</v>
      </c>
      <c r="I375" s="399" t="s">
        <v>24</v>
      </c>
      <c r="J375" s="319">
        <f t="shared" si="107"/>
        <v>9.7452054794520553</v>
      </c>
      <c r="K375" s="167" t="s">
        <v>465</v>
      </c>
      <c r="L375" s="341">
        <v>9000000</v>
      </c>
      <c r="M375" s="167" t="s">
        <v>945</v>
      </c>
      <c r="N375" s="46">
        <v>88.13</v>
      </c>
      <c r="O375" s="698">
        <v>6.0007020000000004</v>
      </c>
      <c r="P375" s="86" t="s">
        <v>677</v>
      </c>
      <c r="Q375" s="400" t="s">
        <v>678</v>
      </c>
      <c r="R375" s="168" t="s">
        <v>679</v>
      </c>
      <c r="S375" s="633">
        <v>41506</v>
      </c>
      <c r="T375" s="633">
        <v>41509</v>
      </c>
      <c r="U375" s="229" t="s">
        <v>599</v>
      </c>
      <c r="V375" s="229"/>
      <c r="W375" s="699">
        <v>8033418.75</v>
      </c>
      <c r="X375" s="117">
        <v>7.8</v>
      </c>
      <c r="Y375" s="117">
        <f t="shared" si="108"/>
        <v>62660666.25</v>
      </c>
      <c r="Z375" s="117"/>
      <c r="AA375" s="423">
        <v>4.375</v>
      </c>
      <c r="AB375" s="680">
        <v>45066</v>
      </c>
      <c r="AC375" s="104">
        <f t="shared" si="109"/>
        <v>9.7534246575342465</v>
      </c>
      <c r="AD375" s="104"/>
      <c r="AF375" s="214"/>
      <c r="AG375" s="215"/>
    </row>
    <row r="376" spans="1:34" s="74" customFormat="1" ht="25.5" customHeight="1">
      <c r="A376" s="268"/>
      <c r="B376" s="73"/>
      <c r="C376" s="73"/>
      <c r="D376" s="73"/>
      <c r="E376" s="91">
        <v>243</v>
      </c>
      <c r="F376" s="64" t="s">
        <v>1171</v>
      </c>
      <c r="G376" s="109" t="s">
        <v>22</v>
      </c>
      <c r="H376" s="399" t="s">
        <v>23</v>
      </c>
      <c r="I376" s="399" t="s">
        <v>24</v>
      </c>
      <c r="J376" s="319">
        <f t="shared" si="107"/>
        <v>9.7452054794520553</v>
      </c>
      <c r="K376" s="167" t="s">
        <v>465</v>
      </c>
      <c r="L376" s="341">
        <v>1000000</v>
      </c>
      <c r="M376" s="167" t="s">
        <v>945</v>
      </c>
      <c r="N376" s="46">
        <v>88.13</v>
      </c>
      <c r="O376" s="698">
        <v>6.0007020000000004</v>
      </c>
      <c r="P376" s="86" t="s">
        <v>677</v>
      </c>
      <c r="Q376" s="400" t="s">
        <v>678</v>
      </c>
      <c r="R376" s="168" t="s">
        <v>679</v>
      </c>
      <c r="S376" s="633">
        <v>41506</v>
      </c>
      <c r="T376" s="633">
        <v>41509</v>
      </c>
      <c r="U376" s="229" t="s">
        <v>599</v>
      </c>
      <c r="V376" s="229"/>
      <c r="W376" s="699">
        <v>892602.08</v>
      </c>
      <c r="X376" s="117">
        <v>7.8</v>
      </c>
      <c r="Y376" s="117">
        <f t="shared" si="108"/>
        <v>6962296.2239999995</v>
      </c>
      <c r="Z376" s="117"/>
      <c r="AA376" s="423">
        <v>4.375</v>
      </c>
      <c r="AB376" s="680">
        <v>45066</v>
      </c>
      <c r="AC376" s="104">
        <f t="shared" si="109"/>
        <v>9.7534246575342465</v>
      </c>
      <c r="AD376" s="104"/>
      <c r="AF376" s="214"/>
      <c r="AG376" s="215"/>
    </row>
    <row r="377" spans="1:34" s="74" customFormat="1" ht="25.5" customHeight="1">
      <c r="A377" s="268" t="s">
        <v>903</v>
      </c>
      <c r="B377" s="73"/>
      <c r="C377" s="73"/>
      <c r="D377" s="73"/>
      <c r="E377" s="91">
        <v>244</v>
      </c>
      <c r="F377" s="64" t="s">
        <v>1172</v>
      </c>
      <c r="G377" s="109" t="s">
        <v>1173</v>
      </c>
      <c r="H377" s="494" t="s">
        <v>1174</v>
      </c>
      <c r="I377" s="494" t="s">
        <v>1174</v>
      </c>
      <c r="J377" s="319">
        <f t="shared" si="107"/>
        <v>8.6712328767123292</v>
      </c>
      <c r="K377" s="167" t="s">
        <v>465</v>
      </c>
      <c r="L377" s="341">
        <v>180000000</v>
      </c>
      <c r="M377" s="167" t="s">
        <v>466</v>
      </c>
      <c r="N377" s="46">
        <v>100</v>
      </c>
      <c r="O377" s="114">
        <v>6.3963830000000002</v>
      </c>
      <c r="P377" s="86" t="s">
        <v>712</v>
      </c>
      <c r="Q377" s="400" t="s">
        <v>713</v>
      </c>
      <c r="R377" s="168" t="s">
        <v>714</v>
      </c>
      <c r="S377" s="633">
        <v>41507</v>
      </c>
      <c r="T377" s="633">
        <v>41513</v>
      </c>
      <c r="U377" s="229" t="s">
        <v>683</v>
      </c>
      <c r="V377" s="229"/>
      <c r="W377" s="699">
        <v>180000000</v>
      </c>
      <c r="X377" s="117">
        <v>7.8</v>
      </c>
      <c r="Y377" s="117">
        <f t="shared" si="108"/>
        <v>1404000000</v>
      </c>
      <c r="Z377" s="117"/>
      <c r="AA377" s="423">
        <v>6.4</v>
      </c>
      <c r="AB377" s="680">
        <v>44678</v>
      </c>
      <c r="AC377" s="104">
        <f t="shared" si="109"/>
        <v>8.6876712328767116</v>
      </c>
      <c r="AD377" s="104"/>
      <c r="AF377" s="214"/>
      <c r="AG377" s="215"/>
    </row>
    <row r="378" spans="1:34" s="74" customFormat="1" ht="25.5" customHeight="1">
      <c r="A378" s="268"/>
      <c r="B378" s="73"/>
      <c r="C378" s="73"/>
      <c r="D378" s="73"/>
      <c r="E378" s="91">
        <v>244</v>
      </c>
      <c r="F378" s="64" t="s">
        <v>1172</v>
      </c>
      <c r="G378" s="109" t="s">
        <v>1173</v>
      </c>
      <c r="H378" s="494" t="s">
        <v>1174</v>
      </c>
      <c r="I378" s="494" t="s">
        <v>1174</v>
      </c>
      <c r="J378" s="319">
        <f t="shared" si="107"/>
        <v>8.6712328767123292</v>
      </c>
      <c r="K378" s="167" t="s">
        <v>465</v>
      </c>
      <c r="L378" s="341">
        <v>20000000</v>
      </c>
      <c r="M378" s="167" t="s">
        <v>466</v>
      </c>
      <c r="N378" s="46">
        <v>100</v>
      </c>
      <c r="O378" s="114">
        <v>6.3963830000000002</v>
      </c>
      <c r="P378" s="86" t="s">
        <v>712</v>
      </c>
      <c r="Q378" s="400" t="s">
        <v>713</v>
      </c>
      <c r="R378" s="168" t="s">
        <v>714</v>
      </c>
      <c r="S378" s="633">
        <v>41507</v>
      </c>
      <c r="T378" s="633">
        <v>41513</v>
      </c>
      <c r="U378" s="229" t="s">
        <v>683</v>
      </c>
      <c r="V378" s="229"/>
      <c r="W378" s="699">
        <v>20000000</v>
      </c>
      <c r="X378" s="117">
        <v>7.8</v>
      </c>
      <c r="Y378" s="117">
        <f t="shared" si="108"/>
        <v>156000000</v>
      </c>
      <c r="Z378" s="117"/>
      <c r="AA378" s="423">
        <v>6.4</v>
      </c>
      <c r="AB378" s="680">
        <v>44678</v>
      </c>
      <c r="AC378" s="104">
        <f t="shared" si="109"/>
        <v>8.6876712328767116</v>
      </c>
      <c r="AD378" s="104"/>
      <c r="AF378" s="214"/>
      <c r="AG378" s="215"/>
    </row>
    <row r="379" spans="1:34" s="74" customFormat="1" ht="25.5" customHeight="1">
      <c r="A379" s="268" t="s">
        <v>902</v>
      </c>
      <c r="B379" s="73"/>
      <c r="C379" s="73"/>
      <c r="D379" s="73"/>
      <c r="E379" s="91">
        <v>245</v>
      </c>
      <c r="F379" s="64" t="s">
        <v>202</v>
      </c>
      <c r="G379" s="109" t="s">
        <v>1078</v>
      </c>
      <c r="H379" s="399" t="s">
        <v>79</v>
      </c>
      <c r="I379" s="399" t="s">
        <v>340</v>
      </c>
      <c r="J379" s="319">
        <f t="shared" si="107"/>
        <v>8.7260273972602747</v>
      </c>
      <c r="K379" s="167" t="s">
        <v>465</v>
      </c>
      <c r="L379" s="341">
        <v>1800000</v>
      </c>
      <c r="M379" s="167" t="s">
        <v>466</v>
      </c>
      <c r="N379" s="46">
        <v>89.393000000000001</v>
      </c>
      <c r="O379" s="698">
        <v>7.4000700000000004</v>
      </c>
      <c r="P379" s="86" t="s">
        <v>331</v>
      </c>
      <c r="Q379" s="400" t="s">
        <v>595</v>
      </c>
      <c r="R379" s="168" t="s">
        <v>596</v>
      </c>
      <c r="S379" s="633">
        <v>41507</v>
      </c>
      <c r="T379" s="633">
        <v>41512</v>
      </c>
      <c r="U379" s="229" t="s">
        <v>683</v>
      </c>
      <c r="V379" s="229"/>
      <c r="W379" s="699">
        <v>1637724</v>
      </c>
      <c r="X379" s="117">
        <v>7.8</v>
      </c>
      <c r="Y379" s="117">
        <f t="shared" si="108"/>
        <v>12774247.199999999</v>
      </c>
      <c r="Z379" s="117"/>
      <c r="AA379" s="423">
        <v>5.73</v>
      </c>
      <c r="AB379" s="680">
        <v>44697</v>
      </c>
      <c r="AC379" s="104">
        <f t="shared" si="109"/>
        <v>8.7397260273972606</v>
      </c>
      <c r="AD379" s="104"/>
      <c r="AF379" s="214"/>
      <c r="AG379" s="215"/>
    </row>
    <row r="380" spans="1:34" s="74" customFormat="1" ht="25.5" customHeight="1">
      <c r="A380" s="268"/>
      <c r="B380" s="73"/>
      <c r="C380" s="73"/>
      <c r="D380" s="73"/>
      <c r="E380" s="91">
        <v>245</v>
      </c>
      <c r="F380" s="64" t="s">
        <v>202</v>
      </c>
      <c r="G380" s="109" t="s">
        <v>1078</v>
      </c>
      <c r="H380" s="399" t="s">
        <v>79</v>
      </c>
      <c r="I380" s="399" t="s">
        <v>340</v>
      </c>
      <c r="J380" s="319">
        <f t="shared" si="107"/>
        <v>8.7260273972602747</v>
      </c>
      <c r="K380" s="167" t="s">
        <v>465</v>
      </c>
      <c r="L380" s="341">
        <v>200000</v>
      </c>
      <c r="M380" s="167" t="s">
        <v>466</v>
      </c>
      <c r="N380" s="46">
        <v>89.393000000000001</v>
      </c>
      <c r="O380" s="698">
        <v>7.4000700000000004</v>
      </c>
      <c r="P380" s="86" t="s">
        <v>331</v>
      </c>
      <c r="Q380" s="400" t="s">
        <v>595</v>
      </c>
      <c r="R380" s="168" t="s">
        <v>596</v>
      </c>
      <c r="S380" s="633">
        <v>41507</v>
      </c>
      <c r="T380" s="633">
        <v>41512</v>
      </c>
      <c r="U380" s="229" t="s">
        <v>683</v>
      </c>
      <c r="V380" s="229"/>
      <c r="W380" s="699">
        <v>181969.33</v>
      </c>
      <c r="X380" s="117">
        <v>7.8</v>
      </c>
      <c r="Y380" s="117">
        <f t="shared" si="108"/>
        <v>1419360.774</v>
      </c>
      <c r="Z380" s="117"/>
      <c r="AA380" s="423">
        <v>5.73</v>
      </c>
      <c r="AB380" s="680">
        <v>44697</v>
      </c>
      <c r="AC380" s="104">
        <f t="shared" si="109"/>
        <v>8.7397260273972606</v>
      </c>
      <c r="AD380" s="104"/>
      <c r="AF380" s="214"/>
      <c r="AG380" s="215"/>
    </row>
    <row r="381" spans="1:34" s="74" customFormat="1" ht="25.5">
      <c r="A381" s="268" t="s">
        <v>902</v>
      </c>
      <c r="B381" s="73"/>
      <c r="C381" s="73"/>
      <c r="D381" s="73"/>
      <c r="E381" s="91">
        <v>246</v>
      </c>
      <c r="F381" s="64" t="s">
        <v>1159</v>
      </c>
      <c r="G381" s="109" t="s">
        <v>1158</v>
      </c>
      <c r="H381" s="399" t="s">
        <v>631</v>
      </c>
      <c r="I381" s="399" t="s">
        <v>1082</v>
      </c>
      <c r="J381" s="319">
        <f t="shared" si="107"/>
        <v>9.668493150684931</v>
      </c>
      <c r="K381" s="46" t="s">
        <v>465</v>
      </c>
      <c r="L381" s="341">
        <v>1000000</v>
      </c>
      <c r="M381" s="167" t="s">
        <v>945</v>
      </c>
      <c r="N381" s="114">
        <v>86.25</v>
      </c>
      <c r="O381" s="91">
        <v>6.0215300000000003</v>
      </c>
      <c r="P381" s="400" t="s">
        <v>1175</v>
      </c>
      <c r="Q381" s="400" t="s">
        <v>1176</v>
      </c>
      <c r="R381" s="109" t="s">
        <v>1177</v>
      </c>
      <c r="S381" s="633">
        <v>41507</v>
      </c>
      <c r="T381" s="633">
        <v>41512</v>
      </c>
      <c r="U381" s="229" t="s">
        <v>599</v>
      </c>
      <c r="W381" s="1487">
        <v>876364.58</v>
      </c>
      <c r="X381" s="143">
        <v>7.8</v>
      </c>
      <c r="Y381" s="117">
        <f t="shared" si="108"/>
        <v>6835643.7239999995</v>
      </c>
      <c r="Z381" s="110"/>
      <c r="AA381" s="86">
        <v>4.125</v>
      </c>
      <c r="AB381" s="681">
        <v>45041</v>
      </c>
      <c r="AC381" s="104">
        <f t="shared" si="109"/>
        <v>9.6821917808219187</v>
      </c>
      <c r="AF381" s="214"/>
      <c r="AG381" s="215"/>
      <c r="AH381" s="117"/>
    </row>
    <row r="382" spans="1:34" s="74" customFormat="1" ht="25.5" customHeight="1">
      <c r="A382" s="268" t="s">
        <v>903</v>
      </c>
      <c r="B382" s="73"/>
      <c r="C382" s="73"/>
      <c r="D382" s="73"/>
      <c r="E382" s="91">
        <v>247</v>
      </c>
      <c r="F382" s="64" t="s">
        <v>1171</v>
      </c>
      <c r="G382" s="109" t="s">
        <v>22</v>
      </c>
      <c r="H382" s="399" t="s">
        <v>23</v>
      </c>
      <c r="I382" s="399" t="s">
        <v>24</v>
      </c>
      <c r="J382" s="319">
        <f t="shared" ref="J382:J387" si="110">(AB382-T382)/365</f>
        <v>9.7369863013698623</v>
      </c>
      <c r="K382" s="167" t="s">
        <v>465</v>
      </c>
      <c r="L382" s="341">
        <v>13500000</v>
      </c>
      <c r="M382" s="167" t="s">
        <v>945</v>
      </c>
      <c r="N382" s="46">
        <v>88.141999999999996</v>
      </c>
      <c r="O382" s="698">
        <v>6.0000400000000003</v>
      </c>
      <c r="P382" s="86" t="s">
        <v>1073</v>
      </c>
      <c r="Q382" s="400" t="s">
        <v>1074</v>
      </c>
      <c r="R382" s="168" t="s">
        <v>1075</v>
      </c>
      <c r="S382" s="633">
        <v>41507</v>
      </c>
      <c r="T382" s="633">
        <v>41512</v>
      </c>
      <c r="U382" s="229" t="s">
        <v>599</v>
      </c>
      <c r="V382" s="229"/>
      <c r="W382" s="699">
        <v>12056670</v>
      </c>
      <c r="X382" s="117">
        <v>7.8</v>
      </c>
      <c r="Y382" s="117">
        <f t="shared" ref="Y382:Y387" si="111">X382*W382</f>
        <v>94042026</v>
      </c>
      <c r="Z382" s="117"/>
      <c r="AA382" s="423">
        <v>4.375</v>
      </c>
      <c r="AB382" s="680">
        <v>45066</v>
      </c>
      <c r="AC382" s="104">
        <f t="shared" ref="AC382:AC387" si="112">(AB382-S382)/365</f>
        <v>9.75068493150685</v>
      </c>
      <c r="AD382" s="104"/>
      <c r="AF382" s="214"/>
      <c r="AG382" s="215"/>
    </row>
    <row r="383" spans="1:34" s="74" customFormat="1" ht="25.5" customHeight="1">
      <c r="A383" s="268"/>
      <c r="B383" s="73"/>
      <c r="C383" s="73"/>
      <c r="D383" s="73"/>
      <c r="E383" s="91">
        <v>247</v>
      </c>
      <c r="F383" s="64" t="s">
        <v>1171</v>
      </c>
      <c r="G383" s="109" t="s">
        <v>22</v>
      </c>
      <c r="H383" s="399" t="s">
        <v>23</v>
      </c>
      <c r="I383" s="399" t="s">
        <v>24</v>
      </c>
      <c r="J383" s="319">
        <f t="shared" si="110"/>
        <v>9.7369863013698623</v>
      </c>
      <c r="K383" s="167" t="s">
        <v>465</v>
      </c>
      <c r="L383" s="341">
        <v>1500000</v>
      </c>
      <c r="M383" s="167" t="s">
        <v>945</v>
      </c>
      <c r="N383" s="46">
        <v>88.141999999999996</v>
      </c>
      <c r="O383" s="698">
        <v>6.0000400000000003</v>
      </c>
      <c r="P383" s="86" t="s">
        <v>1073</v>
      </c>
      <c r="Q383" s="400" t="s">
        <v>1074</v>
      </c>
      <c r="R383" s="168" t="s">
        <v>1075</v>
      </c>
      <c r="S383" s="633">
        <v>41507</v>
      </c>
      <c r="T383" s="633">
        <v>41512</v>
      </c>
      <c r="U383" s="229" t="s">
        <v>599</v>
      </c>
      <c r="V383" s="229"/>
      <c r="W383" s="699">
        <v>1339630</v>
      </c>
      <c r="X383" s="117">
        <v>7.8</v>
      </c>
      <c r="Y383" s="117">
        <f t="shared" si="111"/>
        <v>10449114</v>
      </c>
      <c r="Z383" s="117"/>
      <c r="AA383" s="423">
        <v>4.375</v>
      </c>
      <c r="AB383" s="680">
        <v>45066</v>
      </c>
      <c r="AC383" s="104">
        <f t="shared" si="112"/>
        <v>9.75068493150685</v>
      </c>
      <c r="AD383" s="104"/>
      <c r="AF383" s="214"/>
      <c r="AG383" s="215"/>
    </row>
    <row r="384" spans="1:34" s="74" customFormat="1" ht="25.5" customHeight="1">
      <c r="A384" s="268" t="s">
        <v>903</v>
      </c>
      <c r="B384" s="73"/>
      <c r="C384" s="73"/>
      <c r="D384" s="73"/>
      <c r="E384" s="91">
        <v>248</v>
      </c>
      <c r="F384" s="64" t="s">
        <v>1171</v>
      </c>
      <c r="G384" s="109" t="s">
        <v>22</v>
      </c>
      <c r="H384" s="399" t="s">
        <v>23</v>
      </c>
      <c r="I384" s="399" t="s">
        <v>24</v>
      </c>
      <c r="J384" s="319">
        <f t="shared" si="110"/>
        <v>9.7369863013698623</v>
      </c>
      <c r="K384" s="167" t="s">
        <v>465</v>
      </c>
      <c r="L384" s="341">
        <v>9000000</v>
      </c>
      <c r="M384" s="167" t="s">
        <v>945</v>
      </c>
      <c r="N384" s="46">
        <v>88.141999999999996</v>
      </c>
      <c r="O384" s="698">
        <v>6.0000410000000004</v>
      </c>
      <c r="P384" s="86" t="s">
        <v>331</v>
      </c>
      <c r="Q384" s="400" t="s">
        <v>595</v>
      </c>
      <c r="R384" s="168" t="s">
        <v>596</v>
      </c>
      <c r="S384" s="633">
        <v>41507</v>
      </c>
      <c r="T384" s="633">
        <v>41512</v>
      </c>
      <c r="U384" s="229" t="s">
        <v>599</v>
      </c>
      <c r="V384" s="229"/>
      <c r="W384" s="699">
        <v>8037780</v>
      </c>
      <c r="X384" s="117">
        <v>7.8</v>
      </c>
      <c r="Y384" s="117">
        <f t="shared" si="111"/>
        <v>62694684</v>
      </c>
      <c r="Z384" s="117"/>
      <c r="AA384" s="423">
        <v>4.375</v>
      </c>
      <c r="AB384" s="680">
        <v>45066</v>
      </c>
      <c r="AC384" s="104">
        <f t="shared" si="112"/>
        <v>9.75068493150685</v>
      </c>
      <c r="AD384" s="104"/>
      <c r="AF384" s="214"/>
      <c r="AG384" s="215"/>
    </row>
    <row r="385" spans="1:33" s="74" customFormat="1" ht="25.5" customHeight="1">
      <c r="A385" s="268"/>
      <c r="B385" s="73"/>
      <c r="C385" s="73"/>
      <c r="D385" s="73"/>
      <c r="E385" s="91">
        <v>248</v>
      </c>
      <c r="F385" s="64" t="s">
        <v>1171</v>
      </c>
      <c r="G385" s="109" t="s">
        <v>22</v>
      </c>
      <c r="H385" s="399" t="s">
        <v>23</v>
      </c>
      <c r="I385" s="399" t="s">
        <v>24</v>
      </c>
      <c r="J385" s="319">
        <f t="shared" si="110"/>
        <v>9.7369863013698623</v>
      </c>
      <c r="K385" s="167" t="s">
        <v>465</v>
      </c>
      <c r="L385" s="341">
        <v>1000000</v>
      </c>
      <c r="M385" s="167" t="s">
        <v>945</v>
      </c>
      <c r="N385" s="46">
        <v>88.141999999999996</v>
      </c>
      <c r="O385" s="698">
        <v>6.0000410000000004</v>
      </c>
      <c r="P385" s="86" t="s">
        <v>331</v>
      </c>
      <c r="Q385" s="400" t="s">
        <v>595</v>
      </c>
      <c r="R385" s="168" t="s">
        <v>596</v>
      </c>
      <c r="S385" s="633">
        <v>41507</v>
      </c>
      <c r="T385" s="633">
        <v>41512</v>
      </c>
      <c r="U385" s="229" t="s">
        <v>599</v>
      </c>
      <c r="V385" s="229"/>
      <c r="W385" s="699">
        <v>893086.67</v>
      </c>
      <c r="X385" s="117">
        <v>7.8</v>
      </c>
      <c r="Y385" s="117">
        <f t="shared" si="111"/>
        <v>6966076.0260000005</v>
      </c>
      <c r="Z385" s="117"/>
      <c r="AA385" s="423">
        <v>4.375</v>
      </c>
      <c r="AB385" s="680">
        <v>45066</v>
      </c>
      <c r="AC385" s="104">
        <f t="shared" si="112"/>
        <v>9.75068493150685</v>
      </c>
      <c r="AD385" s="104"/>
      <c r="AF385" s="214"/>
      <c r="AG385" s="215"/>
    </row>
    <row r="386" spans="1:33" s="74" customFormat="1" ht="25.5" customHeight="1">
      <c r="A386" s="268" t="s">
        <v>903</v>
      </c>
      <c r="B386" s="73"/>
      <c r="C386" s="73"/>
      <c r="D386" s="73"/>
      <c r="E386" s="91">
        <v>249</v>
      </c>
      <c r="F386" s="64" t="s">
        <v>1171</v>
      </c>
      <c r="G386" s="109" t="s">
        <v>22</v>
      </c>
      <c r="H386" s="399" t="s">
        <v>23</v>
      </c>
      <c r="I386" s="399" t="s">
        <v>24</v>
      </c>
      <c r="J386" s="319">
        <f t="shared" si="110"/>
        <v>9.7369863013698623</v>
      </c>
      <c r="K386" s="167" t="s">
        <v>465</v>
      </c>
      <c r="L386" s="341">
        <v>18000000</v>
      </c>
      <c r="M386" s="167" t="s">
        <v>945</v>
      </c>
      <c r="N386" s="46">
        <v>88.141999999999996</v>
      </c>
      <c r="O386" s="698">
        <v>6.0000410000000004</v>
      </c>
      <c r="P386" s="86" t="s">
        <v>677</v>
      </c>
      <c r="Q386" s="400" t="s">
        <v>678</v>
      </c>
      <c r="R386" s="168" t="s">
        <v>679</v>
      </c>
      <c r="S386" s="633">
        <v>41507</v>
      </c>
      <c r="T386" s="633">
        <v>41512</v>
      </c>
      <c r="U386" s="229" t="s">
        <v>599</v>
      </c>
      <c r="V386" s="229"/>
      <c r="W386" s="699">
        <v>16075560</v>
      </c>
      <c r="X386" s="117">
        <v>7.8</v>
      </c>
      <c r="Y386" s="117">
        <f t="shared" si="111"/>
        <v>125389368</v>
      </c>
      <c r="Z386" s="117"/>
      <c r="AA386" s="423">
        <v>4.375</v>
      </c>
      <c r="AB386" s="680">
        <v>45066</v>
      </c>
      <c r="AC386" s="104">
        <f t="shared" si="112"/>
        <v>9.75068493150685</v>
      </c>
      <c r="AD386" s="104"/>
      <c r="AF386" s="214"/>
      <c r="AG386" s="215"/>
    </row>
    <row r="387" spans="1:33" s="74" customFormat="1" ht="25.5" customHeight="1">
      <c r="A387" s="268"/>
      <c r="B387" s="73"/>
      <c r="C387" s="73"/>
      <c r="D387" s="73"/>
      <c r="E387" s="91">
        <v>249</v>
      </c>
      <c r="F387" s="64" t="s">
        <v>1171</v>
      </c>
      <c r="G387" s="109" t="s">
        <v>22</v>
      </c>
      <c r="H387" s="399" t="s">
        <v>23</v>
      </c>
      <c r="I387" s="399" t="s">
        <v>24</v>
      </c>
      <c r="J387" s="319">
        <f t="shared" si="110"/>
        <v>9.7369863013698623</v>
      </c>
      <c r="K387" s="167" t="s">
        <v>465</v>
      </c>
      <c r="L387" s="341">
        <v>2000000</v>
      </c>
      <c r="M387" s="167" t="s">
        <v>945</v>
      </c>
      <c r="N387" s="46">
        <v>88.141999999999996</v>
      </c>
      <c r="O387" s="698">
        <v>6.0000410000000004</v>
      </c>
      <c r="P387" s="86" t="s">
        <v>677</v>
      </c>
      <c r="Q387" s="400" t="s">
        <v>678</v>
      </c>
      <c r="R387" s="168" t="s">
        <v>679</v>
      </c>
      <c r="S387" s="633">
        <v>41507</v>
      </c>
      <c r="T387" s="633">
        <v>41512</v>
      </c>
      <c r="U387" s="229" t="s">
        <v>599</v>
      </c>
      <c r="V387" s="229"/>
      <c r="W387" s="699">
        <v>1786173.33</v>
      </c>
      <c r="X387" s="117">
        <v>7.8</v>
      </c>
      <c r="Y387" s="117">
        <f t="shared" si="111"/>
        <v>13932151.973999999</v>
      </c>
      <c r="Z387" s="117"/>
      <c r="AA387" s="423">
        <v>4.375</v>
      </c>
      <c r="AB387" s="680">
        <v>45066</v>
      </c>
      <c r="AC387" s="104">
        <f t="shared" si="112"/>
        <v>9.75068493150685</v>
      </c>
      <c r="AD387" s="104"/>
      <c r="AF387" s="214"/>
      <c r="AG387" s="215"/>
    </row>
    <row r="388" spans="1:33" s="74" customFormat="1" ht="25.5" customHeight="1">
      <c r="A388" s="268" t="s">
        <v>903</v>
      </c>
      <c r="B388" s="73"/>
      <c r="C388" s="73"/>
      <c r="D388" s="73"/>
      <c r="E388" s="91">
        <v>250</v>
      </c>
      <c r="F388" s="64" t="s">
        <v>1171</v>
      </c>
      <c r="G388" s="109" t="s">
        <v>22</v>
      </c>
      <c r="H388" s="399" t="s">
        <v>23</v>
      </c>
      <c r="I388" s="399" t="s">
        <v>24</v>
      </c>
      <c r="J388" s="319">
        <f>(AB388-T388)/365</f>
        <v>9.7342465753424658</v>
      </c>
      <c r="K388" s="167" t="s">
        <v>465</v>
      </c>
      <c r="L388" s="341">
        <v>4000000</v>
      </c>
      <c r="M388" s="167" t="s">
        <v>945</v>
      </c>
      <c r="N388" s="46">
        <v>88.009</v>
      </c>
      <c r="O388" s="698">
        <v>6.0201149999999997</v>
      </c>
      <c r="P388" s="86" t="s">
        <v>677</v>
      </c>
      <c r="Q388" s="400" t="s">
        <v>678</v>
      </c>
      <c r="R388" s="168" t="s">
        <v>679</v>
      </c>
      <c r="S388" s="633">
        <v>41508</v>
      </c>
      <c r="T388" s="633">
        <v>41513</v>
      </c>
      <c r="U388" s="229" t="s">
        <v>599</v>
      </c>
      <c r="V388" s="229"/>
      <c r="W388" s="699">
        <v>3567512.78</v>
      </c>
      <c r="X388" s="117">
        <v>7.8</v>
      </c>
      <c r="Y388" s="117">
        <f>X388*W388</f>
        <v>27826599.683999997</v>
      </c>
      <c r="Z388" s="117"/>
      <c r="AA388" s="423">
        <v>4.375</v>
      </c>
      <c r="AB388" s="680">
        <v>45066</v>
      </c>
      <c r="AC388" s="104">
        <f t="shared" ref="AC388:AC395" si="113">(AB388-S388)/365</f>
        <v>9.7479452054794518</v>
      </c>
      <c r="AD388" s="104"/>
      <c r="AF388" s="214"/>
      <c r="AG388" s="215"/>
    </row>
    <row r="389" spans="1:33" s="74" customFormat="1" ht="25.5" customHeight="1">
      <c r="A389" s="268" t="s">
        <v>903</v>
      </c>
      <c r="B389" s="73"/>
      <c r="C389" s="73"/>
      <c r="D389" s="73"/>
      <c r="E389" s="91">
        <v>251</v>
      </c>
      <c r="F389" s="64" t="s">
        <v>1171</v>
      </c>
      <c r="G389" s="109" t="s">
        <v>22</v>
      </c>
      <c r="H389" s="399" t="s">
        <v>23</v>
      </c>
      <c r="I389" s="399" t="s">
        <v>24</v>
      </c>
      <c r="J389" s="319">
        <f t="shared" ref="J389:J395" si="114">(AB389-T389)/365</f>
        <v>9.7342465753424658</v>
      </c>
      <c r="K389" s="167" t="s">
        <v>465</v>
      </c>
      <c r="L389" s="341">
        <v>5000000</v>
      </c>
      <c r="M389" s="167" t="s">
        <v>945</v>
      </c>
      <c r="N389" s="46">
        <v>87.941999999999993</v>
      </c>
      <c r="O389" s="698">
        <v>6.0300539999999998</v>
      </c>
      <c r="P389" s="86" t="s">
        <v>583</v>
      </c>
      <c r="Q389" s="400" t="s">
        <v>1138</v>
      </c>
      <c r="R389" s="168" t="s">
        <v>1178</v>
      </c>
      <c r="S389" s="633">
        <v>41508</v>
      </c>
      <c r="T389" s="633">
        <v>41513</v>
      </c>
      <c r="U389" s="229" t="s">
        <v>599</v>
      </c>
      <c r="V389" s="229"/>
      <c r="W389" s="699">
        <v>4456040.97</v>
      </c>
      <c r="X389" s="117">
        <v>7.8</v>
      </c>
      <c r="Y389" s="117">
        <f t="shared" ref="Y389:Y395" si="115">X389*W389</f>
        <v>34757119.566</v>
      </c>
      <c r="Z389" s="117"/>
      <c r="AA389" s="423">
        <v>4.375</v>
      </c>
      <c r="AB389" s="680">
        <v>45066</v>
      </c>
      <c r="AC389" s="104">
        <f t="shared" si="113"/>
        <v>9.7479452054794518</v>
      </c>
      <c r="AD389" s="104"/>
      <c r="AF389" s="214"/>
      <c r="AG389" s="215"/>
    </row>
    <row r="390" spans="1:33" s="74" customFormat="1" ht="25.5" customHeight="1">
      <c r="A390" s="268" t="s">
        <v>903</v>
      </c>
      <c r="B390" s="73"/>
      <c r="C390" s="73"/>
      <c r="D390" s="73"/>
      <c r="E390" s="91">
        <v>252</v>
      </c>
      <c r="F390" s="64" t="s">
        <v>1171</v>
      </c>
      <c r="G390" s="109" t="s">
        <v>22</v>
      </c>
      <c r="H390" s="399" t="s">
        <v>23</v>
      </c>
      <c r="I390" s="399" t="s">
        <v>24</v>
      </c>
      <c r="J390" s="319">
        <f t="shared" si="114"/>
        <v>9.7342465753424658</v>
      </c>
      <c r="K390" s="167" t="s">
        <v>465</v>
      </c>
      <c r="L390" s="341">
        <v>6300000</v>
      </c>
      <c r="M390" s="167" t="s">
        <v>945</v>
      </c>
      <c r="N390" s="46">
        <v>87.93</v>
      </c>
      <c r="O390" s="698">
        <v>6.0318350000000001</v>
      </c>
      <c r="P390" s="86" t="s">
        <v>946</v>
      </c>
      <c r="Q390" s="400" t="s">
        <v>947</v>
      </c>
      <c r="R390" s="168" t="s">
        <v>948</v>
      </c>
      <c r="S390" s="633">
        <v>41508</v>
      </c>
      <c r="T390" s="633">
        <v>41513</v>
      </c>
      <c r="U390" s="229" t="s">
        <v>599</v>
      </c>
      <c r="V390" s="229"/>
      <c r="W390" s="699">
        <v>5613855.6299999999</v>
      </c>
      <c r="X390" s="117">
        <v>7.8</v>
      </c>
      <c r="Y390" s="117">
        <f>X390*W390</f>
        <v>43788073.913999997</v>
      </c>
      <c r="Z390" s="117"/>
      <c r="AA390" s="423">
        <v>4.375</v>
      </c>
      <c r="AB390" s="680">
        <v>45066</v>
      </c>
      <c r="AC390" s="104">
        <f t="shared" si="113"/>
        <v>9.7479452054794518</v>
      </c>
      <c r="AD390" s="104"/>
      <c r="AF390" s="214"/>
      <c r="AG390" s="215"/>
    </row>
    <row r="391" spans="1:33" s="74" customFormat="1" ht="25.5" customHeight="1">
      <c r="A391" s="268"/>
      <c r="B391" s="73"/>
      <c r="C391" s="73"/>
      <c r="D391" s="73"/>
      <c r="E391" s="91">
        <v>252</v>
      </c>
      <c r="F391" s="64" t="s">
        <v>1171</v>
      </c>
      <c r="G391" s="109" t="s">
        <v>22</v>
      </c>
      <c r="H391" s="399" t="s">
        <v>23</v>
      </c>
      <c r="I391" s="399" t="s">
        <v>24</v>
      </c>
      <c r="J391" s="319">
        <f t="shared" si="114"/>
        <v>9.7342465753424658</v>
      </c>
      <c r="K391" s="167" t="s">
        <v>465</v>
      </c>
      <c r="L391" s="341">
        <v>1700000</v>
      </c>
      <c r="M391" s="167" t="s">
        <v>945</v>
      </c>
      <c r="N391" s="46">
        <v>87.93</v>
      </c>
      <c r="O391" s="698">
        <v>6.0318350000000001</v>
      </c>
      <c r="P391" s="86" t="s">
        <v>946</v>
      </c>
      <c r="Q391" s="400" t="s">
        <v>947</v>
      </c>
      <c r="R391" s="168" t="s">
        <v>948</v>
      </c>
      <c r="S391" s="633">
        <v>41508</v>
      </c>
      <c r="T391" s="633">
        <v>41513</v>
      </c>
      <c r="U391" s="229" t="s">
        <v>599</v>
      </c>
      <c r="V391" s="229"/>
      <c r="W391" s="699">
        <v>1514849.93</v>
      </c>
      <c r="X391" s="117">
        <v>7.8</v>
      </c>
      <c r="Y391" s="117">
        <f>X391*W391</f>
        <v>11815829.454</v>
      </c>
      <c r="Z391" s="117"/>
      <c r="AA391" s="423">
        <v>4.375</v>
      </c>
      <c r="AB391" s="680">
        <v>45066</v>
      </c>
      <c r="AC391" s="104">
        <f t="shared" si="113"/>
        <v>9.7479452054794518</v>
      </c>
      <c r="AD391" s="104"/>
      <c r="AF391" s="214"/>
      <c r="AG391" s="215"/>
    </row>
    <row r="392" spans="1:33" s="74" customFormat="1" ht="25.5" customHeight="1">
      <c r="A392" s="268" t="s">
        <v>903</v>
      </c>
      <c r="B392" s="73"/>
      <c r="C392" s="73"/>
      <c r="D392" s="73"/>
      <c r="E392" s="91">
        <v>253</v>
      </c>
      <c r="F392" s="64" t="s">
        <v>1179</v>
      </c>
      <c r="G392" s="109" t="s">
        <v>669</v>
      </c>
      <c r="H392" s="399" t="s">
        <v>745</v>
      </c>
      <c r="I392" s="399" t="s">
        <v>700</v>
      </c>
      <c r="J392" s="319">
        <f t="shared" si="114"/>
        <v>29.238356164383561</v>
      </c>
      <c r="K392" s="167" t="s">
        <v>465</v>
      </c>
      <c r="L392" s="341">
        <v>720000</v>
      </c>
      <c r="M392" s="167" t="s">
        <v>92</v>
      </c>
      <c r="N392" s="46">
        <v>87.37</v>
      </c>
      <c r="O392" s="698">
        <v>6.3002200000000004</v>
      </c>
      <c r="P392" s="86" t="s">
        <v>1175</v>
      </c>
      <c r="Q392" s="400" t="s">
        <v>1176</v>
      </c>
      <c r="R392" s="168" t="s">
        <v>1177</v>
      </c>
      <c r="S392" s="633">
        <v>41508</v>
      </c>
      <c r="T392" s="633">
        <v>41513</v>
      </c>
      <c r="U392" s="229" t="s">
        <v>884</v>
      </c>
      <c r="V392" s="229"/>
      <c r="W392" s="699">
        <v>639978</v>
      </c>
      <c r="X392" s="117">
        <v>7.8</v>
      </c>
      <c r="Y392" s="117">
        <f t="shared" si="115"/>
        <v>4991828.3999999994</v>
      </c>
      <c r="Z392" s="117"/>
      <c r="AA392" s="423">
        <v>5.35</v>
      </c>
      <c r="AB392" s="680">
        <v>52185</v>
      </c>
      <c r="AC392" s="104">
        <f t="shared" si="113"/>
        <v>29.252054794520546</v>
      </c>
      <c r="AD392" s="104"/>
      <c r="AF392" s="214"/>
      <c r="AG392" s="215"/>
    </row>
    <row r="393" spans="1:33" s="74" customFormat="1" ht="25.5" customHeight="1">
      <c r="A393" s="268"/>
      <c r="B393" s="73"/>
      <c r="C393" s="73"/>
      <c r="D393" s="73"/>
      <c r="E393" s="91">
        <v>253</v>
      </c>
      <c r="F393" s="64" t="s">
        <v>1179</v>
      </c>
      <c r="G393" s="109" t="s">
        <v>669</v>
      </c>
      <c r="H393" s="399" t="s">
        <v>745</v>
      </c>
      <c r="I393" s="399" t="s">
        <v>700</v>
      </c>
      <c r="J393" s="319">
        <f t="shared" si="114"/>
        <v>29.238356164383561</v>
      </c>
      <c r="K393" s="167" t="s">
        <v>465</v>
      </c>
      <c r="L393" s="341">
        <v>280000</v>
      </c>
      <c r="M393" s="167" t="s">
        <v>92</v>
      </c>
      <c r="N393" s="46">
        <v>87.37</v>
      </c>
      <c r="O393" s="698">
        <v>6.3002200000000004</v>
      </c>
      <c r="P393" s="86" t="s">
        <v>1175</v>
      </c>
      <c r="Q393" s="400" t="s">
        <v>1176</v>
      </c>
      <c r="R393" s="168" t="s">
        <v>1177</v>
      </c>
      <c r="S393" s="633">
        <v>41508</v>
      </c>
      <c r="T393" s="633">
        <v>41513</v>
      </c>
      <c r="U393" s="229" t="s">
        <v>884</v>
      </c>
      <c r="V393" s="229"/>
      <c r="W393" s="699">
        <v>248880.33</v>
      </c>
      <c r="X393" s="117">
        <v>7.8</v>
      </c>
      <c r="Y393" s="117">
        <f t="shared" si="115"/>
        <v>1941266.5739999998</v>
      </c>
      <c r="Z393" s="117"/>
      <c r="AA393" s="423">
        <v>5.35</v>
      </c>
      <c r="AB393" s="680">
        <v>52185</v>
      </c>
      <c r="AC393" s="104">
        <f t="shared" si="113"/>
        <v>29.252054794520546</v>
      </c>
      <c r="AD393" s="104"/>
      <c r="AF393" s="214"/>
      <c r="AG393" s="215"/>
    </row>
    <row r="394" spans="1:33" s="74" customFormat="1" ht="25.5" customHeight="1">
      <c r="A394" s="268" t="s">
        <v>903</v>
      </c>
      <c r="B394" s="73"/>
      <c r="C394" s="73"/>
      <c r="D394" s="73"/>
      <c r="E394" s="91">
        <v>254</v>
      </c>
      <c r="F394" s="64" t="s">
        <v>1159</v>
      </c>
      <c r="G394" s="109" t="s">
        <v>1158</v>
      </c>
      <c r="H394" s="399" t="s">
        <v>631</v>
      </c>
      <c r="I394" s="399" t="s">
        <v>1082</v>
      </c>
      <c r="J394" s="319">
        <f t="shared" si="114"/>
        <v>9.6657534246575345</v>
      </c>
      <c r="K394" s="167" t="s">
        <v>465</v>
      </c>
      <c r="L394" s="341">
        <v>800000</v>
      </c>
      <c r="M394" s="167" t="s">
        <v>945</v>
      </c>
      <c r="N394" s="46">
        <v>86.17</v>
      </c>
      <c r="O394" s="698">
        <v>6.0340509999999998</v>
      </c>
      <c r="P394" s="86" t="s">
        <v>938</v>
      </c>
      <c r="Q394" s="400" t="s">
        <v>342</v>
      </c>
      <c r="R394" s="168" t="s">
        <v>343</v>
      </c>
      <c r="S394" s="633">
        <v>41508</v>
      </c>
      <c r="T394" s="633">
        <v>41513</v>
      </c>
      <c r="U394" s="229" t="s">
        <v>599</v>
      </c>
      <c r="V394" s="229"/>
      <c r="W394" s="699">
        <v>700543.33</v>
      </c>
      <c r="X394" s="117">
        <v>7.8</v>
      </c>
      <c r="Y394" s="117">
        <f t="shared" si="115"/>
        <v>5464237.9739999995</v>
      </c>
      <c r="Z394" s="117"/>
      <c r="AA394" s="423">
        <v>4.125</v>
      </c>
      <c r="AB394" s="680">
        <v>45041</v>
      </c>
      <c r="AC394" s="104">
        <f t="shared" si="113"/>
        <v>9.6794520547945204</v>
      </c>
      <c r="AD394" s="104"/>
      <c r="AF394" s="214"/>
      <c r="AG394" s="215"/>
    </row>
    <row r="395" spans="1:33" s="74" customFormat="1" ht="25.5" customHeight="1">
      <c r="A395" s="268"/>
      <c r="B395" s="73"/>
      <c r="C395" s="73"/>
      <c r="D395" s="73"/>
      <c r="E395" s="91">
        <v>254</v>
      </c>
      <c r="F395" s="64" t="s">
        <v>1159</v>
      </c>
      <c r="G395" s="109" t="s">
        <v>1158</v>
      </c>
      <c r="H395" s="399" t="s">
        <v>631</v>
      </c>
      <c r="I395" s="399" t="s">
        <v>1082</v>
      </c>
      <c r="J395" s="319">
        <f t="shared" si="114"/>
        <v>9.6657534246575345</v>
      </c>
      <c r="K395" s="167" t="s">
        <v>465</v>
      </c>
      <c r="L395" s="341">
        <v>200000</v>
      </c>
      <c r="M395" s="167" t="s">
        <v>945</v>
      </c>
      <c r="N395" s="46">
        <v>86.17</v>
      </c>
      <c r="O395" s="698">
        <v>6.0340509999999998</v>
      </c>
      <c r="P395" s="86" t="s">
        <v>938</v>
      </c>
      <c r="Q395" s="400" t="s">
        <v>342</v>
      </c>
      <c r="R395" s="168" t="s">
        <v>343</v>
      </c>
      <c r="S395" s="633">
        <v>41508</v>
      </c>
      <c r="T395" s="633">
        <v>41513</v>
      </c>
      <c r="U395" s="229" t="s">
        <v>599</v>
      </c>
      <c r="V395" s="229"/>
      <c r="W395" s="699">
        <v>175135.83</v>
      </c>
      <c r="X395" s="117">
        <v>7.8</v>
      </c>
      <c r="Y395" s="117">
        <f t="shared" si="115"/>
        <v>1366059.4739999999</v>
      </c>
      <c r="Z395" s="117"/>
      <c r="AA395" s="423">
        <v>4.125</v>
      </c>
      <c r="AB395" s="680">
        <v>45041</v>
      </c>
      <c r="AC395" s="104">
        <f t="shared" si="113"/>
        <v>9.6794520547945204</v>
      </c>
      <c r="AD395" s="104"/>
      <c r="AF395" s="214"/>
      <c r="AG395" s="215"/>
    </row>
    <row r="396" spans="1:33" s="74" customFormat="1" ht="25.5" customHeight="1">
      <c r="A396" s="268" t="s">
        <v>903</v>
      </c>
      <c r="B396" s="73"/>
      <c r="C396" s="73"/>
      <c r="D396" s="73"/>
      <c r="E396" s="91">
        <v>255</v>
      </c>
      <c r="F396" s="64" t="s">
        <v>1159</v>
      </c>
      <c r="G396" s="109" t="s">
        <v>1158</v>
      </c>
      <c r="H396" s="399" t="s">
        <v>631</v>
      </c>
      <c r="I396" s="399" t="s">
        <v>1082</v>
      </c>
      <c r="J396" s="319">
        <f t="shared" ref="J396:J421" si="116">(AB396-T396)/365</f>
        <v>9.6465753424657539</v>
      </c>
      <c r="K396" s="167" t="s">
        <v>465</v>
      </c>
      <c r="L396" s="341">
        <v>1800000</v>
      </c>
      <c r="M396" s="167" t="s">
        <v>945</v>
      </c>
      <c r="N396" s="46">
        <v>86.281000000000006</v>
      </c>
      <c r="O396" s="698">
        <v>6.0200079999999998</v>
      </c>
      <c r="P396" s="86" t="s">
        <v>1073</v>
      </c>
      <c r="Q396" s="400" t="s">
        <v>1074</v>
      </c>
      <c r="R396" s="168" t="s">
        <v>1075</v>
      </c>
      <c r="S396" s="633">
        <v>41514</v>
      </c>
      <c r="T396" s="633">
        <v>41520</v>
      </c>
      <c r="U396" s="229" t="s">
        <v>599</v>
      </c>
      <c r="V396" s="229"/>
      <c r="W396" s="699">
        <v>1579458</v>
      </c>
      <c r="X396" s="117">
        <v>7.8</v>
      </c>
      <c r="Y396" s="117">
        <f t="shared" ref="Y396:Y419" si="117">X396*W396</f>
        <v>12319772.4</v>
      </c>
      <c r="Z396" s="117"/>
      <c r="AA396" s="423">
        <v>4.125</v>
      </c>
      <c r="AB396" s="680">
        <v>45041</v>
      </c>
      <c r="AC396" s="104">
        <f t="shared" ref="AC396:AC421" si="118">(AB396-S396)/365</f>
        <v>9.6630136986301363</v>
      </c>
      <c r="AD396" s="104"/>
      <c r="AF396" s="214"/>
      <c r="AG396" s="215"/>
    </row>
    <row r="397" spans="1:33" s="74" customFormat="1" ht="25.5" customHeight="1">
      <c r="A397" s="268"/>
      <c r="B397" s="73"/>
      <c r="C397" s="73"/>
      <c r="D397" s="73"/>
      <c r="E397" s="91">
        <v>255</v>
      </c>
      <c r="F397" s="64" t="s">
        <v>1159</v>
      </c>
      <c r="G397" s="109" t="s">
        <v>1158</v>
      </c>
      <c r="H397" s="399" t="s">
        <v>631</v>
      </c>
      <c r="I397" s="399" t="s">
        <v>1082</v>
      </c>
      <c r="J397" s="319">
        <f t="shared" si="116"/>
        <v>9.6465753424657539</v>
      </c>
      <c r="K397" s="167" t="s">
        <v>465</v>
      </c>
      <c r="L397" s="341">
        <v>200000</v>
      </c>
      <c r="M397" s="167" t="s">
        <v>945</v>
      </c>
      <c r="N397" s="46">
        <v>86.281000000000006</v>
      </c>
      <c r="O397" s="698">
        <v>6.0200079999999998</v>
      </c>
      <c r="P397" s="86" t="s">
        <v>1073</v>
      </c>
      <c r="Q397" s="400" t="s">
        <v>1074</v>
      </c>
      <c r="R397" s="168" t="s">
        <v>1075</v>
      </c>
      <c r="S397" s="633">
        <v>41514</v>
      </c>
      <c r="T397" s="633">
        <v>41520</v>
      </c>
      <c r="U397" s="229" t="s">
        <v>599</v>
      </c>
      <c r="V397" s="229"/>
      <c r="W397" s="699">
        <v>175495.33</v>
      </c>
      <c r="X397" s="117">
        <v>7.8</v>
      </c>
      <c r="Y397" s="117">
        <f t="shared" si="117"/>
        <v>1368863.5739999998</v>
      </c>
      <c r="Z397" s="117"/>
      <c r="AA397" s="423">
        <v>4.125</v>
      </c>
      <c r="AB397" s="680">
        <v>45041</v>
      </c>
      <c r="AC397" s="104">
        <f t="shared" si="118"/>
        <v>9.6630136986301363</v>
      </c>
      <c r="AD397" s="104"/>
      <c r="AF397" s="214"/>
      <c r="AG397" s="215"/>
    </row>
    <row r="398" spans="1:33" s="74" customFormat="1" ht="25.5" customHeight="1">
      <c r="A398" s="268" t="s">
        <v>903</v>
      </c>
      <c r="B398" s="73"/>
      <c r="C398" s="73"/>
      <c r="D398" s="73"/>
      <c r="E398" s="91">
        <v>256</v>
      </c>
      <c r="F398" s="64" t="s">
        <v>1171</v>
      </c>
      <c r="G398" s="109" t="s">
        <v>22</v>
      </c>
      <c r="H398" s="399" t="s">
        <v>23</v>
      </c>
      <c r="I398" s="399" t="s">
        <v>24</v>
      </c>
      <c r="J398" s="319">
        <f t="shared" si="116"/>
        <v>9.712328767123287</v>
      </c>
      <c r="K398" s="167" t="s">
        <v>465</v>
      </c>
      <c r="L398" s="341">
        <v>9000000</v>
      </c>
      <c r="M398" s="167" t="s">
        <v>945</v>
      </c>
      <c r="N398" s="46">
        <v>88.094999999999999</v>
      </c>
      <c r="O398" s="698">
        <v>6.0100020000000001</v>
      </c>
      <c r="P398" s="86" t="s">
        <v>331</v>
      </c>
      <c r="Q398" s="400" t="s">
        <v>595</v>
      </c>
      <c r="R398" s="168" t="s">
        <v>596</v>
      </c>
      <c r="S398" s="633">
        <v>41515</v>
      </c>
      <c r="T398" s="633">
        <v>41521</v>
      </c>
      <c r="U398" s="229" t="s">
        <v>599</v>
      </c>
      <c r="V398" s="229"/>
      <c r="W398" s="699">
        <v>8042300</v>
      </c>
      <c r="X398" s="117">
        <v>7.8</v>
      </c>
      <c r="Y398" s="117">
        <f t="shared" si="117"/>
        <v>62729940</v>
      </c>
      <c r="Z398" s="117"/>
      <c r="AA398" s="423">
        <v>4.375</v>
      </c>
      <c r="AB398" s="680">
        <v>45066</v>
      </c>
      <c r="AC398" s="104">
        <f t="shared" si="118"/>
        <v>9.7287671232876711</v>
      </c>
      <c r="AD398" s="104"/>
      <c r="AF398" s="214"/>
      <c r="AG398" s="215"/>
    </row>
    <row r="399" spans="1:33" s="74" customFormat="1" ht="25.5" customHeight="1">
      <c r="A399" s="268"/>
      <c r="B399" s="73"/>
      <c r="C399" s="73"/>
      <c r="D399" s="73"/>
      <c r="E399" s="91">
        <v>256</v>
      </c>
      <c r="F399" s="64" t="s">
        <v>1171</v>
      </c>
      <c r="G399" s="109" t="s">
        <v>22</v>
      </c>
      <c r="H399" s="399" t="s">
        <v>23</v>
      </c>
      <c r="I399" s="399" t="s">
        <v>24</v>
      </c>
      <c r="J399" s="319">
        <f t="shared" si="116"/>
        <v>9.712328767123287</v>
      </c>
      <c r="K399" s="167" t="s">
        <v>465</v>
      </c>
      <c r="L399" s="341">
        <v>1000000</v>
      </c>
      <c r="M399" s="167" t="s">
        <v>945</v>
      </c>
      <c r="N399" s="46">
        <v>88.094999999999999</v>
      </c>
      <c r="O399" s="698">
        <v>6.0100020000000001</v>
      </c>
      <c r="P399" s="86" t="s">
        <v>331</v>
      </c>
      <c r="Q399" s="400" t="s">
        <v>595</v>
      </c>
      <c r="R399" s="168" t="s">
        <v>596</v>
      </c>
      <c r="S399" s="633">
        <v>41515</v>
      </c>
      <c r="T399" s="633">
        <v>41521</v>
      </c>
      <c r="U399" s="229" t="s">
        <v>599</v>
      </c>
      <c r="V399" s="229"/>
      <c r="W399" s="699">
        <v>893588.89</v>
      </c>
      <c r="X399" s="117">
        <v>7.8</v>
      </c>
      <c r="Y399" s="117">
        <f t="shared" si="117"/>
        <v>6969993.3420000002</v>
      </c>
      <c r="Z399" s="117"/>
      <c r="AA399" s="423">
        <v>4.375</v>
      </c>
      <c r="AB399" s="680">
        <v>45066</v>
      </c>
      <c r="AC399" s="104">
        <f t="shared" si="118"/>
        <v>9.7287671232876711</v>
      </c>
      <c r="AD399" s="104"/>
      <c r="AF399" s="214"/>
      <c r="AG399" s="215"/>
    </row>
    <row r="400" spans="1:33" s="74" customFormat="1" ht="25.5" customHeight="1">
      <c r="A400" s="268" t="s">
        <v>903</v>
      </c>
      <c r="B400" s="73"/>
      <c r="C400" s="73"/>
      <c r="D400" s="73"/>
      <c r="E400" s="91">
        <v>257</v>
      </c>
      <c r="F400" s="64" t="s">
        <v>1179</v>
      </c>
      <c r="G400" s="109" t="s">
        <v>669</v>
      </c>
      <c r="H400" s="399" t="s">
        <v>745</v>
      </c>
      <c r="I400" s="399" t="s">
        <v>700</v>
      </c>
      <c r="J400" s="319">
        <f t="shared" si="116"/>
        <v>29.213698630136985</v>
      </c>
      <c r="K400" s="167" t="s">
        <v>465</v>
      </c>
      <c r="L400" s="341">
        <v>1980000</v>
      </c>
      <c r="M400" s="167" t="s">
        <v>92</v>
      </c>
      <c r="N400" s="46">
        <v>88.585999999999999</v>
      </c>
      <c r="O400" s="698">
        <v>6.2000500000000001</v>
      </c>
      <c r="P400" s="86" t="s">
        <v>331</v>
      </c>
      <c r="Q400" s="400" t="s">
        <v>595</v>
      </c>
      <c r="R400" s="168" t="s">
        <v>596</v>
      </c>
      <c r="S400" s="633">
        <v>41519</v>
      </c>
      <c r="T400" s="633">
        <v>41522</v>
      </c>
      <c r="U400" s="229" t="s">
        <v>884</v>
      </c>
      <c r="V400" s="229"/>
      <c r="W400" s="699">
        <v>1786370.3</v>
      </c>
      <c r="X400" s="117">
        <v>7.8</v>
      </c>
      <c r="Y400" s="117">
        <f t="shared" si="117"/>
        <v>13933688.34</v>
      </c>
      <c r="Z400" s="117"/>
      <c r="AA400" s="423">
        <v>5.35</v>
      </c>
      <c r="AB400" s="680">
        <v>52185</v>
      </c>
      <c r="AC400" s="104">
        <f t="shared" si="118"/>
        <v>29.221917808219178</v>
      </c>
      <c r="AD400" s="104"/>
      <c r="AF400" s="214"/>
      <c r="AG400" s="215"/>
    </row>
    <row r="401" spans="1:33" s="74" customFormat="1" ht="25.5" customHeight="1">
      <c r="A401" s="268"/>
      <c r="B401" s="73"/>
      <c r="C401" s="73"/>
      <c r="D401" s="73"/>
      <c r="E401" s="91">
        <v>257</v>
      </c>
      <c r="F401" s="64" t="s">
        <v>1179</v>
      </c>
      <c r="G401" s="109" t="s">
        <v>669</v>
      </c>
      <c r="H401" s="399" t="s">
        <v>745</v>
      </c>
      <c r="I401" s="399" t="s">
        <v>700</v>
      </c>
      <c r="J401" s="319">
        <f t="shared" si="116"/>
        <v>29.213698630136985</v>
      </c>
      <c r="K401" s="167" t="s">
        <v>465</v>
      </c>
      <c r="L401" s="341">
        <v>220000</v>
      </c>
      <c r="M401" s="167" t="s">
        <v>92</v>
      </c>
      <c r="N401" s="46">
        <v>88.585999999999999</v>
      </c>
      <c r="O401" s="698">
        <v>6.2000500000000001</v>
      </c>
      <c r="P401" s="86" t="s">
        <v>331</v>
      </c>
      <c r="Q401" s="400" t="s">
        <v>595</v>
      </c>
      <c r="R401" s="168" t="s">
        <v>596</v>
      </c>
      <c r="S401" s="633">
        <v>41519</v>
      </c>
      <c r="T401" s="633">
        <v>41522</v>
      </c>
      <c r="U401" s="229" t="s">
        <v>884</v>
      </c>
      <c r="V401" s="229"/>
      <c r="W401" s="699">
        <v>198485.59</v>
      </c>
      <c r="X401" s="117">
        <v>7.8</v>
      </c>
      <c r="Y401" s="117">
        <f t="shared" si="117"/>
        <v>1548187.602</v>
      </c>
      <c r="Z401" s="117"/>
      <c r="AA401" s="423">
        <v>5.35</v>
      </c>
      <c r="AB401" s="680">
        <v>52185</v>
      </c>
      <c r="AC401" s="104">
        <f t="shared" si="118"/>
        <v>29.221917808219178</v>
      </c>
      <c r="AD401" s="104"/>
      <c r="AF401" s="214"/>
      <c r="AG401" s="215"/>
    </row>
    <row r="402" spans="1:33" s="74" customFormat="1" ht="25.5" customHeight="1">
      <c r="A402" s="268" t="s">
        <v>903</v>
      </c>
      <c r="B402" s="73"/>
      <c r="C402" s="73"/>
      <c r="D402" s="73"/>
      <c r="E402" s="91">
        <v>258</v>
      </c>
      <c r="F402" s="64" t="s">
        <v>1159</v>
      </c>
      <c r="G402" s="109" t="s">
        <v>1158</v>
      </c>
      <c r="H402" s="399" t="s">
        <v>631</v>
      </c>
      <c r="I402" s="399" t="s">
        <v>1082</v>
      </c>
      <c r="J402" s="319">
        <f t="shared" si="116"/>
        <v>9.6383561643835609</v>
      </c>
      <c r="K402" s="167" t="s">
        <v>465</v>
      </c>
      <c r="L402" s="341">
        <v>2700000</v>
      </c>
      <c r="M402" s="167" t="s">
        <v>945</v>
      </c>
      <c r="N402" s="46">
        <v>86.29</v>
      </c>
      <c r="O402" s="698">
        <v>6.0200089999999999</v>
      </c>
      <c r="P402" s="86" t="s">
        <v>938</v>
      </c>
      <c r="Q402" s="400" t="s">
        <v>342</v>
      </c>
      <c r="R402" s="168" t="s">
        <v>343</v>
      </c>
      <c r="S402" s="633">
        <v>41520</v>
      </c>
      <c r="T402" s="633">
        <v>41523</v>
      </c>
      <c r="U402" s="229" t="s">
        <v>599</v>
      </c>
      <c r="V402" s="229"/>
      <c r="W402" s="699">
        <v>2370358.13</v>
      </c>
      <c r="X402" s="117">
        <v>7.8</v>
      </c>
      <c r="Y402" s="117">
        <f t="shared" si="117"/>
        <v>18488793.413999997</v>
      </c>
      <c r="Z402" s="117"/>
      <c r="AA402" s="423">
        <v>4.125</v>
      </c>
      <c r="AB402" s="680">
        <v>45041</v>
      </c>
      <c r="AC402" s="104">
        <f t="shared" si="118"/>
        <v>9.6465753424657539</v>
      </c>
      <c r="AD402" s="104"/>
      <c r="AF402" s="214"/>
      <c r="AG402" s="215"/>
    </row>
    <row r="403" spans="1:33" s="74" customFormat="1" ht="25.5" customHeight="1">
      <c r="A403" s="268"/>
      <c r="B403" s="73"/>
      <c r="C403" s="73"/>
      <c r="D403" s="73"/>
      <c r="E403" s="91">
        <v>258</v>
      </c>
      <c r="F403" s="64" t="s">
        <v>1159</v>
      </c>
      <c r="G403" s="109" t="s">
        <v>1158</v>
      </c>
      <c r="H403" s="399" t="s">
        <v>631</v>
      </c>
      <c r="I403" s="399" t="s">
        <v>1082</v>
      </c>
      <c r="J403" s="319">
        <f t="shared" si="116"/>
        <v>9.6383561643835609</v>
      </c>
      <c r="K403" s="167" t="s">
        <v>465</v>
      </c>
      <c r="L403" s="341">
        <v>300000</v>
      </c>
      <c r="M403" s="167" t="s">
        <v>945</v>
      </c>
      <c r="N403" s="46">
        <v>86.29</v>
      </c>
      <c r="O403" s="698">
        <v>6.0200089999999999</v>
      </c>
      <c r="P403" s="86" t="s">
        <v>938</v>
      </c>
      <c r="Q403" s="400" t="s">
        <v>342</v>
      </c>
      <c r="R403" s="168" t="s">
        <v>343</v>
      </c>
      <c r="S403" s="633">
        <v>41520</v>
      </c>
      <c r="T403" s="633">
        <v>41523</v>
      </c>
      <c r="U403" s="229" t="s">
        <v>599</v>
      </c>
      <c r="V403" s="229"/>
      <c r="W403" s="699">
        <v>263373.13</v>
      </c>
      <c r="X403" s="117">
        <v>7.8</v>
      </c>
      <c r="Y403" s="117">
        <f t="shared" si="117"/>
        <v>2054310.4139999999</v>
      </c>
      <c r="Z403" s="117"/>
      <c r="AA403" s="423">
        <v>4.125</v>
      </c>
      <c r="AB403" s="680">
        <v>45041</v>
      </c>
      <c r="AC403" s="104">
        <f t="shared" si="118"/>
        <v>9.6465753424657539</v>
      </c>
      <c r="AD403" s="104"/>
      <c r="AF403" s="214"/>
      <c r="AG403" s="215"/>
    </row>
    <row r="404" spans="1:33" s="74" customFormat="1" ht="25.5" customHeight="1">
      <c r="A404" s="268" t="s">
        <v>903</v>
      </c>
      <c r="B404" s="73"/>
      <c r="C404" s="73"/>
      <c r="D404" s="73"/>
      <c r="E404" s="91">
        <v>259</v>
      </c>
      <c r="F404" s="64" t="s">
        <v>1179</v>
      </c>
      <c r="G404" s="109" t="s">
        <v>669</v>
      </c>
      <c r="H404" s="399" t="s">
        <v>745</v>
      </c>
      <c r="I404" s="399" t="s">
        <v>700</v>
      </c>
      <c r="J404" s="319">
        <f t="shared" si="116"/>
        <v>29.210958904109589</v>
      </c>
      <c r="K404" s="167" t="s">
        <v>465</v>
      </c>
      <c r="L404" s="341">
        <v>1500000</v>
      </c>
      <c r="M404" s="167" t="s">
        <v>92</v>
      </c>
      <c r="N404" s="46">
        <v>88.587000000000003</v>
      </c>
      <c r="O404" s="698">
        <v>6.2000099999999998</v>
      </c>
      <c r="P404" s="86" t="s">
        <v>331</v>
      </c>
      <c r="Q404" s="400" t="s">
        <v>595</v>
      </c>
      <c r="R404" s="168" t="s">
        <v>596</v>
      </c>
      <c r="S404" s="633">
        <v>41520</v>
      </c>
      <c r="T404" s="633">
        <v>41523</v>
      </c>
      <c r="U404" s="229" t="s">
        <v>884</v>
      </c>
      <c r="V404" s="229"/>
      <c r="W404" s="699">
        <v>1353548.75</v>
      </c>
      <c r="X404" s="117">
        <v>7.8</v>
      </c>
      <c r="Y404" s="117">
        <f t="shared" si="117"/>
        <v>10557680.25</v>
      </c>
      <c r="Z404" s="117"/>
      <c r="AA404" s="423">
        <v>5.35</v>
      </c>
      <c r="AB404" s="680">
        <v>52185</v>
      </c>
      <c r="AC404" s="104">
        <f t="shared" si="118"/>
        <v>29.219178082191782</v>
      </c>
      <c r="AD404" s="104"/>
      <c r="AF404" s="214"/>
      <c r="AG404" s="215"/>
    </row>
    <row r="405" spans="1:33" s="74" customFormat="1" ht="25.5" customHeight="1">
      <c r="A405" s="268" t="s">
        <v>903</v>
      </c>
      <c r="B405" s="73"/>
      <c r="C405" s="73"/>
      <c r="D405" s="73"/>
      <c r="E405" s="91">
        <v>260</v>
      </c>
      <c r="F405" s="64" t="s">
        <v>1159</v>
      </c>
      <c r="G405" s="109" t="s">
        <v>1158</v>
      </c>
      <c r="H405" s="399" t="s">
        <v>631</v>
      </c>
      <c r="I405" s="399" t="s">
        <v>1082</v>
      </c>
      <c r="J405" s="319">
        <f t="shared" si="116"/>
        <v>9.6301369863013697</v>
      </c>
      <c r="K405" s="167" t="s">
        <v>465</v>
      </c>
      <c r="L405" s="341">
        <v>1800000</v>
      </c>
      <c r="M405" s="167" t="s">
        <v>945</v>
      </c>
      <c r="N405" s="46">
        <v>86.299000000000007</v>
      </c>
      <c r="O405" s="698">
        <v>6.0200129999999996</v>
      </c>
      <c r="P405" s="86" t="s">
        <v>1073</v>
      </c>
      <c r="Q405" s="400" t="s">
        <v>1074</v>
      </c>
      <c r="R405" s="168" t="s">
        <v>1075</v>
      </c>
      <c r="S405" s="633">
        <v>41521</v>
      </c>
      <c r="T405" s="633">
        <v>41526</v>
      </c>
      <c r="U405" s="229" t="s">
        <v>599</v>
      </c>
      <c r="V405" s="229"/>
      <c r="W405" s="699">
        <v>1581019.5</v>
      </c>
      <c r="X405" s="117">
        <v>7.8</v>
      </c>
      <c r="Y405" s="117">
        <f t="shared" si="117"/>
        <v>12331952.1</v>
      </c>
      <c r="Z405" s="117"/>
      <c r="AA405" s="423">
        <v>4.125</v>
      </c>
      <c r="AB405" s="680">
        <v>45041</v>
      </c>
      <c r="AC405" s="104">
        <f t="shared" si="118"/>
        <v>9.6438356164383556</v>
      </c>
      <c r="AD405" s="104"/>
      <c r="AF405" s="214"/>
      <c r="AG405" s="215"/>
    </row>
    <row r="406" spans="1:33" s="74" customFormat="1" ht="25.5" customHeight="1">
      <c r="A406" s="268"/>
      <c r="B406" s="73"/>
      <c r="C406" s="73"/>
      <c r="D406" s="73"/>
      <c r="E406" s="91">
        <v>260</v>
      </c>
      <c r="F406" s="64" t="s">
        <v>1159</v>
      </c>
      <c r="G406" s="109" t="s">
        <v>1158</v>
      </c>
      <c r="H406" s="399" t="s">
        <v>631</v>
      </c>
      <c r="I406" s="399" t="s">
        <v>1082</v>
      </c>
      <c r="J406" s="319">
        <f t="shared" si="116"/>
        <v>9.6301369863013697</v>
      </c>
      <c r="K406" s="167" t="s">
        <v>465</v>
      </c>
      <c r="L406" s="341">
        <v>200000</v>
      </c>
      <c r="M406" s="167" t="s">
        <v>945</v>
      </c>
      <c r="N406" s="46">
        <v>86.299000000000007</v>
      </c>
      <c r="O406" s="698">
        <v>6.0200129999999996</v>
      </c>
      <c r="P406" s="86" t="s">
        <v>1073</v>
      </c>
      <c r="Q406" s="400" t="s">
        <v>1074</v>
      </c>
      <c r="R406" s="168" t="s">
        <v>1075</v>
      </c>
      <c r="S406" s="633">
        <v>41521</v>
      </c>
      <c r="T406" s="633">
        <v>41526</v>
      </c>
      <c r="U406" s="229" t="s">
        <v>599</v>
      </c>
      <c r="V406" s="229"/>
      <c r="W406" s="699">
        <v>175668.83</v>
      </c>
      <c r="X406" s="117">
        <v>7.8</v>
      </c>
      <c r="Y406" s="117">
        <f t="shared" si="117"/>
        <v>1370216.8739999998</v>
      </c>
      <c r="Z406" s="117"/>
      <c r="AA406" s="423">
        <v>4.125</v>
      </c>
      <c r="AB406" s="680">
        <v>45041</v>
      </c>
      <c r="AC406" s="104">
        <f t="shared" si="118"/>
        <v>9.6438356164383556</v>
      </c>
      <c r="AD406" s="104"/>
      <c r="AF406" s="214"/>
      <c r="AG406" s="215"/>
    </row>
    <row r="407" spans="1:33" s="74" customFormat="1" ht="25.5" customHeight="1">
      <c r="A407" s="268" t="s">
        <v>902</v>
      </c>
      <c r="B407" s="73"/>
      <c r="C407" s="73"/>
      <c r="D407" s="73"/>
      <c r="E407" s="91">
        <v>261</v>
      </c>
      <c r="F407" s="64" t="s">
        <v>1184</v>
      </c>
      <c r="G407" s="109" t="s">
        <v>1164</v>
      </c>
      <c r="H407" s="399" t="s">
        <v>744</v>
      </c>
      <c r="I407" s="399" t="s">
        <v>193</v>
      </c>
      <c r="J407" s="319">
        <f t="shared" si="116"/>
        <v>22.989041095890411</v>
      </c>
      <c r="K407" s="167" t="s">
        <v>465</v>
      </c>
      <c r="L407" s="341">
        <v>4500000</v>
      </c>
      <c r="M407" s="167" t="s">
        <v>466</v>
      </c>
      <c r="N407" s="46">
        <v>100</v>
      </c>
      <c r="O407" s="698">
        <v>6.0025909999999998</v>
      </c>
      <c r="P407" s="86" t="s">
        <v>1073</v>
      </c>
      <c r="Q407" s="400" t="s">
        <v>1074</v>
      </c>
      <c r="R407" s="168" t="s">
        <v>1075</v>
      </c>
      <c r="S407" s="633">
        <v>41522</v>
      </c>
      <c r="T407" s="633">
        <v>41527</v>
      </c>
      <c r="U407" s="229" t="s">
        <v>683</v>
      </c>
      <c r="V407" s="229"/>
      <c r="W407" s="699">
        <v>4507500</v>
      </c>
      <c r="X407" s="117">
        <v>7.8</v>
      </c>
      <c r="Y407" s="117">
        <f t="shared" si="117"/>
        <v>35158500</v>
      </c>
      <c r="Z407" s="117"/>
      <c r="AA407" s="423">
        <v>6</v>
      </c>
      <c r="AB407" s="680">
        <v>49918</v>
      </c>
      <c r="AC407" s="104">
        <f t="shared" si="118"/>
        <v>23.002739726027396</v>
      </c>
      <c r="AD407" s="104"/>
      <c r="AF407" s="214"/>
      <c r="AG407" s="215"/>
    </row>
    <row r="408" spans="1:33" s="74" customFormat="1" ht="25.5" customHeight="1">
      <c r="A408" s="268"/>
      <c r="B408" s="73"/>
      <c r="C408" s="73"/>
      <c r="D408" s="73"/>
      <c r="E408" s="91">
        <v>261</v>
      </c>
      <c r="F408" s="64" t="s">
        <v>1184</v>
      </c>
      <c r="G408" s="109" t="s">
        <v>1164</v>
      </c>
      <c r="H408" s="399" t="s">
        <v>744</v>
      </c>
      <c r="I408" s="399" t="s">
        <v>193</v>
      </c>
      <c r="J408" s="319">
        <f t="shared" si="116"/>
        <v>22.989041095890411</v>
      </c>
      <c r="K408" s="167" t="s">
        <v>465</v>
      </c>
      <c r="L408" s="341">
        <v>500000</v>
      </c>
      <c r="M408" s="167" t="s">
        <v>466</v>
      </c>
      <c r="N408" s="46">
        <v>100</v>
      </c>
      <c r="O408" s="698">
        <v>6.0025909999999998</v>
      </c>
      <c r="P408" s="86" t="s">
        <v>1073</v>
      </c>
      <c r="Q408" s="400" t="s">
        <v>1074</v>
      </c>
      <c r="R408" s="168" t="s">
        <v>1075</v>
      </c>
      <c r="S408" s="633">
        <v>41522</v>
      </c>
      <c r="T408" s="633">
        <v>41527</v>
      </c>
      <c r="U408" s="229" t="s">
        <v>683</v>
      </c>
      <c r="V408" s="229"/>
      <c r="W408" s="699">
        <v>500833.33</v>
      </c>
      <c r="X408" s="117">
        <v>7.8</v>
      </c>
      <c r="Y408" s="117">
        <f t="shared" si="117"/>
        <v>3906499.9739999999</v>
      </c>
      <c r="Z408" s="117"/>
      <c r="AA408" s="423">
        <v>6</v>
      </c>
      <c r="AB408" s="680">
        <v>49918</v>
      </c>
      <c r="AC408" s="104">
        <f t="shared" si="118"/>
        <v>23.002739726027396</v>
      </c>
      <c r="AD408" s="104"/>
      <c r="AF408" s="214"/>
      <c r="AG408" s="215"/>
    </row>
    <row r="409" spans="1:33" s="74" customFormat="1" ht="25.5" customHeight="1">
      <c r="A409" s="268" t="s">
        <v>902</v>
      </c>
      <c r="B409" s="73"/>
      <c r="C409" s="73"/>
      <c r="D409" s="73"/>
      <c r="E409" s="91">
        <v>262</v>
      </c>
      <c r="F409" s="64" t="s">
        <v>1184</v>
      </c>
      <c r="G409" s="109" t="s">
        <v>1164</v>
      </c>
      <c r="H409" s="399" t="s">
        <v>744</v>
      </c>
      <c r="I409" s="399" t="s">
        <v>193</v>
      </c>
      <c r="J409" s="319">
        <f t="shared" si="116"/>
        <v>22.989041095890411</v>
      </c>
      <c r="K409" s="167" t="s">
        <v>465</v>
      </c>
      <c r="L409" s="341">
        <v>1700000</v>
      </c>
      <c r="M409" s="167" t="s">
        <v>466</v>
      </c>
      <c r="N409" s="46">
        <v>99.5</v>
      </c>
      <c r="O409" s="698">
        <v>6.0451139999999999</v>
      </c>
      <c r="P409" s="86" t="s">
        <v>583</v>
      </c>
      <c r="Q409" s="400" t="s">
        <v>1138</v>
      </c>
      <c r="R409" s="168" t="s">
        <v>1178</v>
      </c>
      <c r="S409" s="633">
        <v>41522</v>
      </c>
      <c r="T409" s="633">
        <v>41527</v>
      </c>
      <c r="U409" s="229" t="s">
        <v>683</v>
      </c>
      <c r="V409" s="229"/>
      <c r="W409" s="699">
        <v>1694333.33</v>
      </c>
      <c r="X409" s="117">
        <v>7.8</v>
      </c>
      <c r="Y409" s="117">
        <f t="shared" si="117"/>
        <v>13215799.973999999</v>
      </c>
      <c r="Z409" s="117"/>
      <c r="AA409" s="423">
        <v>6</v>
      </c>
      <c r="AB409" s="680">
        <v>49918</v>
      </c>
      <c r="AC409" s="104">
        <f t="shared" si="118"/>
        <v>23.002739726027396</v>
      </c>
      <c r="AD409" s="104"/>
      <c r="AF409" s="214"/>
      <c r="AG409" s="215"/>
    </row>
    <row r="410" spans="1:33" s="74" customFormat="1" ht="25.5" customHeight="1">
      <c r="A410" s="268"/>
      <c r="B410" s="73"/>
      <c r="C410" s="73"/>
      <c r="D410" s="73"/>
      <c r="E410" s="91">
        <v>262</v>
      </c>
      <c r="F410" s="64" t="s">
        <v>1184</v>
      </c>
      <c r="G410" s="109" t="s">
        <v>1164</v>
      </c>
      <c r="H410" s="399" t="s">
        <v>744</v>
      </c>
      <c r="I410" s="399" t="s">
        <v>193</v>
      </c>
      <c r="J410" s="319">
        <f t="shared" si="116"/>
        <v>22.989041095890411</v>
      </c>
      <c r="K410" s="167" t="s">
        <v>465</v>
      </c>
      <c r="L410" s="341">
        <v>300000</v>
      </c>
      <c r="M410" s="167" t="s">
        <v>466</v>
      </c>
      <c r="N410" s="46">
        <v>99.5</v>
      </c>
      <c r="O410" s="698">
        <v>6.0451139999999999</v>
      </c>
      <c r="P410" s="86" t="s">
        <v>583</v>
      </c>
      <c r="Q410" s="400" t="s">
        <v>1138</v>
      </c>
      <c r="R410" s="168" t="s">
        <v>1178</v>
      </c>
      <c r="S410" s="633">
        <v>41522</v>
      </c>
      <c r="T410" s="633">
        <v>41527</v>
      </c>
      <c r="U410" s="229" t="s">
        <v>683</v>
      </c>
      <c r="V410" s="229"/>
      <c r="W410" s="699">
        <v>299000</v>
      </c>
      <c r="X410" s="117">
        <v>7.8</v>
      </c>
      <c r="Y410" s="117">
        <f t="shared" si="117"/>
        <v>2332200</v>
      </c>
      <c r="Z410" s="117"/>
      <c r="AA410" s="423">
        <v>6</v>
      </c>
      <c r="AB410" s="680">
        <v>49918</v>
      </c>
      <c r="AC410" s="104">
        <f t="shared" si="118"/>
        <v>23.002739726027396</v>
      </c>
      <c r="AD410" s="104"/>
      <c r="AF410" s="214"/>
      <c r="AG410" s="215"/>
    </row>
    <row r="411" spans="1:33" s="74" customFormat="1" ht="25.5" customHeight="1">
      <c r="A411" s="268" t="s">
        <v>902</v>
      </c>
      <c r="B411" s="73"/>
      <c r="C411" s="73"/>
      <c r="D411" s="73"/>
      <c r="E411" s="91">
        <v>263</v>
      </c>
      <c r="F411" s="64" t="s">
        <v>1184</v>
      </c>
      <c r="G411" s="109" t="s">
        <v>1164</v>
      </c>
      <c r="H411" s="399" t="s">
        <v>744</v>
      </c>
      <c r="I411" s="399" t="s">
        <v>193</v>
      </c>
      <c r="J411" s="319">
        <f t="shared" si="116"/>
        <v>22.989041095890411</v>
      </c>
      <c r="K411" s="167" t="s">
        <v>465</v>
      </c>
      <c r="L411" s="341">
        <v>1000000</v>
      </c>
      <c r="M411" s="167" t="s">
        <v>466</v>
      </c>
      <c r="N411" s="46">
        <v>99.2</v>
      </c>
      <c r="O411" s="698">
        <v>6.0707700000000004</v>
      </c>
      <c r="P411" s="86" t="s">
        <v>1185</v>
      </c>
      <c r="Q411" s="400" t="s">
        <v>1186</v>
      </c>
      <c r="R411" s="168" t="s">
        <v>1187</v>
      </c>
      <c r="S411" s="633">
        <v>41522</v>
      </c>
      <c r="T411" s="633">
        <v>41527</v>
      </c>
      <c r="U411" s="229" t="s">
        <v>683</v>
      </c>
      <c r="V411" s="229"/>
      <c r="W411" s="699">
        <v>993666.67</v>
      </c>
      <c r="X411" s="117">
        <v>7.8</v>
      </c>
      <c r="Y411" s="117">
        <f t="shared" si="117"/>
        <v>7750600.0260000005</v>
      </c>
      <c r="Z411" s="117"/>
      <c r="AA411" s="423">
        <v>6</v>
      </c>
      <c r="AB411" s="680">
        <v>49918</v>
      </c>
      <c r="AC411" s="104">
        <f t="shared" si="118"/>
        <v>23.002739726027396</v>
      </c>
      <c r="AD411" s="104"/>
      <c r="AF411" s="214"/>
      <c r="AG411" s="215"/>
    </row>
    <row r="412" spans="1:33" s="74" customFormat="1" ht="25.5" customHeight="1">
      <c r="A412" s="268" t="s">
        <v>903</v>
      </c>
      <c r="B412" s="73"/>
      <c r="C412" s="73"/>
      <c r="D412" s="73"/>
      <c r="E412" s="91">
        <v>264</v>
      </c>
      <c r="F412" s="64" t="s">
        <v>1159</v>
      </c>
      <c r="G412" s="109" t="s">
        <v>1158</v>
      </c>
      <c r="H412" s="399" t="s">
        <v>631</v>
      </c>
      <c r="I412" s="399" t="s">
        <v>1082</v>
      </c>
      <c r="J412" s="319">
        <f t="shared" si="116"/>
        <v>9.6219178082191785</v>
      </c>
      <c r="K412" s="167" t="s">
        <v>465</v>
      </c>
      <c r="L412" s="341">
        <v>1000000</v>
      </c>
      <c r="M412" s="167" t="s">
        <v>945</v>
      </c>
      <c r="N412" s="46">
        <v>85.78</v>
      </c>
      <c r="O412" s="698">
        <v>6.1001779999999997</v>
      </c>
      <c r="P412" s="86" t="s">
        <v>938</v>
      </c>
      <c r="Q412" s="400" t="s">
        <v>342</v>
      </c>
      <c r="R412" s="168" t="s">
        <v>343</v>
      </c>
      <c r="S412" s="633">
        <v>41522</v>
      </c>
      <c r="T412" s="633">
        <v>41529</v>
      </c>
      <c r="U412" s="229" t="s">
        <v>599</v>
      </c>
      <c r="V412" s="229"/>
      <c r="W412" s="699">
        <v>873497.92</v>
      </c>
      <c r="X412" s="117">
        <v>7.8</v>
      </c>
      <c r="Y412" s="117">
        <f t="shared" si="117"/>
        <v>6813283.7760000005</v>
      </c>
      <c r="Z412" s="117"/>
      <c r="AA412" s="423">
        <v>4.125</v>
      </c>
      <c r="AB412" s="680">
        <v>45041</v>
      </c>
      <c r="AC412" s="104">
        <f t="shared" si="118"/>
        <v>9.6410958904109592</v>
      </c>
      <c r="AD412" s="104"/>
      <c r="AF412" s="214"/>
      <c r="AG412" s="215"/>
    </row>
    <row r="413" spans="1:33" s="74" customFormat="1" ht="25.5" customHeight="1">
      <c r="A413" s="268" t="s">
        <v>903</v>
      </c>
      <c r="B413" s="73"/>
      <c r="C413" s="73"/>
      <c r="D413" s="73"/>
      <c r="E413" s="91">
        <v>265</v>
      </c>
      <c r="F413" s="64" t="s">
        <v>1188</v>
      </c>
      <c r="G413" s="109" t="s">
        <v>1205</v>
      </c>
      <c r="H413" s="399" t="s">
        <v>366</v>
      </c>
      <c r="I413" s="399" t="s">
        <v>1190</v>
      </c>
      <c r="J413" s="319">
        <f t="shared" si="116"/>
        <v>10.005479452054795</v>
      </c>
      <c r="K413" s="167" t="s">
        <v>465</v>
      </c>
      <c r="L413" s="341">
        <v>180000000</v>
      </c>
      <c r="M413" s="167" t="s">
        <v>945</v>
      </c>
      <c r="N413" s="46">
        <v>100</v>
      </c>
      <c r="O413" s="698">
        <v>6</v>
      </c>
      <c r="P413" s="86" t="s">
        <v>1191</v>
      </c>
      <c r="Q413" s="400" t="s">
        <v>1192</v>
      </c>
      <c r="R413" s="168" t="s">
        <v>1193</v>
      </c>
      <c r="S413" s="633">
        <v>41522</v>
      </c>
      <c r="T413" s="633">
        <v>41529</v>
      </c>
      <c r="U413" s="229" t="s">
        <v>599</v>
      </c>
      <c r="V413" s="229"/>
      <c r="W413" s="699">
        <v>180000000</v>
      </c>
      <c r="X413" s="117">
        <v>7.8</v>
      </c>
      <c r="Y413" s="117">
        <f t="shared" si="117"/>
        <v>1404000000</v>
      </c>
      <c r="Z413" s="117"/>
      <c r="AA413" s="423">
        <v>6</v>
      </c>
      <c r="AB413" s="680">
        <v>45181</v>
      </c>
      <c r="AC413" s="104">
        <f t="shared" si="118"/>
        <v>10.024657534246575</v>
      </c>
      <c r="AD413" s="104"/>
      <c r="AF413" s="214"/>
      <c r="AG413" s="215"/>
    </row>
    <row r="414" spans="1:33" s="74" customFormat="1" ht="25.5" customHeight="1">
      <c r="A414" s="268"/>
      <c r="B414" s="73"/>
      <c r="C414" s="73"/>
      <c r="D414" s="73"/>
      <c r="E414" s="91">
        <v>265</v>
      </c>
      <c r="F414" s="64" t="s">
        <v>1188</v>
      </c>
      <c r="G414" s="109" t="s">
        <v>1189</v>
      </c>
      <c r="H414" s="399" t="s">
        <v>366</v>
      </c>
      <c r="I414" s="399" t="s">
        <v>1190</v>
      </c>
      <c r="J414" s="319">
        <f t="shared" si="116"/>
        <v>10.005479452054795</v>
      </c>
      <c r="K414" s="167" t="s">
        <v>465</v>
      </c>
      <c r="L414" s="341">
        <v>20000000</v>
      </c>
      <c r="M414" s="167" t="s">
        <v>945</v>
      </c>
      <c r="N414" s="46">
        <v>100</v>
      </c>
      <c r="O414" s="698">
        <v>6</v>
      </c>
      <c r="P414" s="86" t="s">
        <v>1191</v>
      </c>
      <c r="Q414" s="400" t="s">
        <v>1192</v>
      </c>
      <c r="R414" s="168" t="s">
        <v>1193</v>
      </c>
      <c r="S414" s="633">
        <v>41522</v>
      </c>
      <c r="T414" s="633">
        <v>41529</v>
      </c>
      <c r="U414" s="229" t="s">
        <v>599</v>
      </c>
      <c r="V414" s="229"/>
      <c r="W414" s="699">
        <v>20000000</v>
      </c>
      <c r="X414" s="117">
        <v>7.8</v>
      </c>
      <c r="Y414" s="117">
        <f t="shared" si="117"/>
        <v>156000000</v>
      </c>
      <c r="Z414" s="117"/>
      <c r="AA414" s="423">
        <v>6</v>
      </c>
      <c r="AB414" s="680">
        <v>45181</v>
      </c>
      <c r="AC414" s="104">
        <f t="shared" si="118"/>
        <v>10.024657534246575</v>
      </c>
      <c r="AD414" s="104"/>
      <c r="AF414" s="214"/>
      <c r="AG414" s="215"/>
    </row>
    <row r="415" spans="1:33" s="74" customFormat="1" ht="25.5" customHeight="1">
      <c r="A415" s="268" t="s">
        <v>902</v>
      </c>
      <c r="B415" s="73"/>
      <c r="C415" s="73"/>
      <c r="D415" s="73"/>
      <c r="E415" s="91">
        <v>266</v>
      </c>
      <c r="F415" s="64" t="s">
        <v>202</v>
      </c>
      <c r="G415" s="109" t="s">
        <v>1078</v>
      </c>
      <c r="H415" s="399" t="s">
        <v>79</v>
      </c>
      <c r="I415" s="399" t="s">
        <v>340</v>
      </c>
      <c r="J415" s="319">
        <f t="shared" si="116"/>
        <v>8.6821917808219187</v>
      </c>
      <c r="K415" s="167" t="s">
        <v>465</v>
      </c>
      <c r="L415" s="341">
        <v>1000000</v>
      </c>
      <c r="M415" s="167" t="s">
        <v>466</v>
      </c>
      <c r="N415" s="46">
        <v>88.085999999999999</v>
      </c>
      <c r="O415" s="698">
        <v>7.6299400000000004</v>
      </c>
      <c r="P415" s="86" t="s">
        <v>1194</v>
      </c>
      <c r="Q415" s="400" t="s">
        <v>1195</v>
      </c>
      <c r="R415" s="168" t="s">
        <v>1196</v>
      </c>
      <c r="S415" s="633">
        <v>41523</v>
      </c>
      <c r="T415" s="633">
        <v>41528</v>
      </c>
      <c r="U415" s="229" t="s">
        <v>683</v>
      </c>
      <c r="V415" s="229"/>
      <c r="W415" s="699">
        <v>899164.17</v>
      </c>
      <c r="X415" s="117">
        <v>7.8</v>
      </c>
      <c r="Y415" s="117">
        <f t="shared" si="117"/>
        <v>7013480.5260000005</v>
      </c>
      <c r="Z415" s="117"/>
      <c r="AA415" s="423">
        <v>5.73</v>
      </c>
      <c r="AB415" s="680">
        <v>44697</v>
      </c>
      <c r="AC415" s="104">
        <f t="shared" si="118"/>
        <v>8.6958904109589046</v>
      </c>
      <c r="AD415" s="104"/>
      <c r="AF415" s="214"/>
      <c r="AG415" s="215"/>
    </row>
    <row r="416" spans="1:33" s="74" customFormat="1" ht="25.5" customHeight="1">
      <c r="A416" s="268" t="s">
        <v>902</v>
      </c>
      <c r="B416" s="73"/>
      <c r="C416" s="73"/>
      <c r="D416" s="73"/>
      <c r="E416" s="91">
        <v>267</v>
      </c>
      <c r="F416" s="64" t="s">
        <v>1184</v>
      </c>
      <c r="G416" s="109" t="s">
        <v>1164</v>
      </c>
      <c r="H416" s="399" t="s">
        <v>744</v>
      </c>
      <c r="I416" s="399" t="s">
        <v>193</v>
      </c>
      <c r="J416" s="319">
        <f t="shared" si="116"/>
        <v>22.986301369863014</v>
      </c>
      <c r="K416" s="167" t="s">
        <v>465</v>
      </c>
      <c r="L416" s="341">
        <v>4500000</v>
      </c>
      <c r="M416" s="167" t="s">
        <v>466</v>
      </c>
      <c r="N416" s="46">
        <v>99.207999999999998</v>
      </c>
      <c r="O416" s="698">
        <v>6.070074</v>
      </c>
      <c r="P416" s="86" t="s">
        <v>938</v>
      </c>
      <c r="Q416" s="400" t="s">
        <v>342</v>
      </c>
      <c r="R416" s="168" t="s">
        <v>343</v>
      </c>
      <c r="S416" s="633">
        <v>41523</v>
      </c>
      <c r="T416" s="633">
        <v>41528</v>
      </c>
      <c r="U416" s="229" t="s">
        <v>683</v>
      </c>
      <c r="V416" s="229"/>
      <c r="W416" s="699">
        <v>4472610</v>
      </c>
      <c r="X416" s="117">
        <v>7.8</v>
      </c>
      <c r="Y416" s="117">
        <f t="shared" si="117"/>
        <v>34886358</v>
      </c>
      <c r="Z416" s="117"/>
      <c r="AA416" s="423">
        <v>6</v>
      </c>
      <c r="AB416" s="680">
        <v>49918</v>
      </c>
      <c r="AC416" s="104">
        <f t="shared" si="118"/>
        <v>23</v>
      </c>
      <c r="AD416" s="104"/>
      <c r="AF416" s="214"/>
      <c r="AG416" s="215"/>
    </row>
    <row r="417" spans="1:33" s="74" customFormat="1" ht="25.5" customHeight="1">
      <c r="A417" s="268"/>
      <c r="B417" s="73"/>
      <c r="C417" s="73"/>
      <c r="D417" s="73"/>
      <c r="E417" s="91">
        <v>267</v>
      </c>
      <c r="F417" s="64" t="s">
        <v>1184</v>
      </c>
      <c r="G417" s="109" t="s">
        <v>1164</v>
      </c>
      <c r="H417" s="399" t="s">
        <v>744</v>
      </c>
      <c r="I417" s="399" t="s">
        <v>193</v>
      </c>
      <c r="J417" s="319">
        <f t="shared" si="116"/>
        <v>22.986301369863014</v>
      </c>
      <c r="K417" s="167" t="s">
        <v>465</v>
      </c>
      <c r="L417" s="341">
        <v>500000</v>
      </c>
      <c r="M417" s="167" t="s">
        <v>466</v>
      </c>
      <c r="N417" s="46">
        <v>99.207999999999998</v>
      </c>
      <c r="O417" s="698">
        <v>6.070074</v>
      </c>
      <c r="P417" s="86" t="s">
        <v>938</v>
      </c>
      <c r="Q417" s="400" t="s">
        <v>342</v>
      </c>
      <c r="R417" s="168" t="s">
        <v>343</v>
      </c>
      <c r="S417" s="633">
        <v>41523</v>
      </c>
      <c r="T417" s="633">
        <v>41528</v>
      </c>
      <c r="U417" s="229" t="s">
        <v>683</v>
      </c>
      <c r="V417" s="229"/>
      <c r="W417" s="699">
        <v>496956.67</v>
      </c>
      <c r="X417" s="117">
        <v>7.8</v>
      </c>
      <c r="Y417" s="117">
        <f t="shared" si="117"/>
        <v>3876262.0259999996</v>
      </c>
      <c r="Z417" s="117"/>
      <c r="AA417" s="423">
        <v>6</v>
      </c>
      <c r="AB417" s="680">
        <v>49918</v>
      </c>
      <c r="AC417" s="104">
        <f t="shared" si="118"/>
        <v>23</v>
      </c>
      <c r="AD417" s="104"/>
      <c r="AF417" s="214"/>
      <c r="AG417" s="215"/>
    </row>
    <row r="418" spans="1:33" s="74" customFormat="1" ht="25.5" customHeight="1">
      <c r="A418" s="268" t="s">
        <v>903</v>
      </c>
      <c r="B418" s="73"/>
      <c r="C418" s="73"/>
      <c r="D418" s="73"/>
      <c r="E418" s="91">
        <v>268</v>
      </c>
      <c r="F418" s="64" t="s">
        <v>1159</v>
      </c>
      <c r="G418" s="109" t="s">
        <v>1158</v>
      </c>
      <c r="H418" s="399" t="s">
        <v>631</v>
      </c>
      <c r="I418" s="399" t="s">
        <v>1082</v>
      </c>
      <c r="J418" s="319">
        <f t="shared" si="116"/>
        <v>9.624657534246575</v>
      </c>
      <c r="K418" s="167" t="s">
        <v>465</v>
      </c>
      <c r="L418" s="341">
        <v>1250000</v>
      </c>
      <c r="M418" s="167" t="s">
        <v>945</v>
      </c>
      <c r="N418" s="46">
        <v>85.864999999999995</v>
      </c>
      <c r="O418" s="698">
        <v>6.0867599999999999</v>
      </c>
      <c r="P418" s="86" t="s">
        <v>1175</v>
      </c>
      <c r="Q418" s="400" t="s">
        <v>1176</v>
      </c>
      <c r="R418" s="168" t="s">
        <v>1177</v>
      </c>
      <c r="S418" s="633">
        <v>41523</v>
      </c>
      <c r="T418" s="633">
        <v>41528</v>
      </c>
      <c r="U418" s="229" t="s">
        <v>599</v>
      </c>
      <c r="V418" s="229"/>
      <c r="W418" s="699">
        <v>1092791.67</v>
      </c>
      <c r="X418" s="117">
        <v>7.8</v>
      </c>
      <c r="Y418" s="117">
        <f t="shared" si="117"/>
        <v>8523775.0259999987</v>
      </c>
      <c r="Z418" s="117"/>
      <c r="AA418" s="423">
        <v>4.125</v>
      </c>
      <c r="AB418" s="680">
        <v>45041</v>
      </c>
      <c r="AC418" s="104">
        <f t="shared" si="118"/>
        <v>9.6383561643835609</v>
      </c>
      <c r="AD418" s="104"/>
      <c r="AF418" s="214"/>
      <c r="AG418" s="215"/>
    </row>
    <row r="419" spans="1:33" s="74" customFormat="1" ht="25.5" customHeight="1">
      <c r="A419" s="268"/>
      <c r="B419" s="73"/>
      <c r="C419" s="73"/>
      <c r="D419" s="73"/>
      <c r="E419" s="91">
        <v>268</v>
      </c>
      <c r="F419" s="64" t="s">
        <v>1159</v>
      </c>
      <c r="G419" s="109" t="s">
        <v>1158</v>
      </c>
      <c r="H419" s="399" t="s">
        <v>631</v>
      </c>
      <c r="I419" s="399" t="s">
        <v>1082</v>
      </c>
      <c r="J419" s="319">
        <f t="shared" si="116"/>
        <v>9.624657534246575</v>
      </c>
      <c r="K419" s="167" t="s">
        <v>465</v>
      </c>
      <c r="L419" s="341">
        <v>250000</v>
      </c>
      <c r="M419" s="167" t="s">
        <v>945</v>
      </c>
      <c r="N419" s="46">
        <v>85.864999999999995</v>
      </c>
      <c r="O419" s="698">
        <v>6.0867599999999999</v>
      </c>
      <c r="P419" s="86" t="s">
        <v>1175</v>
      </c>
      <c r="Q419" s="400" t="s">
        <v>1176</v>
      </c>
      <c r="R419" s="168" t="s">
        <v>1177</v>
      </c>
      <c r="S419" s="633">
        <v>41523</v>
      </c>
      <c r="T419" s="633">
        <v>41528</v>
      </c>
      <c r="U419" s="229" t="s">
        <v>599</v>
      </c>
      <c r="V419" s="229"/>
      <c r="W419" s="699">
        <v>218558.33</v>
      </c>
      <c r="X419" s="117">
        <v>7.8</v>
      </c>
      <c r="Y419" s="117">
        <f t="shared" si="117"/>
        <v>1704754.9739999999</v>
      </c>
      <c r="Z419" s="117"/>
      <c r="AA419" s="423">
        <v>4.125</v>
      </c>
      <c r="AB419" s="680">
        <v>45041</v>
      </c>
      <c r="AC419" s="104">
        <f t="shared" si="118"/>
        <v>9.6383561643835609</v>
      </c>
      <c r="AD419" s="104"/>
      <c r="AF419" s="214"/>
      <c r="AG419" s="215"/>
    </row>
    <row r="420" spans="1:33" s="74" customFormat="1" ht="25.5" customHeight="1">
      <c r="A420" s="268" t="s">
        <v>903</v>
      </c>
      <c r="B420" s="73"/>
      <c r="C420" s="73"/>
      <c r="D420" s="73"/>
      <c r="E420" s="91">
        <v>269</v>
      </c>
      <c r="F420" s="64" t="s">
        <v>1179</v>
      </c>
      <c r="G420" s="109" t="s">
        <v>669</v>
      </c>
      <c r="H420" s="399" t="s">
        <v>745</v>
      </c>
      <c r="I420" s="399" t="s">
        <v>700</v>
      </c>
      <c r="J420" s="319">
        <f t="shared" si="116"/>
        <v>29.194520547945206</v>
      </c>
      <c r="K420" s="167" t="s">
        <v>465</v>
      </c>
      <c r="L420" s="341">
        <v>1200000</v>
      </c>
      <c r="M420" s="167" t="s">
        <v>92</v>
      </c>
      <c r="N420" s="46">
        <v>87.86</v>
      </c>
      <c r="O420" s="698">
        <v>6.2600600000000002</v>
      </c>
      <c r="P420" s="86" t="s">
        <v>331</v>
      </c>
      <c r="Q420" s="400" t="s">
        <v>595</v>
      </c>
      <c r="R420" s="168" t="s">
        <v>596</v>
      </c>
      <c r="S420" s="633">
        <v>41526</v>
      </c>
      <c r="T420" s="633">
        <v>41529</v>
      </c>
      <c r="U420" s="229" t="s">
        <v>884</v>
      </c>
      <c r="V420" s="229"/>
      <c r="W420" s="699">
        <v>1075185</v>
      </c>
      <c r="X420" s="117">
        <v>7.8</v>
      </c>
      <c r="Y420" s="117">
        <f t="shared" ref="Y420:Y425" si="119">X420*W420</f>
        <v>8386443</v>
      </c>
      <c r="Z420" s="117"/>
      <c r="AA420" s="423">
        <v>5.35</v>
      </c>
      <c r="AB420" s="680">
        <v>52185</v>
      </c>
      <c r="AC420" s="104">
        <f t="shared" si="118"/>
        <v>29.202739726027396</v>
      </c>
      <c r="AD420" s="104"/>
      <c r="AF420" s="214"/>
      <c r="AG420" s="215"/>
    </row>
    <row r="421" spans="1:33" s="74" customFormat="1" ht="25.5" customHeight="1">
      <c r="A421" s="268"/>
      <c r="B421" s="73"/>
      <c r="C421" s="73"/>
      <c r="D421" s="73"/>
      <c r="E421" s="91">
        <v>269</v>
      </c>
      <c r="F421" s="64" t="s">
        <v>1179</v>
      </c>
      <c r="G421" s="109" t="s">
        <v>669</v>
      </c>
      <c r="H421" s="399" t="s">
        <v>745</v>
      </c>
      <c r="I421" s="399" t="s">
        <v>700</v>
      </c>
      <c r="J421" s="319">
        <f t="shared" si="116"/>
        <v>29.194520547945206</v>
      </c>
      <c r="K421" s="167" t="s">
        <v>465</v>
      </c>
      <c r="L421" s="341">
        <v>300000</v>
      </c>
      <c r="M421" s="167" t="s">
        <v>92</v>
      </c>
      <c r="N421" s="46">
        <v>87.86</v>
      </c>
      <c r="O421" s="698">
        <v>6.2600600000000002</v>
      </c>
      <c r="P421" s="86" t="s">
        <v>331</v>
      </c>
      <c r="Q421" s="400" t="s">
        <v>595</v>
      </c>
      <c r="R421" s="168" t="s">
        <v>596</v>
      </c>
      <c r="S421" s="633">
        <v>41526</v>
      </c>
      <c r="T421" s="633">
        <v>41529</v>
      </c>
      <c r="U421" s="229" t="s">
        <v>884</v>
      </c>
      <c r="V421" s="229"/>
      <c r="W421" s="699">
        <v>268796.25</v>
      </c>
      <c r="X421" s="117">
        <v>7.8</v>
      </c>
      <c r="Y421" s="117">
        <f t="shared" si="119"/>
        <v>2096610.75</v>
      </c>
      <c r="Z421" s="117"/>
      <c r="AA421" s="423">
        <v>5.35</v>
      </c>
      <c r="AB421" s="680">
        <v>52185</v>
      </c>
      <c r="AC421" s="104">
        <f t="shared" si="118"/>
        <v>29.202739726027396</v>
      </c>
      <c r="AD421" s="104"/>
      <c r="AF421" s="214"/>
      <c r="AG421" s="215"/>
    </row>
    <row r="422" spans="1:33" s="74" customFormat="1" ht="25.5" customHeight="1">
      <c r="A422" s="268" t="s">
        <v>903</v>
      </c>
      <c r="B422" s="73"/>
      <c r="C422" s="73"/>
      <c r="D422" s="73"/>
      <c r="E422" s="91">
        <v>270</v>
      </c>
      <c r="F422" s="309">
        <v>97147884</v>
      </c>
      <c r="G422" s="109" t="s">
        <v>1206</v>
      </c>
      <c r="H422" s="399" t="s">
        <v>1113</v>
      </c>
      <c r="I422" s="399" t="s">
        <v>1113</v>
      </c>
      <c r="J422" s="319">
        <f t="shared" ref="J422:J427" si="120">(AB422-T422)/365</f>
        <v>10.005479452054795</v>
      </c>
      <c r="K422" s="167" t="s">
        <v>465</v>
      </c>
      <c r="L422" s="341">
        <v>1800000000</v>
      </c>
      <c r="M422" s="167" t="s">
        <v>264</v>
      </c>
      <c r="N422" s="46">
        <v>99.259</v>
      </c>
      <c r="O422" s="698">
        <v>6.1930050000000003</v>
      </c>
      <c r="P422" s="86" t="s">
        <v>1073</v>
      </c>
      <c r="Q422" s="400" t="s">
        <v>1074</v>
      </c>
      <c r="R422" s="168" t="s">
        <v>1075</v>
      </c>
      <c r="S422" s="633">
        <v>41526</v>
      </c>
      <c r="T422" s="633">
        <v>41535</v>
      </c>
      <c r="U422" s="229" t="s">
        <v>884</v>
      </c>
      <c r="V422" s="229"/>
      <c r="W422" s="699">
        <v>1786662000</v>
      </c>
      <c r="X422" s="117">
        <v>1</v>
      </c>
      <c r="Y422" s="117">
        <f t="shared" si="119"/>
        <v>1786662000</v>
      </c>
      <c r="Z422" s="117"/>
      <c r="AA422" s="423">
        <v>6</v>
      </c>
      <c r="AB422" s="680">
        <v>45187</v>
      </c>
      <c r="AC422" s="104">
        <f t="shared" ref="AC422:AC427" si="121">(AB422-S422)/365</f>
        <v>10.03013698630137</v>
      </c>
      <c r="AD422" s="104"/>
      <c r="AF422" s="214"/>
      <c r="AG422" s="215"/>
    </row>
    <row r="423" spans="1:33" s="74" customFormat="1" ht="25.5" customHeight="1">
      <c r="A423" s="268"/>
      <c r="B423" s="73"/>
      <c r="C423" s="73"/>
      <c r="D423" s="73"/>
      <c r="E423" s="91">
        <v>270</v>
      </c>
      <c r="F423" s="309">
        <v>97147884</v>
      </c>
      <c r="G423" s="109" t="s">
        <v>1197</v>
      </c>
      <c r="H423" s="399" t="s">
        <v>1113</v>
      </c>
      <c r="I423" s="399" t="s">
        <v>1113</v>
      </c>
      <c r="J423" s="319">
        <f t="shared" si="120"/>
        <v>10.005479452054795</v>
      </c>
      <c r="K423" s="167" t="s">
        <v>465</v>
      </c>
      <c r="L423" s="341">
        <v>200000000</v>
      </c>
      <c r="M423" s="167" t="s">
        <v>264</v>
      </c>
      <c r="N423" s="46">
        <v>99.259</v>
      </c>
      <c r="O423" s="698">
        <v>6.1930050000000003</v>
      </c>
      <c r="P423" s="86" t="s">
        <v>1073</v>
      </c>
      <c r="Q423" s="400" t="s">
        <v>1074</v>
      </c>
      <c r="R423" s="168" t="s">
        <v>1075</v>
      </c>
      <c r="S423" s="633">
        <v>41526</v>
      </c>
      <c r="T423" s="633">
        <v>41535</v>
      </c>
      <c r="U423" s="229" t="s">
        <v>884</v>
      </c>
      <c r="V423" s="229"/>
      <c r="W423" s="699">
        <v>198518000</v>
      </c>
      <c r="X423" s="117">
        <v>1</v>
      </c>
      <c r="Y423" s="117">
        <f t="shared" si="119"/>
        <v>198518000</v>
      </c>
      <c r="Z423" s="117"/>
      <c r="AA423" s="423">
        <v>6</v>
      </c>
      <c r="AB423" s="680">
        <v>45187</v>
      </c>
      <c r="AC423" s="104">
        <f t="shared" si="121"/>
        <v>10.03013698630137</v>
      </c>
      <c r="AD423" s="104"/>
      <c r="AF423" s="214"/>
      <c r="AG423" s="215"/>
    </row>
    <row r="424" spans="1:33" s="491" customFormat="1" ht="25.5" customHeight="1">
      <c r="A424" s="268" t="s">
        <v>903</v>
      </c>
      <c r="B424" s="494"/>
      <c r="C424" s="494"/>
      <c r="D424" s="494"/>
      <c r="E424" s="494">
        <v>271</v>
      </c>
      <c r="F424" s="309" t="s">
        <v>1201</v>
      </c>
      <c r="G424" s="109" t="s">
        <v>1217</v>
      </c>
      <c r="H424" s="399" t="s">
        <v>1113</v>
      </c>
      <c r="I424" s="399" t="s">
        <v>1113</v>
      </c>
      <c r="J424" s="319">
        <f t="shared" si="120"/>
        <v>15.010958904109589</v>
      </c>
      <c r="K424" s="167" t="s">
        <v>465</v>
      </c>
      <c r="L424" s="493">
        <v>270000000</v>
      </c>
      <c r="M424" s="167" t="s">
        <v>92</v>
      </c>
      <c r="N424" s="492">
        <v>100</v>
      </c>
      <c r="O424" s="698">
        <v>6</v>
      </c>
      <c r="P424" s="86" t="s">
        <v>1202</v>
      </c>
      <c r="Q424" s="400" t="s">
        <v>1203</v>
      </c>
      <c r="R424" s="168" t="s">
        <v>1204</v>
      </c>
      <c r="S424" s="1489">
        <v>41541</v>
      </c>
      <c r="T424" s="1489">
        <v>41549</v>
      </c>
      <c r="U424" s="495" t="s">
        <v>884</v>
      </c>
      <c r="V424" s="495"/>
      <c r="W424" s="699">
        <v>270000000</v>
      </c>
      <c r="X424" s="117">
        <v>7.8</v>
      </c>
      <c r="Y424" s="117">
        <f t="shared" si="119"/>
        <v>2106000000</v>
      </c>
      <c r="Z424" s="117"/>
      <c r="AA424" s="423">
        <v>6</v>
      </c>
      <c r="AB424" s="680">
        <v>47028</v>
      </c>
      <c r="AC424" s="104">
        <f t="shared" si="121"/>
        <v>15.032876712328767</v>
      </c>
      <c r="AD424" s="104"/>
      <c r="AF424" s="214"/>
      <c r="AG424" s="215"/>
    </row>
    <row r="425" spans="1:33" s="491" customFormat="1" ht="25.5" customHeight="1">
      <c r="A425" s="268"/>
      <c r="B425" s="494"/>
      <c r="C425" s="494"/>
      <c r="D425" s="494"/>
      <c r="E425" s="494">
        <v>271</v>
      </c>
      <c r="F425" s="309" t="s">
        <v>1201</v>
      </c>
      <c r="G425" s="109" t="s">
        <v>1217</v>
      </c>
      <c r="H425" s="399" t="s">
        <v>1113</v>
      </c>
      <c r="I425" s="399" t="s">
        <v>1113</v>
      </c>
      <c r="J425" s="319">
        <f t="shared" si="120"/>
        <v>15.010958904109589</v>
      </c>
      <c r="K425" s="167" t="s">
        <v>465</v>
      </c>
      <c r="L425" s="493">
        <v>30000000</v>
      </c>
      <c r="M425" s="167" t="s">
        <v>92</v>
      </c>
      <c r="N425" s="492">
        <v>100</v>
      </c>
      <c r="O425" s="698">
        <v>6</v>
      </c>
      <c r="P425" s="86" t="s">
        <v>1202</v>
      </c>
      <c r="Q425" s="400" t="s">
        <v>1203</v>
      </c>
      <c r="R425" s="168" t="s">
        <v>1204</v>
      </c>
      <c r="S425" s="1489">
        <v>41541</v>
      </c>
      <c r="T425" s="1489">
        <v>41549</v>
      </c>
      <c r="U425" s="495" t="s">
        <v>884</v>
      </c>
      <c r="V425" s="495"/>
      <c r="W425" s="699">
        <v>30000000</v>
      </c>
      <c r="X425" s="117">
        <v>7.8</v>
      </c>
      <c r="Y425" s="117">
        <f t="shared" si="119"/>
        <v>234000000</v>
      </c>
      <c r="Z425" s="117"/>
      <c r="AA425" s="423">
        <v>6</v>
      </c>
      <c r="AB425" s="680">
        <v>47028</v>
      </c>
      <c r="AC425" s="104">
        <f t="shared" si="121"/>
        <v>15.032876712328767</v>
      </c>
      <c r="AD425" s="104"/>
      <c r="AF425" s="214"/>
      <c r="AG425" s="215"/>
    </row>
    <row r="426" spans="1:33" s="491" customFormat="1" ht="25.5" customHeight="1">
      <c r="A426" s="268" t="s">
        <v>903</v>
      </c>
      <c r="B426" s="494"/>
      <c r="C426" s="494"/>
      <c r="D426" s="494"/>
      <c r="E426" s="494">
        <v>272</v>
      </c>
      <c r="F426" s="309" t="s">
        <v>1211</v>
      </c>
      <c r="G426" s="109" t="s">
        <v>1216</v>
      </c>
      <c r="H426" s="399" t="s">
        <v>1212</v>
      </c>
      <c r="I426" s="399" t="s">
        <v>1212</v>
      </c>
      <c r="J426" s="319">
        <f t="shared" si="120"/>
        <v>15.010958904109589</v>
      </c>
      <c r="K426" s="167" t="s">
        <v>465</v>
      </c>
      <c r="L426" s="493">
        <v>253800000</v>
      </c>
      <c r="M426" s="167" t="s">
        <v>92</v>
      </c>
      <c r="N426" s="492">
        <v>100</v>
      </c>
      <c r="O426" s="698">
        <v>6</v>
      </c>
      <c r="P426" s="86" t="s">
        <v>1202</v>
      </c>
      <c r="Q426" s="400" t="s">
        <v>1203</v>
      </c>
      <c r="R426" s="168" t="s">
        <v>1204</v>
      </c>
      <c r="S426" s="1489">
        <v>41544</v>
      </c>
      <c r="T426" s="1489">
        <v>41551</v>
      </c>
      <c r="U426" s="495" t="s">
        <v>884</v>
      </c>
      <c r="V426" s="495"/>
      <c r="W426" s="699">
        <v>253800000</v>
      </c>
      <c r="X426" s="117">
        <v>7.8</v>
      </c>
      <c r="Y426" s="117">
        <f t="shared" ref="Y426:Y433" si="122">X426*W426</f>
        <v>1979640000</v>
      </c>
      <c r="Z426" s="117"/>
      <c r="AA426" s="423">
        <v>6</v>
      </c>
      <c r="AB426" s="680">
        <v>47030</v>
      </c>
      <c r="AC426" s="104">
        <f t="shared" si="121"/>
        <v>15.03013698630137</v>
      </c>
      <c r="AD426" s="104"/>
      <c r="AF426" s="214"/>
      <c r="AG426" s="215"/>
    </row>
    <row r="427" spans="1:33" s="491" customFormat="1" ht="25.5" customHeight="1">
      <c r="A427" s="268"/>
      <c r="B427" s="494"/>
      <c r="C427" s="494"/>
      <c r="D427" s="494"/>
      <c r="E427" s="494">
        <v>272</v>
      </c>
      <c r="F427" s="309" t="s">
        <v>1211</v>
      </c>
      <c r="G427" s="109" t="s">
        <v>1216</v>
      </c>
      <c r="H427" s="399" t="s">
        <v>1212</v>
      </c>
      <c r="I427" s="399" t="s">
        <v>1212</v>
      </c>
      <c r="J427" s="319">
        <f t="shared" si="120"/>
        <v>15.010958904109589</v>
      </c>
      <c r="K427" s="167" t="s">
        <v>465</v>
      </c>
      <c r="L427" s="493">
        <v>28200000</v>
      </c>
      <c r="M427" s="167" t="s">
        <v>92</v>
      </c>
      <c r="N427" s="492">
        <v>100</v>
      </c>
      <c r="O427" s="698">
        <v>6</v>
      </c>
      <c r="P427" s="86" t="s">
        <v>1202</v>
      </c>
      <c r="Q427" s="400" t="s">
        <v>1203</v>
      </c>
      <c r="R427" s="168" t="s">
        <v>1204</v>
      </c>
      <c r="S427" s="1489">
        <v>41544</v>
      </c>
      <c r="T427" s="1489">
        <v>41551</v>
      </c>
      <c r="U427" s="495" t="s">
        <v>884</v>
      </c>
      <c r="V427" s="495"/>
      <c r="W427" s="699">
        <v>28200000</v>
      </c>
      <c r="X427" s="117">
        <v>7.8</v>
      </c>
      <c r="Y427" s="117">
        <f t="shared" si="122"/>
        <v>219960000</v>
      </c>
      <c r="Z427" s="117"/>
      <c r="AA427" s="423">
        <v>6</v>
      </c>
      <c r="AB427" s="680">
        <v>47030</v>
      </c>
      <c r="AC427" s="104">
        <f t="shared" si="121"/>
        <v>15.03013698630137</v>
      </c>
      <c r="AD427" s="104"/>
      <c r="AF427" s="214"/>
      <c r="AG427" s="215"/>
    </row>
    <row r="428" spans="1:33" s="491" customFormat="1" ht="25.5" customHeight="1">
      <c r="A428" s="268" t="s">
        <v>903</v>
      </c>
      <c r="B428" s="494"/>
      <c r="C428" s="494"/>
      <c r="D428" s="494"/>
      <c r="E428" s="494">
        <v>273</v>
      </c>
      <c r="F428" s="309" t="s">
        <v>1223</v>
      </c>
      <c r="G428" s="109" t="s">
        <v>1234</v>
      </c>
      <c r="H428" s="399"/>
      <c r="I428" s="399" t="s">
        <v>1227</v>
      </c>
      <c r="J428" s="319">
        <f t="shared" ref="J428:J433" si="123">(AB428-T428)/365</f>
        <v>10.504109589041096</v>
      </c>
      <c r="K428" s="167" t="s">
        <v>465</v>
      </c>
      <c r="L428" s="493">
        <v>69750000</v>
      </c>
      <c r="M428" s="167" t="s">
        <v>92</v>
      </c>
      <c r="N428" s="492">
        <v>100</v>
      </c>
      <c r="O428" s="698">
        <v>6</v>
      </c>
      <c r="P428" s="86" t="s">
        <v>1224</v>
      </c>
      <c r="Q428" s="400" t="s">
        <v>1225</v>
      </c>
      <c r="R428" s="168" t="s">
        <v>1226</v>
      </c>
      <c r="S428" s="1489">
        <v>41578</v>
      </c>
      <c r="T428" s="1489">
        <v>41585</v>
      </c>
      <c r="U428" s="495" t="s">
        <v>884</v>
      </c>
      <c r="V428" s="495"/>
      <c r="W428" s="699">
        <v>69750000</v>
      </c>
      <c r="X428" s="117">
        <v>7.8</v>
      </c>
      <c r="Y428" s="117">
        <f t="shared" si="122"/>
        <v>544050000</v>
      </c>
      <c r="Z428" s="117"/>
      <c r="AA428" s="423">
        <v>6</v>
      </c>
      <c r="AB428" s="680">
        <v>45419</v>
      </c>
      <c r="AC428" s="104">
        <f t="shared" ref="AC428:AC433" si="124">(AB428-S428)/365</f>
        <v>10.523287671232877</v>
      </c>
      <c r="AD428" s="104"/>
      <c r="AF428" s="214"/>
      <c r="AG428" s="215"/>
    </row>
    <row r="429" spans="1:33" s="491" customFormat="1" ht="25.5" customHeight="1">
      <c r="A429" s="268"/>
      <c r="B429" s="494"/>
      <c r="C429" s="494"/>
      <c r="D429" s="494"/>
      <c r="E429" s="494">
        <v>273</v>
      </c>
      <c r="F429" s="309" t="s">
        <v>1223</v>
      </c>
      <c r="G429" s="109" t="s">
        <v>1228</v>
      </c>
      <c r="H429" s="399"/>
      <c r="I429" s="399" t="s">
        <v>1227</v>
      </c>
      <c r="J429" s="319">
        <f t="shared" si="123"/>
        <v>10.504109589041096</v>
      </c>
      <c r="K429" s="167" t="s">
        <v>465</v>
      </c>
      <c r="L429" s="493">
        <v>7750000</v>
      </c>
      <c r="M429" s="167" t="s">
        <v>92</v>
      </c>
      <c r="N429" s="492">
        <v>100</v>
      </c>
      <c r="O429" s="698">
        <v>6</v>
      </c>
      <c r="P429" s="86" t="s">
        <v>1224</v>
      </c>
      <c r="Q429" s="400" t="s">
        <v>1225</v>
      </c>
      <c r="R429" s="168" t="s">
        <v>1226</v>
      </c>
      <c r="S429" s="1489">
        <v>41578</v>
      </c>
      <c r="T429" s="1489">
        <v>41585</v>
      </c>
      <c r="U429" s="495" t="s">
        <v>884</v>
      </c>
      <c r="V429" s="495"/>
      <c r="W429" s="699">
        <v>7750000</v>
      </c>
      <c r="X429" s="117">
        <v>7.8</v>
      </c>
      <c r="Y429" s="117">
        <f t="shared" si="122"/>
        <v>60450000</v>
      </c>
      <c r="Z429" s="117"/>
      <c r="AA429" s="423">
        <v>6</v>
      </c>
      <c r="AB429" s="680">
        <v>45419</v>
      </c>
      <c r="AC429" s="104">
        <f t="shared" si="124"/>
        <v>10.523287671232877</v>
      </c>
      <c r="AD429" s="104"/>
      <c r="AF429" s="214"/>
      <c r="AG429" s="215"/>
    </row>
    <row r="430" spans="1:33" s="74" customFormat="1" ht="76.5">
      <c r="A430" s="268" t="s">
        <v>903</v>
      </c>
      <c r="B430" s="73"/>
      <c r="C430" s="73"/>
      <c r="D430" s="73"/>
      <c r="E430" s="91">
        <v>274</v>
      </c>
      <c r="F430" s="55" t="s">
        <v>274</v>
      </c>
      <c r="G430" s="109" t="s">
        <v>272</v>
      </c>
      <c r="H430" s="112" t="s">
        <v>44</v>
      </c>
      <c r="I430" s="112" t="s">
        <v>44</v>
      </c>
      <c r="J430" s="319">
        <f t="shared" si="123"/>
        <v>7.7342465753424658</v>
      </c>
      <c r="K430" s="573" t="s">
        <v>1230</v>
      </c>
      <c r="L430" s="341">
        <v>-1023300000</v>
      </c>
      <c r="M430" s="46" t="s">
        <v>273</v>
      </c>
      <c r="N430" s="114">
        <v>100</v>
      </c>
      <c r="O430" s="91">
        <v>6.1479460000000001</v>
      </c>
      <c r="P430" s="400" t="s">
        <v>775</v>
      </c>
      <c r="Q430" s="48" t="s">
        <v>776</v>
      </c>
      <c r="R430" s="75" t="s">
        <v>99</v>
      </c>
      <c r="S430" s="1489">
        <v>41586</v>
      </c>
      <c r="T430" s="1489">
        <v>41592</v>
      </c>
      <c r="U430" s="229" t="s">
        <v>599</v>
      </c>
      <c r="W430" s="117">
        <v>-1040369485.0700001</v>
      </c>
      <c r="X430" s="143">
        <v>1.28</v>
      </c>
      <c r="Y430" s="117">
        <f>X430*W430</f>
        <v>-1331672940.8896</v>
      </c>
      <c r="Z430" s="117"/>
      <c r="AA430" s="86">
        <v>6.15</v>
      </c>
      <c r="AB430" s="681">
        <v>44415</v>
      </c>
      <c r="AC430" s="104">
        <f t="shared" si="124"/>
        <v>7.7506849315068491</v>
      </c>
      <c r="AD430" s="64" t="s">
        <v>1233</v>
      </c>
      <c r="AF430" s="214"/>
      <c r="AG430" s="215"/>
    </row>
    <row r="431" spans="1:33" s="74" customFormat="1" ht="76.5">
      <c r="A431" s="281"/>
      <c r="B431" s="73"/>
      <c r="C431" s="73"/>
      <c r="D431" s="73"/>
      <c r="E431" s="91">
        <v>274</v>
      </c>
      <c r="F431" s="55" t="s">
        <v>274</v>
      </c>
      <c r="G431" s="109" t="s">
        <v>272</v>
      </c>
      <c r="H431" s="112" t="s">
        <v>44</v>
      </c>
      <c r="I431" s="112" t="s">
        <v>44</v>
      </c>
      <c r="J431" s="319">
        <f t="shared" si="123"/>
        <v>7.7342465753424658</v>
      </c>
      <c r="K431" s="573" t="s">
        <v>1230</v>
      </c>
      <c r="L431" s="341">
        <v>-113700000</v>
      </c>
      <c r="M431" s="46" t="s">
        <v>273</v>
      </c>
      <c r="N431" s="114">
        <v>100</v>
      </c>
      <c r="O431" s="91">
        <v>6.1479460000000001</v>
      </c>
      <c r="P431" s="227" t="s">
        <v>775</v>
      </c>
      <c r="Q431" s="48" t="s">
        <v>776</v>
      </c>
      <c r="R431" s="75" t="s">
        <v>99</v>
      </c>
      <c r="S431" s="1489">
        <v>41586</v>
      </c>
      <c r="T431" s="1489">
        <v>41592</v>
      </c>
      <c r="U431" s="229" t="s">
        <v>599</v>
      </c>
      <c r="W431" s="117">
        <v>-115596609.45100001</v>
      </c>
      <c r="X431" s="143">
        <v>1.28</v>
      </c>
      <c r="Y431" s="117">
        <f t="shared" si="122"/>
        <v>-147963660.09728</v>
      </c>
      <c r="Z431" s="117"/>
      <c r="AA431" s="86">
        <v>6.15</v>
      </c>
      <c r="AB431" s="681">
        <v>44415</v>
      </c>
      <c r="AC431" s="104">
        <f t="shared" si="124"/>
        <v>7.7506849315068491</v>
      </c>
      <c r="AD431" s="64" t="s">
        <v>1232</v>
      </c>
      <c r="AF431" s="214"/>
      <c r="AG431" s="215"/>
    </row>
    <row r="432" spans="1:33" s="491" customFormat="1" ht="25.5" customHeight="1">
      <c r="A432" s="268" t="s">
        <v>903</v>
      </c>
      <c r="B432" s="494"/>
      <c r="C432" s="494"/>
      <c r="D432" s="494"/>
      <c r="E432" s="494">
        <v>275</v>
      </c>
      <c r="F432" s="309" t="s">
        <v>1475</v>
      </c>
      <c r="G432" s="109" t="s">
        <v>1236</v>
      </c>
      <c r="H432" s="112" t="s">
        <v>44</v>
      </c>
      <c r="I432" s="112" t="s">
        <v>44</v>
      </c>
      <c r="J432" s="319">
        <f t="shared" si="123"/>
        <v>9.0054794520547947</v>
      </c>
      <c r="K432" s="573" t="s">
        <v>1231</v>
      </c>
      <c r="L432" s="493">
        <v>1800000000</v>
      </c>
      <c r="M432" s="46" t="s">
        <v>273</v>
      </c>
      <c r="N432" s="114">
        <v>100</v>
      </c>
      <c r="O432" s="698">
        <v>6.15</v>
      </c>
      <c r="P432" s="227" t="s">
        <v>775</v>
      </c>
      <c r="Q432" s="48" t="s">
        <v>776</v>
      </c>
      <c r="R432" s="75" t="s">
        <v>99</v>
      </c>
      <c r="S432" s="1489">
        <v>41586</v>
      </c>
      <c r="T432" s="1489">
        <v>41592</v>
      </c>
      <c r="U432" s="495" t="s">
        <v>884</v>
      </c>
      <c r="V432" s="495"/>
      <c r="W432" s="699">
        <v>1800000000</v>
      </c>
      <c r="X432" s="143">
        <v>1.28</v>
      </c>
      <c r="Y432" s="117">
        <f t="shared" si="122"/>
        <v>2304000000</v>
      </c>
      <c r="Z432" s="117"/>
      <c r="AA432" s="86">
        <v>6.15</v>
      </c>
      <c r="AB432" s="681">
        <v>44879</v>
      </c>
      <c r="AC432" s="104">
        <f t="shared" si="124"/>
        <v>9.0219178082191789</v>
      </c>
      <c r="AD432" s="64" t="s">
        <v>1232</v>
      </c>
      <c r="AF432" s="214"/>
      <c r="AG432" s="215"/>
    </row>
    <row r="433" spans="1:33" s="491" customFormat="1" ht="25.5" customHeight="1">
      <c r="A433" s="268"/>
      <c r="B433" s="494"/>
      <c r="C433" s="494"/>
      <c r="D433" s="494"/>
      <c r="E433" s="494">
        <v>275</v>
      </c>
      <c r="F433" s="309" t="s">
        <v>1475</v>
      </c>
      <c r="G433" s="109" t="s">
        <v>1236</v>
      </c>
      <c r="H433" s="112" t="s">
        <v>44</v>
      </c>
      <c r="I433" s="112" t="s">
        <v>44</v>
      </c>
      <c r="J433" s="319">
        <f t="shared" si="123"/>
        <v>9.0054794520547947</v>
      </c>
      <c r="K433" s="573" t="s">
        <v>1231</v>
      </c>
      <c r="L433" s="493">
        <v>200000000</v>
      </c>
      <c r="M433" s="46" t="s">
        <v>273</v>
      </c>
      <c r="N433" s="114">
        <v>100</v>
      </c>
      <c r="O433" s="698">
        <v>6.15</v>
      </c>
      <c r="P433" s="227" t="s">
        <v>775</v>
      </c>
      <c r="Q433" s="48" t="s">
        <v>776</v>
      </c>
      <c r="R433" s="75" t="s">
        <v>99</v>
      </c>
      <c r="S433" s="1489">
        <v>41586</v>
      </c>
      <c r="T433" s="1489">
        <v>41592</v>
      </c>
      <c r="U433" s="495" t="s">
        <v>884</v>
      </c>
      <c r="V433" s="495"/>
      <c r="W433" s="699">
        <v>200000000</v>
      </c>
      <c r="X433" s="143">
        <v>1.28</v>
      </c>
      <c r="Y433" s="117">
        <f t="shared" si="122"/>
        <v>256000000</v>
      </c>
      <c r="Z433" s="117"/>
      <c r="AA433" s="86">
        <v>6.15</v>
      </c>
      <c r="AB433" s="681">
        <v>44879</v>
      </c>
      <c r="AC433" s="104">
        <f t="shared" si="124"/>
        <v>9.0219178082191789</v>
      </c>
      <c r="AD433" s="64" t="s">
        <v>1232</v>
      </c>
      <c r="AF433" s="214"/>
      <c r="AG433" s="215"/>
    </row>
    <row r="434" spans="1:33" s="74" customFormat="1" ht="27" customHeight="1">
      <c r="A434" s="268" t="s">
        <v>902</v>
      </c>
      <c r="B434" s="73"/>
      <c r="C434" s="73"/>
      <c r="D434" s="73"/>
      <c r="E434" s="91">
        <v>276</v>
      </c>
      <c r="F434" s="64" t="s">
        <v>365</v>
      </c>
      <c r="G434" s="109" t="s">
        <v>367</v>
      </c>
      <c r="H434" s="399" t="s">
        <v>366</v>
      </c>
      <c r="I434" s="399" t="s">
        <v>363</v>
      </c>
      <c r="J434" s="319">
        <f t="shared" ref="J434" si="125">(AB434-T434)/365</f>
        <v>8.9917808219178088</v>
      </c>
      <c r="K434" s="167" t="s">
        <v>91</v>
      </c>
      <c r="L434" s="341">
        <v>6300000</v>
      </c>
      <c r="M434" s="167" t="s">
        <v>466</v>
      </c>
      <c r="N434" s="1490">
        <v>84.1</v>
      </c>
      <c r="O434" s="114">
        <v>6.9039200000000003</v>
      </c>
      <c r="P434" s="91" t="s">
        <v>677</v>
      </c>
      <c r="Q434" s="400" t="s">
        <v>678</v>
      </c>
      <c r="R434" s="168" t="s">
        <v>679</v>
      </c>
      <c r="S434" s="633">
        <v>41663</v>
      </c>
      <c r="T434" s="633">
        <v>41668</v>
      </c>
      <c r="U434" s="229" t="s">
        <v>683</v>
      </c>
      <c r="V434" s="229"/>
      <c r="W434" s="117">
        <v>5302237.5</v>
      </c>
      <c r="X434" s="117">
        <v>7.8</v>
      </c>
      <c r="Y434" s="117">
        <f t="shared" ref="Y434:Y436" si="126">X434*W434</f>
        <v>41357452.5</v>
      </c>
      <c r="Z434" s="117"/>
      <c r="AA434" s="423">
        <v>4.5</v>
      </c>
      <c r="AB434" s="680">
        <v>44950</v>
      </c>
      <c r="AC434" s="104">
        <f t="shared" ref="AC434" si="127">(AB434-S434)/365</f>
        <v>9.0054794520547947</v>
      </c>
    </row>
    <row r="435" spans="1:33" s="74" customFormat="1" ht="27" customHeight="1">
      <c r="A435" s="268"/>
      <c r="B435" s="73"/>
      <c r="C435" s="73"/>
      <c r="D435" s="73"/>
      <c r="E435" s="91">
        <v>276</v>
      </c>
      <c r="F435" s="64" t="s">
        <v>365</v>
      </c>
      <c r="G435" s="109" t="s">
        <v>367</v>
      </c>
      <c r="H435" s="399" t="s">
        <v>366</v>
      </c>
      <c r="I435" s="399" t="s">
        <v>363</v>
      </c>
      <c r="J435" s="319">
        <f t="shared" ref="J435" si="128">(AB435-T435)/365</f>
        <v>8.9917808219178088</v>
      </c>
      <c r="K435" s="167" t="s">
        <v>91</v>
      </c>
      <c r="L435" s="341">
        <v>700000</v>
      </c>
      <c r="M435" s="167" t="s">
        <v>466</v>
      </c>
      <c r="N435" s="1490">
        <v>84.1</v>
      </c>
      <c r="O435" s="114">
        <v>6.9039200000000003</v>
      </c>
      <c r="P435" s="91" t="s">
        <v>677</v>
      </c>
      <c r="Q435" s="400" t="s">
        <v>678</v>
      </c>
      <c r="R435" s="168" t="s">
        <v>679</v>
      </c>
      <c r="S435" s="633">
        <v>41663</v>
      </c>
      <c r="T435" s="633">
        <v>41668</v>
      </c>
      <c r="U435" s="229" t="s">
        <v>683</v>
      </c>
      <c r="V435" s="229"/>
      <c r="W435" s="117">
        <v>589137.5</v>
      </c>
      <c r="X435" s="117">
        <v>7.8</v>
      </c>
      <c r="Y435" s="117">
        <f t="shared" si="126"/>
        <v>4595272.5</v>
      </c>
      <c r="Z435" s="117"/>
      <c r="AA435" s="423">
        <v>4.5</v>
      </c>
      <c r="AB435" s="680">
        <v>44950</v>
      </c>
      <c r="AC435" s="104">
        <f t="shared" ref="AC435" si="129">(AB435-S435)/365</f>
        <v>9.0054794520547947</v>
      </c>
    </row>
    <row r="436" spans="1:33" s="491" customFormat="1" ht="25.5" customHeight="1">
      <c r="A436" s="268" t="s">
        <v>903</v>
      </c>
      <c r="B436" s="494"/>
      <c r="C436" s="494"/>
      <c r="D436" s="494"/>
      <c r="E436" s="494">
        <v>277</v>
      </c>
      <c r="F436" s="309" t="s">
        <v>1223</v>
      </c>
      <c r="G436" s="109" t="s">
        <v>1228</v>
      </c>
      <c r="H436" s="399"/>
      <c r="I436" s="399" t="s">
        <v>1227</v>
      </c>
      <c r="J436" s="319">
        <f>(AB436-T436)/365</f>
        <v>10.273972602739725</v>
      </c>
      <c r="K436" s="167" t="s">
        <v>465</v>
      </c>
      <c r="L436" s="493">
        <v>9900000</v>
      </c>
      <c r="M436" s="167" t="s">
        <v>92</v>
      </c>
      <c r="N436" s="492">
        <v>99.988</v>
      </c>
      <c r="O436" s="698">
        <v>6.0002199999999997</v>
      </c>
      <c r="P436" s="86" t="s">
        <v>331</v>
      </c>
      <c r="Q436" s="400" t="s">
        <v>595</v>
      </c>
      <c r="R436" s="168" t="s">
        <v>596</v>
      </c>
      <c r="S436" s="633">
        <v>41666</v>
      </c>
      <c r="T436" s="633">
        <v>41669</v>
      </c>
      <c r="U436" s="495" t="s">
        <v>884</v>
      </c>
      <c r="V436" s="495"/>
      <c r="W436" s="699">
        <v>10035762</v>
      </c>
      <c r="X436" s="117">
        <v>7.8</v>
      </c>
      <c r="Y436" s="117">
        <f t="shared" si="126"/>
        <v>78278943.599999994</v>
      </c>
      <c r="Z436" s="117"/>
      <c r="AA436" s="423">
        <v>6</v>
      </c>
      <c r="AB436" s="680">
        <v>45419</v>
      </c>
      <c r="AC436" s="104">
        <f t="shared" ref="AC436:AC439" si="130">(AB436-S436)/365</f>
        <v>10.282191780821918</v>
      </c>
      <c r="AD436" s="104"/>
      <c r="AF436" s="214"/>
      <c r="AG436" s="215"/>
    </row>
    <row r="437" spans="1:33" s="491" customFormat="1" ht="25.5" customHeight="1">
      <c r="A437" s="268"/>
      <c r="B437" s="494"/>
      <c r="C437" s="494"/>
      <c r="D437" s="494"/>
      <c r="E437" s="494">
        <v>277</v>
      </c>
      <c r="F437" s="309" t="s">
        <v>1223</v>
      </c>
      <c r="G437" s="109" t="s">
        <v>1228</v>
      </c>
      <c r="H437" s="399"/>
      <c r="I437" s="399" t="s">
        <v>1227</v>
      </c>
      <c r="J437" s="319">
        <f>(AB437-T437)/365</f>
        <v>10.273972602739725</v>
      </c>
      <c r="K437" s="167" t="s">
        <v>465</v>
      </c>
      <c r="L437" s="493">
        <v>1100000</v>
      </c>
      <c r="M437" s="167" t="s">
        <v>92</v>
      </c>
      <c r="N437" s="492">
        <v>99.988</v>
      </c>
      <c r="O437" s="698">
        <v>6.0002199999999997</v>
      </c>
      <c r="P437" s="86" t="s">
        <v>331</v>
      </c>
      <c r="Q437" s="400" t="s">
        <v>595</v>
      </c>
      <c r="R437" s="168" t="s">
        <v>596</v>
      </c>
      <c r="S437" s="633">
        <v>41666</v>
      </c>
      <c r="T437" s="633">
        <v>41669</v>
      </c>
      <c r="U437" s="495" t="s">
        <v>884</v>
      </c>
      <c r="V437" s="495"/>
      <c r="W437" s="699">
        <v>1115084.67</v>
      </c>
      <c r="X437" s="117">
        <v>7.8</v>
      </c>
      <c r="Y437" s="117">
        <f t="shared" ref="Y437:Y439" si="131">X437*W437</f>
        <v>8697660.425999999</v>
      </c>
      <c r="Z437" s="117"/>
      <c r="AA437" s="423">
        <v>6</v>
      </c>
      <c r="AB437" s="680">
        <v>45419</v>
      </c>
      <c r="AC437" s="104">
        <f t="shared" si="130"/>
        <v>10.282191780821918</v>
      </c>
      <c r="AD437" s="104"/>
      <c r="AF437" s="214"/>
      <c r="AG437" s="215"/>
    </row>
    <row r="438" spans="1:33" s="491" customFormat="1" ht="25.5" customHeight="1">
      <c r="A438" s="268" t="s">
        <v>902</v>
      </c>
      <c r="B438" s="494"/>
      <c r="C438" s="494"/>
      <c r="D438" s="494"/>
      <c r="E438" s="494">
        <v>278</v>
      </c>
      <c r="F438" s="309" t="s">
        <v>365</v>
      </c>
      <c r="G438" s="109" t="s">
        <v>367</v>
      </c>
      <c r="H438" s="399" t="s">
        <v>366</v>
      </c>
      <c r="I438" s="399" t="s">
        <v>363</v>
      </c>
      <c r="J438" s="319">
        <f t="shared" ref="J438:J439" si="132">(AB438-T438)/365</f>
        <v>8.9890410958904106</v>
      </c>
      <c r="K438" s="167" t="s">
        <v>91</v>
      </c>
      <c r="L438" s="493">
        <v>4500000</v>
      </c>
      <c r="M438" s="167" t="s">
        <v>466</v>
      </c>
      <c r="N438" s="492">
        <v>84.5</v>
      </c>
      <c r="O438" s="698">
        <v>6.8374899999999998</v>
      </c>
      <c r="P438" s="86" t="s">
        <v>331</v>
      </c>
      <c r="Q438" s="400" t="s">
        <v>595</v>
      </c>
      <c r="R438" s="168" t="s">
        <v>596</v>
      </c>
      <c r="S438" s="633">
        <v>41666</v>
      </c>
      <c r="T438" s="633">
        <v>41669</v>
      </c>
      <c r="U438" s="495" t="s">
        <v>683</v>
      </c>
      <c r="V438" s="495"/>
      <c r="W438" s="699">
        <v>3805875</v>
      </c>
      <c r="X438" s="117">
        <v>7.8</v>
      </c>
      <c r="Y438" s="117">
        <f t="shared" si="131"/>
        <v>29685825</v>
      </c>
      <c r="Z438" s="117"/>
      <c r="AA438" s="423">
        <v>4.5</v>
      </c>
      <c r="AB438" s="661">
        <v>44950</v>
      </c>
      <c r="AC438" s="104">
        <f t="shared" si="130"/>
        <v>8.9972602739726035</v>
      </c>
      <c r="AD438" s="104"/>
      <c r="AF438" s="214"/>
      <c r="AG438" s="215"/>
    </row>
    <row r="439" spans="1:33" s="491" customFormat="1" ht="25.5" customHeight="1">
      <c r="A439" s="268"/>
      <c r="B439" s="494"/>
      <c r="C439" s="494"/>
      <c r="D439" s="494"/>
      <c r="E439" s="494">
        <v>278</v>
      </c>
      <c r="F439" s="309" t="s">
        <v>365</v>
      </c>
      <c r="G439" s="109" t="s">
        <v>367</v>
      </c>
      <c r="H439" s="399" t="s">
        <v>366</v>
      </c>
      <c r="I439" s="399" t="s">
        <v>363</v>
      </c>
      <c r="J439" s="319">
        <f t="shared" si="132"/>
        <v>8.9890410958904106</v>
      </c>
      <c r="K439" s="167" t="s">
        <v>91</v>
      </c>
      <c r="L439" s="493">
        <v>500000</v>
      </c>
      <c r="M439" s="167" t="s">
        <v>466</v>
      </c>
      <c r="N439" s="167">
        <v>84.5</v>
      </c>
      <c r="O439" s="698">
        <v>6.8374899999999998</v>
      </c>
      <c r="P439" s="86" t="s">
        <v>331</v>
      </c>
      <c r="Q439" s="400" t="s">
        <v>595</v>
      </c>
      <c r="R439" s="168" t="s">
        <v>596</v>
      </c>
      <c r="S439" s="633">
        <v>41666</v>
      </c>
      <c r="T439" s="633">
        <v>41669</v>
      </c>
      <c r="U439" s="495" t="s">
        <v>683</v>
      </c>
      <c r="V439" s="495"/>
      <c r="W439" s="699">
        <v>422875</v>
      </c>
      <c r="X439" s="117">
        <v>7.8</v>
      </c>
      <c r="Y439" s="117">
        <f t="shared" si="131"/>
        <v>3298425</v>
      </c>
      <c r="Z439" s="117"/>
      <c r="AA439" s="423">
        <v>4.5</v>
      </c>
      <c r="AB439" s="661">
        <v>44950</v>
      </c>
      <c r="AC439" s="104">
        <f t="shared" si="130"/>
        <v>8.9972602739726035</v>
      </c>
      <c r="AD439" s="104"/>
      <c r="AF439" s="214"/>
      <c r="AG439" s="215"/>
    </row>
    <row r="440" spans="1:33" s="491" customFormat="1" ht="25.5" customHeight="1">
      <c r="A440" s="268" t="s">
        <v>902</v>
      </c>
      <c r="B440" s="494"/>
      <c r="C440" s="494"/>
      <c r="D440" s="494"/>
      <c r="E440" s="494">
        <v>279</v>
      </c>
      <c r="F440" s="309" t="s">
        <v>590</v>
      </c>
      <c r="G440" s="109" t="s">
        <v>711</v>
      </c>
      <c r="H440" s="399" t="s">
        <v>591</v>
      </c>
      <c r="I440" s="399" t="s">
        <v>340</v>
      </c>
      <c r="J440" s="319">
        <f>(AB440-T440)/365</f>
        <v>7.1972602739726028</v>
      </c>
      <c r="K440" s="167" t="s">
        <v>465</v>
      </c>
      <c r="L440" s="493">
        <v>2000000</v>
      </c>
      <c r="M440" s="167" t="s">
        <v>466</v>
      </c>
      <c r="N440" s="492">
        <v>98.5</v>
      </c>
      <c r="O440" s="698">
        <v>7.0165100000000002</v>
      </c>
      <c r="P440" s="86" t="s">
        <v>775</v>
      </c>
      <c r="Q440" s="400" t="s">
        <v>1255</v>
      </c>
      <c r="R440" s="168" t="s">
        <v>1256</v>
      </c>
      <c r="S440" s="633">
        <v>41667</v>
      </c>
      <c r="T440" s="633">
        <v>41674</v>
      </c>
      <c r="U440" s="495" t="s">
        <v>683</v>
      </c>
      <c r="V440" s="495"/>
      <c r="W440" s="699">
        <v>2010875</v>
      </c>
      <c r="X440" s="117">
        <v>7.8</v>
      </c>
      <c r="Y440" s="117">
        <f>X440*W440</f>
        <v>15684825</v>
      </c>
      <c r="Z440" s="117"/>
      <c r="AA440" s="423">
        <v>6.75</v>
      </c>
      <c r="AB440" s="661">
        <v>44301</v>
      </c>
      <c r="AC440" s="104">
        <f>(AB440-S440)/365</f>
        <v>7.2164383561643834</v>
      </c>
      <c r="AD440" s="104"/>
      <c r="AF440" s="214"/>
      <c r="AG440" s="215"/>
    </row>
    <row r="441" spans="1:33" s="491" customFormat="1" ht="25.5" customHeight="1">
      <c r="A441" s="268" t="s">
        <v>902</v>
      </c>
      <c r="B441" s="494"/>
      <c r="C441" s="494"/>
      <c r="D441" s="494"/>
      <c r="E441" s="494">
        <v>280</v>
      </c>
      <c r="F441" s="309" t="s">
        <v>590</v>
      </c>
      <c r="G441" s="109" t="s">
        <v>711</v>
      </c>
      <c r="H441" s="399" t="s">
        <v>591</v>
      </c>
      <c r="I441" s="399" t="s">
        <v>340</v>
      </c>
      <c r="J441" s="319">
        <f>(AB441-T441)/365</f>
        <v>7.1972602739726028</v>
      </c>
      <c r="K441" s="167" t="s">
        <v>465</v>
      </c>
      <c r="L441" s="493">
        <v>500000</v>
      </c>
      <c r="M441" s="167" t="s">
        <v>466</v>
      </c>
      <c r="N441" s="492">
        <v>98.5</v>
      </c>
      <c r="O441" s="698">
        <v>7.0165100000000002</v>
      </c>
      <c r="P441" s="86" t="s">
        <v>60</v>
      </c>
      <c r="Q441" s="400" t="s">
        <v>1257</v>
      </c>
      <c r="R441" s="168" t="s">
        <v>1258</v>
      </c>
      <c r="S441" s="633">
        <v>41667</v>
      </c>
      <c r="T441" s="633">
        <v>41674</v>
      </c>
      <c r="U441" s="495" t="s">
        <v>683</v>
      </c>
      <c r="V441" s="495"/>
      <c r="W441" s="699">
        <v>502718.75</v>
      </c>
      <c r="X441" s="117">
        <v>7.8</v>
      </c>
      <c r="Y441" s="117">
        <f>X441*W441</f>
        <v>3921206.25</v>
      </c>
      <c r="Z441" s="117"/>
      <c r="AA441" s="423">
        <v>6.75</v>
      </c>
      <c r="AB441" s="661">
        <v>44301</v>
      </c>
      <c r="AC441" s="104">
        <f>(AB441-S441)/365</f>
        <v>7.2164383561643834</v>
      </c>
      <c r="AD441" s="104"/>
      <c r="AF441" s="214"/>
      <c r="AG441" s="215"/>
    </row>
    <row r="442" spans="1:33" s="491" customFormat="1" ht="25.5" customHeight="1">
      <c r="A442" s="268" t="s">
        <v>902</v>
      </c>
      <c r="B442" s="494"/>
      <c r="C442" s="494"/>
      <c r="D442" s="494"/>
      <c r="E442" s="494">
        <v>281</v>
      </c>
      <c r="F442" s="309" t="s">
        <v>365</v>
      </c>
      <c r="G442" s="109" t="s">
        <v>367</v>
      </c>
      <c r="H442" s="399" t="s">
        <v>366</v>
      </c>
      <c r="I442" s="399" t="s">
        <v>363</v>
      </c>
      <c r="J442" s="319">
        <f t="shared" ref="J442" si="133">(AB442-T442)/365</f>
        <v>8.9753424657534246</v>
      </c>
      <c r="K442" s="167" t="s">
        <v>91</v>
      </c>
      <c r="L442" s="493">
        <v>3000000</v>
      </c>
      <c r="M442" s="167" t="s">
        <v>466</v>
      </c>
      <c r="N442" s="492">
        <v>84.73</v>
      </c>
      <c r="O442" s="698">
        <v>6.80131</v>
      </c>
      <c r="P442" s="86" t="s">
        <v>331</v>
      </c>
      <c r="Q442" s="400" t="s">
        <v>595</v>
      </c>
      <c r="R442" s="168" t="s">
        <v>596</v>
      </c>
      <c r="S442" s="633">
        <v>41668</v>
      </c>
      <c r="T442" s="633">
        <v>41674</v>
      </c>
      <c r="U442" s="495" t="s">
        <v>683</v>
      </c>
      <c r="V442" s="495"/>
      <c r="W442" s="699">
        <v>2545650</v>
      </c>
      <c r="X442" s="117">
        <v>7.8</v>
      </c>
      <c r="Y442" s="117">
        <f t="shared" ref="Y442" si="134">X442*W442</f>
        <v>19856070</v>
      </c>
      <c r="Z442" s="117"/>
      <c r="AA442" s="423">
        <v>4.5</v>
      </c>
      <c r="AB442" s="661">
        <v>44950</v>
      </c>
      <c r="AC442" s="104">
        <f t="shared" ref="AC442" si="135">(AB442-S442)/365</f>
        <v>8.9917808219178088</v>
      </c>
      <c r="AD442" s="104"/>
      <c r="AF442" s="214"/>
      <c r="AG442" s="215"/>
    </row>
    <row r="443" spans="1:33" s="491" customFormat="1" ht="25.5" customHeight="1">
      <c r="A443" s="268" t="s">
        <v>902</v>
      </c>
      <c r="B443" s="494"/>
      <c r="C443" s="494"/>
      <c r="D443" s="494"/>
      <c r="E443" s="494">
        <v>282</v>
      </c>
      <c r="F443" s="309" t="s">
        <v>590</v>
      </c>
      <c r="G443" s="109" t="s">
        <v>711</v>
      </c>
      <c r="H443" s="399" t="s">
        <v>591</v>
      </c>
      <c r="I443" s="399" t="s">
        <v>340</v>
      </c>
      <c r="J443" s="319">
        <f t="shared" ref="J443:J448" si="136">(AB443-T443)/365</f>
        <v>7.1890410958904107</v>
      </c>
      <c r="K443" s="167" t="s">
        <v>465</v>
      </c>
      <c r="L443" s="493">
        <v>2500000</v>
      </c>
      <c r="M443" s="167" t="s">
        <v>466</v>
      </c>
      <c r="N443" s="492">
        <v>98.875</v>
      </c>
      <c r="O443" s="698">
        <v>6.9490400000000001</v>
      </c>
      <c r="P443" s="86" t="s">
        <v>775</v>
      </c>
      <c r="Q443" s="400" t="s">
        <v>1259</v>
      </c>
      <c r="R443" s="168" t="s">
        <v>1261</v>
      </c>
      <c r="S443" s="633">
        <v>41674</v>
      </c>
      <c r="T443" s="633">
        <v>41677</v>
      </c>
      <c r="U443" s="495" t="s">
        <v>683</v>
      </c>
      <c r="V443" s="495"/>
      <c r="W443" s="699">
        <v>2524375</v>
      </c>
      <c r="X443" s="117">
        <v>7.8</v>
      </c>
      <c r="Y443" s="117">
        <f t="shared" ref="Y443:Y448" si="137">X443*W443</f>
        <v>19690125</v>
      </c>
      <c r="Z443" s="117"/>
      <c r="AA443" s="423">
        <v>6.75</v>
      </c>
      <c r="AB443" s="661">
        <v>44301</v>
      </c>
      <c r="AC443" s="104">
        <f t="shared" ref="AC443:AC448" si="138">(AB443-S443)/365</f>
        <v>7.1972602739726028</v>
      </c>
      <c r="AD443" s="104"/>
      <c r="AF443" s="214"/>
      <c r="AG443" s="215"/>
    </row>
    <row r="444" spans="1:33" s="491" customFormat="1" ht="25.5" customHeight="1">
      <c r="A444" s="268"/>
      <c r="B444" s="494"/>
      <c r="C444" s="494"/>
      <c r="D444" s="494"/>
      <c r="E444" s="494">
        <v>282</v>
      </c>
      <c r="F444" s="309" t="s">
        <v>590</v>
      </c>
      <c r="G444" s="109" t="s">
        <v>711</v>
      </c>
      <c r="H444" s="399" t="s">
        <v>591</v>
      </c>
      <c r="I444" s="399" t="s">
        <v>340</v>
      </c>
      <c r="J444" s="319">
        <f t="shared" si="136"/>
        <v>7.1890410958904107</v>
      </c>
      <c r="K444" s="167" t="s">
        <v>465</v>
      </c>
      <c r="L444" s="493">
        <v>500000</v>
      </c>
      <c r="M444" s="167" t="s">
        <v>466</v>
      </c>
      <c r="N444" s="492">
        <v>98.875</v>
      </c>
      <c r="O444" s="698">
        <v>6.9490400000000001</v>
      </c>
      <c r="P444" s="86" t="s">
        <v>775</v>
      </c>
      <c r="Q444" s="400" t="s">
        <v>1259</v>
      </c>
      <c r="R444" s="168" t="s">
        <v>1261</v>
      </c>
      <c r="S444" s="633">
        <v>41674</v>
      </c>
      <c r="T444" s="633">
        <v>41677</v>
      </c>
      <c r="U444" s="495" t="s">
        <v>683</v>
      </c>
      <c r="V444" s="495"/>
      <c r="W444" s="699">
        <v>504875</v>
      </c>
      <c r="X444" s="117">
        <v>7.8</v>
      </c>
      <c r="Y444" s="117">
        <f t="shared" si="137"/>
        <v>3938025</v>
      </c>
      <c r="Z444" s="117"/>
      <c r="AA444" s="423">
        <v>6.75</v>
      </c>
      <c r="AB444" s="661">
        <v>44301</v>
      </c>
      <c r="AC444" s="104">
        <f t="shared" si="138"/>
        <v>7.1972602739726028</v>
      </c>
      <c r="AD444" s="104"/>
      <c r="AF444" s="214"/>
      <c r="AG444" s="215"/>
    </row>
    <row r="445" spans="1:33" s="491" customFormat="1" ht="25.5" customHeight="1">
      <c r="A445" s="268" t="s">
        <v>903</v>
      </c>
      <c r="B445" s="494"/>
      <c r="C445" s="494"/>
      <c r="D445" s="494"/>
      <c r="E445" s="494">
        <v>283</v>
      </c>
      <c r="F445" s="309" t="s">
        <v>1223</v>
      </c>
      <c r="G445" s="109" t="s">
        <v>1228</v>
      </c>
      <c r="H445" s="399"/>
      <c r="I445" s="399" t="s">
        <v>1227</v>
      </c>
      <c r="J445" s="319">
        <f t="shared" si="136"/>
        <v>10.241095890410959</v>
      </c>
      <c r="K445" s="167" t="s">
        <v>465</v>
      </c>
      <c r="L445" s="493">
        <v>2700000</v>
      </c>
      <c r="M445" s="167" t="s">
        <v>92</v>
      </c>
      <c r="N445" s="492">
        <v>99.98</v>
      </c>
      <c r="O445" s="698">
        <v>6.0020119999999997</v>
      </c>
      <c r="P445" s="86" t="s">
        <v>1224</v>
      </c>
      <c r="Q445" s="400" t="s">
        <v>1225</v>
      </c>
      <c r="R445" s="168" t="s">
        <v>1226</v>
      </c>
      <c r="S445" s="633">
        <v>41676</v>
      </c>
      <c r="T445" s="633">
        <v>41681</v>
      </c>
      <c r="U445" s="495" t="s">
        <v>884</v>
      </c>
      <c r="V445" s="495"/>
      <c r="W445" s="699">
        <v>2741760</v>
      </c>
      <c r="X445" s="117">
        <v>7.8</v>
      </c>
      <c r="Y445" s="117">
        <f t="shared" si="137"/>
        <v>21385728</v>
      </c>
      <c r="Z445" s="117"/>
      <c r="AA445" s="423">
        <v>6</v>
      </c>
      <c r="AB445" s="680">
        <v>45419</v>
      </c>
      <c r="AC445" s="104">
        <f t="shared" si="138"/>
        <v>10.254794520547945</v>
      </c>
      <c r="AD445" s="104"/>
      <c r="AF445" s="214"/>
      <c r="AG445" s="215"/>
    </row>
    <row r="446" spans="1:33" s="491" customFormat="1" ht="25.5" customHeight="1">
      <c r="A446" s="268"/>
      <c r="B446" s="494"/>
      <c r="C446" s="494"/>
      <c r="D446" s="494"/>
      <c r="E446" s="494">
        <v>283</v>
      </c>
      <c r="F446" s="309" t="s">
        <v>1223</v>
      </c>
      <c r="G446" s="109" t="s">
        <v>1228</v>
      </c>
      <c r="H446" s="399"/>
      <c r="I446" s="399" t="s">
        <v>1227</v>
      </c>
      <c r="J446" s="319">
        <f t="shared" si="136"/>
        <v>10.241095890410959</v>
      </c>
      <c r="K446" s="167" t="s">
        <v>465</v>
      </c>
      <c r="L446" s="493">
        <v>300000</v>
      </c>
      <c r="M446" s="167" t="s">
        <v>92</v>
      </c>
      <c r="N446" s="492">
        <v>99.98</v>
      </c>
      <c r="O446" s="698">
        <v>6.0020119999999997</v>
      </c>
      <c r="P446" s="86" t="s">
        <v>1224</v>
      </c>
      <c r="Q446" s="400" t="s">
        <v>1225</v>
      </c>
      <c r="R446" s="168" t="s">
        <v>1226</v>
      </c>
      <c r="S446" s="633">
        <v>41676</v>
      </c>
      <c r="T446" s="633">
        <v>41681</v>
      </c>
      <c r="U446" s="495" t="s">
        <v>884</v>
      </c>
      <c r="V446" s="495"/>
      <c r="W446" s="699">
        <v>304640</v>
      </c>
      <c r="X446" s="117">
        <v>7.8</v>
      </c>
      <c r="Y446" s="117">
        <f t="shared" si="137"/>
        <v>2376192</v>
      </c>
      <c r="Z446" s="117"/>
      <c r="AA446" s="423">
        <v>6</v>
      </c>
      <c r="AB446" s="680">
        <v>45419</v>
      </c>
      <c r="AC446" s="104">
        <f t="shared" si="138"/>
        <v>10.254794520547945</v>
      </c>
      <c r="AD446" s="104"/>
      <c r="AF446" s="214"/>
      <c r="AG446" s="215"/>
    </row>
    <row r="447" spans="1:33" s="491" customFormat="1" ht="25.5" customHeight="1">
      <c r="A447" s="268" t="s">
        <v>902</v>
      </c>
      <c r="B447" s="494"/>
      <c r="C447" s="494"/>
      <c r="D447" s="494"/>
      <c r="E447" s="494">
        <v>284</v>
      </c>
      <c r="F447" s="309" t="s">
        <v>1263</v>
      </c>
      <c r="G447" s="109" t="s">
        <v>1264</v>
      </c>
      <c r="H447" s="399" t="s">
        <v>192</v>
      </c>
      <c r="I447" s="399" t="s">
        <v>1265</v>
      </c>
      <c r="J447" s="319">
        <f t="shared" si="136"/>
        <v>10.005479452054795</v>
      </c>
      <c r="K447" s="167" t="s">
        <v>465</v>
      </c>
      <c r="L447" s="493">
        <v>428400000</v>
      </c>
      <c r="M447" s="167" t="s">
        <v>466</v>
      </c>
      <c r="N447" s="492">
        <v>100</v>
      </c>
      <c r="O447" s="698">
        <v>6</v>
      </c>
      <c r="P447" s="86" t="s">
        <v>1073</v>
      </c>
      <c r="Q447" s="400" t="s">
        <v>1074</v>
      </c>
      <c r="R447" s="168" t="s">
        <v>1075</v>
      </c>
      <c r="S447" s="633">
        <v>41690</v>
      </c>
      <c r="T447" s="633">
        <v>41697</v>
      </c>
      <c r="U447" s="495" t="s">
        <v>683</v>
      </c>
      <c r="V447" s="495"/>
      <c r="W447" s="699">
        <v>428400000</v>
      </c>
      <c r="X447" s="117">
        <v>7.8</v>
      </c>
      <c r="Y447" s="117">
        <f t="shared" si="137"/>
        <v>3341520000</v>
      </c>
      <c r="Z447" s="117"/>
      <c r="AA447" s="423">
        <v>6</v>
      </c>
      <c r="AB447" s="661">
        <v>45349</v>
      </c>
      <c r="AC447" s="104">
        <f t="shared" si="138"/>
        <v>10.024657534246575</v>
      </c>
      <c r="AD447" s="104"/>
      <c r="AF447" s="214"/>
      <c r="AG447" s="215"/>
    </row>
    <row r="448" spans="1:33" s="491" customFormat="1" ht="25.5" customHeight="1">
      <c r="A448" s="268"/>
      <c r="B448" s="494"/>
      <c r="C448" s="494"/>
      <c r="D448" s="494"/>
      <c r="E448" s="494">
        <v>284</v>
      </c>
      <c r="F448" s="309" t="s">
        <v>1263</v>
      </c>
      <c r="G448" s="109" t="s">
        <v>1264</v>
      </c>
      <c r="H448" s="399" t="s">
        <v>192</v>
      </c>
      <c r="I448" s="399" t="s">
        <v>1265</v>
      </c>
      <c r="J448" s="319">
        <f t="shared" si="136"/>
        <v>10.005479452054795</v>
      </c>
      <c r="K448" s="167" t="s">
        <v>465</v>
      </c>
      <c r="L448" s="493">
        <v>47600000</v>
      </c>
      <c r="M448" s="167" t="s">
        <v>466</v>
      </c>
      <c r="N448" s="492">
        <v>100</v>
      </c>
      <c r="O448" s="698">
        <v>6</v>
      </c>
      <c r="P448" s="86" t="s">
        <v>1073</v>
      </c>
      <c r="Q448" s="400" t="s">
        <v>1074</v>
      </c>
      <c r="R448" s="168" t="s">
        <v>1075</v>
      </c>
      <c r="S448" s="633">
        <v>41690</v>
      </c>
      <c r="T448" s="633">
        <v>41697</v>
      </c>
      <c r="U448" s="495" t="s">
        <v>683</v>
      </c>
      <c r="V448" s="495"/>
      <c r="W448" s="699">
        <v>47600000</v>
      </c>
      <c r="X448" s="117">
        <v>7.8</v>
      </c>
      <c r="Y448" s="117">
        <f t="shared" si="137"/>
        <v>371280000</v>
      </c>
      <c r="Z448" s="117"/>
      <c r="AA448" s="423">
        <v>6</v>
      </c>
      <c r="AB448" s="661">
        <v>45349</v>
      </c>
      <c r="AC448" s="104">
        <f t="shared" si="138"/>
        <v>10.024657534246575</v>
      </c>
      <c r="AD448" s="104"/>
      <c r="AF448" s="214"/>
      <c r="AG448" s="215"/>
    </row>
    <row r="449" spans="1:34" s="491" customFormat="1" ht="25.5" customHeight="1">
      <c r="A449" s="268" t="s">
        <v>902</v>
      </c>
      <c r="B449" s="494"/>
      <c r="C449" s="494"/>
      <c r="D449" s="494"/>
      <c r="E449" s="494">
        <v>285</v>
      </c>
      <c r="F449" s="309" t="s">
        <v>1270</v>
      </c>
      <c r="G449" s="109" t="s">
        <v>1272</v>
      </c>
      <c r="H449" s="112" t="s">
        <v>44</v>
      </c>
      <c r="I449" s="112" t="s">
        <v>44</v>
      </c>
      <c r="J449" s="319">
        <f>(AB449-T449)/365</f>
        <v>5.9643835616438352</v>
      </c>
      <c r="K449" s="167" t="s">
        <v>465</v>
      </c>
      <c r="L449" s="493">
        <v>1800000000</v>
      </c>
      <c r="M449" s="167" t="s">
        <v>1271</v>
      </c>
      <c r="N449" s="492">
        <v>100</v>
      </c>
      <c r="O449" s="698">
        <v>5.9989999999999997</v>
      </c>
      <c r="P449" s="86" t="s">
        <v>1046</v>
      </c>
      <c r="Q449" s="400" t="s">
        <v>1066</v>
      </c>
      <c r="R449" s="109" t="s">
        <v>909</v>
      </c>
      <c r="S449" s="633">
        <v>41716</v>
      </c>
      <c r="T449" s="633">
        <v>41723</v>
      </c>
      <c r="U449" s="495" t="s">
        <v>683</v>
      </c>
      <c r="V449" s="495"/>
      <c r="W449" s="699">
        <v>1804438356.1600001</v>
      </c>
      <c r="X449" s="117">
        <v>1</v>
      </c>
      <c r="Y449" s="117">
        <f t="shared" ref="Y449:Y452" si="139">X449*W449</f>
        <v>1804438356.1600001</v>
      </c>
      <c r="Z449" s="117"/>
      <c r="AA449" s="423">
        <v>6</v>
      </c>
      <c r="AB449" s="661">
        <v>43900</v>
      </c>
      <c r="AC449" s="104">
        <f>(AB449-S449)/365</f>
        <v>5.9835616438356167</v>
      </c>
      <c r="AD449" s="104"/>
      <c r="AF449" s="214"/>
      <c r="AG449" s="215"/>
    </row>
    <row r="450" spans="1:34" s="491" customFormat="1" ht="25.5" customHeight="1">
      <c r="A450" s="268"/>
      <c r="B450" s="494"/>
      <c r="C450" s="494"/>
      <c r="D450" s="494"/>
      <c r="E450" s="494">
        <v>285</v>
      </c>
      <c r="F450" s="309" t="s">
        <v>1270</v>
      </c>
      <c r="G450" s="109" t="s">
        <v>1272</v>
      </c>
      <c r="H450" s="112" t="s">
        <v>44</v>
      </c>
      <c r="I450" s="112" t="s">
        <v>44</v>
      </c>
      <c r="J450" s="319">
        <f>(AB450-T450)/365</f>
        <v>5.9643835616438352</v>
      </c>
      <c r="K450" s="167" t="s">
        <v>465</v>
      </c>
      <c r="L450" s="493">
        <v>200000000</v>
      </c>
      <c r="M450" s="167" t="s">
        <v>1271</v>
      </c>
      <c r="N450" s="492">
        <v>100</v>
      </c>
      <c r="O450" s="698">
        <v>5.9989999999999997</v>
      </c>
      <c r="P450" s="86" t="s">
        <v>1046</v>
      </c>
      <c r="Q450" s="400" t="s">
        <v>1066</v>
      </c>
      <c r="R450" s="109" t="s">
        <v>909</v>
      </c>
      <c r="S450" s="633">
        <v>41716</v>
      </c>
      <c r="T450" s="633">
        <v>41723</v>
      </c>
      <c r="U450" s="495" t="s">
        <v>683</v>
      </c>
      <c r="V450" s="495"/>
      <c r="W450" s="699">
        <v>200493150.68000001</v>
      </c>
      <c r="X450" s="117">
        <v>1</v>
      </c>
      <c r="Y450" s="117">
        <f t="shared" si="139"/>
        <v>200493150.68000001</v>
      </c>
      <c r="Z450" s="117"/>
      <c r="AA450" s="423">
        <v>6</v>
      </c>
      <c r="AB450" s="661">
        <v>43900</v>
      </c>
      <c r="AC450" s="104">
        <f>(AB450-S450)/365</f>
        <v>5.9835616438356167</v>
      </c>
      <c r="AD450" s="104"/>
      <c r="AF450" s="214"/>
      <c r="AG450" s="215"/>
    </row>
    <row r="451" spans="1:34" s="491" customFormat="1" ht="25.5" customHeight="1">
      <c r="A451" s="268" t="s">
        <v>902</v>
      </c>
      <c r="B451" s="494"/>
      <c r="C451" s="494"/>
      <c r="D451" s="494"/>
      <c r="E451" s="494">
        <v>286</v>
      </c>
      <c r="F451" s="309" t="s">
        <v>1263</v>
      </c>
      <c r="G451" s="109" t="s">
        <v>1264</v>
      </c>
      <c r="H451" s="399" t="s">
        <v>192</v>
      </c>
      <c r="I451" s="399" t="s">
        <v>1265</v>
      </c>
      <c r="J451" s="319">
        <f t="shared" ref="J451:J452" si="140">(AB451-T451)/365</f>
        <v>9.9178082191780828</v>
      </c>
      <c r="K451" s="167" t="s">
        <v>341</v>
      </c>
      <c r="L451" s="493">
        <v>-27000000</v>
      </c>
      <c r="M451" s="167" t="s">
        <v>466</v>
      </c>
      <c r="N451" s="492">
        <v>100</v>
      </c>
      <c r="O451" s="698">
        <v>6</v>
      </c>
      <c r="P451" s="309" t="s">
        <v>1275</v>
      </c>
      <c r="Q451" s="400"/>
      <c r="R451" s="168"/>
      <c r="S451" s="633">
        <v>41726</v>
      </c>
      <c r="T451" s="633">
        <v>41729</v>
      </c>
      <c r="U451" s="495" t="s">
        <v>683</v>
      </c>
      <c r="V451" s="495"/>
      <c r="W451" s="699">
        <v>-27153000</v>
      </c>
      <c r="X451" s="117">
        <v>7.8</v>
      </c>
      <c r="Y451" s="117">
        <f t="shared" si="139"/>
        <v>-211793400</v>
      </c>
      <c r="Z451" s="117"/>
      <c r="AA451" s="423">
        <v>6</v>
      </c>
      <c r="AB451" s="661">
        <v>45349</v>
      </c>
      <c r="AC451" s="104">
        <f t="shared" ref="AC451:AC452" si="141">(AB451-S451)/365</f>
        <v>9.9260273972602739</v>
      </c>
      <c r="AD451" s="104" t="s">
        <v>1277</v>
      </c>
      <c r="AF451" s="214"/>
      <c r="AG451" s="215"/>
    </row>
    <row r="452" spans="1:34" s="491" customFormat="1" ht="25.5" customHeight="1">
      <c r="A452" s="268"/>
      <c r="B452" s="494"/>
      <c r="C452" s="494"/>
      <c r="D452" s="494"/>
      <c r="E452" s="494">
        <v>286</v>
      </c>
      <c r="F452" s="309" t="s">
        <v>1263</v>
      </c>
      <c r="G452" s="109" t="s">
        <v>1264</v>
      </c>
      <c r="H452" s="399" t="s">
        <v>192</v>
      </c>
      <c r="I452" s="399" t="s">
        <v>1265</v>
      </c>
      <c r="J452" s="319">
        <f t="shared" si="140"/>
        <v>9.9178082191780828</v>
      </c>
      <c r="K452" s="167" t="s">
        <v>341</v>
      </c>
      <c r="L452" s="1491">
        <v>-3000000</v>
      </c>
      <c r="M452" s="167" t="s">
        <v>466</v>
      </c>
      <c r="N452" s="492">
        <v>100</v>
      </c>
      <c r="O452" s="698">
        <v>6</v>
      </c>
      <c r="P452" s="309" t="s">
        <v>1275</v>
      </c>
      <c r="Q452" s="400"/>
      <c r="R452" s="168"/>
      <c r="S452" s="633">
        <v>41726</v>
      </c>
      <c r="T452" s="633">
        <v>41729</v>
      </c>
      <c r="U452" s="495" t="s">
        <v>683</v>
      </c>
      <c r="V452" s="495"/>
      <c r="W452" s="699">
        <v>-3017000</v>
      </c>
      <c r="X452" s="117">
        <v>7.8</v>
      </c>
      <c r="Y452" s="117">
        <f t="shared" si="139"/>
        <v>-23532600</v>
      </c>
      <c r="Z452" s="117"/>
      <c r="AA452" s="423">
        <v>6</v>
      </c>
      <c r="AB452" s="661">
        <v>45349</v>
      </c>
      <c r="AC452" s="104">
        <f t="shared" si="141"/>
        <v>9.9260273972602739</v>
      </c>
      <c r="AD452" s="104" t="s">
        <v>1277</v>
      </c>
      <c r="AF452" s="214"/>
      <c r="AG452" s="215"/>
    </row>
    <row r="453" spans="1:34" s="491" customFormat="1" ht="25.5" customHeight="1">
      <c r="A453" s="268" t="s">
        <v>902</v>
      </c>
      <c r="B453" s="494"/>
      <c r="C453" s="494"/>
      <c r="D453" s="494"/>
      <c r="E453" s="494">
        <v>287</v>
      </c>
      <c r="F453" s="309" t="s">
        <v>1263</v>
      </c>
      <c r="G453" s="109" t="s">
        <v>1264</v>
      </c>
      <c r="H453" s="399" t="s">
        <v>192</v>
      </c>
      <c r="I453" s="399" t="s">
        <v>1265</v>
      </c>
      <c r="J453" s="319">
        <f t="shared" ref="J453:J454" si="142">(AB453-T453)/365</f>
        <v>9.8712328767123285</v>
      </c>
      <c r="K453" s="167" t="s">
        <v>341</v>
      </c>
      <c r="L453" s="493">
        <v>-37800000</v>
      </c>
      <c r="M453" s="167" t="s">
        <v>466</v>
      </c>
      <c r="N453" s="492">
        <v>100</v>
      </c>
      <c r="O453" s="698">
        <v>6</v>
      </c>
      <c r="P453" s="309" t="s">
        <v>1275</v>
      </c>
      <c r="Q453" s="400"/>
      <c r="R453" s="168"/>
      <c r="S453" s="633">
        <v>41744</v>
      </c>
      <c r="T453" s="633">
        <v>41746</v>
      </c>
      <c r="U453" s="495" t="s">
        <v>683</v>
      </c>
      <c r="V453" s="495"/>
      <c r="W453" s="699">
        <v>-38115000</v>
      </c>
      <c r="X453" s="117">
        <v>7.8</v>
      </c>
      <c r="Y453" s="117">
        <f t="shared" ref="Y453" si="143">X453*W453</f>
        <v>-297297000</v>
      </c>
      <c r="Z453" s="117"/>
      <c r="AA453" s="423">
        <v>6</v>
      </c>
      <c r="AB453" s="661">
        <v>45349</v>
      </c>
      <c r="AC453" s="104">
        <f t="shared" ref="AC453" si="144">(AB453-S453)/365</f>
        <v>9.8767123287671232</v>
      </c>
      <c r="AD453" s="104" t="s">
        <v>1286</v>
      </c>
      <c r="AF453" s="214"/>
      <c r="AG453" s="215"/>
    </row>
    <row r="454" spans="1:34" s="491" customFormat="1" ht="25.5" customHeight="1">
      <c r="A454" s="268"/>
      <c r="B454" s="494"/>
      <c r="C454" s="494"/>
      <c r="D454" s="494"/>
      <c r="E454" s="494">
        <v>287</v>
      </c>
      <c r="F454" s="309" t="s">
        <v>1263</v>
      </c>
      <c r="G454" s="109" t="s">
        <v>1264</v>
      </c>
      <c r="H454" s="399" t="s">
        <v>192</v>
      </c>
      <c r="I454" s="399" t="s">
        <v>1265</v>
      </c>
      <c r="J454" s="319">
        <f t="shared" si="142"/>
        <v>9.8712328767123285</v>
      </c>
      <c r="K454" s="167" t="s">
        <v>341</v>
      </c>
      <c r="L454" s="1491">
        <v>-4200000</v>
      </c>
      <c r="M454" s="167" t="s">
        <v>466</v>
      </c>
      <c r="N454" s="492">
        <v>100</v>
      </c>
      <c r="O454" s="698">
        <v>6</v>
      </c>
      <c r="P454" s="309" t="s">
        <v>1275</v>
      </c>
      <c r="Q454" s="400"/>
      <c r="R454" s="168"/>
      <c r="S454" s="633">
        <v>41744</v>
      </c>
      <c r="T454" s="633">
        <v>41746</v>
      </c>
      <c r="U454" s="495" t="s">
        <v>683</v>
      </c>
      <c r="V454" s="495"/>
      <c r="W454" s="699">
        <v>-4235000</v>
      </c>
      <c r="X454" s="117">
        <v>7.8</v>
      </c>
      <c r="Y454" s="117">
        <f>X454*W454</f>
        <v>-33033000</v>
      </c>
      <c r="Z454" s="117"/>
      <c r="AA454" s="423">
        <v>6</v>
      </c>
      <c r="AB454" s="661">
        <v>45349</v>
      </c>
      <c r="AC454" s="104">
        <f>(AB454-S454)/365</f>
        <v>9.8767123287671232</v>
      </c>
      <c r="AD454" s="104" t="s">
        <v>1286</v>
      </c>
      <c r="AF454" s="214"/>
      <c r="AG454" s="215"/>
    </row>
    <row r="455" spans="1:34" s="491" customFormat="1" ht="25.5" customHeight="1">
      <c r="A455" s="268" t="s">
        <v>902</v>
      </c>
      <c r="B455" s="494"/>
      <c r="C455" s="494"/>
      <c r="D455" s="494"/>
      <c r="E455" s="494">
        <v>288</v>
      </c>
      <c r="F455" s="309" t="s">
        <v>1263</v>
      </c>
      <c r="G455" s="109" t="s">
        <v>1264</v>
      </c>
      <c r="H455" s="399" t="s">
        <v>192</v>
      </c>
      <c r="I455" s="399" t="s">
        <v>1265</v>
      </c>
      <c r="J455" s="319">
        <f t="shared" ref="J455:J456" si="145">(AB455-T455)/365</f>
        <v>9.8356164383561637</v>
      </c>
      <c r="K455" s="167" t="s">
        <v>341</v>
      </c>
      <c r="L455" s="493">
        <v>-20700000</v>
      </c>
      <c r="M455" s="167" t="s">
        <v>466</v>
      </c>
      <c r="N455" s="492">
        <v>100</v>
      </c>
      <c r="O455" s="698">
        <v>6</v>
      </c>
      <c r="P455" s="309" t="s">
        <v>1275</v>
      </c>
      <c r="Q455" s="400"/>
      <c r="R455" s="168"/>
      <c r="S455" s="634">
        <v>41757</v>
      </c>
      <c r="T455" s="633">
        <v>41759</v>
      </c>
      <c r="U455" s="495" t="s">
        <v>683</v>
      </c>
      <c r="V455" s="495"/>
      <c r="W455" s="699">
        <v>-20917350</v>
      </c>
      <c r="X455" s="117">
        <v>7.8</v>
      </c>
      <c r="Y455" s="117">
        <f t="shared" ref="Y455" si="146">X455*W455</f>
        <v>-163155330</v>
      </c>
      <c r="Z455" s="117"/>
      <c r="AA455" s="423">
        <v>6</v>
      </c>
      <c r="AB455" s="661">
        <v>45349</v>
      </c>
      <c r="AC455" s="104">
        <f t="shared" ref="AC455" si="147">(AB455-S455)/365</f>
        <v>9.8410958904109584</v>
      </c>
      <c r="AD455" s="104" t="s">
        <v>1293</v>
      </c>
      <c r="AF455" s="214"/>
      <c r="AG455" s="215"/>
    </row>
    <row r="456" spans="1:34" s="491" customFormat="1" ht="25.5" customHeight="1">
      <c r="A456" s="268"/>
      <c r="B456" s="494"/>
      <c r="C456" s="494"/>
      <c r="D456" s="494"/>
      <c r="E456" s="494">
        <v>288</v>
      </c>
      <c r="F456" s="309" t="s">
        <v>1263</v>
      </c>
      <c r="G456" s="109" t="s">
        <v>1264</v>
      </c>
      <c r="H456" s="399" t="s">
        <v>192</v>
      </c>
      <c r="I456" s="399" t="s">
        <v>1265</v>
      </c>
      <c r="J456" s="319">
        <f t="shared" si="145"/>
        <v>9.8356164383561637</v>
      </c>
      <c r="K456" s="167" t="s">
        <v>341</v>
      </c>
      <c r="L456" s="1491">
        <v>-2300000</v>
      </c>
      <c r="M456" s="167" t="s">
        <v>466</v>
      </c>
      <c r="N456" s="492">
        <v>100</v>
      </c>
      <c r="O456" s="698">
        <v>6</v>
      </c>
      <c r="P456" s="309" t="s">
        <v>1275</v>
      </c>
      <c r="Q456" s="400"/>
      <c r="R456" s="168"/>
      <c r="S456" s="634">
        <v>41757</v>
      </c>
      <c r="T456" s="633">
        <v>41759</v>
      </c>
      <c r="U456" s="495" t="s">
        <v>683</v>
      </c>
      <c r="V456" s="495"/>
      <c r="W456" s="699">
        <v>-2324150</v>
      </c>
      <c r="X456" s="117">
        <v>7.8</v>
      </c>
      <c r="Y456" s="117">
        <f>X456*W456</f>
        <v>-18128370</v>
      </c>
      <c r="Z456" s="117"/>
      <c r="AA456" s="423">
        <v>6</v>
      </c>
      <c r="AB456" s="661">
        <v>45349</v>
      </c>
      <c r="AC456" s="104">
        <f>(AB456-S456)/365</f>
        <v>9.8410958904109584</v>
      </c>
      <c r="AD456" s="104" t="s">
        <v>1293</v>
      </c>
      <c r="AF456" s="214"/>
      <c r="AG456" s="215"/>
    </row>
    <row r="457" spans="1:34" s="64" customFormat="1" ht="25.5">
      <c r="A457" s="268" t="s">
        <v>902</v>
      </c>
      <c r="B457" s="494"/>
      <c r="C457" s="73"/>
      <c r="D457" s="73"/>
      <c r="E457" s="305">
        <v>289</v>
      </c>
      <c r="F457" s="64" t="s">
        <v>1288</v>
      </c>
      <c r="G457" s="109" t="s">
        <v>1289</v>
      </c>
      <c r="H457" s="399" t="s">
        <v>192</v>
      </c>
      <c r="I457" s="399" t="s">
        <v>421</v>
      </c>
      <c r="J457" s="319">
        <f>(AB457-T457)/365</f>
        <v>10.008219178082191</v>
      </c>
      <c r="K457" s="167" t="s">
        <v>465</v>
      </c>
      <c r="L457" s="105">
        <v>25200000</v>
      </c>
      <c r="M457" s="167" t="s">
        <v>466</v>
      </c>
      <c r="N457" s="114">
        <v>99.554000000000002</v>
      </c>
      <c r="O457" s="91">
        <v>6.0099799999999997</v>
      </c>
      <c r="P457" s="400" t="s">
        <v>1290</v>
      </c>
      <c r="Q457" s="168" t="s">
        <v>1291</v>
      </c>
      <c r="R457" s="109" t="s">
        <v>1292</v>
      </c>
      <c r="S457" s="642">
        <v>41758</v>
      </c>
      <c r="T457" s="642">
        <v>41767</v>
      </c>
      <c r="U457" s="229" t="s">
        <v>599</v>
      </c>
      <c r="V457" s="74"/>
      <c r="W457" s="110">
        <v>25087608</v>
      </c>
      <c r="X457" s="143">
        <v>7.8</v>
      </c>
      <c r="Y457" s="117">
        <f>X457*W457</f>
        <v>195683342.40000001</v>
      </c>
      <c r="Z457" s="117"/>
      <c r="AA457" s="86">
        <v>5.95</v>
      </c>
      <c r="AB457" s="642">
        <v>45420</v>
      </c>
      <c r="AC457" s="104">
        <f>(AB457-S457)/365</f>
        <v>10.032876712328767</v>
      </c>
      <c r="AD457" s="104"/>
      <c r="AE457" s="74"/>
      <c r="AF457" s="214"/>
      <c r="AG457" s="215"/>
      <c r="AH457" s="117"/>
    </row>
    <row r="458" spans="1:34" s="64" customFormat="1" ht="25.5">
      <c r="A458" s="73"/>
      <c r="B458" s="494"/>
      <c r="C458" s="73"/>
      <c r="D458" s="73"/>
      <c r="E458" s="305">
        <v>289</v>
      </c>
      <c r="F458" s="64" t="s">
        <v>1288</v>
      </c>
      <c r="G458" s="109" t="s">
        <v>1289</v>
      </c>
      <c r="H458" s="399" t="s">
        <v>192</v>
      </c>
      <c r="I458" s="399" t="s">
        <v>421</v>
      </c>
      <c r="J458" s="319">
        <f>(AB458-T458)/365</f>
        <v>10.008219178082191</v>
      </c>
      <c r="K458" s="167" t="s">
        <v>465</v>
      </c>
      <c r="L458" s="105">
        <v>2800000</v>
      </c>
      <c r="M458" s="167" t="s">
        <v>466</v>
      </c>
      <c r="N458" s="114">
        <v>99.554000000000002</v>
      </c>
      <c r="O458" s="91">
        <v>6.0099799999999997</v>
      </c>
      <c r="P458" s="400" t="s">
        <v>1290</v>
      </c>
      <c r="Q458" s="168" t="s">
        <v>1291</v>
      </c>
      <c r="R458" s="109" t="s">
        <v>1292</v>
      </c>
      <c r="S458" s="642">
        <v>41758</v>
      </c>
      <c r="T458" s="642">
        <v>41767</v>
      </c>
      <c r="U458" s="229" t="s">
        <v>599</v>
      </c>
      <c r="V458" s="74"/>
      <c r="W458" s="110">
        <v>2787512</v>
      </c>
      <c r="X458" s="143">
        <v>7.8</v>
      </c>
      <c r="Y458" s="117">
        <f>X458*W458</f>
        <v>21742593.599999998</v>
      </c>
      <c r="Z458" s="117"/>
      <c r="AA458" s="86">
        <v>5.95</v>
      </c>
      <c r="AB458" s="642">
        <v>45420</v>
      </c>
      <c r="AC458" s="104">
        <f>(AB458-S458)/365</f>
        <v>10.032876712328767</v>
      </c>
      <c r="AD458" s="104"/>
      <c r="AE458" s="74"/>
      <c r="AF458" s="214"/>
      <c r="AG458" s="215"/>
      <c r="AH458" s="117"/>
    </row>
    <row r="459" spans="1:34" s="491" customFormat="1" ht="25.5" customHeight="1">
      <c r="A459" s="268" t="s">
        <v>902</v>
      </c>
      <c r="B459" s="494"/>
      <c r="C459" s="494"/>
      <c r="D459" s="494"/>
      <c r="E459" s="494">
        <v>290</v>
      </c>
      <c r="F459" s="309" t="s">
        <v>1263</v>
      </c>
      <c r="G459" s="109" t="s">
        <v>1264</v>
      </c>
      <c r="H459" s="399" t="s">
        <v>192</v>
      </c>
      <c r="I459" s="399" t="s">
        <v>1265</v>
      </c>
      <c r="J459" s="319">
        <f t="shared" ref="J459:J460" si="148">(AB459-T459)/365</f>
        <v>9.7972602739726025</v>
      </c>
      <c r="K459" s="167" t="s">
        <v>341</v>
      </c>
      <c r="L459" s="493">
        <v>-21600000</v>
      </c>
      <c r="M459" s="167" t="s">
        <v>466</v>
      </c>
      <c r="N459" s="492">
        <v>100</v>
      </c>
      <c r="O459" s="698">
        <v>6</v>
      </c>
      <c r="P459" s="309" t="s">
        <v>1275</v>
      </c>
      <c r="Q459" s="400"/>
      <c r="R459" s="168"/>
      <c r="S459" s="634">
        <v>41771</v>
      </c>
      <c r="T459" s="633">
        <v>41773</v>
      </c>
      <c r="U459" s="495" t="s">
        <v>683</v>
      </c>
      <c r="V459" s="495"/>
      <c r="W459" s="699">
        <v>-21877200</v>
      </c>
      <c r="X459" s="117">
        <v>7.8</v>
      </c>
      <c r="Y459" s="117">
        <f t="shared" ref="Y459" si="149">X459*W459</f>
        <v>-170642160</v>
      </c>
      <c r="Z459" s="117"/>
      <c r="AA459" s="423">
        <v>6</v>
      </c>
      <c r="AB459" s="661">
        <v>45349</v>
      </c>
      <c r="AC459" s="104">
        <f t="shared" ref="AC459" si="150">(AB459-S459)/365</f>
        <v>9.8027397260273972</v>
      </c>
      <c r="AD459" s="104" t="s">
        <v>1297</v>
      </c>
      <c r="AF459" s="214"/>
      <c r="AG459" s="215"/>
    </row>
    <row r="460" spans="1:34" s="491" customFormat="1" ht="25.5" customHeight="1">
      <c r="A460" s="268"/>
      <c r="B460" s="494"/>
      <c r="C460" s="494"/>
      <c r="D460" s="494"/>
      <c r="E460" s="494">
        <v>290</v>
      </c>
      <c r="F460" s="309" t="s">
        <v>1263</v>
      </c>
      <c r="G460" s="109" t="s">
        <v>1264</v>
      </c>
      <c r="H460" s="399" t="s">
        <v>192</v>
      </c>
      <c r="I460" s="399" t="s">
        <v>1265</v>
      </c>
      <c r="J460" s="319">
        <f t="shared" si="148"/>
        <v>9.7972602739726025</v>
      </c>
      <c r="K460" s="167" t="s">
        <v>341</v>
      </c>
      <c r="L460" s="1491">
        <v>-2400000</v>
      </c>
      <c r="M460" s="167" t="s">
        <v>466</v>
      </c>
      <c r="N460" s="492">
        <v>100</v>
      </c>
      <c r="O460" s="698">
        <v>6</v>
      </c>
      <c r="P460" s="309" t="s">
        <v>1275</v>
      </c>
      <c r="Q460" s="400"/>
      <c r="R460" s="168"/>
      <c r="S460" s="634">
        <v>41771</v>
      </c>
      <c r="T460" s="633">
        <v>41773</v>
      </c>
      <c r="U460" s="495" t="s">
        <v>683</v>
      </c>
      <c r="V460" s="495"/>
      <c r="W460" s="699">
        <v>-2430800</v>
      </c>
      <c r="X460" s="117">
        <v>7.8</v>
      </c>
      <c r="Y460" s="117">
        <f>X460*W460</f>
        <v>-18960240</v>
      </c>
      <c r="Z460" s="117"/>
      <c r="AA460" s="423">
        <v>6</v>
      </c>
      <c r="AB460" s="661">
        <v>45349</v>
      </c>
      <c r="AC460" s="104">
        <f>(AB460-S460)/365</f>
        <v>9.8027397260273972</v>
      </c>
      <c r="AD460" s="104" t="s">
        <v>1297</v>
      </c>
      <c r="AF460" s="214"/>
      <c r="AG460" s="215"/>
    </row>
    <row r="461" spans="1:34" s="491" customFormat="1" ht="25.5" customHeight="1">
      <c r="A461" s="268" t="s">
        <v>902</v>
      </c>
      <c r="B461" s="494"/>
      <c r="C461" s="494"/>
      <c r="D461" s="494"/>
      <c r="E461" s="494">
        <v>291</v>
      </c>
      <c r="F461" s="309" t="s">
        <v>897</v>
      </c>
      <c r="G461" s="109" t="s">
        <v>896</v>
      </c>
      <c r="H461" s="399" t="s">
        <v>864</v>
      </c>
      <c r="I461" s="399" t="s">
        <v>864</v>
      </c>
      <c r="J461" s="319">
        <f t="shared" ref="J461:J462" si="151">(AB461-S461)/365</f>
        <v>0.70136986301369864</v>
      </c>
      <c r="K461" s="167" t="s">
        <v>1295</v>
      </c>
      <c r="L461" s="493">
        <v>-90000000</v>
      </c>
      <c r="M461" s="167" t="s">
        <v>273</v>
      </c>
      <c r="N461" s="492">
        <v>102.5</v>
      </c>
      <c r="O461" s="698">
        <v>3.7679999999999998</v>
      </c>
      <c r="P461" s="309"/>
      <c r="Q461" s="400"/>
      <c r="R461" s="168"/>
      <c r="S461" s="642">
        <v>41774</v>
      </c>
      <c r="T461" s="642">
        <v>41779</v>
      </c>
      <c r="U461" s="495" t="s">
        <v>599</v>
      </c>
      <c r="V461" s="495"/>
      <c r="W461" s="699">
        <v>-15353910</v>
      </c>
      <c r="X461" s="117">
        <v>7.8</v>
      </c>
      <c r="Y461" s="117" t="e">
        <f>W461*#REF!</f>
        <v>#REF!</v>
      </c>
      <c r="Z461" s="117"/>
      <c r="AA461" s="423">
        <v>7.625</v>
      </c>
      <c r="AB461" s="661">
        <v>42030</v>
      </c>
      <c r="AC461" s="104">
        <f>(AB461-$AB$4)/365</f>
        <v>4.1232876712328768</v>
      </c>
      <c r="AD461" s="104" t="s">
        <v>1298</v>
      </c>
      <c r="AF461" s="214"/>
      <c r="AG461" s="215"/>
    </row>
    <row r="462" spans="1:34" s="491" customFormat="1" ht="25.5" customHeight="1">
      <c r="A462" s="268"/>
      <c r="B462" s="494"/>
      <c r="C462" s="494"/>
      <c r="D462" s="494"/>
      <c r="E462" s="494">
        <v>291</v>
      </c>
      <c r="F462" s="309" t="s">
        <v>897</v>
      </c>
      <c r="G462" s="109" t="s">
        <v>896</v>
      </c>
      <c r="H462" s="399" t="s">
        <v>864</v>
      </c>
      <c r="I462" s="399" t="s">
        <v>864</v>
      </c>
      <c r="J462" s="319">
        <f t="shared" si="151"/>
        <v>0.70136986301369864</v>
      </c>
      <c r="K462" s="167" t="s">
        <v>1295</v>
      </c>
      <c r="L462" s="1491">
        <v>-10000000</v>
      </c>
      <c r="M462" s="167" t="s">
        <v>273</v>
      </c>
      <c r="N462" s="492">
        <v>102.5</v>
      </c>
      <c r="O462" s="698">
        <v>3.7679999999999998</v>
      </c>
      <c r="P462" s="309"/>
      <c r="Q462" s="400"/>
      <c r="R462" s="168"/>
      <c r="S462" s="642">
        <v>41774</v>
      </c>
      <c r="T462" s="642">
        <v>41779</v>
      </c>
      <c r="U462" s="495" t="s">
        <v>599</v>
      </c>
      <c r="V462" s="495"/>
      <c r="W462" s="699">
        <v>-1705990</v>
      </c>
      <c r="X462" s="117">
        <v>7.8</v>
      </c>
      <c r="Y462" s="117" t="e">
        <f>W462*#REF!</f>
        <v>#REF!</v>
      </c>
      <c r="Z462" s="117"/>
      <c r="AA462" s="423">
        <v>7.625</v>
      </c>
      <c r="AB462" s="661">
        <v>42030</v>
      </c>
      <c r="AC462" s="104">
        <f t="shared" ref="AC462" si="152">(AB462-$AB$4)/365</f>
        <v>4.1232876712328768</v>
      </c>
      <c r="AD462" s="104" t="s">
        <v>1298</v>
      </c>
      <c r="AF462" s="214"/>
      <c r="AG462" s="215"/>
    </row>
    <row r="463" spans="1:34" s="491" customFormat="1" ht="25.5" customHeight="1">
      <c r="A463" s="268" t="s">
        <v>902</v>
      </c>
      <c r="B463" s="494"/>
      <c r="C463" s="494"/>
      <c r="D463" s="494"/>
      <c r="E463" s="494">
        <v>292</v>
      </c>
      <c r="F463" s="309" t="s">
        <v>1263</v>
      </c>
      <c r="G463" s="109" t="s">
        <v>1264</v>
      </c>
      <c r="H463" s="399" t="s">
        <v>192</v>
      </c>
      <c r="I463" s="399" t="s">
        <v>1265</v>
      </c>
      <c r="J463" s="319">
        <f t="shared" ref="J463:J466" si="153">(AB463-T463)/365</f>
        <v>9.7780821917808218</v>
      </c>
      <c r="K463" s="167" t="s">
        <v>341</v>
      </c>
      <c r="L463" s="493">
        <v>-18900000</v>
      </c>
      <c r="M463" s="167" t="s">
        <v>466</v>
      </c>
      <c r="N463" s="492">
        <v>100</v>
      </c>
      <c r="O463" s="698">
        <v>6</v>
      </c>
      <c r="P463" s="309" t="s">
        <v>1275</v>
      </c>
      <c r="Q463" s="400"/>
      <c r="R463" s="168"/>
      <c r="S463" s="634">
        <v>41778</v>
      </c>
      <c r="T463" s="633">
        <v>41780</v>
      </c>
      <c r="U463" s="495" t="s">
        <v>683</v>
      </c>
      <c r="V463" s="495"/>
      <c r="W463" s="699">
        <v>-19164600</v>
      </c>
      <c r="X463" s="117">
        <v>7.8</v>
      </c>
      <c r="Y463" s="117">
        <f t="shared" ref="Y463" si="154">X463*W463</f>
        <v>-149483880</v>
      </c>
      <c r="Z463" s="117"/>
      <c r="AA463" s="423">
        <v>6</v>
      </c>
      <c r="AB463" s="661">
        <v>45349</v>
      </c>
      <c r="AC463" s="104">
        <f t="shared" ref="AC463" si="155">(AB463-S463)/365</f>
        <v>9.7835616438356166</v>
      </c>
      <c r="AD463" s="104" t="s">
        <v>1296</v>
      </c>
      <c r="AF463" s="214"/>
      <c r="AG463" s="215"/>
    </row>
    <row r="464" spans="1:34" s="491" customFormat="1" ht="25.5" customHeight="1">
      <c r="A464" s="268"/>
      <c r="B464" s="494"/>
      <c r="C464" s="494"/>
      <c r="D464" s="494"/>
      <c r="E464" s="494">
        <v>292</v>
      </c>
      <c r="F464" s="309" t="s">
        <v>1263</v>
      </c>
      <c r="G464" s="109" t="s">
        <v>1264</v>
      </c>
      <c r="H464" s="399" t="s">
        <v>192</v>
      </c>
      <c r="I464" s="399" t="s">
        <v>1265</v>
      </c>
      <c r="J464" s="319">
        <f t="shared" si="153"/>
        <v>9.7780821917808218</v>
      </c>
      <c r="K464" s="167" t="s">
        <v>341</v>
      </c>
      <c r="L464" s="1491">
        <v>-2100000</v>
      </c>
      <c r="M464" s="167" t="s">
        <v>466</v>
      </c>
      <c r="N464" s="492">
        <v>100</v>
      </c>
      <c r="O464" s="698">
        <v>6</v>
      </c>
      <c r="P464" s="309" t="s">
        <v>1275</v>
      </c>
      <c r="Q464" s="400"/>
      <c r="R464" s="168"/>
      <c r="S464" s="634">
        <v>41778</v>
      </c>
      <c r="T464" s="633">
        <v>41780</v>
      </c>
      <c r="U464" s="495" t="s">
        <v>683</v>
      </c>
      <c r="V464" s="495"/>
      <c r="W464" s="699">
        <v>-2129400</v>
      </c>
      <c r="X464" s="117">
        <v>7.8</v>
      </c>
      <c r="Y464" s="117">
        <f>X464*W464</f>
        <v>-16609320</v>
      </c>
      <c r="Z464" s="117"/>
      <c r="AA464" s="423">
        <v>6</v>
      </c>
      <c r="AB464" s="661">
        <v>45349</v>
      </c>
      <c r="AC464" s="104">
        <f>(AB464-S464)/365</f>
        <v>9.7835616438356166</v>
      </c>
      <c r="AD464" s="104" t="s">
        <v>1296</v>
      </c>
      <c r="AF464" s="214"/>
      <c r="AG464" s="215"/>
    </row>
    <row r="465" spans="1:33" s="491" customFormat="1" ht="25.5" customHeight="1">
      <c r="A465" s="268" t="s">
        <v>902</v>
      </c>
      <c r="B465" s="494"/>
      <c r="C465" s="494"/>
      <c r="D465" s="494"/>
      <c r="E465" s="494">
        <v>293</v>
      </c>
      <c r="F465" s="309" t="s">
        <v>1263</v>
      </c>
      <c r="G465" s="109" t="s">
        <v>1264</v>
      </c>
      <c r="H465" s="399" t="s">
        <v>192</v>
      </c>
      <c r="I465" s="399" t="s">
        <v>1265</v>
      </c>
      <c r="J465" s="319">
        <f t="shared" si="153"/>
        <v>9.7260273972602747</v>
      </c>
      <c r="K465" s="167" t="s">
        <v>341</v>
      </c>
      <c r="L465" s="493">
        <v>-16200000</v>
      </c>
      <c r="M465" s="167" t="s">
        <v>466</v>
      </c>
      <c r="N465" s="492">
        <v>100</v>
      </c>
      <c r="O465" s="698">
        <v>6</v>
      </c>
      <c r="P465" s="309" t="s">
        <v>1275</v>
      </c>
      <c r="Q465" s="400"/>
      <c r="R465" s="168"/>
      <c r="S465" s="633">
        <v>41795</v>
      </c>
      <c r="T465" s="633">
        <v>41799</v>
      </c>
      <c r="U465" s="495" t="s">
        <v>683</v>
      </c>
      <c r="V465" s="495"/>
      <c r="W465" s="699">
        <v>-16475400</v>
      </c>
      <c r="X465" s="117">
        <v>7.8</v>
      </c>
      <c r="Y465" s="117">
        <f t="shared" ref="Y465" si="156">X465*W465</f>
        <v>-128508120</v>
      </c>
      <c r="Z465" s="117"/>
      <c r="AA465" s="423">
        <v>6</v>
      </c>
      <c r="AB465" s="661">
        <v>45349</v>
      </c>
      <c r="AC465" s="104">
        <f t="shared" ref="AC465" si="157">(AB465-S465)/365</f>
        <v>9.7369863013698623</v>
      </c>
      <c r="AD465" s="104" t="s">
        <v>1305</v>
      </c>
      <c r="AF465" s="214"/>
      <c r="AG465" s="215"/>
    </row>
    <row r="466" spans="1:33" s="491" customFormat="1" ht="25.5" customHeight="1">
      <c r="A466" s="268"/>
      <c r="B466" s="494"/>
      <c r="C466" s="494"/>
      <c r="D466" s="494"/>
      <c r="E466" s="494">
        <v>293</v>
      </c>
      <c r="F466" s="309" t="s">
        <v>1263</v>
      </c>
      <c r="G466" s="109" t="s">
        <v>1264</v>
      </c>
      <c r="H466" s="399" t="s">
        <v>192</v>
      </c>
      <c r="I466" s="399" t="s">
        <v>1265</v>
      </c>
      <c r="J466" s="319">
        <f t="shared" si="153"/>
        <v>9.7260273972602747</v>
      </c>
      <c r="K466" s="167" t="s">
        <v>341</v>
      </c>
      <c r="L466" s="1491">
        <v>-1800000</v>
      </c>
      <c r="M466" s="167" t="s">
        <v>466</v>
      </c>
      <c r="N466" s="492">
        <v>100</v>
      </c>
      <c r="O466" s="698">
        <v>6</v>
      </c>
      <c r="P466" s="309" t="s">
        <v>1275</v>
      </c>
      <c r="Q466" s="400"/>
      <c r="R466" s="168"/>
      <c r="S466" s="633">
        <v>41795</v>
      </c>
      <c r="T466" s="633">
        <v>41799</v>
      </c>
      <c r="U466" s="495" t="s">
        <v>683</v>
      </c>
      <c r="V466" s="495"/>
      <c r="W466" s="699">
        <v>-1830600</v>
      </c>
      <c r="X466" s="117">
        <v>7.8</v>
      </c>
      <c r="Y466" s="117">
        <f>X466*W466</f>
        <v>-14278680</v>
      </c>
      <c r="Z466" s="117"/>
      <c r="AA466" s="423">
        <v>6</v>
      </c>
      <c r="AB466" s="661">
        <v>45349</v>
      </c>
      <c r="AC466" s="104">
        <f>(AB466-S466)/365</f>
        <v>9.7369863013698623</v>
      </c>
      <c r="AD466" s="104" t="s">
        <v>1305</v>
      </c>
      <c r="AF466" s="214"/>
      <c r="AG466" s="215"/>
    </row>
    <row r="467" spans="1:33" s="491" customFormat="1" ht="25.5" customHeight="1">
      <c r="A467" s="268" t="s">
        <v>902</v>
      </c>
      <c r="B467" s="494"/>
      <c r="C467" s="494"/>
      <c r="D467" s="494"/>
      <c r="E467" s="494">
        <v>295</v>
      </c>
      <c r="F467" s="309" t="s">
        <v>1263</v>
      </c>
      <c r="G467" s="109" t="s">
        <v>1264</v>
      </c>
      <c r="H467" s="399" t="s">
        <v>192</v>
      </c>
      <c r="I467" s="399" t="s">
        <v>1265</v>
      </c>
      <c r="J467" s="319">
        <f t="shared" ref="J467:J468" si="158">(AB467-T467)/365</f>
        <v>9.6958904109589046</v>
      </c>
      <c r="K467" s="167" t="s">
        <v>341</v>
      </c>
      <c r="L467" s="493">
        <v>-12600000</v>
      </c>
      <c r="M467" s="167" t="s">
        <v>466</v>
      </c>
      <c r="N467" s="492">
        <v>100</v>
      </c>
      <c r="O467" s="698">
        <v>6</v>
      </c>
      <c r="P467" s="309" t="s">
        <v>1275</v>
      </c>
      <c r="Q467" s="400"/>
      <c r="R467" s="168"/>
      <c r="S467" s="633">
        <v>41808</v>
      </c>
      <c r="T467" s="633">
        <v>41810</v>
      </c>
      <c r="U467" s="495" t="s">
        <v>683</v>
      </c>
      <c r="V467" s="495"/>
      <c r="W467" s="699">
        <v>-12837300</v>
      </c>
      <c r="X467" s="117">
        <v>7.8</v>
      </c>
      <c r="Y467" s="117">
        <f t="shared" ref="Y467" si="159">X467*W467</f>
        <v>-100130940</v>
      </c>
      <c r="Z467" s="117"/>
      <c r="AA467" s="423">
        <v>6</v>
      </c>
      <c r="AB467" s="661">
        <v>45349</v>
      </c>
      <c r="AC467" s="104">
        <f t="shared" ref="AC467" si="160">(AB467-S467)/365</f>
        <v>9.7013698630136993</v>
      </c>
      <c r="AD467" s="104" t="s">
        <v>1305</v>
      </c>
      <c r="AF467" s="214"/>
      <c r="AG467" s="215"/>
    </row>
    <row r="468" spans="1:33" s="491" customFormat="1" ht="25.5" customHeight="1">
      <c r="A468" s="268"/>
      <c r="B468" s="494"/>
      <c r="C468" s="494"/>
      <c r="D468" s="494"/>
      <c r="E468" s="494">
        <v>295</v>
      </c>
      <c r="F468" s="309" t="s">
        <v>1263</v>
      </c>
      <c r="G468" s="109" t="s">
        <v>1264</v>
      </c>
      <c r="H468" s="399" t="s">
        <v>192</v>
      </c>
      <c r="I468" s="399" t="s">
        <v>1265</v>
      </c>
      <c r="J468" s="319">
        <f t="shared" si="158"/>
        <v>9.6958904109589046</v>
      </c>
      <c r="K468" s="167" t="s">
        <v>341</v>
      </c>
      <c r="L468" s="1491">
        <v>-1400000</v>
      </c>
      <c r="M468" s="167" t="s">
        <v>466</v>
      </c>
      <c r="N468" s="492">
        <v>100</v>
      </c>
      <c r="O468" s="698">
        <v>6</v>
      </c>
      <c r="P468" s="309" t="s">
        <v>1275</v>
      </c>
      <c r="Q468" s="400"/>
      <c r="R468" s="168"/>
      <c r="S468" s="633">
        <v>41808</v>
      </c>
      <c r="T468" s="633">
        <v>41810</v>
      </c>
      <c r="U468" s="495" t="s">
        <v>683</v>
      </c>
      <c r="V468" s="495"/>
      <c r="W468" s="699">
        <v>-1426366.67</v>
      </c>
      <c r="X468" s="117">
        <v>7.8</v>
      </c>
      <c r="Y468" s="117">
        <f>X468*W468</f>
        <v>-11125660.025999999</v>
      </c>
      <c r="Z468" s="117"/>
      <c r="AA468" s="423">
        <v>6</v>
      </c>
      <c r="AB468" s="661">
        <v>45349</v>
      </c>
      <c r="AC468" s="104">
        <f>(AB468-S468)/365</f>
        <v>9.7013698630136993</v>
      </c>
      <c r="AD468" s="104" t="s">
        <v>1305</v>
      </c>
      <c r="AF468" s="214"/>
      <c r="AG468" s="215"/>
    </row>
    <row r="469" spans="1:33" s="491" customFormat="1" ht="25.5" customHeight="1">
      <c r="A469" s="268" t="s">
        <v>902</v>
      </c>
      <c r="B469" s="494"/>
      <c r="C469" s="494"/>
      <c r="D469" s="494"/>
      <c r="E469" s="494">
        <v>296</v>
      </c>
      <c r="F469" s="309" t="s">
        <v>1263</v>
      </c>
      <c r="G469" s="109" t="s">
        <v>1264</v>
      </c>
      <c r="H469" s="399" t="s">
        <v>192</v>
      </c>
      <c r="I469" s="399" t="s">
        <v>1265</v>
      </c>
      <c r="J469" s="319">
        <f t="shared" ref="J469:J470" si="161">(AB469-T469)/365</f>
        <v>9.668493150684931</v>
      </c>
      <c r="K469" s="167" t="s">
        <v>341</v>
      </c>
      <c r="L469" s="493">
        <v>-13500000</v>
      </c>
      <c r="M469" s="167" t="s">
        <v>466</v>
      </c>
      <c r="N469" s="492">
        <v>100</v>
      </c>
      <c r="O469" s="698">
        <v>6</v>
      </c>
      <c r="P469" s="309" t="s">
        <v>1275</v>
      </c>
      <c r="Q469" s="400"/>
      <c r="R469" s="168"/>
      <c r="S469" s="633">
        <v>41815</v>
      </c>
      <c r="T469" s="633">
        <v>41820</v>
      </c>
      <c r="U469" s="495" t="s">
        <v>683</v>
      </c>
      <c r="V469" s="495"/>
      <c r="W469" s="699">
        <v>-13776750</v>
      </c>
      <c r="X469" s="117">
        <v>7.8</v>
      </c>
      <c r="Y469" s="117">
        <f t="shared" ref="Y469" si="162">X469*W469</f>
        <v>-107458650</v>
      </c>
      <c r="Z469" s="117"/>
      <c r="AA469" s="423">
        <v>6</v>
      </c>
      <c r="AB469" s="661">
        <v>45349</v>
      </c>
      <c r="AC469" s="104">
        <f t="shared" ref="AC469" si="163">(AB469-S469)/365</f>
        <v>9.6821917808219187</v>
      </c>
      <c r="AD469" s="104" t="s">
        <v>1303</v>
      </c>
      <c r="AF469" s="214"/>
      <c r="AG469" s="215"/>
    </row>
    <row r="470" spans="1:33" s="491" customFormat="1" ht="25.5" customHeight="1">
      <c r="A470" s="268"/>
      <c r="B470" s="494"/>
      <c r="C470" s="494"/>
      <c r="D470" s="494"/>
      <c r="E470" s="494">
        <v>296</v>
      </c>
      <c r="F470" s="309" t="s">
        <v>1263</v>
      </c>
      <c r="G470" s="109" t="s">
        <v>1264</v>
      </c>
      <c r="H470" s="399" t="s">
        <v>192</v>
      </c>
      <c r="I470" s="399" t="s">
        <v>1265</v>
      </c>
      <c r="J470" s="319">
        <f t="shared" si="161"/>
        <v>9.668493150684931</v>
      </c>
      <c r="K470" s="167" t="s">
        <v>341</v>
      </c>
      <c r="L470" s="1491">
        <v>-1500000</v>
      </c>
      <c r="M470" s="167" t="s">
        <v>466</v>
      </c>
      <c r="N470" s="492">
        <v>100</v>
      </c>
      <c r="O470" s="698">
        <v>6</v>
      </c>
      <c r="P470" s="309" t="s">
        <v>1275</v>
      </c>
      <c r="Q470" s="400"/>
      <c r="R470" s="168"/>
      <c r="S470" s="633">
        <v>41815</v>
      </c>
      <c r="T470" s="633">
        <v>41820</v>
      </c>
      <c r="U470" s="495" t="s">
        <v>683</v>
      </c>
      <c r="V470" s="495"/>
      <c r="W470" s="699">
        <v>-1530750</v>
      </c>
      <c r="X470" s="117">
        <v>7.8</v>
      </c>
      <c r="Y470" s="117">
        <f>X470*W470</f>
        <v>-11939850</v>
      </c>
      <c r="Z470" s="117"/>
      <c r="AA470" s="423">
        <v>6</v>
      </c>
      <c r="AB470" s="661">
        <v>45349</v>
      </c>
      <c r="AC470" s="104">
        <f>(AB470-S470)/365</f>
        <v>9.6821917808219187</v>
      </c>
      <c r="AD470" s="104" t="s">
        <v>1303</v>
      </c>
      <c r="AF470" s="214"/>
      <c r="AG470" s="215"/>
    </row>
    <row r="471" spans="1:33" s="491" customFormat="1" ht="25.5" customHeight="1">
      <c r="A471" s="268" t="s">
        <v>902</v>
      </c>
      <c r="B471" s="494"/>
      <c r="C471" s="494"/>
      <c r="D471" s="494"/>
      <c r="E471" s="494">
        <v>297</v>
      </c>
      <c r="F471" s="309" t="s">
        <v>1263</v>
      </c>
      <c r="G471" s="109" t="s">
        <v>1264</v>
      </c>
      <c r="H471" s="399" t="s">
        <v>192</v>
      </c>
      <c r="I471" s="399" t="s">
        <v>1265</v>
      </c>
      <c r="J471" s="319">
        <f t="shared" ref="J471:J472" si="164">(AB471-T471)/365</f>
        <v>9.6602739726027398</v>
      </c>
      <c r="K471" s="167" t="s">
        <v>341</v>
      </c>
      <c r="L471" s="493">
        <v>-4500000</v>
      </c>
      <c r="M471" s="167" t="s">
        <v>466</v>
      </c>
      <c r="N471" s="492">
        <v>100</v>
      </c>
      <c r="O471" s="698">
        <v>6</v>
      </c>
      <c r="P471" s="309" t="s">
        <v>1275</v>
      </c>
      <c r="Q471" s="400"/>
      <c r="R471" s="168"/>
      <c r="S471" s="633">
        <v>41820</v>
      </c>
      <c r="T471" s="633">
        <v>41823</v>
      </c>
      <c r="U471" s="495" t="s">
        <v>683</v>
      </c>
      <c r="V471" s="495"/>
      <c r="W471" s="699">
        <v>-4594500</v>
      </c>
      <c r="X471" s="117">
        <v>7.8</v>
      </c>
      <c r="Y471" s="117">
        <f t="shared" ref="Y471" si="165">X471*W471</f>
        <v>-35837100</v>
      </c>
      <c r="Z471" s="117"/>
      <c r="AA471" s="423">
        <v>6</v>
      </c>
      <c r="AB471" s="661">
        <v>45349</v>
      </c>
      <c r="AC471" s="104">
        <f t="shared" ref="AC471" si="166">(AB471-S471)/365</f>
        <v>9.668493150684931</v>
      </c>
      <c r="AD471" s="104" t="s">
        <v>1304</v>
      </c>
      <c r="AF471" s="214"/>
      <c r="AG471" s="215"/>
    </row>
    <row r="472" spans="1:33" s="491" customFormat="1" ht="25.5" customHeight="1">
      <c r="A472" s="268"/>
      <c r="B472" s="494"/>
      <c r="C472" s="494"/>
      <c r="D472" s="494"/>
      <c r="E472" s="494">
        <v>297</v>
      </c>
      <c r="F472" s="309" t="s">
        <v>1263</v>
      </c>
      <c r="G472" s="109" t="s">
        <v>1264</v>
      </c>
      <c r="H472" s="399" t="s">
        <v>192</v>
      </c>
      <c r="I472" s="399" t="s">
        <v>1265</v>
      </c>
      <c r="J472" s="319">
        <f t="shared" si="164"/>
        <v>9.6602739726027398</v>
      </c>
      <c r="K472" s="167" t="s">
        <v>341</v>
      </c>
      <c r="L472" s="1491">
        <v>-500000</v>
      </c>
      <c r="M472" s="167" t="s">
        <v>466</v>
      </c>
      <c r="N472" s="492">
        <v>100</v>
      </c>
      <c r="O472" s="698">
        <v>6</v>
      </c>
      <c r="P472" s="309" t="s">
        <v>1275</v>
      </c>
      <c r="Q472" s="400"/>
      <c r="R472" s="168"/>
      <c r="S472" s="633">
        <v>41820</v>
      </c>
      <c r="T472" s="633">
        <v>41823</v>
      </c>
      <c r="U472" s="495" t="s">
        <v>683</v>
      </c>
      <c r="V472" s="495"/>
      <c r="W472" s="699">
        <v>-510500</v>
      </c>
      <c r="X472" s="117">
        <v>7.8</v>
      </c>
      <c r="Y472" s="117">
        <f>X472*W472</f>
        <v>-3981900</v>
      </c>
      <c r="Z472" s="117"/>
      <c r="AA472" s="423">
        <v>6</v>
      </c>
      <c r="AB472" s="661">
        <v>45349</v>
      </c>
      <c r="AC472" s="104">
        <f>(AB472-S472)/365</f>
        <v>9.668493150684931</v>
      </c>
      <c r="AD472" s="104" t="s">
        <v>1304</v>
      </c>
      <c r="AF472" s="214"/>
      <c r="AG472" s="215"/>
    </row>
    <row r="473" spans="1:33" s="491" customFormat="1" ht="25.5" customHeight="1">
      <c r="A473" s="268" t="s">
        <v>902</v>
      </c>
      <c r="B473" s="494"/>
      <c r="C473" s="494"/>
      <c r="D473" s="494"/>
      <c r="E473" s="494">
        <v>298</v>
      </c>
      <c r="F473" s="309" t="s">
        <v>1263</v>
      </c>
      <c r="G473" s="109" t="s">
        <v>1264</v>
      </c>
      <c r="H473" s="399" t="s">
        <v>192</v>
      </c>
      <c r="I473" s="399" t="s">
        <v>1265</v>
      </c>
      <c r="J473" s="319">
        <f t="shared" ref="J473:J474" si="167">(AB473-T473)/365</f>
        <v>9.6438356164383556</v>
      </c>
      <c r="K473" s="167" t="s">
        <v>341</v>
      </c>
      <c r="L473" s="493">
        <v>-11700000</v>
      </c>
      <c r="M473" s="167" t="s">
        <v>466</v>
      </c>
      <c r="N473" s="492">
        <v>100</v>
      </c>
      <c r="O473" s="698">
        <v>6</v>
      </c>
      <c r="P473" s="309" t="s">
        <v>1275</v>
      </c>
      <c r="Q473" s="400"/>
      <c r="R473" s="168"/>
      <c r="S473" s="633">
        <v>41827</v>
      </c>
      <c r="T473" s="633">
        <v>41829</v>
      </c>
      <c r="U473" s="495" t="s">
        <v>683</v>
      </c>
      <c r="V473" s="495"/>
      <c r="W473" s="699">
        <v>-11957400</v>
      </c>
      <c r="X473" s="117">
        <v>7.8</v>
      </c>
      <c r="Y473" s="117">
        <f t="shared" ref="Y473" si="168">X473*W473</f>
        <v>-93267720</v>
      </c>
      <c r="Z473" s="117"/>
      <c r="AA473" s="423">
        <v>6</v>
      </c>
      <c r="AB473" s="661">
        <v>45349</v>
      </c>
      <c r="AC473" s="104">
        <f t="shared" ref="AC473" si="169">(AB473-S473)/365</f>
        <v>9.6493150684931503</v>
      </c>
      <c r="AD473" s="104" t="s">
        <v>1306</v>
      </c>
      <c r="AF473" s="214"/>
      <c r="AG473" s="215"/>
    </row>
    <row r="474" spans="1:33" s="491" customFormat="1" ht="25.5" customHeight="1">
      <c r="A474" s="268"/>
      <c r="B474" s="494"/>
      <c r="C474" s="494"/>
      <c r="D474" s="494"/>
      <c r="E474" s="494">
        <v>298</v>
      </c>
      <c r="F474" s="309" t="s">
        <v>1263</v>
      </c>
      <c r="G474" s="109" t="s">
        <v>1264</v>
      </c>
      <c r="H474" s="399" t="s">
        <v>192</v>
      </c>
      <c r="I474" s="399" t="s">
        <v>1265</v>
      </c>
      <c r="J474" s="319">
        <f t="shared" si="167"/>
        <v>9.6438356164383556</v>
      </c>
      <c r="K474" s="167" t="s">
        <v>341</v>
      </c>
      <c r="L474" s="1491">
        <v>-1300000</v>
      </c>
      <c r="M474" s="167" t="s">
        <v>466</v>
      </c>
      <c r="N474" s="492">
        <v>100</v>
      </c>
      <c r="O474" s="698">
        <v>6</v>
      </c>
      <c r="P474" s="309" t="s">
        <v>1275</v>
      </c>
      <c r="Q474" s="400"/>
      <c r="R474" s="168"/>
      <c r="S474" s="633">
        <v>41827</v>
      </c>
      <c r="T474" s="633">
        <v>41829</v>
      </c>
      <c r="U474" s="495" t="s">
        <v>683</v>
      </c>
      <c r="V474" s="495"/>
      <c r="W474" s="699">
        <v>-1328600</v>
      </c>
      <c r="X474" s="117">
        <v>7.8</v>
      </c>
      <c r="Y474" s="117">
        <f>X474*W474</f>
        <v>-10363080</v>
      </c>
      <c r="Z474" s="117"/>
      <c r="AA474" s="423">
        <v>6</v>
      </c>
      <c r="AB474" s="661">
        <v>45349</v>
      </c>
      <c r="AC474" s="104">
        <f>(AB474-S474)/365</f>
        <v>9.6493150684931503</v>
      </c>
      <c r="AD474" s="104" t="s">
        <v>1306</v>
      </c>
      <c r="AF474" s="214"/>
      <c r="AG474" s="215"/>
    </row>
    <row r="475" spans="1:33" s="491" customFormat="1" ht="25.5" customHeight="1">
      <c r="A475" s="268" t="s">
        <v>902</v>
      </c>
      <c r="B475" s="494"/>
      <c r="C475" s="494"/>
      <c r="D475" s="494"/>
      <c r="E475" s="494">
        <v>294</v>
      </c>
      <c r="F475" s="309" t="s">
        <v>1300</v>
      </c>
      <c r="G475" s="109" t="s">
        <v>1301</v>
      </c>
      <c r="H475" s="399" t="s">
        <v>744</v>
      </c>
      <c r="I475" s="399" t="s">
        <v>193</v>
      </c>
      <c r="J475" s="319">
        <f>(AB475-T475)/365</f>
        <v>1.9205479452054794</v>
      </c>
      <c r="K475" s="167" t="s">
        <v>341</v>
      </c>
      <c r="L475" s="493">
        <v>-28710000</v>
      </c>
      <c r="M475" s="167" t="s">
        <v>466</v>
      </c>
      <c r="N475" s="1492">
        <v>109.47572959999999</v>
      </c>
      <c r="O475" s="698">
        <v>5.0279999999999996</v>
      </c>
      <c r="P475" s="309" t="s">
        <v>1302</v>
      </c>
      <c r="Q475" s="400"/>
      <c r="R475" s="168"/>
      <c r="S475" s="633">
        <v>41830</v>
      </c>
      <c r="T475" s="633">
        <v>41835</v>
      </c>
      <c r="U475" s="495" t="s">
        <v>683</v>
      </c>
      <c r="V475" s="495"/>
      <c r="W475" s="699">
        <v>-31565060.079999998</v>
      </c>
      <c r="X475" s="117">
        <v>7.8</v>
      </c>
      <c r="Y475" s="117">
        <f t="shared" ref="Y475" si="170">X475*W475</f>
        <v>-246207468.62399998</v>
      </c>
      <c r="Z475" s="117"/>
      <c r="AA475" s="423">
        <v>5.625</v>
      </c>
      <c r="AB475" s="661">
        <v>42536</v>
      </c>
      <c r="AC475" s="104">
        <f>(AB475-S475)/365</f>
        <v>1.9342465753424658</v>
      </c>
      <c r="AD475" s="104"/>
      <c r="AF475" s="214"/>
      <c r="AG475" s="215"/>
    </row>
    <row r="476" spans="1:33" s="491" customFormat="1" ht="25.5" customHeight="1">
      <c r="A476" s="268"/>
      <c r="B476" s="494"/>
      <c r="C476" s="494"/>
      <c r="D476" s="494"/>
      <c r="E476" s="494">
        <v>294</v>
      </c>
      <c r="F476" s="309" t="s">
        <v>1300</v>
      </c>
      <c r="G476" s="109" t="s">
        <v>1301</v>
      </c>
      <c r="H476" s="399" t="s">
        <v>744</v>
      </c>
      <c r="I476" s="399" t="s">
        <v>193</v>
      </c>
      <c r="J476" s="319">
        <f>(AB476-T476)/365</f>
        <v>1.9205479452054794</v>
      </c>
      <c r="K476" s="167" t="s">
        <v>341</v>
      </c>
      <c r="L476" s="1491">
        <v>-3190000</v>
      </c>
      <c r="M476" s="167" t="s">
        <v>466</v>
      </c>
      <c r="N476" s="1492">
        <v>109.47572959999999</v>
      </c>
      <c r="O476" s="698">
        <v>5.0279999999999996</v>
      </c>
      <c r="P476" s="309" t="s">
        <v>1302</v>
      </c>
      <c r="Q476" s="400"/>
      <c r="R476" s="168"/>
      <c r="S476" s="633">
        <v>41830</v>
      </c>
      <c r="T476" s="633">
        <v>41835</v>
      </c>
      <c r="U476" s="495" t="s">
        <v>683</v>
      </c>
      <c r="V476" s="495"/>
      <c r="W476" s="699">
        <v>-3507228.89</v>
      </c>
      <c r="X476" s="117">
        <v>7.8</v>
      </c>
      <c r="Y476" s="117">
        <f>X476*W476</f>
        <v>-27356385.342</v>
      </c>
      <c r="Z476" s="117"/>
      <c r="AA476" s="423">
        <v>5.625</v>
      </c>
      <c r="AB476" s="661">
        <v>42536</v>
      </c>
      <c r="AC476" s="104">
        <f>(AB476-S476)/365</f>
        <v>1.9342465753424658</v>
      </c>
      <c r="AD476" s="104"/>
      <c r="AF476" s="214"/>
      <c r="AG476" s="215"/>
    </row>
    <row r="477" spans="1:33" s="491" customFormat="1" ht="25.5" customHeight="1">
      <c r="A477" s="268" t="s">
        <v>902</v>
      </c>
      <c r="B477" s="494"/>
      <c r="C477" s="494"/>
      <c r="D477" s="494"/>
      <c r="E477" s="494">
        <v>299</v>
      </c>
      <c r="F477" s="309" t="s">
        <v>1309</v>
      </c>
      <c r="G477" s="109" t="s">
        <v>1310</v>
      </c>
      <c r="H477" s="399" t="s">
        <v>192</v>
      </c>
      <c r="I477" s="399" t="s">
        <v>421</v>
      </c>
      <c r="J477" s="319">
        <f t="shared" ref="J477:J482" si="171">(AB477-T477)/365</f>
        <v>19.912328767123288</v>
      </c>
      <c r="K477" s="167" t="s">
        <v>465</v>
      </c>
      <c r="L477" s="493">
        <v>234000000</v>
      </c>
      <c r="M477" s="167" t="s">
        <v>466</v>
      </c>
      <c r="N477" s="492">
        <v>99.444999999999993</v>
      </c>
      <c r="O477" s="492">
        <v>6.4993499999999997</v>
      </c>
      <c r="P477" s="309" t="s">
        <v>1311</v>
      </c>
      <c r="Q477" s="400" t="s">
        <v>1312</v>
      </c>
      <c r="R477" s="1493" t="s">
        <v>1313</v>
      </c>
      <c r="S477" s="633">
        <v>41835</v>
      </c>
      <c r="T477" s="633">
        <v>41838</v>
      </c>
      <c r="U477" s="495" t="s">
        <v>683</v>
      </c>
      <c r="V477" s="495"/>
      <c r="W477" s="699">
        <v>234252525</v>
      </c>
      <c r="X477" s="117">
        <v>7.8</v>
      </c>
      <c r="Y477" s="117">
        <f>X477*W477</f>
        <v>1827169695</v>
      </c>
      <c r="Z477" s="117"/>
      <c r="AA477" s="423">
        <v>6.45</v>
      </c>
      <c r="AB477" s="661">
        <v>49106</v>
      </c>
      <c r="AC477" s="104">
        <f>(AB477-S477)/365</f>
        <v>19.920547945205481</v>
      </c>
      <c r="AD477" s="104"/>
      <c r="AF477" s="214"/>
      <c r="AG477" s="215"/>
    </row>
    <row r="478" spans="1:33" s="491" customFormat="1" ht="25.5" customHeight="1">
      <c r="A478" s="268"/>
      <c r="B478" s="494"/>
      <c r="C478" s="494"/>
      <c r="D478" s="494"/>
      <c r="E478" s="494">
        <v>299</v>
      </c>
      <c r="F478" s="309" t="s">
        <v>1309</v>
      </c>
      <c r="G478" s="109" t="s">
        <v>1310</v>
      </c>
      <c r="H478" s="399" t="s">
        <v>192</v>
      </c>
      <c r="I478" s="399" t="s">
        <v>421</v>
      </c>
      <c r="J478" s="319">
        <f t="shared" si="171"/>
        <v>19.912328767123288</v>
      </c>
      <c r="K478" s="167" t="s">
        <v>465</v>
      </c>
      <c r="L478" s="1491">
        <v>26000000</v>
      </c>
      <c r="M478" s="167" t="s">
        <v>466</v>
      </c>
      <c r="N478" s="492">
        <v>99.444999999999993</v>
      </c>
      <c r="O478" s="492">
        <v>6.4993499999999997</v>
      </c>
      <c r="P478" s="309" t="s">
        <v>1311</v>
      </c>
      <c r="Q478" s="400" t="s">
        <v>1312</v>
      </c>
      <c r="R478" s="1493" t="s">
        <v>1313</v>
      </c>
      <c r="S478" s="633">
        <v>41835</v>
      </c>
      <c r="T478" s="633">
        <v>41838</v>
      </c>
      <c r="U478" s="495" t="s">
        <v>683</v>
      </c>
      <c r="V478" s="495"/>
      <c r="W478" s="699">
        <v>26028058.329999998</v>
      </c>
      <c r="X478" s="117">
        <v>7.8</v>
      </c>
      <c r="Y478" s="117">
        <f>X478*W478</f>
        <v>203018854.97399998</v>
      </c>
      <c r="Z478" s="117"/>
      <c r="AA478" s="423">
        <v>6.45</v>
      </c>
      <c r="AB478" s="661">
        <v>49106</v>
      </c>
      <c r="AC478" s="104">
        <f>(AB478-S478)/365</f>
        <v>19.920547945205481</v>
      </c>
      <c r="AD478" s="104"/>
      <c r="AF478" s="214"/>
      <c r="AG478" s="215"/>
    </row>
    <row r="479" spans="1:33" s="491" customFormat="1" ht="25.5" customHeight="1">
      <c r="A479" s="268" t="s">
        <v>902</v>
      </c>
      <c r="B479" s="494"/>
      <c r="C479" s="494"/>
      <c r="D479" s="494"/>
      <c r="E479" s="494">
        <v>300</v>
      </c>
      <c r="F479" s="309" t="s">
        <v>1263</v>
      </c>
      <c r="G479" s="109" t="s">
        <v>1264</v>
      </c>
      <c r="H479" s="399" t="s">
        <v>192</v>
      </c>
      <c r="I479" s="399" t="s">
        <v>1265</v>
      </c>
      <c r="J479" s="319">
        <f t="shared" si="171"/>
        <v>9.6054794520547944</v>
      </c>
      <c r="K479" s="167" t="s">
        <v>341</v>
      </c>
      <c r="L479" s="493">
        <v>-12600000</v>
      </c>
      <c r="M479" s="167" t="s">
        <v>466</v>
      </c>
      <c r="N479" s="492">
        <v>100</v>
      </c>
      <c r="O479" s="698">
        <v>6</v>
      </c>
      <c r="P479" s="309" t="s">
        <v>1275</v>
      </c>
      <c r="Q479" s="400"/>
      <c r="R479" s="168"/>
      <c r="S479" s="633">
        <v>41841</v>
      </c>
      <c r="T479" s="633">
        <v>41843</v>
      </c>
      <c r="U479" s="495" t="s">
        <v>683</v>
      </c>
      <c r="V479" s="495"/>
      <c r="W479" s="699">
        <v>-12906600</v>
      </c>
      <c r="X479" s="117">
        <v>7.8</v>
      </c>
      <c r="Y479" s="117">
        <f t="shared" ref="Y479" si="172">X479*W479</f>
        <v>-100671480</v>
      </c>
      <c r="Z479" s="117"/>
      <c r="AA479" s="423">
        <v>6</v>
      </c>
      <c r="AB479" s="661">
        <v>45349</v>
      </c>
      <c r="AC479" s="104">
        <f t="shared" ref="AC479" si="173">(AB479-S479)/365</f>
        <v>9.6109589041095891</v>
      </c>
      <c r="AD479" s="104" t="s">
        <v>1317</v>
      </c>
      <c r="AF479" s="214"/>
      <c r="AG479" s="215"/>
    </row>
    <row r="480" spans="1:33" s="491" customFormat="1" ht="25.5" customHeight="1">
      <c r="A480" s="268"/>
      <c r="B480" s="494"/>
      <c r="C480" s="494"/>
      <c r="D480" s="494"/>
      <c r="E480" s="494">
        <v>300</v>
      </c>
      <c r="F480" s="309" t="s">
        <v>1263</v>
      </c>
      <c r="G480" s="109" t="s">
        <v>1264</v>
      </c>
      <c r="H480" s="399" t="s">
        <v>192</v>
      </c>
      <c r="I480" s="399" t="s">
        <v>1265</v>
      </c>
      <c r="J480" s="319">
        <f t="shared" si="171"/>
        <v>9.6054794520547944</v>
      </c>
      <c r="K480" s="167" t="s">
        <v>341</v>
      </c>
      <c r="L480" s="1491">
        <v>-1400000</v>
      </c>
      <c r="M480" s="167" t="s">
        <v>466</v>
      </c>
      <c r="N480" s="492">
        <v>100</v>
      </c>
      <c r="O480" s="698">
        <v>6</v>
      </c>
      <c r="P480" s="309" t="s">
        <v>1275</v>
      </c>
      <c r="Q480" s="400"/>
      <c r="R480" s="168"/>
      <c r="S480" s="633">
        <v>41841</v>
      </c>
      <c r="T480" s="633">
        <v>41843</v>
      </c>
      <c r="U480" s="495" t="s">
        <v>683</v>
      </c>
      <c r="V480" s="495"/>
      <c r="W480" s="699">
        <v>-1434066.67</v>
      </c>
      <c r="X480" s="117">
        <v>7.8</v>
      </c>
      <c r="Y480" s="117">
        <f>X480*W480</f>
        <v>-11185720.025999999</v>
      </c>
      <c r="Z480" s="117"/>
      <c r="AA480" s="423">
        <v>6</v>
      </c>
      <c r="AB480" s="661">
        <v>45349</v>
      </c>
      <c r="AC480" s="104">
        <f>(AB480-S480)/365</f>
        <v>9.6109589041095891</v>
      </c>
      <c r="AD480" s="104" t="s">
        <v>1317</v>
      </c>
      <c r="AF480" s="214"/>
      <c r="AG480" s="215"/>
    </row>
    <row r="481" spans="1:34" s="491" customFormat="1" ht="25.5" customHeight="1">
      <c r="A481" s="268" t="s">
        <v>902</v>
      </c>
      <c r="B481" s="494"/>
      <c r="C481" s="494"/>
      <c r="D481" s="494"/>
      <c r="E481" s="494">
        <v>301</v>
      </c>
      <c r="F481" s="309" t="s">
        <v>1263</v>
      </c>
      <c r="G481" s="109" t="s">
        <v>1264</v>
      </c>
      <c r="H481" s="399" t="s">
        <v>192</v>
      </c>
      <c r="I481" s="399" t="s">
        <v>1265</v>
      </c>
      <c r="J481" s="319">
        <f t="shared" si="171"/>
        <v>9.5726027397260278</v>
      </c>
      <c r="K481" s="167" t="s">
        <v>341</v>
      </c>
      <c r="L481" s="493">
        <v>-29700000</v>
      </c>
      <c r="M481" s="167" t="s">
        <v>466</v>
      </c>
      <c r="N481" s="492">
        <v>100</v>
      </c>
      <c r="O481" s="698">
        <v>6</v>
      </c>
      <c r="P481" s="309" t="s">
        <v>1275</v>
      </c>
      <c r="Q481" s="400"/>
      <c r="R481" s="168"/>
      <c r="S481" s="633">
        <v>41851</v>
      </c>
      <c r="T481" s="633">
        <v>41855</v>
      </c>
      <c r="U481" s="495" t="s">
        <v>683</v>
      </c>
      <c r="V481" s="495"/>
      <c r="W481" s="699">
        <v>-30477150</v>
      </c>
      <c r="X481" s="117">
        <v>7.8</v>
      </c>
      <c r="Y481" s="117">
        <f t="shared" ref="Y481" si="174">X481*W481</f>
        <v>-237721770</v>
      </c>
      <c r="Z481" s="117"/>
      <c r="AA481" s="423">
        <v>6</v>
      </c>
      <c r="AB481" s="661">
        <v>45349</v>
      </c>
      <c r="AC481" s="104">
        <f t="shared" ref="AC481" si="175">(AB481-S481)/365</f>
        <v>9.5835616438356173</v>
      </c>
      <c r="AD481" s="104" t="s">
        <v>1331</v>
      </c>
      <c r="AF481" s="214"/>
      <c r="AG481" s="215"/>
    </row>
    <row r="482" spans="1:34" s="491" customFormat="1" ht="25.5" customHeight="1">
      <c r="A482" s="268"/>
      <c r="B482" s="494"/>
      <c r="C482" s="494"/>
      <c r="D482" s="494"/>
      <c r="E482" s="494">
        <v>301</v>
      </c>
      <c r="F482" s="309" t="s">
        <v>1263</v>
      </c>
      <c r="G482" s="109" t="s">
        <v>1264</v>
      </c>
      <c r="H482" s="399" t="s">
        <v>192</v>
      </c>
      <c r="I482" s="399" t="s">
        <v>1265</v>
      </c>
      <c r="J482" s="319">
        <f t="shared" si="171"/>
        <v>9.5726027397260278</v>
      </c>
      <c r="K482" s="167" t="s">
        <v>341</v>
      </c>
      <c r="L482" s="1491">
        <v>-3300000</v>
      </c>
      <c r="M482" s="167" t="s">
        <v>466</v>
      </c>
      <c r="N482" s="492">
        <v>100</v>
      </c>
      <c r="O482" s="698">
        <v>6</v>
      </c>
      <c r="P482" s="309" t="s">
        <v>1275</v>
      </c>
      <c r="Q482" s="400"/>
      <c r="R482" s="168"/>
      <c r="S482" s="633">
        <v>41851</v>
      </c>
      <c r="T482" s="633">
        <v>41855</v>
      </c>
      <c r="U482" s="495" t="s">
        <v>683</v>
      </c>
      <c r="V482" s="495"/>
      <c r="W482" s="699">
        <v>-3386350</v>
      </c>
      <c r="X482" s="117">
        <v>7.8</v>
      </c>
      <c r="Y482" s="117">
        <f>X482*W482</f>
        <v>-26413530</v>
      </c>
      <c r="Z482" s="117"/>
      <c r="AA482" s="423">
        <v>6</v>
      </c>
      <c r="AB482" s="661">
        <v>45349</v>
      </c>
      <c r="AC482" s="104">
        <f>(AB482-S482)/365</f>
        <v>9.5835616438356173</v>
      </c>
      <c r="AD482" s="104" t="s">
        <v>1331</v>
      </c>
      <c r="AF482" s="214"/>
      <c r="AG482" s="215"/>
    </row>
    <row r="483" spans="1:34" s="74" customFormat="1" ht="16.5">
      <c r="A483" s="268" t="s">
        <v>902</v>
      </c>
      <c r="B483" s="494"/>
      <c r="C483" s="494"/>
      <c r="D483" s="494"/>
      <c r="E483" s="91">
        <v>302</v>
      </c>
      <c r="F483" s="55" t="s">
        <v>461</v>
      </c>
      <c r="G483" s="53" t="s">
        <v>462</v>
      </c>
      <c r="H483" s="399" t="s">
        <v>743</v>
      </c>
      <c r="I483" s="399" t="s">
        <v>421</v>
      </c>
      <c r="J483" s="319">
        <f>(AB483-T483)/365</f>
        <v>2.1945205479452055</v>
      </c>
      <c r="K483" s="167" t="s">
        <v>341</v>
      </c>
      <c r="L483" s="63">
        <v>-2700000</v>
      </c>
      <c r="M483" s="113" t="s">
        <v>466</v>
      </c>
      <c r="N483" s="114">
        <v>110.65600000000001</v>
      </c>
      <c r="O483" s="91">
        <v>0.91</v>
      </c>
      <c r="P483" s="309" t="s">
        <v>1302</v>
      </c>
      <c r="Q483" s="48"/>
      <c r="R483" s="53"/>
      <c r="S483" s="633">
        <v>41821</v>
      </c>
      <c r="T483" s="633">
        <v>41843</v>
      </c>
      <c r="U483" s="495" t="s">
        <v>683</v>
      </c>
      <c r="W483" s="143">
        <v>-3035591.99</v>
      </c>
      <c r="X483" s="117">
        <v>7.8</v>
      </c>
      <c r="Y483" s="117">
        <f>X483*W483</f>
        <v>-23677617.522</v>
      </c>
      <c r="Z483" s="133"/>
      <c r="AA483" s="115">
        <v>5.7</v>
      </c>
      <c r="AB483" s="680">
        <v>42644</v>
      </c>
      <c r="AC483" s="104">
        <f>(AB483-S483)/365</f>
        <v>2.2547945205479452</v>
      </c>
      <c r="AF483" s="214"/>
      <c r="AG483" s="215"/>
      <c r="AH483" s="117"/>
    </row>
    <row r="484" spans="1:34" s="74" customFormat="1" ht="16.5">
      <c r="A484" s="268"/>
      <c r="B484" s="494"/>
      <c r="C484" s="494"/>
      <c r="D484" s="494"/>
      <c r="E484" s="91">
        <v>302</v>
      </c>
      <c r="F484" s="55" t="s">
        <v>461</v>
      </c>
      <c r="G484" s="53" t="s">
        <v>462</v>
      </c>
      <c r="H484" s="399" t="s">
        <v>743</v>
      </c>
      <c r="I484" s="399" t="s">
        <v>421</v>
      </c>
      <c r="J484" s="319">
        <f>(AB484-T484)/365</f>
        <v>2.1945205479452055</v>
      </c>
      <c r="K484" s="167" t="s">
        <v>341</v>
      </c>
      <c r="L484" s="63">
        <v>-300000</v>
      </c>
      <c r="M484" s="113" t="s">
        <v>466</v>
      </c>
      <c r="N484" s="114">
        <v>110.65600000000001</v>
      </c>
      <c r="O484" s="91">
        <v>0.91</v>
      </c>
      <c r="P484" s="309" t="s">
        <v>1302</v>
      </c>
      <c r="Q484" s="48"/>
      <c r="R484" s="53"/>
      <c r="S484" s="633">
        <v>41821</v>
      </c>
      <c r="T484" s="633">
        <v>41843</v>
      </c>
      <c r="U484" s="495" t="s">
        <v>683</v>
      </c>
      <c r="W484" s="143">
        <v>-337287.99</v>
      </c>
      <c r="X484" s="117">
        <v>7.8</v>
      </c>
      <c r="Y484" s="117">
        <f>X484*W484</f>
        <v>-2630846.3219999997</v>
      </c>
      <c r="Z484" s="133"/>
      <c r="AA484" s="115">
        <v>5.7</v>
      </c>
      <c r="AB484" s="680">
        <v>42644</v>
      </c>
      <c r="AC484" s="104">
        <f>(AB484-S484)/365</f>
        <v>2.2547945205479452</v>
      </c>
      <c r="AF484" s="214"/>
      <c r="AG484" s="215"/>
      <c r="AH484" s="117"/>
    </row>
    <row r="485" spans="1:34" s="74" customFormat="1" ht="16.5">
      <c r="A485" s="268" t="s">
        <v>902</v>
      </c>
      <c r="B485" s="494"/>
      <c r="C485" s="494"/>
      <c r="D485" s="494"/>
      <c r="E485" s="91">
        <v>303</v>
      </c>
      <c r="F485" s="64" t="s">
        <v>1326</v>
      </c>
      <c r="G485" s="109" t="s">
        <v>1327</v>
      </c>
      <c r="H485" s="399" t="s">
        <v>79</v>
      </c>
      <c r="I485" s="399" t="s">
        <v>340</v>
      </c>
      <c r="J485" s="319">
        <f>(AB485-T485)/365</f>
        <v>9.9863013698630141</v>
      </c>
      <c r="K485" s="167" t="s">
        <v>465</v>
      </c>
      <c r="L485" s="63">
        <v>270000000</v>
      </c>
      <c r="M485" s="113" t="s">
        <v>466</v>
      </c>
      <c r="N485" s="114">
        <v>98.891999999999996</v>
      </c>
      <c r="O485" s="91">
        <v>6.1499680000000003</v>
      </c>
      <c r="P485" s="309" t="s">
        <v>1311</v>
      </c>
      <c r="Q485" s="48" t="s">
        <v>1312</v>
      </c>
      <c r="R485" s="53" t="s">
        <v>1313</v>
      </c>
      <c r="S485" s="633">
        <v>41855</v>
      </c>
      <c r="T485" s="633">
        <v>41858</v>
      </c>
      <c r="U485" s="495" t="s">
        <v>683</v>
      </c>
      <c r="W485" s="143">
        <v>267323400</v>
      </c>
      <c r="X485" s="117">
        <v>7.8</v>
      </c>
      <c r="Y485" s="117">
        <f>X485*W485</f>
        <v>2085122520</v>
      </c>
      <c r="Z485" s="133"/>
      <c r="AA485" s="115">
        <v>6</v>
      </c>
      <c r="AB485" s="680">
        <v>45503</v>
      </c>
      <c r="AC485" s="104">
        <f>(AB485-S485)/365</f>
        <v>9.9945205479452053</v>
      </c>
      <c r="AF485" s="214"/>
      <c r="AG485" s="215"/>
      <c r="AH485" s="117"/>
    </row>
    <row r="486" spans="1:34" s="74" customFormat="1" ht="16.5">
      <c r="A486" s="268"/>
      <c r="B486" s="494"/>
      <c r="C486" s="494"/>
      <c r="D486" s="494"/>
      <c r="E486" s="91">
        <v>303</v>
      </c>
      <c r="F486" s="64" t="s">
        <v>1326</v>
      </c>
      <c r="G486" s="109" t="s">
        <v>1327</v>
      </c>
      <c r="H486" s="399" t="s">
        <v>79</v>
      </c>
      <c r="I486" s="399" t="s">
        <v>340</v>
      </c>
      <c r="J486" s="319">
        <f>(AB486-T486)/365</f>
        <v>9.9863013698630141</v>
      </c>
      <c r="K486" s="167" t="s">
        <v>465</v>
      </c>
      <c r="L486" s="63">
        <v>30000000</v>
      </c>
      <c r="M486" s="113" t="s">
        <v>466</v>
      </c>
      <c r="N486" s="114">
        <v>98.891999999999996</v>
      </c>
      <c r="O486" s="91">
        <v>6.1499680000000003</v>
      </c>
      <c r="P486" s="309" t="s">
        <v>1311</v>
      </c>
      <c r="Q486" s="48" t="s">
        <v>1312</v>
      </c>
      <c r="R486" s="53" t="s">
        <v>1313</v>
      </c>
      <c r="S486" s="633">
        <v>41855</v>
      </c>
      <c r="T486" s="633">
        <v>41858</v>
      </c>
      <c r="U486" s="401" t="s">
        <v>683</v>
      </c>
      <c r="W486" s="143">
        <v>29702600</v>
      </c>
      <c r="X486" s="117">
        <v>7.8</v>
      </c>
      <c r="Y486" s="117">
        <f>X486*W486</f>
        <v>231680280</v>
      </c>
      <c r="Z486" s="133"/>
      <c r="AA486" s="115">
        <v>6</v>
      </c>
      <c r="AB486" s="680">
        <v>45503</v>
      </c>
      <c r="AC486" s="104">
        <f>(AB486-S486)/365</f>
        <v>9.9945205479452053</v>
      </c>
      <c r="AF486" s="214"/>
      <c r="AG486" s="215"/>
      <c r="AH486" s="117"/>
    </row>
    <row r="487" spans="1:34" s="491" customFormat="1" ht="25.5" customHeight="1">
      <c r="A487" s="268" t="s">
        <v>902</v>
      </c>
      <c r="B487" s="494"/>
      <c r="C487" s="494"/>
      <c r="D487" s="494"/>
      <c r="E487" s="494">
        <v>304</v>
      </c>
      <c r="F487" s="309" t="s">
        <v>1263</v>
      </c>
      <c r="G487" s="109" t="s">
        <v>1264</v>
      </c>
      <c r="H487" s="399" t="s">
        <v>192</v>
      </c>
      <c r="I487" s="399" t="s">
        <v>1265</v>
      </c>
      <c r="J487" s="319">
        <f t="shared" ref="J487:J488" si="176">(AB487-T487)/365</f>
        <v>9.5452054794520542</v>
      </c>
      <c r="K487" s="167" t="s">
        <v>341</v>
      </c>
      <c r="L487" s="493">
        <v>-11700000</v>
      </c>
      <c r="M487" s="167" t="s">
        <v>466</v>
      </c>
      <c r="N487" s="492">
        <v>100</v>
      </c>
      <c r="O487" s="698">
        <v>6</v>
      </c>
      <c r="P487" s="309" t="s">
        <v>1275</v>
      </c>
      <c r="Q487" s="400"/>
      <c r="R487" s="168"/>
      <c r="S487" s="633">
        <v>41862</v>
      </c>
      <c r="T487" s="633">
        <v>41865</v>
      </c>
      <c r="U487" s="495" t="s">
        <v>683</v>
      </c>
      <c r="V487" s="495"/>
      <c r="W487" s="699">
        <v>-12025650</v>
      </c>
      <c r="X487" s="117">
        <v>7.8</v>
      </c>
      <c r="Y487" s="117">
        <f t="shared" ref="Y487" si="177">X487*W487</f>
        <v>-93800070</v>
      </c>
      <c r="Z487" s="117"/>
      <c r="AA487" s="423">
        <v>6</v>
      </c>
      <c r="AB487" s="661">
        <v>45349</v>
      </c>
      <c r="AC487" s="104">
        <f t="shared" ref="AC487" si="178">(AB487-S487)/365</f>
        <v>9.5534246575342472</v>
      </c>
      <c r="AD487" s="104" t="s">
        <v>1306</v>
      </c>
      <c r="AF487" s="214"/>
      <c r="AG487" s="215"/>
    </row>
    <row r="488" spans="1:34" s="491" customFormat="1" ht="25.5" customHeight="1">
      <c r="A488" s="268"/>
      <c r="B488" s="494"/>
      <c r="C488" s="494"/>
      <c r="D488" s="494"/>
      <c r="E488" s="494">
        <v>304</v>
      </c>
      <c r="F488" s="309" t="s">
        <v>1263</v>
      </c>
      <c r="G488" s="109" t="s">
        <v>1264</v>
      </c>
      <c r="H488" s="399" t="s">
        <v>192</v>
      </c>
      <c r="I488" s="399" t="s">
        <v>1265</v>
      </c>
      <c r="J488" s="319">
        <f t="shared" si="176"/>
        <v>9.5452054794520542</v>
      </c>
      <c r="K488" s="167" t="s">
        <v>341</v>
      </c>
      <c r="L488" s="1491">
        <v>-1300000</v>
      </c>
      <c r="M488" s="167" t="s">
        <v>466</v>
      </c>
      <c r="N488" s="492">
        <v>100</v>
      </c>
      <c r="O488" s="698">
        <v>6</v>
      </c>
      <c r="P488" s="309" t="s">
        <v>1275</v>
      </c>
      <c r="Q488" s="400"/>
      <c r="R488" s="168"/>
      <c r="S488" s="633">
        <v>41862</v>
      </c>
      <c r="T488" s="633">
        <v>41865</v>
      </c>
      <c r="U488" s="495" t="s">
        <v>683</v>
      </c>
      <c r="V488" s="495"/>
      <c r="W488" s="699">
        <v>-1336183.33</v>
      </c>
      <c r="X488" s="117">
        <v>7.8</v>
      </c>
      <c r="Y488" s="117">
        <f>X488*W488</f>
        <v>-10422229.973999999</v>
      </c>
      <c r="Z488" s="117"/>
      <c r="AA488" s="423">
        <v>6</v>
      </c>
      <c r="AB488" s="661">
        <v>45349</v>
      </c>
      <c r="AC488" s="104">
        <f>(AB488-S488)/365</f>
        <v>9.5534246575342472</v>
      </c>
      <c r="AD488" s="104" t="s">
        <v>1306</v>
      </c>
      <c r="AF488" s="214"/>
      <c r="AG488" s="215"/>
    </row>
    <row r="489" spans="1:34" s="55" customFormat="1" ht="16.5">
      <c r="A489" s="1472" t="s">
        <v>902</v>
      </c>
      <c r="B489" s="91"/>
      <c r="C489" s="91"/>
      <c r="D489" s="91"/>
      <c r="E489" s="277">
        <v>304</v>
      </c>
      <c r="F489" s="55" t="s">
        <v>718</v>
      </c>
      <c r="G489" s="109" t="s">
        <v>720</v>
      </c>
      <c r="H489" s="112" t="s">
        <v>44</v>
      </c>
      <c r="I489" s="112" t="s">
        <v>279</v>
      </c>
      <c r="J489" s="319">
        <f t="shared" ref="J489:J494" si="179">(AB489-T489)/365</f>
        <v>8.5506849315068489</v>
      </c>
      <c r="K489" s="167" t="s">
        <v>465</v>
      </c>
      <c r="L489" s="341">
        <v>135000000</v>
      </c>
      <c r="M489" s="46" t="s">
        <v>466</v>
      </c>
      <c r="N489" s="114">
        <v>96.894999999999996</v>
      </c>
      <c r="O489" s="91">
        <v>4.8499999999999996</v>
      </c>
      <c r="P489" s="1431" t="s">
        <v>1349</v>
      </c>
      <c r="Q489" s="48"/>
      <c r="R489" s="53"/>
      <c r="S489" s="642">
        <v>41872</v>
      </c>
      <c r="T489" s="642">
        <v>41873</v>
      </c>
      <c r="U489" s="401" t="s">
        <v>683</v>
      </c>
      <c r="W489" s="117">
        <v>130808250</v>
      </c>
      <c r="X489" s="110">
        <v>7.8</v>
      </c>
      <c r="Y489" s="117">
        <f t="shared" ref="Y489:Y493" si="180">X489*W489</f>
        <v>1020304350</v>
      </c>
      <c r="Z489" s="117"/>
      <c r="AA489" s="86">
        <v>4.4000000000000004</v>
      </c>
      <c r="AB489" s="661">
        <v>44994</v>
      </c>
      <c r="AC489" s="104">
        <f t="shared" ref="AC489:AC493" si="181">(AB489-S489)/365</f>
        <v>8.5534246575342472</v>
      </c>
      <c r="AD489" s="53"/>
      <c r="AF489" s="214"/>
      <c r="AG489" s="215"/>
    </row>
    <row r="490" spans="1:34" s="55" customFormat="1" ht="16.5">
      <c r="A490" s="1472"/>
      <c r="B490" s="91"/>
      <c r="C490" s="91"/>
      <c r="D490" s="91"/>
      <c r="E490" s="277">
        <v>304</v>
      </c>
      <c r="F490" s="55" t="s">
        <v>718</v>
      </c>
      <c r="G490" s="109" t="s">
        <v>720</v>
      </c>
      <c r="H490" s="112" t="s">
        <v>44</v>
      </c>
      <c r="I490" s="112" t="s">
        <v>279</v>
      </c>
      <c r="J490" s="319">
        <f t="shared" si="179"/>
        <v>8.5506849315068489</v>
      </c>
      <c r="K490" s="167" t="s">
        <v>465</v>
      </c>
      <c r="L490" s="341">
        <v>15000000</v>
      </c>
      <c r="M490" s="46" t="s">
        <v>466</v>
      </c>
      <c r="N490" s="114">
        <v>96.894999999999996</v>
      </c>
      <c r="O490" s="91">
        <v>4.8499999999999996</v>
      </c>
      <c r="P490" s="1431" t="s">
        <v>1349</v>
      </c>
      <c r="Q490" s="48"/>
      <c r="R490" s="53"/>
      <c r="S490" s="642">
        <v>41872</v>
      </c>
      <c r="T490" s="642">
        <v>41873</v>
      </c>
      <c r="U490" s="229" t="s">
        <v>683</v>
      </c>
      <c r="W490" s="117">
        <v>14534250</v>
      </c>
      <c r="X490" s="110">
        <v>7.8</v>
      </c>
      <c r="Y490" s="117">
        <f t="shared" si="180"/>
        <v>113367150</v>
      </c>
      <c r="Z490" s="117"/>
      <c r="AA490" s="86">
        <v>4.4000000000000004</v>
      </c>
      <c r="AB490" s="661">
        <v>44994</v>
      </c>
      <c r="AC490" s="104">
        <f t="shared" si="181"/>
        <v>8.5534246575342472</v>
      </c>
      <c r="AD490" s="53"/>
      <c r="AF490" s="214"/>
      <c r="AG490" s="215"/>
    </row>
    <row r="491" spans="1:34" s="55" customFormat="1" ht="25.5">
      <c r="A491" s="1472" t="s">
        <v>902</v>
      </c>
      <c r="B491" s="91"/>
      <c r="C491" s="91"/>
      <c r="D491" s="91"/>
      <c r="E491" s="277">
        <v>305</v>
      </c>
      <c r="F491" s="64" t="s">
        <v>232</v>
      </c>
      <c r="G491" s="109" t="s">
        <v>211</v>
      </c>
      <c r="H491" s="399" t="s">
        <v>1350</v>
      </c>
      <c r="I491" s="399" t="s">
        <v>592</v>
      </c>
      <c r="J491" s="319">
        <f t="shared" si="179"/>
        <v>8.3342465753424655</v>
      </c>
      <c r="K491" s="167" t="s">
        <v>465</v>
      </c>
      <c r="L491" s="341">
        <v>37800000</v>
      </c>
      <c r="M491" s="113" t="s">
        <v>466</v>
      </c>
      <c r="N491" s="573">
        <v>96.075000000000003</v>
      </c>
      <c r="O491" s="86">
        <v>6.75</v>
      </c>
      <c r="P491" s="1431" t="s">
        <v>1349</v>
      </c>
      <c r="Q491" s="400"/>
      <c r="R491" s="168"/>
      <c r="S491" s="642">
        <v>41872</v>
      </c>
      <c r="T491" s="642">
        <v>41873</v>
      </c>
      <c r="U491" s="229" t="s">
        <v>683</v>
      </c>
      <c r="V491" s="229"/>
      <c r="W491" s="1494">
        <v>36316350</v>
      </c>
      <c r="X491" s="117">
        <v>7.8</v>
      </c>
      <c r="Y491" s="117">
        <f t="shared" si="180"/>
        <v>283267530</v>
      </c>
      <c r="Z491" s="117"/>
      <c r="AA491" s="423">
        <v>6.125</v>
      </c>
      <c r="AB491" s="661">
        <v>44915</v>
      </c>
      <c r="AC491" s="104">
        <f t="shared" si="181"/>
        <v>8.3369863013698637</v>
      </c>
      <c r="AD491" s="53"/>
      <c r="AF491" s="214"/>
      <c r="AG491" s="215"/>
    </row>
    <row r="492" spans="1:34" s="55" customFormat="1" ht="25.5">
      <c r="A492" s="1472"/>
      <c r="B492" s="91"/>
      <c r="C492" s="91"/>
      <c r="D492" s="91"/>
      <c r="E492" s="277">
        <v>305</v>
      </c>
      <c r="F492" s="64" t="s">
        <v>232</v>
      </c>
      <c r="G492" s="109" t="s">
        <v>211</v>
      </c>
      <c r="H492" s="399" t="s">
        <v>1350</v>
      </c>
      <c r="I492" s="399" t="s">
        <v>592</v>
      </c>
      <c r="J492" s="319">
        <f t="shared" si="179"/>
        <v>8.3342465753424655</v>
      </c>
      <c r="K492" s="167" t="s">
        <v>465</v>
      </c>
      <c r="L492" s="341">
        <v>4200000</v>
      </c>
      <c r="M492" s="113" t="s">
        <v>466</v>
      </c>
      <c r="N492" s="573">
        <v>96.075000000000003</v>
      </c>
      <c r="O492" s="86">
        <v>6.75</v>
      </c>
      <c r="P492" s="1431" t="s">
        <v>1349</v>
      </c>
      <c r="Q492" s="400"/>
      <c r="R492" s="168"/>
      <c r="S492" s="642">
        <v>41872</v>
      </c>
      <c r="T492" s="642">
        <v>41873</v>
      </c>
      <c r="U492" s="229" t="s">
        <v>683</v>
      </c>
      <c r="V492" s="229"/>
      <c r="W492" s="1494">
        <v>4035150</v>
      </c>
      <c r="X492" s="117">
        <v>7.8</v>
      </c>
      <c r="Y492" s="117">
        <f t="shared" si="180"/>
        <v>31474170</v>
      </c>
      <c r="Z492" s="117"/>
      <c r="AA492" s="423">
        <v>6.125</v>
      </c>
      <c r="AB492" s="661">
        <v>44915</v>
      </c>
      <c r="AC492" s="104">
        <f t="shared" si="181"/>
        <v>8.3369863013698637</v>
      </c>
      <c r="AD492" s="53"/>
      <c r="AF492" s="214"/>
      <c r="AG492" s="215"/>
    </row>
    <row r="493" spans="1:34" s="491" customFormat="1" ht="25.5" customHeight="1">
      <c r="A493" s="268" t="s">
        <v>902</v>
      </c>
      <c r="B493" s="494"/>
      <c r="C493" s="494"/>
      <c r="D493" s="494"/>
      <c r="E493" s="494">
        <v>306</v>
      </c>
      <c r="F493" s="309" t="s">
        <v>1263</v>
      </c>
      <c r="G493" s="109" t="s">
        <v>1264</v>
      </c>
      <c r="H493" s="399" t="s">
        <v>192</v>
      </c>
      <c r="I493" s="399" t="s">
        <v>1265</v>
      </c>
      <c r="J493" s="319">
        <f t="shared" si="179"/>
        <v>9.5041095890410965</v>
      </c>
      <c r="K493" s="167" t="s">
        <v>341</v>
      </c>
      <c r="L493" s="493">
        <v>-18000000</v>
      </c>
      <c r="M493" s="167" t="s">
        <v>466</v>
      </c>
      <c r="N493" s="492">
        <v>100</v>
      </c>
      <c r="O493" s="698">
        <v>6</v>
      </c>
      <c r="P493" s="309" t="s">
        <v>1275</v>
      </c>
      <c r="Q493" s="400"/>
      <c r="R493" s="168"/>
      <c r="S493" s="633">
        <v>41878</v>
      </c>
      <c r="T493" s="633">
        <v>41880</v>
      </c>
      <c r="U493" s="495" t="s">
        <v>683</v>
      </c>
      <c r="V493" s="495"/>
      <c r="W493" s="699">
        <v>-18006000</v>
      </c>
      <c r="X493" s="117">
        <v>7.8</v>
      </c>
      <c r="Y493" s="117">
        <f t="shared" si="180"/>
        <v>-140446800</v>
      </c>
      <c r="Z493" s="117"/>
      <c r="AA493" s="423">
        <v>6</v>
      </c>
      <c r="AB493" s="661">
        <v>45349</v>
      </c>
      <c r="AC493" s="104">
        <f t="shared" si="181"/>
        <v>9.5095890410958912</v>
      </c>
      <c r="AD493" s="104" t="s">
        <v>1353</v>
      </c>
      <c r="AF493" s="214"/>
      <c r="AG493" s="215"/>
    </row>
    <row r="494" spans="1:34" s="491" customFormat="1" ht="25.5" customHeight="1">
      <c r="A494" s="268"/>
      <c r="B494" s="494"/>
      <c r="C494" s="494"/>
      <c r="D494" s="494"/>
      <c r="E494" s="494">
        <v>306</v>
      </c>
      <c r="F494" s="309" t="s">
        <v>1263</v>
      </c>
      <c r="G494" s="109" t="s">
        <v>1264</v>
      </c>
      <c r="H494" s="399" t="s">
        <v>192</v>
      </c>
      <c r="I494" s="399" t="s">
        <v>1265</v>
      </c>
      <c r="J494" s="319">
        <f t="shared" si="179"/>
        <v>9.5041095890410965</v>
      </c>
      <c r="K494" s="167" t="s">
        <v>341</v>
      </c>
      <c r="L494" s="1491">
        <v>-2000000</v>
      </c>
      <c r="M494" s="167" t="s">
        <v>466</v>
      </c>
      <c r="N494" s="492">
        <v>100</v>
      </c>
      <c r="O494" s="698">
        <v>6</v>
      </c>
      <c r="P494" s="309" t="s">
        <v>1275</v>
      </c>
      <c r="Q494" s="400"/>
      <c r="R494" s="168"/>
      <c r="S494" s="633">
        <v>41878</v>
      </c>
      <c r="T494" s="633">
        <v>41880</v>
      </c>
      <c r="U494" s="495" t="s">
        <v>683</v>
      </c>
      <c r="V494" s="495"/>
      <c r="W494" s="699">
        <v>-2000666.67</v>
      </c>
      <c r="X494" s="117">
        <v>7.8</v>
      </c>
      <c r="Y494" s="117">
        <f>X494*W494</f>
        <v>-15605200.025999999</v>
      </c>
      <c r="Z494" s="117"/>
      <c r="AA494" s="423">
        <v>6</v>
      </c>
      <c r="AB494" s="661">
        <v>45349</v>
      </c>
      <c r="AC494" s="104">
        <f>(AB494-S494)/365</f>
        <v>9.5095890410958912</v>
      </c>
      <c r="AD494" s="104" t="s">
        <v>1353</v>
      </c>
      <c r="AF494" s="214"/>
      <c r="AG494" s="215"/>
    </row>
    <row r="495" spans="1:34" s="491" customFormat="1" ht="25.5" customHeight="1">
      <c r="A495" s="268" t="s">
        <v>902</v>
      </c>
      <c r="B495" s="494"/>
      <c r="C495" s="494"/>
      <c r="D495" s="494"/>
      <c r="E495" s="494">
        <v>307</v>
      </c>
      <c r="F495" s="309" t="s">
        <v>1263</v>
      </c>
      <c r="G495" s="109" t="s">
        <v>1264</v>
      </c>
      <c r="H495" s="399" t="s">
        <v>192</v>
      </c>
      <c r="I495" s="399" t="s">
        <v>1265</v>
      </c>
      <c r="J495" s="319">
        <f t="shared" ref="J495:J497" si="182">(AB495-T495)/365</f>
        <v>9.4164383561643827</v>
      </c>
      <c r="K495" s="167" t="s">
        <v>341</v>
      </c>
      <c r="L495" s="493">
        <v>-28800000</v>
      </c>
      <c r="M495" s="167" t="s">
        <v>466</v>
      </c>
      <c r="N495" s="492">
        <v>100</v>
      </c>
      <c r="O495" s="698">
        <v>6</v>
      </c>
      <c r="P495" s="309" t="s">
        <v>1275</v>
      </c>
      <c r="Q495" s="400"/>
      <c r="R495" s="168"/>
      <c r="S495" s="633">
        <v>41908</v>
      </c>
      <c r="T495" s="633">
        <v>41912</v>
      </c>
      <c r="U495" s="495" t="s">
        <v>683</v>
      </c>
      <c r="V495" s="495"/>
      <c r="W495" s="699">
        <v>-28958400</v>
      </c>
      <c r="X495" s="117">
        <v>7.8</v>
      </c>
      <c r="Y495" s="117">
        <f t="shared" ref="Y495" si="183">X495*W495</f>
        <v>-225875520</v>
      </c>
      <c r="Z495" s="117"/>
      <c r="AA495" s="423">
        <v>6</v>
      </c>
      <c r="AB495" s="661">
        <v>45349</v>
      </c>
      <c r="AC495" s="104">
        <f t="shared" ref="AC495" si="184">(AB495-S495)/365</f>
        <v>9.4273972602739722</v>
      </c>
      <c r="AD495" s="104" t="s">
        <v>1362</v>
      </c>
      <c r="AF495" s="214"/>
      <c r="AG495" s="215"/>
    </row>
    <row r="496" spans="1:34" s="491" customFormat="1" ht="25.5" customHeight="1">
      <c r="A496" s="268"/>
      <c r="B496" s="494"/>
      <c r="C496" s="494"/>
      <c r="D496" s="494"/>
      <c r="E496" s="494">
        <v>307</v>
      </c>
      <c r="F496" s="309" t="s">
        <v>1263</v>
      </c>
      <c r="G496" s="109" t="s">
        <v>1264</v>
      </c>
      <c r="H496" s="399" t="s">
        <v>192</v>
      </c>
      <c r="I496" s="399" t="s">
        <v>1265</v>
      </c>
      <c r="J496" s="319">
        <f t="shared" si="182"/>
        <v>9.4164383561643827</v>
      </c>
      <c r="K496" s="167" t="s">
        <v>341</v>
      </c>
      <c r="L496" s="1491">
        <v>-3200000</v>
      </c>
      <c r="M496" s="167" t="s">
        <v>466</v>
      </c>
      <c r="N496" s="492">
        <v>100</v>
      </c>
      <c r="O496" s="698">
        <v>6</v>
      </c>
      <c r="P496" s="309" t="s">
        <v>1275</v>
      </c>
      <c r="Q496" s="400"/>
      <c r="R496" s="168"/>
      <c r="S496" s="633">
        <v>41908</v>
      </c>
      <c r="T496" s="633">
        <v>41912</v>
      </c>
      <c r="U496" s="495" t="s">
        <v>683</v>
      </c>
      <c r="V496" s="495"/>
      <c r="W496" s="699">
        <v>-3217600</v>
      </c>
      <c r="X496" s="117">
        <v>7.8</v>
      </c>
      <c r="Y496" s="117">
        <f>X496*W496</f>
        <v>-25097280</v>
      </c>
      <c r="Z496" s="117"/>
      <c r="AA496" s="423">
        <v>6</v>
      </c>
      <c r="AB496" s="661">
        <v>45349</v>
      </c>
      <c r="AC496" s="104">
        <f>(AB496-S496)/365</f>
        <v>9.4273972602739722</v>
      </c>
      <c r="AD496" s="104" t="s">
        <v>1362</v>
      </c>
      <c r="AF496" s="214"/>
      <c r="AG496" s="215"/>
    </row>
    <row r="497" spans="1:33" s="74" customFormat="1" ht="13.5" customHeight="1">
      <c r="A497" s="268" t="s">
        <v>902</v>
      </c>
      <c r="B497" s="494"/>
      <c r="C497" s="494"/>
      <c r="D497" s="494"/>
      <c r="E497" s="494">
        <v>308</v>
      </c>
      <c r="F497" s="309" t="s">
        <v>1309</v>
      </c>
      <c r="G497" s="109" t="s">
        <v>1310</v>
      </c>
      <c r="H497" s="399" t="s">
        <v>192</v>
      </c>
      <c r="I497" s="399" t="s">
        <v>421</v>
      </c>
      <c r="J497" s="319">
        <f t="shared" si="182"/>
        <v>19.649315068493152</v>
      </c>
      <c r="K497" s="167" t="s">
        <v>465</v>
      </c>
      <c r="L497" s="493">
        <v>27000000</v>
      </c>
      <c r="M497" s="167" t="s">
        <v>466</v>
      </c>
      <c r="N497" s="492">
        <v>103.61499999999999</v>
      </c>
      <c r="O497" s="492">
        <v>6.1300410000000003</v>
      </c>
      <c r="P497" s="309" t="s">
        <v>1311</v>
      </c>
      <c r="Q497" s="400" t="s">
        <v>1312</v>
      </c>
      <c r="R497" s="1493" t="s">
        <v>1313</v>
      </c>
      <c r="S497" s="633">
        <v>41929</v>
      </c>
      <c r="T497" s="633">
        <v>41934</v>
      </c>
      <c r="U497" s="495" t="s">
        <v>683</v>
      </c>
      <c r="V497" s="495"/>
      <c r="W497" s="699">
        <v>28609762.5</v>
      </c>
      <c r="X497" s="117">
        <v>7.8</v>
      </c>
      <c r="Y497" s="117">
        <f>X497*W497</f>
        <v>223156147.5</v>
      </c>
      <c r="Z497" s="117"/>
      <c r="AA497" s="423">
        <v>6.45</v>
      </c>
      <c r="AB497" s="661">
        <v>49106</v>
      </c>
      <c r="AC497" s="104">
        <f>(AB497-S497)/365</f>
        <v>19.663013698630138</v>
      </c>
    </row>
    <row r="498" spans="1:33" s="74" customFormat="1">
      <c r="A498" s="268"/>
      <c r="B498" s="494"/>
      <c r="C498" s="494"/>
      <c r="D498" s="494"/>
      <c r="E498" s="494">
        <v>308</v>
      </c>
      <c r="F498" s="309" t="s">
        <v>1309</v>
      </c>
      <c r="G498" s="109" t="s">
        <v>1310</v>
      </c>
      <c r="H498" s="399" t="s">
        <v>192</v>
      </c>
      <c r="I498" s="399" t="s">
        <v>421</v>
      </c>
      <c r="J498" s="319">
        <f>(AB498-T498)/365</f>
        <v>19.649315068493152</v>
      </c>
      <c r="K498" s="167" t="s">
        <v>465</v>
      </c>
      <c r="L498" s="493">
        <v>3000000</v>
      </c>
      <c r="M498" s="167" t="s">
        <v>466</v>
      </c>
      <c r="N498" s="492">
        <v>103.61499999999999</v>
      </c>
      <c r="O498" s="492">
        <v>6.1300410000000003</v>
      </c>
      <c r="P498" s="309" t="s">
        <v>1311</v>
      </c>
      <c r="Q498" s="400" t="s">
        <v>1312</v>
      </c>
      <c r="R498" s="1493" t="s">
        <v>1313</v>
      </c>
      <c r="S498" s="633">
        <v>41929</v>
      </c>
      <c r="T498" s="633">
        <v>41934</v>
      </c>
      <c r="U498" s="495" t="s">
        <v>683</v>
      </c>
      <c r="V498" s="495"/>
      <c r="W498" s="699">
        <v>3178862.5</v>
      </c>
      <c r="X498" s="117">
        <v>7.8</v>
      </c>
      <c r="Y498" s="117">
        <f>X498*W498</f>
        <v>24795127.5</v>
      </c>
      <c r="Z498" s="117"/>
      <c r="AA498" s="423">
        <v>6.45</v>
      </c>
      <c r="AB498" s="661">
        <v>49106</v>
      </c>
      <c r="AC498" s="104">
        <f>(AB498-S498)/365</f>
        <v>19.663013698630138</v>
      </c>
    </row>
    <row r="499" spans="1:33" s="491" customFormat="1" ht="18" customHeight="1">
      <c r="A499" s="1495" t="s">
        <v>902</v>
      </c>
      <c r="B499" s="494"/>
      <c r="C499" s="494"/>
      <c r="D499" s="494"/>
      <c r="E499" s="494">
        <v>309</v>
      </c>
      <c r="F499" s="309" t="s">
        <v>1370</v>
      </c>
      <c r="G499" s="64" t="s">
        <v>1371</v>
      </c>
      <c r="H499" s="86"/>
      <c r="I499" s="86"/>
      <c r="J499" s="1432"/>
      <c r="K499" s="167" t="s">
        <v>465</v>
      </c>
      <c r="L499" s="493">
        <v>2205000000</v>
      </c>
      <c r="M499" s="167" t="s">
        <v>1271</v>
      </c>
      <c r="N499" s="492">
        <v>100</v>
      </c>
      <c r="O499" s="1496">
        <v>6.1</v>
      </c>
      <c r="P499" s="309" t="s">
        <v>1073</v>
      </c>
      <c r="Q499" s="1497" t="s">
        <v>1074</v>
      </c>
      <c r="R499" s="166" t="s">
        <v>1075</v>
      </c>
      <c r="S499" s="633">
        <v>41934</v>
      </c>
      <c r="T499" s="633">
        <v>41940</v>
      </c>
      <c r="U499" s="495" t="s">
        <v>683</v>
      </c>
      <c r="V499" s="495"/>
      <c r="W499" s="493">
        <v>2205000000</v>
      </c>
      <c r="X499" s="117">
        <v>1</v>
      </c>
      <c r="Y499" s="117">
        <f t="shared" ref="Y499" si="185">X499*W499</f>
        <v>2205000000</v>
      </c>
      <c r="Z499" s="117"/>
      <c r="AA499" s="423">
        <v>6.1</v>
      </c>
      <c r="AB499" s="661">
        <v>47419</v>
      </c>
      <c r="AC499" s="104">
        <f t="shared" ref="AC499" si="186">(AB499-S499)/365</f>
        <v>15.027397260273972</v>
      </c>
      <c r="AD499" s="104"/>
      <c r="AF499" s="214"/>
      <c r="AG499" s="215"/>
    </row>
    <row r="500" spans="1:33" s="491" customFormat="1" ht="18" customHeight="1">
      <c r="A500" s="1495"/>
      <c r="B500" s="494"/>
      <c r="C500" s="494"/>
      <c r="D500" s="494"/>
      <c r="E500" s="494">
        <v>309</v>
      </c>
      <c r="F500" s="309" t="s">
        <v>1370</v>
      </c>
      <c r="G500" s="64" t="s">
        <v>1371</v>
      </c>
      <c r="H500" s="86"/>
      <c r="I500" s="86"/>
      <c r="J500" s="1432"/>
      <c r="K500" s="167" t="s">
        <v>465</v>
      </c>
      <c r="L500" s="1491">
        <v>245000000</v>
      </c>
      <c r="M500" s="167" t="s">
        <v>1271</v>
      </c>
      <c r="N500" s="492">
        <v>100</v>
      </c>
      <c r="O500" s="1496">
        <v>6.1</v>
      </c>
      <c r="P500" s="309" t="s">
        <v>1073</v>
      </c>
      <c r="Q500" s="1497" t="s">
        <v>1074</v>
      </c>
      <c r="R500" s="166" t="s">
        <v>1075</v>
      </c>
      <c r="S500" s="633">
        <v>41934</v>
      </c>
      <c r="T500" s="633">
        <v>41940</v>
      </c>
      <c r="U500" s="495" t="s">
        <v>683</v>
      </c>
      <c r="V500" s="495"/>
      <c r="W500" s="1491">
        <v>245000000</v>
      </c>
      <c r="X500" s="117">
        <v>1</v>
      </c>
      <c r="Y500" s="117">
        <f>X500*W500</f>
        <v>245000000</v>
      </c>
      <c r="Z500" s="117"/>
      <c r="AA500" s="423">
        <v>6.1</v>
      </c>
      <c r="AB500" s="661">
        <v>47419</v>
      </c>
      <c r="AC500" s="104">
        <f>(AB500-S500)/365</f>
        <v>15.027397260273972</v>
      </c>
      <c r="AD500" s="104"/>
      <c r="AF500" s="214"/>
      <c r="AG500" s="215"/>
    </row>
    <row r="501" spans="1:33" s="491" customFormat="1" ht="25.5" customHeight="1">
      <c r="A501" s="268" t="s">
        <v>902</v>
      </c>
      <c r="B501" s="494"/>
      <c r="C501" s="494"/>
      <c r="D501" s="494"/>
      <c r="E501" s="494">
        <v>310</v>
      </c>
      <c r="F501" s="309" t="s">
        <v>1263</v>
      </c>
      <c r="G501" s="109" t="s">
        <v>1264</v>
      </c>
      <c r="H501" s="399" t="s">
        <v>192</v>
      </c>
      <c r="I501" s="399" t="s">
        <v>1265</v>
      </c>
      <c r="J501" s="319">
        <f t="shared" ref="J501:J502" si="187">(AB501-T501)/365</f>
        <v>9.3506849315068497</v>
      </c>
      <c r="K501" s="167" t="s">
        <v>341</v>
      </c>
      <c r="L501" s="493">
        <v>-12600000</v>
      </c>
      <c r="M501" s="167" t="s">
        <v>466</v>
      </c>
      <c r="N501" s="492">
        <v>100</v>
      </c>
      <c r="O501" s="698">
        <v>6</v>
      </c>
      <c r="P501" s="309" t="s">
        <v>1275</v>
      </c>
      <c r="Q501" s="400"/>
      <c r="R501" s="168"/>
      <c r="S501" s="633">
        <v>41934</v>
      </c>
      <c r="T501" s="633">
        <v>41936</v>
      </c>
      <c r="U501" s="495" t="s">
        <v>683</v>
      </c>
      <c r="V501" s="495"/>
      <c r="W501" s="699">
        <v>-12719700</v>
      </c>
      <c r="X501" s="117">
        <v>7.8</v>
      </c>
      <c r="Y501" s="117">
        <f t="shared" ref="Y501" si="188">X501*W501</f>
        <v>-99213660</v>
      </c>
      <c r="Z501" s="117"/>
      <c r="AA501" s="423">
        <v>6</v>
      </c>
      <c r="AB501" s="661">
        <v>45349</v>
      </c>
      <c r="AC501" s="104">
        <f t="shared" ref="AC501" si="189">(AB501-S501)/365</f>
        <v>9.3561643835616444</v>
      </c>
      <c r="AD501" s="104" t="s">
        <v>1317</v>
      </c>
      <c r="AF501" s="214"/>
      <c r="AG501" s="215"/>
    </row>
    <row r="502" spans="1:33" s="491" customFormat="1" ht="25.5" customHeight="1">
      <c r="A502" s="268"/>
      <c r="B502" s="494"/>
      <c r="C502" s="494"/>
      <c r="D502" s="494"/>
      <c r="E502" s="494">
        <v>310</v>
      </c>
      <c r="F502" s="309" t="s">
        <v>1263</v>
      </c>
      <c r="G502" s="109" t="s">
        <v>1264</v>
      </c>
      <c r="H502" s="399" t="s">
        <v>192</v>
      </c>
      <c r="I502" s="399" t="s">
        <v>1265</v>
      </c>
      <c r="J502" s="319">
        <f t="shared" si="187"/>
        <v>9.3506849315068497</v>
      </c>
      <c r="K502" s="167" t="s">
        <v>341</v>
      </c>
      <c r="L502" s="1491">
        <v>-1400000</v>
      </c>
      <c r="M502" s="167" t="s">
        <v>466</v>
      </c>
      <c r="N502" s="492">
        <v>100</v>
      </c>
      <c r="O502" s="698">
        <v>6</v>
      </c>
      <c r="P502" s="309" t="s">
        <v>1275</v>
      </c>
      <c r="Q502" s="400"/>
      <c r="R502" s="168"/>
      <c r="S502" s="633">
        <v>41934</v>
      </c>
      <c r="T502" s="633">
        <v>41936</v>
      </c>
      <c r="U502" s="495" t="s">
        <v>683</v>
      </c>
      <c r="V502" s="495"/>
      <c r="W502" s="699">
        <v>-1413300</v>
      </c>
      <c r="X502" s="117">
        <v>7.8</v>
      </c>
      <c r="Y502" s="117">
        <f>X502*W502</f>
        <v>-11023740</v>
      </c>
      <c r="Z502" s="117"/>
      <c r="AA502" s="423">
        <v>6</v>
      </c>
      <c r="AB502" s="661">
        <v>45349</v>
      </c>
      <c r="AC502" s="104">
        <f>(AB502-S502)/365</f>
        <v>9.3561643835616444</v>
      </c>
      <c r="AD502" s="104" t="s">
        <v>1317</v>
      </c>
      <c r="AF502" s="214"/>
      <c r="AG502" s="215"/>
    </row>
    <row r="503" spans="1:33" s="491" customFormat="1" ht="25.5" customHeight="1">
      <c r="A503" s="268" t="s">
        <v>902</v>
      </c>
      <c r="B503" s="494"/>
      <c r="C503" s="494"/>
      <c r="D503" s="494"/>
      <c r="E503" s="494">
        <v>311</v>
      </c>
      <c r="F503" s="309" t="s">
        <v>1263</v>
      </c>
      <c r="G503" s="109" t="s">
        <v>1264</v>
      </c>
      <c r="H503" s="399" t="s">
        <v>192</v>
      </c>
      <c r="I503" s="399" t="s">
        <v>1265</v>
      </c>
      <c r="J503" s="319">
        <f t="shared" ref="J503:J508" si="190">(AB503-T503)/365</f>
        <v>9.3506849315068497</v>
      </c>
      <c r="K503" s="167" t="s">
        <v>341</v>
      </c>
      <c r="L503" s="493">
        <v>-12600000</v>
      </c>
      <c r="M503" s="167" t="s">
        <v>466</v>
      </c>
      <c r="N503" s="492">
        <v>100</v>
      </c>
      <c r="O503" s="698">
        <v>6</v>
      </c>
      <c r="P503" s="309" t="s">
        <v>1275</v>
      </c>
      <c r="Q503" s="400"/>
      <c r="R503" s="168"/>
      <c r="S503" s="633">
        <v>41934</v>
      </c>
      <c r="T503" s="633">
        <v>41936</v>
      </c>
      <c r="U503" s="495" t="s">
        <v>683</v>
      </c>
      <c r="V503" s="495"/>
      <c r="W503" s="699">
        <v>-12719700</v>
      </c>
      <c r="X503" s="117">
        <v>7.8</v>
      </c>
      <c r="Y503" s="117">
        <f t="shared" ref="Y503" si="191">X503*W503</f>
        <v>-99213660</v>
      </c>
      <c r="Z503" s="117"/>
      <c r="AA503" s="423">
        <v>6</v>
      </c>
      <c r="AB503" s="661">
        <v>45349</v>
      </c>
      <c r="AC503" s="104">
        <f t="shared" ref="AC503" si="192">(AB503-S503)/365</f>
        <v>9.3561643835616444</v>
      </c>
      <c r="AD503" s="104" t="s">
        <v>1317</v>
      </c>
      <c r="AF503" s="214"/>
      <c r="AG503" s="215"/>
    </row>
    <row r="504" spans="1:33" s="491" customFormat="1" ht="25.5" customHeight="1">
      <c r="A504" s="268"/>
      <c r="B504" s="494"/>
      <c r="C504" s="494"/>
      <c r="D504" s="494"/>
      <c r="E504" s="494">
        <v>311</v>
      </c>
      <c r="F504" s="309" t="s">
        <v>1263</v>
      </c>
      <c r="G504" s="109" t="s">
        <v>1264</v>
      </c>
      <c r="H504" s="399" t="s">
        <v>192</v>
      </c>
      <c r="I504" s="399" t="s">
        <v>1265</v>
      </c>
      <c r="J504" s="319">
        <f t="shared" si="190"/>
        <v>9.3506849315068497</v>
      </c>
      <c r="K504" s="167" t="s">
        <v>341</v>
      </c>
      <c r="L504" s="1491">
        <v>-1400000</v>
      </c>
      <c r="M504" s="167" t="s">
        <v>466</v>
      </c>
      <c r="N504" s="492">
        <v>100</v>
      </c>
      <c r="O504" s="698">
        <v>6</v>
      </c>
      <c r="P504" s="309" t="s">
        <v>1275</v>
      </c>
      <c r="Q504" s="400"/>
      <c r="R504" s="168"/>
      <c r="S504" s="633">
        <v>41934</v>
      </c>
      <c r="T504" s="633">
        <v>41936</v>
      </c>
      <c r="U504" s="495" t="s">
        <v>683</v>
      </c>
      <c r="V504" s="495"/>
      <c r="W504" s="699">
        <v>-1413300</v>
      </c>
      <c r="X504" s="117">
        <v>7.8</v>
      </c>
      <c r="Y504" s="117">
        <f>X504*W504</f>
        <v>-11023740</v>
      </c>
      <c r="Z504" s="117"/>
      <c r="AA504" s="423">
        <v>6</v>
      </c>
      <c r="AB504" s="661">
        <v>45349</v>
      </c>
      <c r="AC504" s="104">
        <f>(AB504-S504)/365</f>
        <v>9.3561643835616444</v>
      </c>
      <c r="AD504" s="104" t="s">
        <v>1317</v>
      </c>
      <c r="AF504" s="214"/>
      <c r="AG504" s="215"/>
    </row>
    <row r="505" spans="1:33" s="491" customFormat="1" ht="25.5" customHeight="1">
      <c r="A505" s="268" t="s">
        <v>902</v>
      </c>
      <c r="B505" s="494"/>
      <c r="C505" s="494"/>
      <c r="D505" s="494"/>
      <c r="E505" s="494">
        <v>312</v>
      </c>
      <c r="F505" s="309" t="s">
        <v>1263</v>
      </c>
      <c r="G505" s="109" t="s">
        <v>1264</v>
      </c>
      <c r="H505" s="399" t="s">
        <v>192</v>
      </c>
      <c r="I505" s="399" t="s">
        <v>1265</v>
      </c>
      <c r="J505" s="319">
        <f t="shared" si="190"/>
        <v>9.3780821917808215</v>
      </c>
      <c r="K505" s="167" t="s">
        <v>341</v>
      </c>
      <c r="L505" s="493">
        <v>-24300000</v>
      </c>
      <c r="M505" s="167" t="s">
        <v>466</v>
      </c>
      <c r="N505" s="492">
        <v>100</v>
      </c>
      <c r="O505" s="698">
        <v>6</v>
      </c>
      <c r="P505" s="309" t="s">
        <v>1275</v>
      </c>
      <c r="Q505" s="400"/>
      <c r="R505" s="168"/>
      <c r="S505" s="633">
        <v>41922</v>
      </c>
      <c r="T505" s="633">
        <v>41926</v>
      </c>
      <c r="U505" s="495" t="s">
        <v>683</v>
      </c>
      <c r="V505" s="495"/>
      <c r="W505" s="699">
        <v>-24490350</v>
      </c>
      <c r="X505" s="117">
        <v>7.8</v>
      </c>
      <c r="Y505" s="117">
        <f t="shared" ref="Y505" si="193">X505*W505</f>
        <v>-191024730</v>
      </c>
      <c r="Z505" s="117"/>
      <c r="AA505" s="423">
        <v>6</v>
      </c>
      <c r="AB505" s="661">
        <v>45349</v>
      </c>
      <c r="AC505" s="104">
        <f t="shared" ref="AC505" si="194">(AB505-S505)/365</f>
        <v>9.3890410958904109</v>
      </c>
      <c r="AD505" s="104" t="s">
        <v>1297</v>
      </c>
      <c r="AF505" s="214"/>
      <c r="AG505" s="215"/>
    </row>
    <row r="506" spans="1:33" s="491" customFormat="1" ht="25.5" customHeight="1">
      <c r="A506" s="268"/>
      <c r="B506" s="494"/>
      <c r="C506" s="494"/>
      <c r="D506" s="494"/>
      <c r="E506" s="494">
        <v>312</v>
      </c>
      <c r="F506" s="309" t="s">
        <v>1263</v>
      </c>
      <c r="G506" s="109" t="s">
        <v>1264</v>
      </c>
      <c r="H506" s="399" t="s">
        <v>192</v>
      </c>
      <c r="I506" s="399" t="s">
        <v>1265</v>
      </c>
      <c r="J506" s="319">
        <f t="shared" si="190"/>
        <v>9.3780821917808215</v>
      </c>
      <c r="K506" s="167" t="s">
        <v>341</v>
      </c>
      <c r="L506" s="1491">
        <v>-2700000</v>
      </c>
      <c r="M506" s="167" t="s">
        <v>466</v>
      </c>
      <c r="N506" s="492">
        <v>100</v>
      </c>
      <c r="O506" s="698">
        <v>6</v>
      </c>
      <c r="P506" s="309" t="s">
        <v>1275</v>
      </c>
      <c r="Q506" s="400"/>
      <c r="R506" s="168"/>
      <c r="S506" s="633">
        <v>41922</v>
      </c>
      <c r="T506" s="633">
        <v>41926</v>
      </c>
      <c r="U506" s="495" t="s">
        <v>683</v>
      </c>
      <c r="V506" s="495"/>
      <c r="W506" s="699">
        <v>-2721150</v>
      </c>
      <c r="X506" s="117">
        <v>7.8</v>
      </c>
      <c r="Y506" s="117">
        <f>X506*W506</f>
        <v>-21224970</v>
      </c>
      <c r="Z506" s="117"/>
      <c r="AA506" s="423">
        <v>6</v>
      </c>
      <c r="AB506" s="661">
        <v>45349</v>
      </c>
      <c r="AC506" s="104">
        <f>(AB506-S506)/365</f>
        <v>9.3890410958904109</v>
      </c>
      <c r="AD506" s="104" t="s">
        <v>1297</v>
      </c>
      <c r="AF506" s="214"/>
      <c r="AG506" s="215"/>
    </row>
    <row r="507" spans="1:33" s="491" customFormat="1" ht="18" customHeight="1">
      <c r="A507" s="1495" t="s">
        <v>902</v>
      </c>
      <c r="B507" s="494"/>
      <c r="C507" s="494"/>
      <c r="D507" s="494"/>
      <c r="E507" s="494">
        <v>313</v>
      </c>
      <c r="F507" s="309" t="s">
        <v>1381</v>
      </c>
      <c r="G507" s="64" t="s">
        <v>1380</v>
      </c>
      <c r="H507" s="86" t="s">
        <v>79</v>
      </c>
      <c r="I507" s="86" t="s">
        <v>52</v>
      </c>
      <c r="J507" s="319">
        <f t="shared" si="190"/>
        <v>15.010958904109589</v>
      </c>
      <c r="K507" s="167" t="s">
        <v>465</v>
      </c>
      <c r="L507" s="493">
        <v>2070000000</v>
      </c>
      <c r="M507" s="167" t="s">
        <v>1271</v>
      </c>
      <c r="N507" s="492">
        <v>99.027000000000001</v>
      </c>
      <c r="O507" s="1496">
        <v>6.2</v>
      </c>
      <c r="P507" s="309" t="s">
        <v>938</v>
      </c>
      <c r="Q507" s="1497" t="s">
        <v>342</v>
      </c>
      <c r="R507" s="166" t="s">
        <v>343</v>
      </c>
      <c r="S507" s="633">
        <v>41967</v>
      </c>
      <c r="T507" s="633">
        <v>41971</v>
      </c>
      <c r="U507" s="495" t="s">
        <v>683</v>
      </c>
      <c r="V507" s="495"/>
      <c r="W507" s="493">
        <v>2070000000</v>
      </c>
      <c r="X507" s="117">
        <v>1</v>
      </c>
      <c r="Y507" s="117">
        <f t="shared" ref="Y507" si="195">X507*W507</f>
        <v>2070000000</v>
      </c>
      <c r="Z507" s="117"/>
      <c r="AA507" s="423">
        <v>6.1</v>
      </c>
      <c r="AB507" s="661">
        <v>47450</v>
      </c>
      <c r="AC507" s="104">
        <f t="shared" ref="AC507" si="196">(AB507-S507)/365</f>
        <v>15.021917808219179</v>
      </c>
      <c r="AD507" s="104"/>
      <c r="AF507" s="214"/>
      <c r="AG507" s="215"/>
    </row>
    <row r="508" spans="1:33" s="491" customFormat="1" ht="18" customHeight="1">
      <c r="A508" s="1495"/>
      <c r="B508" s="494"/>
      <c r="C508" s="494"/>
      <c r="D508" s="494"/>
      <c r="E508" s="494">
        <v>313</v>
      </c>
      <c r="F508" s="309" t="s">
        <v>1381</v>
      </c>
      <c r="G508" s="64" t="s">
        <v>1380</v>
      </c>
      <c r="H508" s="86" t="s">
        <v>79</v>
      </c>
      <c r="I508" s="86" t="s">
        <v>52</v>
      </c>
      <c r="J508" s="319">
        <f t="shared" si="190"/>
        <v>15.010958904109589</v>
      </c>
      <c r="K508" s="167" t="s">
        <v>465</v>
      </c>
      <c r="L508" s="1491">
        <v>230000000</v>
      </c>
      <c r="M508" s="167" t="s">
        <v>1271</v>
      </c>
      <c r="N508" s="492">
        <v>99.027000000000001</v>
      </c>
      <c r="O508" s="1496">
        <v>6.2</v>
      </c>
      <c r="P508" s="309" t="s">
        <v>938</v>
      </c>
      <c r="Q508" s="1497" t="s">
        <v>342</v>
      </c>
      <c r="R508" s="166" t="s">
        <v>343</v>
      </c>
      <c r="S508" s="633">
        <v>41967</v>
      </c>
      <c r="T508" s="633">
        <v>41971</v>
      </c>
      <c r="U508" s="495" t="s">
        <v>683</v>
      </c>
      <c r="V508" s="495"/>
      <c r="W508" s="1491">
        <v>230000000</v>
      </c>
      <c r="X508" s="117">
        <v>1</v>
      </c>
      <c r="Y508" s="117">
        <f>X508*W508</f>
        <v>230000000</v>
      </c>
      <c r="Z508" s="117"/>
      <c r="AA508" s="423">
        <v>6.1</v>
      </c>
      <c r="AB508" s="661">
        <v>47450</v>
      </c>
      <c r="AC508" s="104">
        <f>(AB508-S508)/365</f>
        <v>15.021917808219179</v>
      </c>
      <c r="AD508" s="104"/>
      <c r="AF508" s="214"/>
      <c r="AG508" s="215"/>
    </row>
    <row r="509" spans="1:33" s="890" customFormat="1" ht="18" customHeight="1">
      <c r="A509" s="1445" t="s">
        <v>902</v>
      </c>
      <c r="B509" s="873"/>
      <c r="C509" s="873"/>
      <c r="D509" s="873"/>
      <c r="E509" s="873">
        <v>314</v>
      </c>
      <c r="F509" s="874" t="s">
        <v>1384</v>
      </c>
      <c r="G509" s="1278" t="s">
        <v>1383</v>
      </c>
      <c r="H509" s="881"/>
      <c r="I509" s="881"/>
      <c r="J509" s="876">
        <f t="shared" ref="J509:J512" si="197">(AB509-T509)/365</f>
        <v>5.0027397260273974</v>
      </c>
      <c r="K509" s="877" t="s">
        <v>465</v>
      </c>
      <c r="L509" s="878">
        <v>1800000000</v>
      </c>
      <c r="M509" s="877" t="s">
        <v>1271</v>
      </c>
      <c r="N509" s="879">
        <v>99.872</v>
      </c>
      <c r="O509" s="1446">
        <v>6.1800860000000002</v>
      </c>
      <c r="P509" s="874" t="s">
        <v>1175</v>
      </c>
      <c r="Q509" s="1447" t="s">
        <v>1176</v>
      </c>
      <c r="R509" s="1448" t="s">
        <v>1177</v>
      </c>
      <c r="S509" s="883">
        <v>42011</v>
      </c>
      <c r="T509" s="883">
        <v>42020</v>
      </c>
      <c r="U509" s="884" t="s">
        <v>683</v>
      </c>
      <c r="V509" s="884"/>
      <c r="W509" s="878">
        <v>1797696000</v>
      </c>
      <c r="X509" s="886">
        <v>1</v>
      </c>
      <c r="Y509" s="886">
        <f t="shared" ref="Y509" si="198">X509*W509</f>
        <v>1797696000</v>
      </c>
      <c r="Z509" s="886">
        <f>2000000000*0.0615/12</f>
        <v>10250000</v>
      </c>
      <c r="AA509" s="887">
        <v>6.15</v>
      </c>
      <c r="AB509" s="888">
        <v>43846</v>
      </c>
      <c r="AC509" s="889">
        <f t="shared" ref="AC509" si="199">(AB509-S509)/365</f>
        <v>5.0273972602739727</v>
      </c>
      <c r="AD509" s="889"/>
      <c r="AF509" s="891"/>
      <c r="AG509" s="892"/>
    </row>
    <row r="510" spans="1:33" s="890" customFormat="1" ht="18" customHeight="1">
      <c r="A510" s="1445"/>
      <c r="B510" s="873"/>
      <c r="C510" s="873"/>
      <c r="D510" s="873"/>
      <c r="E510" s="873">
        <v>314</v>
      </c>
      <c r="F510" s="874" t="s">
        <v>1384</v>
      </c>
      <c r="G510" s="1278" t="s">
        <v>1383</v>
      </c>
      <c r="H510" s="881"/>
      <c r="I510" s="881"/>
      <c r="J510" s="876">
        <f t="shared" si="197"/>
        <v>5.0027397260273974</v>
      </c>
      <c r="K510" s="877" t="s">
        <v>465</v>
      </c>
      <c r="L510" s="1078">
        <v>200000000</v>
      </c>
      <c r="M510" s="877" t="s">
        <v>1271</v>
      </c>
      <c r="N510" s="879">
        <v>99.872</v>
      </c>
      <c r="O510" s="1446">
        <v>6.1800860000000002</v>
      </c>
      <c r="P510" s="874" t="s">
        <v>1175</v>
      </c>
      <c r="Q510" s="1447" t="s">
        <v>1176</v>
      </c>
      <c r="R510" s="1448" t="s">
        <v>1177</v>
      </c>
      <c r="S510" s="883">
        <v>42011</v>
      </c>
      <c r="T510" s="883">
        <v>42020</v>
      </c>
      <c r="U510" s="884" t="s">
        <v>683</v>
      </c>
      <c r="V510" s="884"/>
      <c r="W510" s="1078">
        <v>199744000</v>
      </c>
      <c r="X510" s="886">
        <v>1</v>
      </c>
      <c r="Y510" s="886">
        <f>X510*W510</f>
        <v>199744000</v>
      </c>
      <c r="Z510" s="886"/>
      <c r="AA510" s="887">
        <v>6.15</v>
      </c>
      <c r="AB510" s="888">
        <v>43846</v>
      </c>
      <c r="AC510" s="889">
        <f>(AB510-S510)/365</f>
        <v>5.0273972602739727</v>
      </c>
      <c r="AD510" s="889"/>
      <c r="AF510" s="891"/>
      <c r="AG510" s="892"/>
    </row>
    <row r="511" spans="1:33" s="696" customFormat="1" ht="18" customHeight="1">
      <c r="A511" s="1498" t="s">
        <v>902</v>
      </c>
      <c r="B511" s="690"/>
      <c r="C511" s="690"/>
      <c r="D511" s="690"/>
      <c r="E511" s="690">
        <v>315</v>
      </c>
      <c r="F511" s="691" t="s">
        <v>1385</v>
      </c>
      <c r="G511" s="542" t="s">
        <v>1386</v>
      </c>
      <c r="H511" s="550" t="s">
        <v>79</v>
      </c>
      <c r="I511" s="550" t="s">
        <v>52</v>
      </c>
      <c r="J511" s="545">
        <f t="shared" si="197"/>
        <v>12.008219178082191</v>
      </c>
      <c r="K511" s="546" t="s">
        <v>465</v>
      </c>
      <c r="L511" s="692">
        <v>360000000</v>
      </c>
      <c r="M511" s="546" t="s">
        <v>466</v>
      </c>
      <c r="N511" s="693">
        <v>98.736999999999995</v>
      </c>
      <c r="O511" s="1499">
        <v>6.1</v>
      </c>
      <c r="P511" s="691" t="s">
        <v>712</v>
      </c>
      <c r="Q511" s="1500" t="s">
        <v>713</v>
      </c>
      <c r="R511" s="1501" t="s">
        <v>714</v>
      </c>
      <c r="S511" s="1502">
        <v>42032</v>
      </c>
      <c r="T511" s="1502">
        <v>42039</v>
      </c>
      <c r="U511" s="695" t="s">
        <v>683</v>
      </c>
      <c r="V511" s="695"/>
      <c r="W511" s="692">
        <v>355453200</v>
      </c>
      <c r="X511" s="555">
        <v>7.8</v>
      </c>
      <c r="Y511" s="555">
        <f t="shared" ref="Y511" si="200">X511*W511</f>
        <v>2772534960</v>
      </c>
      <c r="Z511" s="555">
        <f>300000000*7.78*0.061/12</f>
        <v>11864500</v>
      </c>
      <c r="AA511" s="556">
        <v>6.1</v>
      </c>
      <c r="AB511" s="686">
        <v>46422</v>
      </c>
      <c r="AC511" s="557">
        <f t="shared" ref="AC511" si="201">(AB511-S511)/365</f>
        <v>12.027397260273972</v>
      </c>
      <c r="AD511" s="557"/>
      <c r="AF511" s="559"/>
      <c r="AG511" s="560"/>
    </row>
    <row r="512" spans="1:33" s="696" customFormat="1" ht="18" customHeight="1">
      <c r="A512" s="1498"/>
      <c r="B512" s="690"/>
      <c r="C512" s="690"/>
      <c r="D512" s="690"/>
      <c r="E512" s="690">
        <v>315</v>
      </c>
      <c r="F512" s="691" t="s">
        <v>1385</v>
      </c>
      <c r="G512" s="542" t="s">
        <v>1386</v>
      </c>
      <c r="H512" s="550" t="s">
        <v>79</v>
      </c>
      <c r="I512" s="550" t="s">
        <v>52</v>
      </c>
      <c r="J512" s="545">
        <f t="shared" si="197"/>
        <v>12.008219178082191</v>
      </c>
      <c r="K512" s="546" t="s">
        <v>465</v>
      </c>
      <c r="L512" s="1503">
        <v>40000000</v>
      </c>
      <c r="M512" s="546" t="s">
        <v>466</v>
      </c>
      <c r="N512" s="693">
        <v>98.736999999999995</v>
      </c>
      <c r="O512" s="1499">
        <v>6.1</v>
      </c>
      <c r="P512" s="691" t="s">
        <v>712</v>
      </c>
      <c r="Q512" s="1500" t="s">
        <v>713</v>
      </c>
      <c r="R512" s="1501" t="s">
        <v>714</v>
      </c>
      <c r="S512" s="1502">
        <v>42032</v>
      </c>
      <c r="T512" s="1502">
        <v>42039</v>
      </c>
      <c r="U512" s="695" t="s">
        <v>683</v>
      </c>
      <c r="V512" s="695"/>
      <c r="W512" s="1503">
        <v>39494800</v>
      </c>
      <c r="X512" s="555">
        <v>7.8</v>
      </c>
      <c r="Y512" s="555">
        <f>X512*W512</f>
        <v>308059440</v>
      </c>
      <c r="Z512" s="555"/>
      <c r="AA512" s="556">
        <v>6.1</v>
      </c>
      <c r="AB512" s="686">
        <v>46422</v>
      </c>
      <c r="AC512" s="557">
        <f>(AB512-S512)/365</f>
        <v>12.027397260273972</v>
      </c>
      <c r="AD512" s="557"/>
      <c r="AF512" s="559"/>
      <c r="AG512" s="560"/>
    </row>
    <row r="513" spans="1:33" s="1517" customFormat="1" ht="18" customHeight="1">
      <c r="A513" s="1505" t="s">
        <v>902</v>
      </c>
      <c r="B513" s="1506"/>
      <c r="C513" s="1506"/>
      <c r="D513" s="1506"/>
      <c r="E513" s="1506">
        <v>316</v>
      </c>
      <c r="F513" s="1507" t="s">
        <v>1387</v>
      </c>
      <c r="G513" s="1508" t="s">
        <v>1388</v>
      </c>
      <c r="H513" s="513" t="s">
        <v>1361</v>
      </c>
      <c r="I513" s="513" t="s">
        <v>340</v>
      </c>
      <c r="J513" s="503">
        <f t="shared" ref="J513:J514" si="202">(AB513-T513)/365</f>
        <v>10.008219178082191</v>
      </c>
      <c r="K513" s="1079" t="s">
        <v>465</v>
      </c>
      <c r="L513" s="1509">
        <v>270000000</v>
      </c>
      <c r="M513" s="1079" t="s">
        <v>466</v>
      </c>
      <c r="N513" s="1510">
        <v>98.522999999999996</v>
      </c>
      <c r="O513" s="1511">
        <v>6.149934</v>
      </c>
      <c r="P513" s="1507" t="s">
        <v>583</v>
      </c>
      <c r="Q513" s="1512" t="s">
        <v>1138</v>
      </c>
      <c r="R513" s="1513" t="s">
        <v>1178</v>
      </c>
      <c r="S513" s="1514">
        <v>42040</v>
      </c>
      <c r="T513" s="1514">
        <v>42047</v>
      </c>
      <c r="U513" s="1515" t="s">
        <v>683</v>
      </c>
      <c r="V513" s="1515"/>
      <c r="W513" s="1509">
        <v>266012100</v>
      </c>
      <c r="X513" s="511">
        <v>7.8</v>
      </c>
      <c r="Y513" s="511">
        <f t="shared" ref="Y513" si="203">X513*W513</f>
        <v>2074894380</v>
      </c>
      <c r="Z513" s="511">
        <f>300000000*7.78*0.0615/12</f>
        <v>11961750</v>
      </c>
      <c r="AA513" s="1516">
        <v>6.15</v>
      </c>
      <c r="AB513" s="687">
        <v>45700</v>
      </c>
      <c r="AC513" s="514">
        <f t="shared" ref="AC513" si="204">(AB513-S513)/365</f>
        <v>10.027397260273972</v>
      </c>
      <c r="AD513" s="514"/>
      <c r="AF513" s="515"/>
      <c r="AG513" s="516"/>
    </row>
    <row r="514" spans="1:33" s="1517" customFormat="1" ht="18" customHeight="1">
      <c r="A514" s="1505"/>
      <c r="B514" s="1506"/>
      <c r="C514" s="1506"/>
      <c r="D514" s="1506"/>
      <c r="E514" s="1506">
        <v>316</v>
      </c>
      <c r="F514" s="1507" t="s">
        <v>1387</v>
      </c>
      <c r="G514" s="1508" t="s">
        <v>1388</v>
      </c>
      <c r="H514" s="513" t="s">
        <v>1361</v>
      </c>
      <c r="I514" s="513" t="s">
        <v>340</v>
      </c>
      <c r="J514" s="503">
        <f t="shared" si="202"/>
        <v>10.008219178082191</v>
      </c>
      <c r="K514" s="1079" t="s">
        <v>465</v>
      </c>
      <c r="L514" s="1518">
        <v>30000000</v>
      </c>
      <c r="M514" s="1079" t="s">
        <v>466</v>
      </c>
      <c r="N514" s="1510">
        <v>98.522999999999996</v>
      </c>
      <c r="O514" s="1511">
        <v>6.149934</v>
      </c>
      <c r="P514" s="1507" t="s">
        <v>583</v>
      </c>
      <c r="Q514" s="1512" t="s">
        <v>1138</v>
      </c>
      <c r="R514" s="1513" t="s">
        <v>1178</v>
      </c>
      <c r="S514" s="1514">
        <v>42040</v>
      </c>
      <c r="T514" s="1514">
        <v>42047</v>
      </c>
      <c r="U514" s="1515" t="s">
        <v>683</v>
      </c>
      <c r="V514" s="1515"/>
      <c r="W514" s="1518">
        <v>29556900</v>
      </c>
      <c r="X514" s="511">
        <v>7.8</v>
      </c>
      <c r="Y514" s="511">
        <f>X514*W514</f>
        <v>230543820</v>
      </c>
      <c r="Z514" s="511"/>
      <c r="AA514" s="1516">
        <v>6.15</v>
      </c>
      <c r="AB514" s="687">
        <v>45700</v>
      </c>
      <c r="AC514" s="514">
        <f>(AB514-S514)/365</f>
        <v>10.027397260273972</v>
      </c>
      <c r="AD514" s="514"/>
      <c r="AF514" s="515"/>
      <c r="AG514" s="516"/>
    </row>
    <row r="515" spans="1:33" s="1529" customFormat="1" ht="18" customHeight="1">
      <c r="A515" s="1519" t="s">
        <v>902</v>
      </c>
      <c r="B515" s="1520"/>
      <c r="C515" s="1520"/>
      <c r="D515" s="1520"/>
      <c r="E515" s="1520">
        <v>317</v>
      </c>
      <c r="F515" s="841" t="s">
        <v>1481</v>
      </c>
      <c r="G515" s="1315" t="s">
        <v>1392</v>
      </c>
      <c r="H515" s="1323"/>
      <c r="I515" s="1323"/>
      <c r="J515" s="1318">
        <f t="shared" ref="J515:J516" si="205">(AB515-T515)/365</f>
        <v>3.0027397260273974</v>
      </c>
      <c r="K515" s="1319" t="s">
        <v>465</v>
      </c>
      <c r="L515" s="1522">
        <v>180000000</v>
      </c>
      <c r="M515" s="1319" t="s">
        <v>1106</v>
      </c>
      <c r="N515" s="1523">
        <v>100</v>
      </c>
      <c r="O515" s="1524">
        <v>5</v>
      </c>
      <c r="P515" s="1521" t="s">
        <v>1311</v>
      </c>
      <c r="Q515" s="1525" t="s">
        <v>1312</v>
      </c>
      <c r="R515" s="1526" t="s">
        <v>1313</v>
      </c>
      <c r="S515" s="1527">
        <v>42089</v>
      </c>
      <c r="T515" s="1527">
        <v>42096</v>
      </c>
      <c r="U515" s="1528" t="s">
        <v>683</v>
      </c>
      <c r="V515" s="1528"/>
      <c r="W515" s="1522">
        <v>180000000</v>
      </c>
      <c r="X515" s="1329">
        <v>1.2476</v>
      </c>
      <c r="Y515" s="1329">
        <f t="shared" ref="Y515" si="206">X515*W515</f>
        <v>224568000</v>
      </c>
      <c r="Z515" s="1329">
        <f>200000000*1.2*0.05/12</f>
        <v>1000000</v>
      </c>
      <c r="AA515" s="1330">
        <v>5</v>
      </c>
      <c r="AB515" s="1331">
        <v>43192</v>
      </c>
      <c r="AC515" s="1332">
        <f t="shared" ref="AC515" si="207">(AB515-S515)/365</f>
        <v>3.021917808219178</v>
      </c>
      <c r="AD515" s="1332"/>
      <c r="AF515" s="1334"/>
      <c r="AG515" s="1335"/>
    </row>
    <row r="516" spans="1:33" s="1529" customFormat="1" ht="18" customHeight="1">
      <c r="A516" s="1519"/>
      <c r="B516" s="1520"/>
      <c r="C516" s="1520"/>
      <c r="D516" s="1520"/>
      <c r="E516" s="1520">
        <v>317</v>
      </c>
      <c r="F516" s="841" t="s">
        <v>1481</v>
      </c>
      <c r="G516" s="1315" t="s">
        <v>1392</v>
      </c>
      <c r="H516" s="1323"/>
      <c r="I516" s="1323"/>
      <c r="J516" s="1318">
        <f t="shared" si="205"/>
        <v>3.0027397260273974</v>
      </c>
      <c r="K516" s="1319" t="s">
        <v>465</v>
      </c>
      <c r="L516" s="1522">
        <v>20000000</v>
      </c>
      <c r="M516" s="1319" t="s">
        <v>1106</v>
      </c>
      <c r="N516" s="1523">
        <v>100</v>
      </c>
      <c r="O516" s="1524">
        <v>5</v>
      </c>
      <c r="P516" s="1521" t="s">
        <v>1311</v>
      </c>
      <c r="Q516" s="1525" t="s">
        <v>1312</v>
      </c>
      <c r="R516" s="1526" t="s">
        <v>1313</v>
      </c>
      <c r="S516" s="1527">
        <v>42089</v>
      </c>
      <c r="T516" s="1527">
        <v>42096</v>
      </c>
      <c r="U516" s="1528" t="s">
        <v>683</v>
      </c>
      <c r="V516" s="1528"/>
      <c r="W516" s="1530">
        <v>20000000</v>
      </c>
      <c r="X516" s="1329">
        <v>1.2476</v>
      </c>
      <c r="Y516" s="1329">
        <f t="shared" ref="Y516:Y522" si="208">X516*W516</f>
        <v>24952000</v>
      </c>
      <c r="Z516" s="1329"/>
      <c r="AA516" s="1330">
        <v>5</v>
      </c>
      <c r="AB516" s="1331">
        <v>43192</v>
      </c>
      <c r="AC516" s="1332">
        <f>(AB516-S516)/365</f>
        <v>3.021917808219178</v>
      </c>
      <c r="AD516" s="1332"/>
      <c r="AF516" s="1334"/>
      <c r="AG516" s="1335"/>
    </row>
    <row r="517" spans="1:33" s="1549" customFormat="1" ht="18" customHeight="1">
      <c r="A517" s="1531" t="s">
        <v>902</v>
      </c>
      <c r="B517" s="1532"/>
      <c r="C517" s="1532"/>
      <c r="D517" s="1532"/>
      <c r="E517" s="1532">
        <v>318</v>
      </c>
      <c r="F517" s="1533" t="s">
        <v>814</v>
      </c>
      <c r="G517" s="1534" t="s">
        <v>1394</v>
      </c>
      <c r="H517" s="1535" t="s">
        <v>1395</v>
      </c>
      <c r="I517" s="1535" t="s">
        <v>1395</v>
      </c>
      <c r="J517" s="1536" t="s">
        <v>1337</v>
      </c>
      <c r="K517" s="1537" t="s">
        <v>1238</v>
      </c>
      <c r="L517" s="1538">
        <v>4500000</v>
      </c>
      <c r="M517" s="1537" t="s">
        <v>466</v>
      </c>
      <c r="N517" s="1539">
        <v>113.1</v>
      </c>
      <c r="O517" s="1540">
        <v>0.40560000000000002</v>
      </c>
      <c r="P517" s="1533" t="s">
        <v>1396</v>
      </c>
      <c r="Q517" s="1541" t="s">
        <v>1397</v>
      </c>
      <c r="R517" s="1542" t="s">
        <v>1399</v>
      </c>
      <c r="S517" s="1543">
        <v>42108</v>
      </c>
      <c r="T517" s="1543">
        <v>42110</v>
      </c>
      <c r="U517" s="1544" t="s">
        <v>246</v>
      </c>
      <c r="V517" s="1544"/>
      <c r="W517" s="1538">
        <v>5092900</v>
      </c>
      <c r="X517" s="1545">
        <v>7.8</v>
      </c>
      <c r="Y517" s="1545">
        <f t="shared" si="208"/>
        <v>39724620</v>
      </c>
      <c r="Z517" s="1545"/>
      <c r="AA517" s="1546"/>
      <c r="AB517" s="1547" t="s">
        <v>1401</v>
      </c>
      <c r="AC517" s="1548" t="e">
        <f t="shared" ref="AC517" si="209">(AB517-S517)/365</f>
        <v>#VALUE!</v>
      </c>
      <c r="AD517" s="1548"/>
      <c r="AF517" s="1550"/>
      <c r="AG517" s="1551"/>
    </row>
    <row r="518" spans="1:33" s="1549" customFormat="1" ht="18" customHeight="1">
      <c r="A518" s="1531"/>
      <c r="B518" s="1532"/>
      <c r="C518" s="1532"/>
      <c r="D518" s="1532"/>
      <c r="E518" s="1532">
        <v>318</v>
      </c>
      <c r="F518" s="1533" t="s">
        <v>814</v>
      </c>
      <c r="G518" s="1534" t="s">
        <v>1394</v>
      </c>
      <c r="H518" s="1535" t="s">
        <v>1395</v>
      </c>
      <c r="I518" s="1535" t="s">
        <v>1395</v>
      </c>
      <c r="J518" s="1536" t="s">
        <v>1337</v>
      </c>
      <c r="K518" s="1537" t="s">
        <v>1238</v>
      </c>
      <c r="L518" s="1538">
        <v>500000</v>
      </c>
      <c r="M518" s="1537" t="s">
        <v>466</v>
      </c>
      <c r="N518" s="1539">
        <v>113.1</v>
      </c>
      <c r="O518" s="1540">
        <v>0.40560000000000002</v>
      </c>
      <c r="P518" s="1533" t="s">
        <v>1396</v>
      </c>
      <c r="Q518" s="1541" t="s">
        <v>1397</v>
      </c>
      <c r="R518" s="1542" t="s">
        <v>1399</v>
      </c>
      <c r="S518" s="1543">
        <v>42108</v>
      </c>
      <c r="T518" s="1543">
        <v>42110</v>
      </c>
      <c r="U518" s="1544" t="s">
        <v>246</v>
      </c>
      <c r="V518" s="1544"/>
      <c r="W518" s="1552">
        <v>565877.78</v>
      </c>
      <c r="X518" s="1545">
        <v>7.8</v>
      </c>
      <c r="Y518" s="1545">
        <f t="shared" si="208"/>
        <v>4413846.6840000004</v>
      </c>
      <c r="Z518" s="1545"/>
      <c r="AA518" s="1546"/>
      <c r="AB518" s="1547" t="s">
        <v>1401</v>
      </c>
      <c r="AC518" s="1548" t="e">
        <f>(AB518-S518)/365</f>
        <v>#VALUE!</v>
      </c>
      <c r="AD518" s="1548"/>
      <c r="AF518" s="1550"/>
      <c r="AG518" s="1551"/>
    </row>
    <row r="519" spans="1:33" s="1549" customFormat="1" ht="18" customHeight="1">
      <c r="A519" s="1531" t="s">
        <v>902</v>
      </c>
      <c r="B519" s="1532"/>
      <c r="C519" s="1532"/>
      <c r="D519" s="1532"/>
      <c r="E519" s="1532">
        <v>319</v>
      </c>
      <c r="F519" s="1533" t="s">
        <v>814</v>
      </c>
      <c r="G519" s="1534" t="s">
        <v>1394</v>
      </c>
      <c r="H519" s="1535" t="s">
        <v>1395</v>
      </c>
      <c r="I519" s="1535" t="s">
        <v>1395</v>
      </c>
      <c r="J519" s="1536" t="s">
        <v>1337</v>
      </c>
      <c r="K519" s="1537" t="s">
        <v>1238</v>
      </c>
      <c r="L519" s="1538">
        <v>9000000</v>
      </c>
      <c r="M519" s="1537" t="s">
        <v>466</v>
      </c>
      <c r="N519" s="1539">
        <v>113.25</v>
      </c>
      <c r="O519" s="1540">
        <v>0.13439999999999999</v>
      </c>
      <c r="P519" s="1533" t="s">
        <v>691</v>
      </c>
      <c r="Q519" s="1541" t="s">
        <v>1398</v>
      </c>
      <c r="R519" s="1542" t="s">
        <v>1400</v>
      </c>
      <c r="S519" s="1543">
        <v>42108</v>
      </c>
      <c r="T519" s="1543">
        <v>42110</v>
      </c>
      <c r="U519" s="1544" t="s">
        <v>246</v>
      </c>
      <c r="V519" s="1544"/>
      <c r="W519" s="1538">
        <v>10199300</v>
      </c>
      <c r="X519" s="1545">
        <v>7.8</v>
      </c>
      <c r="Y519" s="1545">
        <f t="shared" si="208"/>
        <v>79554540</v>
      </c>
      <c r="Z519" s="1545"/>
      <c r="AA519" s="1546"/>
      <c r="AB519" s="1547" t="s">
        <v>1401</v>
      </c>
      <c r="AC519" s="1548" t="e">
        <f t="shared" ref="AC519" si="210">(AB519-S519)/365</f>
        <v>#VALUE!</v>
      </c>
      <c r="AD519" s="1548"/>
      <c r="AF519" s="1550"/>
      <c r="AG519" s="1551"/>
    </row>
    <row r="520" spans="1:33" s="1549" customFormat="1" ht="18" customHeight="1">
      <c r="A520" s="1531"/>
      <c r="B520" s="1532"/>
      <c r="C520" s="1532"/>
      <c r="D520" s="1532"/>
      <c r="E520" s="1532">
        <v>319</v>
      </c>
      <c r="F520" s="1533" t="s">
        <v>814</v>
      </c>
      <c r="G520" s="1534" t="s">
        <v>1394</v>
      </c>
      <c r="H520" s="1535" t="s">
        <v>1395</v>
      </c>
      <c r="I520" s="1535" t="s">
        <v>1395</v>
      </c>
      <c r="J520" s="1536" t="s">
        <v>1337</v>
      </c>
      <c r="K520" s="1537" t="s">
        <v>1238</v>
      </c>
      <c r="L520" s="1538">
        <v>1000000</v>
      </c>
      <c r="M520" s="1537" t="s">
        <v>466</v>
      </c>
      <c r="N520" s="1539">
        <v>113.25</v>
      </c>
      <c r="O520" s="1540">
        <v>0.13439999999999999</v>
      </c>
      <c r="P520" s="1533" t="s">
        <v>691</v>
      </c>
      <c r="Q520" s="1541" t="s">
        <v>1398</v>
      </c>
      <c r="R520" s="1542" t="s">
        <v>1400</v>
      </c>
      <c r="S520" s="1543">
        <v>42108</v>
      </c>
      <c r="T520" s="1543">
        <v>42110</v>
      </c>
      <c r="U520" s="1544" t="s">
        <v>246</v>
      </c>
      <c r="V520" s="1544"/>
      <c r="W520" s="1552">
        <v>1133255.56</v>
      </c>
      <c r="X520" s="1545">
        <v>7.8</v>
      </c>
      <c r="Y520" s="1545">
        <f t="shared" si="208"/>
        <v>8839393.3680000007</v>
      </c>
      <c r="Z520" s="1545"/>
      <c r="AA520" s="1546"/>
      <c r="AB520" s="1547" t="s">
        <v>1401</v>
      </c>
      <c r="AC520" s="1548" t="e">
        <f>(AB520-S520)/365</f>
        <v>#VALUE!</v>
      </c>
      <c r="AD520" s="1548"/>
      <c r="AF520" s="1550"/>
      <c r="AG520" s="1551"/>
    </row>
    <row r="521" spans="1:33" s="1549" customFormat="1" ht="18" customHeight="1">
      <c r="A521" s="1531" t="s">
        <v>902</v>
      </c>
      <c r="B521" s="1532"/>
      <c r="C521" s="1532"/>
      <c r="D521" s="1532"/>
      <c r="E521" s="1532">
        <v>320</v>
      </c>
      <c r="F521" s="1533" t="s">
        <v>814</v>
      </c>
      <c r="G521" s="1534" t="s">
        <v>1394</v>
      </c>
      <c r="H521" s="1535" t="s">
        <v>1395</v>
      </c>
      <c r="I521" s="1535" t="s">
        <v>1395</v>
      </c>
      <c r="J521" s="1536" t="s">
        <v>1337</v>
      </c>
      <c r="K521" s="1537" t="s">
        <v>1238</v>
      </c>
      <c r="L521" s="1538">
        <v>5400000</v>
      </c>
      <c r="M521" s="1537" t="s">
        <v>466</v>
      </c>
      <c r="N521" s="1539">
        <v>113</v>
      </c>
      <c r="O521" s="1540"/>
      <c r="P521" s="1533" t="s">
        <v>712</v>
      </c>
      <c r="Q521" s="1541" t="s">
        <v>713</v>
      </c>
      <c r="R521" s="1542" t="s">
        <v>714</v>
      </c>
      <c r="S521" s="1543">
        <v>42110</v>
      </c>
      <c r="T521" s="1543">
        <v>42114</v>
      </c>
      <c r="U521" s="1544" t="s">
        <v>246</v>
      </c>
      <c r="V521" s="1544"/>
      <c r="W521" s="1538">
        <v>6111180</v>
      </c>
      <c r="X521" s="1545">
        <v>7.8</v>
      </c>
      <c r="Y521" s="1545">
        <f t="shared" si="208"/>
        <v>47667204</v>
      </c>
      <c r="Z521" s="1545"/>
      <c r="AA521" s="1546"/>
      <c r="AB521" s="1547" t="s">
        <v>1401</v>
      </c>
      <c r="AC521" s="1548" t="e">
        <f t="shared" ref="AC521" si="211">(AB521-S521)/365</f>
        <v>#VALUE!</v>
      </c>
      <c r="AD521" s="1548"/>
      <c r="AF521" s="1550"/>
      <c r="AG521" s="1551"/>
    </row>
    <row r="522" spans="1:33" s="1549" customFormat="1" ht="18" customHeight="1">
      <c r="A522" s="1531"/>
      <c r="B522" s="1532"/>
      <c r="C522" s="1532"/>
      <c r="D522" s="1532"/>
      <c r="E522" s="1532">
        <v>320</v>
      </c>
      <c r="F522" s="1533" t="s">
        <v>814</v>
      </c>
      <c r="G522" s="1534" t="s">
        <v>1394</v>
      </c>
      <c r="H522" s="1535" t="s">
        <v>1395</v>
      </c>
      <c r="I522" s="1535" t="s">
        <v>1395</v>
      </c>
      <c r="J522" s="1536" t="s">
        <v>1337</v>
      </c>
      <c r="K522" s="1537" t="s">
        <v>1238</v>
      </c>
      <c r="L522" s="1538">
        <v>600000</v>
      </c>
      <c r="M522" s="1537" t="s">
        <v>466</v>
      </c>
      <c r="N522" s="1539">
        <v>113</v>
      </c>
      <c r="O522" s="1540"/>
      <c r="P522" s="1533" t="s">
        <v>712</v>
      </c>
      <c r="Q522" s="1541" t="s">
        <v>713</v>
      </c>
      <c r="R522" s="1542" t="s">
        <v>714</v>
      </c>
      <c r="S522" s="1543">
        <v>42110</v>
      </c>
      <c r="T522" s="1543">
        <v>42114</v>
      </c>
      <c r="U522" s="1544" t="s">
        <v>246</v>
      </c>
      <c r="V522" s="1544"/>
      <c r="W522" s="1552">
        <v>679020</v>
      </c>
      <c r="X522" s="1545">
        <v>7.8</v>
      </c>
      <c r="Y522" s="1545">
        <f t="shared" si="208"/>
        <v>5296356</v>
      </c>
      <c r="Z522" s="1545"/>
      <c r="AA522" s="1546"/>
      <c r="AB522" s="1547" t="s">
        <v>1401</v>
      </c>
      <c r="AC522" s="1548" t="e">
        <f>(AB522-S522)/365</f>
        <v>#VALUE!</v>
      </c>
      <c r="AD522" s="1548"/>
      <c r="AF522" s="1550"/>
      <c r="AG522" s="1551"/>
    </row>
    <row r="523" spans="1:33" s="1549" customFormat="1" ht="18" customHeight="1">
      <c r="A523" s="1531" t="s">
        <v>902</v>
      </c>
      <c r="B523" s="1532"/>
      <c r="C523" s="1532"/>
      <c r="D523" s="1532"/>
      <c r="E523" s="1532">
        <v>321</v>
      </c>
      <c r="F523" s="1533" t="s">
        <v>814</v>
      </c>
      <c r="G523" s="1534" t="s">
        <v>1394</v>
      </c>
      <c r="H523" s="1535" t="s">
        <v>1395</v>
      </c>
      <c r="I523" s="1535" t="s">
        <v>1395</v>
      </c>
      <c r="J523" s="1536" t="s">
        <v>1337</v>
      </c>
      <c r="K523" s="1537" t="s">
        <v>1238</v>
      </c>
      <c r="L523" s="1538">
        <v>5400000</v>
      </c>
      <c r="M523" s="1537" t="s">
        <v>466</v>
      </c>
      <c r="N523" s="1539">
        <v>113</v>
      </c>
      <c r="O523" s="1540"/>
      <c r="P523" s="1533" t="s">
        <v>712</v>
      </c>
      <c r="Q523" s="1541" t="s">
        <v>713</v>
      </c>
      <c r="R523" s="1542" t="s">
        <v>714</v>
      </c>
      <c r="S523" s="1543">
        <v>42111</v>
      </c>
      <c r="T523" s="1543">
        <v>42115</v>
      </c>
      <c r="U523" s="1544" t="s">
        <v>246</v>
      </c>
      <c r="V523" s="1544"/>
      <c r="W523" s="1538">
        <v>6111180</v>
      </c>
      <c r="X523" s="1545">
        <v>7.8</v>
      </c>
      <c r="Y523" s="1545">
        <f t="shared" ref="Y523:Y524" si="212">X523*W523</f>
        <v>47667204</v>
      </c>
      <c r="Z523" s="1545"/>
      <c r="AA523" s="1546"/>
      <c r="AB523" s="1547" t="s">
        <v>1401</v>
      </c>
      <c r="AC523" s="1548" t="e">
        <f t="shared" ref="AC523" si="213">(AB523-S523)/365</f>
        <v>#VALUE!</v>
      </c>
      <c r="AD523" s="1548"/>
      <c r="AF523" s="1550"/>
      <c r="AG523" s="1551"/>
    </row>
    <row r="524" spans="1:33" s="1549" customFormat="1" ht="18" customHeight="1">
      <c r="A524" s="1531"/>
      <c r="B524" s="1532"/>
      <c r="C524" s="1532"/>
      <c r="D524" s="1532"/>
      <c r="E524" s="1532">
        <v>321</v>
      </c>
      <c r="F524" s="1533" t="s">
        <v>814</v>
      </c>
      <c r="G524" s="1534" t="s">
        <v>1394</v>
      </c>
      <c r="H524" s="1535" t="s">
        <v>1395</v>
      </c>
      <c r="I524" s="1535" t="s">
        <v>1395</v>
      </c>
      <c r="J524" s="1536" t="s">
        <v>1337</v>
      </c>
      <c r="K524" s="1537" t="s">
        <v>1238</v>
      </c>
      <c r="L524" s="1538">
        <v>600000</v>
      </c>
      <c r="M524" s="1537" t="s">
        <v>466</v>
      </c>
      <c r="N524" s="1539">
        <v>113</v>
      </c>
      <c r="O524" s="1540"/>
      <c r="P524" s="1533" t="s">
        <v>712</v>
      </c>
      <c r="Q524" s="1541" t="s">
        <v>713</v>
      </c>
      <c r="R524" s="1542" t="s">
        <v>714</v>
      </c>
      <c r="S524" s="1543">
        <v>42111</v>
      </c>
      <c r="T524" s="1543">
        <v>42115</v>
      </c>
      <c r="U524" s="1544" t="s">
        <v>246</v>
      </c>
      <c r="V524" s="1544"/>
      <c r="W524" s="1552">
        <v>679020</v>
      </c>
      <c r="X524" s="1545">
        <v>7.8</v>
      </c>
      <c r="Y524" s="1545">
        <f t="shared" si="212"/>
        <v>5296356</v>
      </c>
      <c r="Z524" s="1545"/>
      <c r="AA524" s="1546"/>
      <c r="AB524" s="1547" t="s">
        <v>1401</v>
      </c>
      <c r="AC524" s="1548" t="e">
        <f>(AB524-S524)/365</f>
        <v>#VALUE!</v>
      </c>
      <c r="AD524" s="1548"/>
      <c r="AF524" s="1550"/>
      <c r="AG524" s="1551"/>
    </row>
    <row r="525" spans="1:33" s="1573" customFormat="1" ht="18" customHeight="1">
      <c r="A525" s="1555" t="s">
        <v>902</v>
      </c>
      <c r="B525" s="1556"/>
      <c r="C525" s="1556"/>
      <c r="D525" s="1556"/>
      <c r="E525" s="1556">
        <v>322</v>
      </c>
      <c r="F525" s="1557" t="s">
        <v>1403</v>
      </c>
      <c r="G525" s="1558" t="s">
        <v>1404</v>
      </c>
      <c r="H525" s="1559" t="s">
        <v>1395</v>
      </c>
      <c r="I525" s="1559" t="s">
        <v>1395</v>
      </c>
      <c r="J525" s="1560">
        <f t="shared" ref="J525:J526" si="214">(AB525-T525)/365</f>
        <v>6.9506849315068493</v>
      </c>
      <c r="K525" s="1561" t="s">
        <v>465</v>
      </c>
      <c r="L525" s="1562">
        <v>1800000000</v>
      </c>
      <c r="M525" s="1561" t="s">
        <v>1271</v>
      </c>
      <c r="N525" s="1563">
        <v>100</v>
      </c>
      <c r="O525" s="1564">
        <v>6.3</v>
      </c>
      <c r="P525" s="1557" t="s">
        <v>677</v>
      </c>
      <c r="Q525" s="1565" t="s">
        <v>678</v>
      </c>
      <c r="R525" s="1566" t="s">
        <v>679</v>
      </c>
      <c r="S525" s="1567">
        <v>42114</v>
      </c>
      <c r="T525" s="1567">
        <v>42121</v>
      </c>
      <c r="U525" s="1568" t="s">
        <v>683</v>
      </c>
      <c r="V525" s="1568"/>
      <c r="W525" s="1562">
        <v>1800000000</v>
      </c>
      <c r="X525" s="1569">
        <v>1</v>
      </c>
      <c r="Y525" s="1569">
        <f t="shared" ref="Y525:Y530" si="215">X525*W525</f>
        <v>1800000000</v>
      </c>
      <c r="Z525" s="1569"/>
      <c r="AA525" s="1570"/>
      <c r="AB525" s="1571">
        <v>44658</v>
      </c>
      <c r="AC525" s="1572">
        <f t="shared" ref="AC525" si="216">(AB525-S525)/365</f>
        <v>6.9698630136986299</v>
      </c>
      <c r="AD525" s="1572"/>
      <c r="AF525" s="1574"/>
      <c r="AG525" s="1575"/>
    </row>
    <row r="526" spans="1:33" s="1573" customFormat="1" ht="18" customHeight="1">
      <c r="A526" s="1555"/>
      <c r="B526" s="1556"/>
      <c r="C526" s="1556"/>
      <c r="D526" s="1556"/>
      <c r="E526" s="1556">
        <v>322</v>
      </c>
      <c r="F526" s="1557" t="s">
        <v>1403</v>
      </c>
      <c r="G526" s="1558" t="s">
        <v>1404</v>
      </c>
      <c r="H526" s="1559" t="s">
        <v>1395</v>
      </c>
      <c r="I526" s="1559" t="s">
        <v>1395</v>
      </c>
      <c r="J526" s="1560">
        <f t="shared" si="214"/>
        <v>6.9506849315068493</v>
      </c>
      <c r="K526" s="1561" t="s">
        <v>465</v>
      </c>
      <c r="L526" s="1562">
        <v>200000000</v>
      </c>
      <c r="M526" s="1561" t="s">
        <v>1271</v>
      </c>
      <c r="N526" s="1563">
        <v>100</v>
      </c>
      <c r="O526" s="1564">
        <v>6.3</v>
      </c>
      <c r="P526" s="1557" t="s">
        <v>677</v>
      </c>
      <c r="Q526" s="1565" t="s">
        <v>678</v>
      </c>
      <c r="R526" s="1566" t="s">
        <v>679</v>
      </c>
      <c r="S526" s="1567">
        <v>42114</v>
      </c>
      <c r="T526" s="1567">
        <v>42121</v>
      </c>
      <c r="U526" s="1568" t="s">
        <v>683</v>
      </c>
      <c r="V526" s="1568"/>
      <c r="W526" s="1576">
        <v>200000000</v>
      </c>
      <c r="X526" s="1569">
        <v>1</v>
      </c>
      <c r="Y526" s="1569">
        <f t="shared" si="215"/>
        <v>200000000</v>
      </c>
      <c r="Z526" s="1569"/>
      <c r="AA526" s="1570"/>
      <c r="AB526" s="1571">
        <v>44658</v>
      </c>
      <c r="AC526" s="1572">
        <f>(AB526-S526)/365</f>
        <v>6.9698630136986299</v>
      </c>
      <c r="AD526" s="1572"/>
      <c r="AF526" s="1574"/>
      <c r="AG526" s="1575"/>
    </row>
    <row r="527" spans="1:33" s="1595" customFormat="1" ht="18" customHeight="1">
      <c r="A527" s="1577" t="s">
        <v>902</v>
      </c>
      <c r="B527" s="1578"/>
      <c r="C527" s="1578"/>
      <c r="D527" s="1578"/>
      <c r="E527" s="1578">
        <v>323</v>
      </c>
      <c r="F527" s="1579" t="s">
        <v>814</v>
      </c>
      <c r="G527" s="1580" t="s">
        <v>1394</v>
      </c>
      <c r="H527" s="1581" t="s">
        <v>1395</v>
      </c>
      <c r="I527" s="1581" t="s">
        <v>1395</v>
      </c>
      <c r="J527" s="1582" t="s">
        <v>1337</v>
      </c>
      <c r="K527" s="1583" t="s">
        <v>1238</v>
      </c>
      <c r="L527" s="1584">
        <v>9000000</v>
      </c>
      <c r="M527" s="1583" t="s">
        <v>466</v>
      </c>
      <c r="N527" s="1585">
        <v>113.3</v>
      </c>
      <c r="O527" s="1586"/>
      <c r="P527" s="1579" t="s">
        <v>1396</v>
      </c>
      <c r="Q527" s="1587" t="s">
        <v>1397</v>
      </c>
      <c r="R527" s="1588" t="s">
        <v>1399</v>
      </c>
      <c r="S527" s="1589">
        <v>42116</v>
      </c>
      <c r="T527" s="1589">
        <v>42118</v>
      </c>
      <c r="U527" s="1590" t="s">
        <v>246</v>
      </c>
      <c r="V527" s="1590"/>
      <c r="W527" s="1584">
        <v>10217400</v>
      </c>
      <c r="X527" s="1591">
        <v>7.8</v>
      </c>
      <c r="Y527" s="1591">
        <f t="shared" si="215"/>
        <v>79695720</v>
      </c>
      <c r="Z527" s="1591"/>
      <c r="AA527" s="1592"/>
      <c r="AB527" s="1593" t="s">
        <v>1401</v>
      </c>
      <c r="AC527" s="1594" t="e">
        <f t="shared" ref="AC527" si="217">(AB527-S527)/365</f>
        <v>#VALUE!</v>
      </c>
      <c r="AD527" s="1594"/>
      <c r="AF527" s="1596"/>
      <c r="AG527" s="1597"/>
    </row>
    <row r="528" spans="1:33" s="1595" customFormat="1" ht="18" customHeight="1">
      <c r="A528" s="1577"/>
      <c r="B528" s="1578"/>
      <c r="C528" s="1578"/>
      <c r="D528" s="1578"/>
      <c r="E528" s="1578">
        <v>323</v>
      </c>
      <c r="F528" s="1579" t="s">
        <v>814</v>
      </c>
      <c r="G528" s="1580" t="s">
        <v>1394</v>
      </c>
      <c r="H528" s="1581" t="s">
        <v>1395</v>
      </c>
      <c r="I528" s="1581" t="s">
        <v>1395</v>
      </c>
      <c r="J528" s="1582" t="s">
        <v>1337</v>
      </c>
      <c r="K528" s="1583" t="s">
        <v>1238</v>
      </c>
      <c r="L528" s="1584">
        <v>1000000</v>
      </c>
      <c r="M528" s="1583" t="s">
        <v>466</v>
      </c>
      <c r="N528" s="1585">
        <v>113.3</v>
      </c>
      <c r="O528" s="1586"/>
      <c r="P528" s="1579" t="s">
        <v>1396</v>
      </c>
      <c r="Q528" s="1587" t="s">
        <v>1397</v>
      </c>
      <c r="R528" s="1588" t="s">
        <v>1399</v>
      </c>
      <c r="S528" s="1589">
        <v>42116</v>
      </c>
      <c r="T528" s="1589">
        <v>42118</v>
      </c>
      <c r="U528" s="1590" t="s">
        <v>246</v>
      </c>
      <c r="V528" s="1590"/>
      <c r="W528" s="1598">
        <v>1135266.67</v>
      </c>
      <c r="X528" s="1591">
        <v>7.8</v>
      </c>
      <c r="Y528" s="1591">
        <f t="shared" si="215"/>
        <v>8855080.0259999987</v>
      </c>
      <c r="Z528" s="1591"/>
      <c r="AA528" s="1592"/>
      <c r="AB528" s="1593" t="s">
        <v>1401</v>
      </c>
      <c r="AC528" s="1594" t="e">
        <f>(AB528-S528)/365</f>
        <v>#VALUE!</v>
      </c>
      <c r="AD528" s="1594"/>
      <c r="AF528" s="1596"/>
      <c r="AG528" s="1597"/>
    </row>
    <row r="529" spans="1:33" s="1595" customFormat="1" ht="18" customHeight="1">
      <c r="A529" s="1577" t="s">
        <v>902</v>
      </c>
      <c r="B529" s="1578"/>
      <c r="C529" s="1578"/>
      <c r="D529" s="1578"/>
      <c r="E529" s="1578">
        <v>324</v>
      </c>
      <c r="F529" s="1579" t="s">
        <v>814</v>
      </c>
      <c r="G529" s="1580" t="s">
        <v>1394</v>
      </c>
      <c r="H529" s="1581" t="s">
        <v>1395</v>
      </c>
      <c r="I529" s="1581" t="s">
        <v>1395</v>
      </c>
      <c r="J529" s="1582" t="s">
        <v>1337</v>
      </c>
      <c r="K529" s="1583" t="s">
        <v>1238</v>
      </c>
      <c r="L529" s="1584">
        <v>4500000</v>
      </c>
      <c r="M529" s="1583" t="s">
        <v>466</v>
      </c>
      <c r="N529" s="1585">
        <v>113.25</v>
      </c>
      <c r="O529" s="1586"/>
      <c r="P529" s="1579" t="s">
        <v>691</v>
      </c>
      <c r="Q529" s="1587" t="s">
        <v>1398</v>
      </c>
      <c r="R529" s="1588" t="s">
        <v>1400</v>
      </c>
      <c r="S529" s="1589">
        <v>42116</v>
      </c>
      <c r="T529" s="1589">
        <v>42118</v>
      </c>
      <c r="U529" s="1590" t="s">
        <v>246</v>
      </c>
      <c r="V529" s="1590"/>
      <c r="W529" s="1584">
        <v>5106450</v>
      </c>
      <c r="X529" s="1591">
        <v>7.8</v>
      </c>
      <c r="Y529" s="1591">
        <f t="shared" si="215"/>
        <v>39830310</v>
      </c>
      <c r="Z529" s="1591"/>
      <c r="AA529" s="1592"/>
      <c r="AB529" s="1593" t="s">
        <v>1401</v>
      </c>
      <c r="AC529" s="1594" t="e">
        <f t="shared" ref="AC529" si="218">(AB529-S529)/365</f>
        <v>#VALUE!</v>
      </c>
      <c r="AD529" s="1594"/>
      <c r="AF529" s="1596"/>
      <c r="AG529" s="1597"/>
    </row>
    <row r="530" spans="1:33" s="1595" customFormat="1" ht="18" customHeight="1">
      <c r="A530" s="1577"/>
      <c r="B530" s="1578"/>
      <c r="C530" s="1578"/>
      <c r="D530" s="1578"/>
      <c r="E530" s="1578">
        <v>324</v>
      </c>
      <c r="F530" s="1579" t="s">
        <v>814</v>
      </c>
      <c r="G530" s="1580" t="s">
        <v>1394</v>
      </c>
      <c r="H530" s="1581" t="s">
        <v>1395</v>
      </c>
      <c r="I530" s="1581" t="s">
        <v>1395</v>
      </c>
      <c r="J530" s="1582" t="s">
        <v>1337</v>
      </c>
      <c r="K530" s="1583" t="s">
        <v>1238</v>
      </c>
      <c r="L530" s="1584">
        <v>500000</v>
      </c>
      <c r="M530" s="1583" t="s">
        <v>466</v>
      </c>
      <c r="N530" s="1585">
        <v>113.25</v>
      </c>
      <c r="O530" s="1586"/>
      <c r="P530" s="1579" t="s">
        <v>691</v>
      </c>
      <c r="Q530" s="1587" t="s">
        <v>1398</v>
      </c>
      <c r="R530" s="1588" t="s">
        <v>1400</v>
      </c>
      <c r="S530" s="1589">
        <v>42116</v>
      </c>
      <c r="T530" s="1589">
        <v>42118</v>
      </c>
      <c r="U530" s="1590" t="s">
        <v>246</v>
      </c>
      <c r="V530" s="1590"/>
      <c r="W530" s="1598">
        <v>567383.32999999996</v>
      </c>
      <c r="X530" s="1591">
        <v>7.8</v>
      </c>
      <c r="Y530" s="1591">
        <f t="shared" si="215"/>
        <v>4425589.9739999995</v>
      </c>
      <c r="Z530" s="1591"/>
      <c r="AA530" s="1592"/>
      <c r="AB530" s="1593" t="s">
        <v>1401</v>
      </c>
      <c r="AC530" s="1594" t="e">
        <f>(AB530-S530)/365</f>
        <v>#VALUE!</v>
      </c>
      <c r="AD530" s="1594"/>
      <c r="AF530" s="1596"/>
      <c r="AG530" s="1597"/>
    </row>
    <row r="531" spans="1:33" s="1595" customFormat="1" ht="18" customHeight="1">
      <c r="A531" s="1577" t="s">
        <v>902</v>
      </c>
      <c r="B531" s="1578"/>
      <c r="C531" s="1578"/>
      <c r="D531" s="1578"/>
      <c r="E531" s="1578">
        <v>325</v>
      </c>
      <c r="F531" s="1579" t="s">
        <v>814</v>
      </c>
      <c r="G531" s="1580" t="s">
        <v>1394</v>
      </c>
      <c r="H531" s="1581" t="s">
        <v>1395</v>
      </c>
      <c r="I531" s="1581" t="s">
        <v>1395</v>
      </c>
      <c r="J531" s="1582" t="s">
        <v>1337</v>
      </c>
      <c r="K531" s="1583" t="s">
        <v>1238</v>
      </c>
      <c r="L531" s="1584">
        <v>1800000</v>
      </c>
      <c r="M531" s="1583" t="s">
        <v>466</v>
      </c>
      <c r="N531" s="1585">
        <v>113.25</v>
      </c>
      <c r="O531" s="1586"/>
      <c r="P531" s="1579" t="s">
        <v>712</v>
      </c>
      <c r="Q531" s="1587" t="s">
        <v>713</v>
      </c>
      <c r="R531" s="1588" t="s">
        <v>714</v>
      </c>
      <c r="S531" s="1589">
        <v>42116</v>
      </c>
      <c r="T531" s="1589">
        <v>42118</v>
      </c>
      <c r="U531" s="1590" t="s">
        <v>246</v>
      </c>
      <c r="V531" s="1590"/>
      <c r="W531" s="1584">
        <v>2042580</v>
      </c>
      <c r="X531" s="1591">
        <v>7.8</v>
      </c>
      <c r="Y531" s="1591">
        <f t="shared" ref="Y531:Y534" si="219">X531*W531</f>
        <v>15932124</v>
      </c>
      <c r="Z531" s="1591"/>
      <c r="AA531" s="1592"/>
      <c r="AB531" s="1593" t="s">
        <v>1401</v>
      </c>
      <c r="AC531" s="1594" t="e">
        <f t="shared" ref="AC531" si="220">(AB531-S531)/365</f>
        <v>#VALUE!</v>
      </c>
      <c r="AD531" s="1594"/>
      <c r="AF531" s="1596"/>
      <c r="AG531" s="1597"/>
    </row>
    <row r="532" spans="1:33" s="1595" customFormat="1" ht="18" customHeight="1">
      <c r="A532" s="1577"/>
      <c r="B532" s="1578"/>
      <c r="C532" s="1578"/>
      <c r="D532" s="1578"/>
      <c r="E532" s="1578">
        <v>325</v>
      </c>
      <c r="F532" s="1579" t="s">
        <v>814</v>
      </c>
      <c r="G532" s="1580" t="s">
        <v>1394</v>
      </c>
      <c r="H532" s="1581" t="s">
        <v>1395</v>
      </c>
      <c r="I532" s="1581" t="s">
        <v>1395</v>
      </c>
      <c r="J532" s="1582" t="s">
        <v>1337</v>
      </c>
      <c r="K532" s="1583" t="s">
        <v>1238</v>
      </c>
      <c r="L532" s="1584">
        <v>200000</v>
      </c>
      <c r="M532" s="1583" t="s">
        <v>466</v>
      </c>
      <c r="N532" s="1585">
        <v>113.25</v>
      </c>
      <c r="O532" s="1586"/>
      <c r="P532" s="1579" t="s">
        <v>712</v>
      </c>
      <c r="Q532" s="1587" t="s">
        <v>713</v>
      </c>
      <c r="R532" s="1588" t="s">
        <v>714</v>
      </c>
      <c r="S532" s="1589">
        <v>42116</v>
      </c>
      <c r="T532" s="1589">
        <v>42118</v>
      </c>
      <c r="U532" s="1590" t="s">
        <v>246</v>
      </c>
      <c r="V532" s="1590"/>
      <c r="W532" s="1598">
        <v>226953.33</v>
      </c>
      <c r="X532" s="1591">
        <v>7.8</v>
      </c>
      <c r="Y532" s="1591">
        <f t="shared" si="219"/>
        <v>1770235.9739999999</v>
      </c>
      <c r="Z532" s="1591"/>
      <c r="AA532" s="1592"/>
      <c r="AB532" s="1593" t="s">
        <v>1401</v>
      </c>
      <c r="AC532" s="1594" t="e">
        <f>(AB532-S532)/365</f>
        <v>#VALUE!</v>
      </c>
      <c r="AD532" s="1594"/>
      <c r="AF532" s="1596"/>
      <c r="AG532" s="1597"/>
    </row>
    <row r="533" spans="1:33" s="1617" customFormat="1" ht="18" customHeight="1">
      <c r="A533" s="1599" t="s">
        <v>902</v>
      </c>
      <c r="B533" s="1600"/>
      <c r="C533" s="1600"/>
      <c r="D533" s="1600"/>
      <c r="E533" s="1600">
        <v>326</v>
      </c>
      <c r="F533" s="1601" t="s">
        <v>814</v>
      </c>
      <c r="G533" s="1602" t="s">
        <v>1394</v>
      </c>
      <c r="H533" s="1603" t="s">
        <v>1395</v>
      </c>
      <c r="I533" s="1603" t="s">
        <v>1395</v>
      </c>
      <c r="J533" s="1604" t="s">
        <v>1337</v>
      </c>
      <c r="K533" s="1605" t="s">
        <v>1238</v>
      </c>
      <c r="L533" s="1606">
        <v>9000000</v>
      </c>
      <c r="M533" s="1605" t="s">
        <v>466</v>
      </c>
      <c r="N533" s="1607">
        <v>113.4</v>
      </c>
      <c r="O533" s="1608"/>
      <c r="P533" s="1601" t="s">
        <v>1396</v>
      </c>
      <c r="Q533" s="1609" t="s">
        <v>1397</v>
      </c>
      <c r="R533" s="1610" t="s">
        <v>1399</v>
      </c>
      <c r="S533" s="1611">
        <v>42117</v>
      </c>
      <c r="T533" s="1611">
        <v>42121</v>
      </c>
      <c r="U533" s="1612" t="s">
        <v>246</v>
      </c>
      <c r="V533" s="1612"/>
      <c r="W533" s="1606">
        <v>10231500</v>
      </c>
      <c r="X533" s="1613">
        <v>7.8</v>
      </c>
      <c r="Y533" s="1613">
        <f t="shared" si="219"/>
        <v>79805700</v>
      </c>
      <c r="Z533" s="1613"/>
      <c r="AA533" s="1614"/>
      <c r="AB533" s="1615" t="s">
        <v>1401</v>
      </c>
      <c r="AC533" s="1616" t="e">
        <f t="shared" ref="AC533" si="221">(AB533-S533)/365</f>
        <v>#VALUE!</v>
      </c>
      <c r="AD533" s="1616"/>
      <c r="AF533" s="1618"/>
      <c r="AG533" s="1619"/>
    </row>
    <row r="534" spans="1:33" s="1617" customFormat="1" ht="18" customHeight="1">
      <c r="A534" s="1599"/>
      <c r="B534" s="1600"/>
      <c r="C534" s="1600"/>
      <c r="D534" s="1600"/>
      <c r="E534" s="1600">
        <v>326</v>
      </c>
      <c r="F534" s="1601" t="s">
        <v>814</v>
      </c>
      <c r="G534" s="1602" t="s">
        <v>1394</v>
      </c>
      <c r="H534" s="1603" t="s">
        <v>1395</v>
      </c>
      <c r="I534" s="1603" t="s">
        <v>1395</v>
      </c>
      <c r="J534" s="1604" t="s">
        <v>1337</v>
      </c>
      <c r="K534" s="1605" t="s">
        <v>1238</v>
      </c>
      <c r="L534" s="1606">
        <v>1000000</v>
      </c>
      <c r="M534" s="1605" t="s">
        <v>466</v>
      </c>
      <c r="N534" s="1607">
        <v>113.4</v>
      </c>
      <c r="O534" s="1608"/>
      <c r="P534" s="1601" t="s">
        <v>1396</v>
      </c>
      <c r="Q534" s="1609" t="s">
        <v>1397</v>
      </c>
      <c r="R534" s="1610" t="s">
        <v>1399</v>
      </c>
      <c r="S534" s="1611">
        <v>42117</v>
      </c>
      <c r="T534" s="1611">
        <v>42121</v>
      </c>
      <c r="U534" s="1612" t="s">
        <v>246</v>
      </c>
      <c r="V534" s="1612"/>
      <c r="W534" s="1620">
        <v>1136833.33</v>
      </c>
      <c r="X534" s="1613">
        <v>7.8</v>
      </c>
      <c r="Y534" s="1613">
        <f t="shared" si="219"/>
        <v>8867299.9739999995</v>
      </c>
      <c r="Z534" s="1613"/>
      <c r="AA534" s="1614"/>
      <c r="AB534" s="1615" t="s">
        <v>1401</v>
      </c>
      <c r="AC534" s="1616" t="e">
        <f>(AB534-S534)/365</f>
        <v>#VALUE!</v>
      </c>
      <c r="AD534" s="1616"/>
      <c r="AF534" s="1618"/>
      <c r="AG534" s="1619"/>
    </row>
    <row r="535" spans="1:33" s="1617" customFormat="1" ht="18" customHeight="1">
      <c r="A535" s="1599" t="s">
        <v>902</v>
      </c>
      <c r="B535" s="1600"/>
      <c r="C535" s="1600"/>
      <c r="D535" s="1600"/>
      <c r="E535" s="1600">
        <v>327</v>
      </c>
      <c r="F535" s="1601" t="s">
        <v>814</v>
      </c>
      <c r="G535" s="1602" t="s">
        <v>1394</v>
      </c>
      <c r="H535" s="1603" t="s">
        <v>1395</v>
      </c>
      <c r="I535" s="1603" t="s">
        <v>1395</v>
      </c>
      <c r="J535" s="1604" t="s">
        <v>1337</v>
      </c>
      <c r="K535" s="1605" t="s">
        <v>1238</v>
      </c>
      <c r="L535" s="1606">
        <v>1800000</v>
      </c>
      <c r="M535" s="1605" t="s">
        <v>466</v>
      </c>
      <c r="N535" s="1607">
        <v>113.5</v>
      </c>
      <c r="O535" s="1608"/>
      <c r="P535" s="1601" t="s">
        <v>1175</v>
      </c>
      <c r="Q535" s="1609" t="s">
        <v>1176</v>
      </c>
      <c r="R535" s="1610" t="s">
        <v>1177</v>
      </c>
      <c r="S535" s="1611">
        <v>42117</v>
      </c>
      <c r="T535" s="1611">
        <v>42121</v>
      </c>
      <c r="U535" s="1612" t="s">
        <v>246</v>
      </c>
      <c r="V535" s="1612"/>
      <c r="W535" s="1606">
        <v>2048100</v>
      </c>
      <c r="X535" s="1613">
        <v>7.8</v>
      </c>
      <c r="Y535" s="1613">
        <f t="shared" ref="Y535:Y542" si="222">X535*W535</f>
        <v>15975180</v>
      </c>
      <c r="Z535" s="1613"/>
      <c r="AA535" s="1614"/>
      <c r="AB535" s="1615" t="s">
        <v>1401</v>
      </c>
      <c r="AC535" s="1616" t="e">
        <f t="shared" ref="AC535" si="223">(AB535-S535)/365</f>
        <v>#VALUE!</v>
      </c>
      <c r="AD535" s="1616"/>
      <c r="AF535" s="1618"/>
      <c r="AG535" s="1619"/>
    </row>
    <row r="536" spans="1:33" s="1617" customFormat="1" ht="18" customHeight="1">
      <c r="A536" s="1599"/>
      <c r="B536" s="1600"/>
      <c r="C536" s="1600"/>
      <c r="D536" s="1600"/>
      <c r="E536" s="1600">
        <v>327</v>
      </c>
      <c r="F536" s="1601" t="s">
        <v>814</v>
      </c>
      <c r="G536" s="1602" t="s">
        <v>1394</v>
      </c>
      <c r="H536" s="1603" t="s">
        <v>1395</v>
      </c>
      <c r="I536" s="1603" t="s">
        <v>1395</v>
      </c>
      <c r="J536" s="1604" t="s">
        <v>1337</v>
      </c>
      <c r="K536" s="1605" t="s">
        <v>1238</v>
      </c>
      <c r="L536" s="1606">
        <v>200000</v>
      </c>
      <c r="M536" s="1605" t="s">
        <v>466</v>
      </c>
      <c r="N536" s="1607">
        <v>113.5</v>
      </c>
      <c r="O536" s="1608"/>
      <c r="P536" s="1601" t="s">
        <v>1175</v>
      </c>
      <c r="Q536" s="1609" t="s">
        <v>1176</v>
      </c>
      <c r="R536" s="1610" t="s">
        <v>1177</v>
      </c>
      <c r="S536" s="1611">
        <v>42117</v>
      </c>
      <c r="T536" s="1611">
        <v>42121</v>
      </c>
      <c r="U536" s="1612" t="s">
        <v>246</v>
      </c>
      <c r="V536" s="1612"/>
      <c r="W536" s="1620">
        <v>227566.67</v>
      </c>
      <c r="X536" s="1613">
        <v>7.8</v>
      </c>
      <c r="Y536" s="1613">
        <f t="shared" si="222"/>
        <v>1775020.0260000001</v>
      </c>
      <c r="Z536" s="1613"/>
      <c r="AA536" s="1614"/>
      <c r="AB536" s="1615" t="s">
        <v>1401</v>
      </c>
      <c r="AC536" s="1616" t="e">
        <f>(AB536-S536)/365</f>
        <v>#VALUE!</v>
      </c>
      <c r="AD536" s="1616"/>
      <c r="AF536" s="1618"/>
      <c r="AG536" s="1619"/>
    </row>
    <row r="537" spans="1:33" s="1529" customFormat="1" ht="18" customHeight="1">
      <c r="A537" s="1519" t="s">
        <v>902</v>
      </c>
      <c r="B537" s="1520"/>
      <c r="C537" s="1520"/>
      <c r="D537" s="1520"/>
      <c r="E537" s="1520">
        <v>328</v>
      </c>
      <c r="F537" s="1521" t="s">
        <v>814</v>
      </c>
      <c r="G537" s="1315" t="s">
        <v>1394</v>
      </c>
      <c r="H537" s="1323" t="s">
        <v>1395</v>
      </c>
      <c r="I537" s="1323" t="s">
        <v>1395</v>
      </c>
      <c r="J537" s="1318" t="s">
        <v>1337</v>
      </c>
      <c r="K537" s="1319" t="s">
        <v>1238</v>
      </c>
      <c r="L537" s="1522">
        <v>3600000</v>
      </c>
      <c r="M537" s="1319" t="s">
        <v>466</v>
      </c>
      <c r="N537" s="1523">
        <v>113</v>
      </c>
      <c r="O537" s="1524"/>
      <c r="P537" s="1521" t="s">
        <v>1396</v>
      </c>
      <c r="Q537" s="1525" t="s">
        <v>1397</v>
      </c>
      <c r="R537" s="1526" t="s">
        <v>1399</v>
      </c>
      <c r="S537" s="1527">
        <v>42121</v>
      </c>
      <c r="T537" s="1527">
        <v>42123</v>
      </c>
      <c r="U537" s="1528" t="s">
        <v>246</v>
      </c>
      <c r="V537" s="1528"/>
      <c r="W537" s="1522">
        <v>4079560</v>
      </c>
      <c r="X537" s="1329">
        <v>7.8</v>
      </c>
      <c r="Y537" s="1329">
        <f t="shared" si="222"/>
        <v>31820568</v>
      </c>
      <c r="Z537" s="1329"/>
      <c r="AA537" s="1330"/>
      <c r="AB537" s="1331" t="s">
        <v>1401</v>
      </c>
      <c r="AC537" s="1332" t="e">
        <f t="shared" ref="AC537" si="224">(AB537-S537)/365</f>
        <v>#VALUE!</v>
      </c>
      <c r="AD537" s="1332"/>
      <c r="AF537" s="1334"/>
      <c r="AG537" s="1335"/>
    </row>
    <row r="538" spans="1:33" s="1529" customFormat="1" ht="18" customHeight="1">
      <c r="A538" s="1519"/>
      <c r="B538" s="1520"/>
      <c r="C538" s="1520"/>
      <c r="D538" s="1520"/>
      <c r="E538" s="1520">
        <v>328</v>
      </c>
      <c r="F538" s="1521" t="s">
        <v>814</v>
      </c>
      <c r="G538" s="1315" t="s">
        <v>1394</v>
      </c>
      <c r="H538" s="1323" t="s">
        <v>1395</v>
      </c>
      <c r="I538" s="1323" t="s">
        <v>1395</v>
      </c>
      <c r="J538" s="1318" t="s">
        <v>1337</v>
      </c>
      <c r="K538" s="1319" t="s">
        <v>1238</v>
      </c>
      <c r="L538" s="1522">
        <v>400000</v>
      </c>
      <c r="M538" s="1319" t="s">
        <v>466</v>
      </c>
      <c r="N538" s="1523">
        <v>113</v>
      </c>
      <c r="O538" s="1524"/>
      <c r="P538" s="1521" t="s">
        <v>1396</v>
      </c>
      <c r="Q538" s="1525" t="s">
        <v>1397</v>
      </c>
      <c r="R538" s="1526" t="s">
        <v>1399</v>
      </c>
      <c r="S538" s="1527">
        <v>42121</v>
      </c>
      <c r="T538" s="1527">
        <v>42123</v>
      </c>
      <c r="U538" s="1528" t="s">
        <v>246</v>
      </c>
      <c r="V538" s="1528"/>
      <c r="W538" s="1530">
        <v>453284.44</v>
      </c>
      <c r="X538" s="1329">
        <v>7.8</v>
      </c>
      <c r="Y538" s="1329">
        <f t="shared" si="222"/>
        <v>3535618.6319999998</v>
      </c>
      <c r="Z538" s="1329"/>
      <c r="AA538" s="1330"/>
      <c r="AB538" s="1331" t="s">
        <v>1401</v>
      </c>
      <c r="AC538" s="1332" t="e">
        <f>(AB538-S538)/365</f>
        <v>#VALUE!</v>
      </c>
      <c r="AD538" s="1332"/>
      <c r="AF538" s="1334"/>
      <c r="AG538" s="1335"/>
    </row>
    <row r="539" spans="1:33" s="1529" customFormat="1" ht="18" customHeight="1">
      <c r="A539" s="1519" t="s">
        <v>902</v>
      </c>
      <c r="B539" s="1520"/>
      <c r="C539" s="1520"/>
      <c r="D539" s="1520"/>
      <c r="E539" s="1520">
        <v>329</v>
      </c>
      <c r="F539" s="1521" t="s">
        <v>814</v>
      </c>
      <c r="G539" s="1315" t="s">
        <v>1394</v>
      </c>
      <c r="H539" s="1323" t="s">
        <v>1395</v>
      </c>
      <c r="I539" s="1323" t="s">
        <v>1395</v>
      </c>
      <c r="J539" s="1318" t="s">
        <v>1337</v>
      </c>
      <c r="K539" s="1319" t="s">
        <v>1238</v>
      </c>
      <c r="L539" s="1522">
        <v>3600000</v>
      </c>
      <c r="M539" s="1319" t="s">
        <v>466</v>
      </c>
      <c r="N539" s="1523">
        <v>113</v>
      </c>
      <c r="O539" s="1524"/>
      <c r="P539" s="1521" t="s">
        <v>1073</v>
      </c>
      <c r="Q539" s="1525" t="s">
        <v>1074</v>
      </c>
      <c r="R539" s="1526" t="s">
        <v>1075</v>
      </c>
      <c r="S539" s="1527">
        <v>42121</v>
      </c>
      <c r="T539" s="1527">
        <v>42123</v>
      </c>
      <c r="U539" s="1528" t="s">
        <v>246</v>
      </c>
      <c r="V539" s="1528"/>
      <c r="W539" s="1522">
        <v>4079560</v>
      </c>
      <c r="X539" s="1329">
        <v>7.8</v>
      </c>
      <c r="Y539" s="1329">
        <f t="shared" si="222"/>
        <v>31820568</v>
      </c>
      <c r="Z539" s="1329"/>
      <c r="AA539" s="1330"/>
      <c r="AB539" s="1331" t="s">
        <v>1401</v>
      </c>
      <c r="AC539" s="1332" t="e">
        <f t="shared" ref="AC539" si="225">(AB539-S539)/365</f>
        <v>#VALUE!</v>
      </c>
      <c r="AD539" s="1332"/>
      <c r="AF539" s="1334"/>
      <c r="AG539" s="1335"/>
    </row>
    <row r="540" spans="1:33" s="1529" customFormat="1" ht="18" customHeight="1">
      <c r="A540" s="1519"/>
      <c r="B540" s="1520"/>
      <c r="C540" s="1520"/>
      <c r="D540" s="1520"/>
      <c r="E540" s="1520">
        <v>329</v>
      </c>
      <c r="F540" s="1521" t="s">
        <v>814</v>
      </c>
      <c r="G540" s="1315" t="s">
        <v>1394</v>
      </c>
      <c r="H540" s="1323" t="s">
        <v>1395</v>
      </c>
      <c r="I540" s="1323" t="s">
        <v>1395</v>
      </c>
      <c r="J540" s="1318" t="s">
        <v>1337</v>
      </c>
      <c r="K540" s="1319" t="s">
        <v>1238</v>
      </c>
      <c r="L540" s="1522">
        <v>400000</v>
      </c>
      <c r="M540" s="1319" t="s">
        <v>466</v>
      </c>
      <c r="N540" s="1523">
        <v>113</v>
      </c>
      <c r="O540" s="1524"/>
      <c r="P540" s="1521" t="s">
        <v>1073</v>
      </c>
      <c r="Q540" s="1525" t="s">
        <v>1074</v>
      </c>
      <c r="R540" s="1526" t="s">
        <v>1075</v>
      </c>
      <c r="S540" s="1527">
        <v>42121</v>
      </c>
      <c r="T540" s="1527">
        <v>42123</v>
      </c>
      <c r="U540" s="1528" t="s">
        <v>246</v>
      </c>
      <c r="V540" s="1528"/>
      <c r="W540" s="1530">
        <v>453284.44</v>
      </c>
      <c r="X540" s="1329">
        <v>7.8</v>
      </c>
      <c r="Y540" s="1329">
        <f t="shared" si="222"/>
        <v>3535618.6319999998</v>
      </c>
      <c r="Z540" s="1329"/>
      <c r="AA540" s="1330"/>
      <c r="AB540" s="1331" t="s">
        <v>1401</v>
      </c>
      <c r="AC540" s="1332" t="e">
        <f>(AB540-S540)/365</f>
        <v>#VALUE!</v>
      </c>
      <c r="AD540" s="1332"/>
      <c r="AF540" s="1334"/>
      <c r="AG540" s="1335"/>
    </row>
    <row r="541" spans="1:33" s="1529" customFormat="1" ht="18" customHeight="1">
      <c r="A541" s="1519" t="s">
        <v>902</v>
      </c>
      <c r="B541" s="1520"/>
      <c r="C541" s="1520"/>
      <c r="D541" s="1520"/>
      <c r="E541" s="1520">
        <v>330</v>
      </c>
      <c r="F541" s="1521" t="s">
        <v>814</v>
      </c>
      <c r="G541" s="1315" t="s">
        <v>1394</v>
      </c>
      <c r="H541" s="1323" t="s">
        <v>1395</v>
      </c>
      <c r="I541" s="1323" t="s">
        <v>1395</v>
      </c>
      <c r="J541" s="1318" t="s">
        <v>1337</v>
      </c>
      <c r="K541" s="1319" t="s">
        <v>1238</v>
      </c>
      <c r="L541" s="1522">
        <v>1800000</v>
      </c>
      <c r="M541" s="1319" t="s">
        <v>466</v>
      </c>
      <c r="N541" s="1523">
        <v>113.5</v>
      </c>
      <c r="O541" s="1524"/>
      <c r="P541" s="1521" t="s">
        <v>712</v>
      </c>
      <c r="Q541" s="1525" t="s">
        <v>713</v>
      </c>
      <c r="R541" s="1526" t="s">
        <v>714</v>
      </c>
      <c r="S541" s="1527">
        <v>42121</v>
      </c>
      <c r="T541" s="1527">
        <v>42123</v>
      </c>
      <c r="U541" s="1528" t="s">
        <v>246</v>
      </c>
      <c r="V541" s="1528"/>
      <c r="W541" s="1522">
        <v>2048780</v>
      </c>
      <c r="X541" s="1329">
        <v>7.8</v>
      </c>
      <c r="Y541" s="1329">
        <f t="shared" si="222"/>
        <v>15980484</v>
      </c>
      <c r="Z541" s="1329"/>
      <c r="AA541" s="1330"/>
      <c r="AB541" s="1331" t="s">
        <v>1401</v>
      </c>
      <c r="AC541" s="1332" t="e">
        <f t="shared" ref="AC541" si="226">(AB541-S541)/365</f>
        <v>#VALUE!</v>
      </c>
      <c r="AD541" s="1332"/>
      <c r="AF541" s="1334"/>
      <c r="AG541" s="1335"/>
    </row>
    <row r="542" spans="1:33" s="1529" customFormat="1" ht="18" customHeight="1">
      <c r="A542" s="1519"/>
      <c r="B542" s="1520"/>
      <c r="C542" s="1520"/>
      <c r="D542" s="1520"/>
      <c r="E542" s="1520">
        <v>330</v>
      </c>
      <c r="F542" s="1521" t="s">
        <v>814</v>
      </c>
      <c r="G542" s="1315" t="s">
        <v>1394</v>
      </c>
      <c r="H542" s="1323" t="s">
        <v>1395</v>
      </c>
      <c r="I542" s="1323" t="s">
        <v>1395</v>
      </c>
      <c r="J542" s="1318" t="s">
        <v>1337</v>
      </c>
      <c r="K542" s="1319" t="s">
        <v>1238</v>
      </c>
      <c r="L542" s="1522">
        <v>200000</v>
      </c>
      <c r="M542" s="1319" t="s">
        <v>466</v>
      </c>
      <c r="N542" s="1523">
        <v>113.5</v>
      </c>
      <c r="O542" s="1524"/>
      <c r="P542" s="1521" t="s">
        <v>712</v>
      </c>
      <c r="Q542" s="1525" t="s">
        <v>713</v>
      </c>
      <c r="R542" s="1526" t="s">
        <v>714</v>
      </c>
      <c r="S542" s="1527">
        <v>42121</v>
      </c>
      <c r="T542" s="1527">
        <v>42123</v>
      </c>
      <c r="U542" s="1528" t="s">
        <v>246</v>
      </c>
      <c r="V542" s="1528"/>
      <c r="W542" s="1530">
        <v>227642.22</v>
      </c>
      <c r="X542" s="1329">
        <v>7.8</v>
      </c>
      <c r="Y542" s="1329">
        <f t="shared" si="222"/>
        <v>1775609.3159999999</v>
      </c>
      <c r="Z542" s="1329"/>
      <c r="AA542" s="1330"/>
      <c r="AB542" s="1331" t="s">
        <v>1401</v>
      </c>
      <c r="AC542" s="1332" t="e">
        <f>(AB542-S542)/365</f>
        <v>#VALUE!</v>
      </c>
      <c r="AD542" s="1332"/>
      <c r="AF542" s="1334"/>
      <c r="AG542" s="1335"/>
    </row>
    <row r="543" spans="1:33" s="1529" customFormat="1" ht="18" customHeight="1">
      <c r="A543" s="1519" t="s">
        <v>902</v>
      </c>
      <c r="B543" s="1520"/>
      <c r="C543" s="1520"/>
      <c r="D543" s="1520"/>
      <c r="E543" s="1520">
        <v>331</v>
      </c>
      <c r="F543" s="1521" t="s">
        <v>814</v>
      </c>
      <c r="G543" s="1315" t="s">
        <v>1394</v>
      </c>
      <c r="H543" s="1323" t="s">
        <v>1395</v>
      </c>
      <c r="I543" s="1323" t="s">
        <v>1395</v>
      </c>
      <c r="J543" s="1318" t="s">
        <v>1337</v>
      </c>
      <c r="K543" s="1319" t="s">
        <v>1238</v>
      </c>
      <c r="L543" s="1522">
        <v>4500000</v>
      </c>
      <c r="M543" s="1319" t="s">
        <v>466</v>
      </c>
      <c r="N543" s="1523">
        <v>113</v>
      </c>
      <c r="O543" s="1524"/>
      <c r="P543" s="1521" t="s">
        <v>691</v>
      </c>
      <c r="Q543" s="1525" t="s">
        <v>1398</v>
      </c>
      <c r="R543" s="1526" t="s">
        <v>1400</v>
      </c>
      <c r="S543" s="1527">
        <v>42121</v>
      </c>
      <c r="T543" s="1527">
        <v>42123</v>
      </c>
      <c r="U543" s="1528" t="s">
        <v>246</v>
      </c>
      <c r="V543" s="1528"/>
      <c r="W543" s="1522">
        <v>5099450</v>
      </c>
      <c r="X543" s="1329">
        <v>7.8</v>
      </c>
      <c r="Y543" s="1329">
        <f t="shared" ref="Y543:Y544" si="227">X543*W543</f>
        <v>39775710</v>
      </c>
      <c r="Z543" s="1329"/>
      <c r="AA543" s="1330"/>
      <c r="AB543" s="1331" t="s">
        <v>1401</v>
      </c>
      <c r="AC543" s="1332" t="e">
        <f t="shared" ref="AC543" si="228">(AB543-S543)/365</f>
        <v>#VALUE!</v>
      </c>
      <c r="AD543" s="1332"/>
      <c r="AF543" s="1334"/>
      <c r="AG543" s="1335"/>
    </row>
    <row r="544" spans="1:33" s="1529" customFormat="1" ht="18" customHeight="1">
      <c r="A544" s="1519"/>
      <c r="B544" s="1520"/>
      <c r="C544" s="1520"/>
      <c r="D544" s="1520"/>
      <c r="E544" s="1520">
        <v>331</v>
      </c>
      <c r="F544" s="1521" t="s">
        <v>814</v>
      </c>
      <c r="G544" s="1315" t="s">
        <v>1394</v>
      </c>
      <c r="H544" s="1323" t="s">
        <v>1395</v>
      </c>
      <c r="I544" s="1323" t="s">
        <v>1395</v>
      </c>
      <c r="J544" s="1318" t="s">
        <v>1337</v>
      </c>
      <c r="K544" s="1319" t="s">
        <v>1238</v>
      </c>
      <c r="L544" s="1522">
        <v>500000</v>
      </c>
      <c r="M544" s="1319" t="s">
        <v>466</v>
      </c>
      <c r="N544" s="1523">
        <v>113</v>
      </c>
      <c r="O544" s="1524"/>
      <c r="P544" s="1521" t="s">
        <v>691</v>
      </c>
      <c r="Q544" s="1525" t="s">
        <v>1398</v>
      </c>
      <c r="R544" s="1526" t="s">
        <v>1400</v>
      </c>
      <c r="S544" s="1527">
        <v>42121</v>
      </c>
      <c r="T544" s="1527">
        <v>42123</v>
      </c>
      <c r="U544" s="1528" t="s">
        <v>246</v>
      </c>
      <c r="V544" s="1528"/>
      <c r="W544" s="1530">
        <v>566605.56000000006</v>
      </c>
      <c r="X544" s="1329">
        <v>7.8</v>
      </c>
      <c r="Y544" s="1329">
        <f t="shared" si="227"/>
        <v>4419523.3680000007</v>
      </c>
      <c r="Z544" s="1329"/>
      <c r="AA544" s="1330"/>
      <c r="AB544" s="1331" t="s">
        <v>1401</v>
      </c>
      <c r="AC544" s="1332" t="e">
        <f>(AB544-S544)/365</f>
        <v>#VALUE!</v>
      </c>
      <c r="AD544" s="1332"/>
      <c r="AF544" s="1334"/>
      <c r="AG544" s="1335"/>
    </row>
    <row r="545" spans="1:33" s="1642" customFormat="1" ht="18" customHeight="1">
      <c r="A545" s="1624" t="s">
        <v>902</v>
      </c>
      <c r="B545" s="1625"/>
      <c r="C545" s="1625"/>
      <c r="D545" s="1625"/>
      <c r="E545" s="1625">
        <v>332</v>
      </c>
      <c r="F545" s="1626" t="s">
        <v>814</v>
      </c>
      <c r="G545" s="1627" t="s">
        <v>1394</v>
      </c>
      <c r="H545" s="1628" t="s">
        <v>1395</v>
      </c>
      <c r="I545" s="1628" t="s">
        <v>1395</v>
      </c>
      <c r="J545" s="1629" t="s">
        <v>1337</v>
      </c>
      <c r="K545" s="1630" t="s">
        <v>1238</v>
      </c>
      <c r="L545" s="1631">
        <v>13500000</v>
      </c>
      <c r="M545" s="1630" t="s">
        <v>466</v>
      </c>
      <c r="N545" s="1632">
        <v>113.15</v>
      </c>
      <c r="O545" s="1633"/>
      <c r="P545" s="1626" t="s">
        <v>1073</v>
      </c>
      <c r="Q545" s="1634" t="s">
        <v>1074</v>
      </c>
      <c r="R545" s="1635" t="s">
        <v>1075</v>
      </c>
      <c r="S545" s="1636">
        <v>42122</v>
      </c>
      <c r="T545" s="1636">
        <v>42124</v>
      </c>
      <c r="U545" s="1637" t="s">
        <v>246</v>
      </c>
      <c r="V545" s="1637"/>
      <c r="W545" s="1631">
        <v>15321150</v>
      </c>
      <c r="X545" s="1638">
        <v>7.8</v>
      </c>
      <c r="Y545" s="1638">
        <f t="shared" ref="Y545:Y546" si="229">X545*W545</f>
        <v>119504970</v>
      </c>
      <c r="Z545" s="1638"/>
      <c r="AA545" s="1639"/>
      <c r="AB545" s="1640" t="s">
        <v>1401</v>
      </c>
      <c r="AC545" s="1641" t="e">
        <f t="shared" ref="AC545" si="230">(AB545-S545)/365</f>
        <v>#VALUE!</v>
      </c>
      <c r="AD545" s="1641"/>
      <c r="AF545" s="1643"/>
      <c r="AG545" s="1644"/>
    </row>
    <row r="546" spans="1:33" s="1642" customFormat="1" ht="18" customHeight="1">
      <c r="A546" s="1624"/>
      <c r="B546" s="1625"/>
      <c r="C546" s="1625"/>
      <c r="D546" s="1625"/>
      <c r="E546" s="1625">
        <v>332</v>
      </c>
      <c r="F546" s="1626" t="s">
        <v>814</v>
      </c>
      <c r="G546" s="1627" t="s">
        <v>1394</v>
      </c>
      <c r="H546" s="1628" t="s">
        <v>1395</v>
      </c>
      <c r="I546" s="1628" t="s">
        <v>1395</v>
      </c>
      <c r="J546" s="1629" t="s">
        <v>1337</v>
      </c>
      <c r="K546" s="1630" t="s">
        <v>1238</v>
      </c>
      <c r="L546" s="1631">
        <v>1500000</v>
      </c>
      <c r="M546" s="1630" t="s">
        <v>466</v>
      </c>
      <c r="N546" s="1632">
        <v>113.15</v>
      </c>
      <c r="O546" s="1633"/>
      <c r="P546" s="1626" t="s">
        <v>1073</v>
      </c>
      <c r="Q546" s="1634" t="s">
        <v>1074</v>
      </c>
      <c r="R546" s="1635" t="s">
        <v>1075</v>
      </c>
      <c r="S546" s="1636">
        <v>42122</v>
      </c>
      <c r="T546" s="1636">
        <v>42124</v>
      </c>
      <c r="U546" s="1637" t="s">
        <v>246</v>
      </c>
      <c r="V546" s="1637"/>
      <c r="W546" s="1645">
        <v>1702350</v>
      </c>
      <c r="X546" s="1638">
        <v>7.8</v>
      </c>
      <c r="Y546" s="1638">
        <f t="shared" si="229"/>
        <v>13278330</v>
      </c>
      <c r="Z546" s="1638"/>
      <c r="AA546" s="1639"/>
      <c r="AB546" s="1640" t="s">
        <v>1401</v>
      </c>
      <c r="AC546" s="1641" t="e">
        <f>(AB546-S546)/365</f>
        <v>#VALUE!</v>
      </c>
      <c r="AD546" s="1641"/>
      <c r="AF546" s="1643"/>
      <c r="AG546" s="1644"/>
    </row>
    <row r="547" spans="1:33" s="1675" customFormat="1" ht="19.5" customHeight="1">
      <c r="A547" s="1657" t="s">
        <v>902</v>
      </c>
      <c r="B547" s="1658"/>
      <c r="C547" s="1658"/>
      <c r="D547" s="1658"/>
      <c r="E547" s="1658">
        <v>333</v>
      </c>
      <c r="F547" s="1659" t="s">
        <v>814</v>
      </c>
      <c r="G547" s="1660" t="s">
        <v>1394</v>
      </c>
      <c r="H547" s="1661" t="s">
        <v>1395</v>
      </c>
      <c r="I547" s="1661" t="s">
        <v>1395</v>
      </c>
      <c r="J547" s="1662" t="s">
        <v>1337</v>
      </c>
      <c r="K547" s="1663" t="s">
        <v>1238</v>
      </c>
      <c r="L547" s="1664">
        <v>14400000</v>
      </c>
      <c r="M547" s="1663" t="s">
        <v>466</v>
      </c>
      <c r="N547" s="1665">
        <v>113.25</v>
      </c>
      <c r="O547" s="1666"/>
      <c r="P547" s="1659" t="s">
        <v>1396</v>
      </c>
      <c r="Q547" s="1667" t="s">
        <v>1397</v>
      </c>
      <c r="R547" s="1668" t="s">
        <v>1399</v>
      </c>
      <c r="S547" s="1669">
        <v>42123</v>
      </c>
      <c r="T547" s="1669">
        <v>42125</v>
      </c>
      <c r="U547" s="1670" t="s">
        <v>246</v>
      </c>
      <c r="V547" s="1670"/>
      <c r="W547" s="1664">
        <v>16359680</v>
      </c>
      <c r="X547" s="1671">
        <v>7.8</v>
      </c>
      <c r="Y547" s="1671">
        <f t="shared" ref="Y547" si="231">X547*W547</f>
        <v>127605504</v>
      </c>
      <c r="Z547" s="1671"/>
      <c r="AA547" s="1672"/>
      <c r="AB547" s="1673" t="s">
        <v>1401</v>
      </c>
      <c r="AC547" s="1674" t="e">
        <f t="shared" ref="AC547" si="232">(AB547-S547)/365</f>
        <v>#VALUE!</v>
      </c>
      <c r="AD547" s="1674"/>
      <c r="AF547" s="1676"/>
      <c r="AG547" s="1677"/>
    </row>
    <row r="548" spans="1:33" s="1675" customFormat="1" ht="18" customHeight="1">
      <c r="A548" s="1657"/>
      <c r="B548" s="1658"/>
      <c r="C548" s="1658"/>
      <c r="D548" s="1658"/>
      <c r="E548" s="1658">
        <v>333</v>
      </c>
      <c r="F548" s="1659" t="s">
        <v>814</v>
      </c>
      <c r="G548" s="1660" t="s">
        <v>1394</v>
      </c>
      <c r="H548" s="1661" t="s">
        <v>1395</v>
      </c>
      <c r="I548" s="1661" t="s">
        <v>1395</v>
      </c>
      <c r="J548" s="1662" t="s">
        <v>1337</v>
      </c>
      <c r="K548" s="1663" t="s">
        <v>1238</v>
      </c>
      <c r="L548" s="1664">
        <v>1600000</v>
      </c>
      <c r="M548" s="1663" t="s">
        <v>466</v>
      </c>
      <c r="N548" s="1665">
        <v>113.25</v>
      </c>
      <c r="O548" s="1666"/>
      <c r="P548" s="1659" t="s">
        <v>1396</v>
      </c>
      <c r="Q548" s="1667" t="s">
        <v>1397</v>
      </c>
      <c r="R548" s="1668" t="s">
        <v>1399</v>
      </c>
      <c r="S548" s="1669">
        <v>42123</v>
      </c>
      <c r="T548" s="1669">
        <v>42125</v>
      </c>
      <c r="U548" s="1670" t="s">
        <v>246</v>
      </c>
      <c r="V548" s="1670"/>
      <c r="W548" s="1678">
        <v>340826.67</v>
      </c>
      <c r="X548" s="1671">
        <v>7.8</v>
      </c>
      <c r="Y548" s="1671">
        <f>X548*W548</f>
        <v>2658448.0259999996</v>
      </c>
      <c r="Z548" s="1671"/>
      <c r="AA548" s="1672"/>
      <c r="AB548" s="1673" t="s">
        <v>1401</v>
      </c>
      <c r="AC548" s="1674" t="e">
        <f>(AB548-S548)/365</f>
        <v>#VALUE!</v>
      </c>
      <c r="AD548" s="1674"/>
      <c r="AF548" s="1676"/>
      <c r="AG548" s="1677"/>
    </row>
    <row r="549" spans="1:33" s="890" customFormat="1" ht="18" customHeight="1">
      <c r="A549" s="1445" t="s">
        <v>902</v>
      </c>
      <c r="B549" s="873"/>
      <c r="C549" s="873"/>
      <c r="D549" s="873"/>
      <c r="E549" s="873">
        <v>334</v>
      </c>
      <c r="F549" s="874" t="s">
        <v>1408</v>
      </c>
      <c r="G549" s="1278" t="s">
        <v>1409</v>
      </c>
      <c r="H549" s="881" t="s">
        <v>1395</v>
      </c>
      <c r="I549" s="881" t="s">
        <v>1395</v>
      </c>
      <c r="J549" s="876">
        <f t="shared" ref="J549:J552" si="233">(AB549-T549)/365</f>
        <v>11.96986301369863</v>
      </c>
      <c r="K549" s="877" t="s">
        <v>465</v>
      </c>
      <c r="L549" s="878">
        <v>270000000</v>
      </c>
      <c r="M549" s="877" t="s">
        <v>466</v>
      </c>
      <c r="N549" s="879">
        <v>99.575999999999993</v>
      </c>
      <c r="O549" s="1446">
        <v>6.05</v>
      </c>
      <c r="P549" s="874" t="s">
        <v>1311</v>
      </c>
      <c r="Q549" s="1447" t="s">
        <v>1312</v>
      </c>
      <c r="R549" s="1448" t="s">
        <v>1313</v>
      </c>
      <c r="S549" s="1679">
        <v>42216</v>
      </c>
      <c r="T549" s="883">
        <v>42235</v>
      </c>
      <c r="U549" s="884" t="s">
        <v>683</v>
      </c>
      <c r="V549" s="884"/>
      <c r="W549" s="878">
        <v>269485200</v>
      </c>
      <c r="X549" s="886">
        <v>7.8</v>
      </c>
      <c r="Y549" s="886">
        <f t="shared" ref="Y549" si="234">X549*W549</f>
        <v>2101984560</v>
      </c>
      <c r="Z549" s="886"/>
      <c r="AA549" s="887">
        <v>6</v>
      </c>
      <c r="AB549" s="888">
        <v>46604</v>
      </c>
      <c r="AC549" s="889">
        <f t="shared" ref="AC549" si="235">(AB549-S549)/365</f>
        <v>12.021917808219179</v>
      </c>
      <c r="AD549" s="889"/>
      <c r="AF549" s="891"/>
      <c r="AG549" s="892"/>
    </row>
    <row r="550" spans="1:33" s="890" customFormat="1" ht="18" customHeight="1">
      <c r="A550" s="1445"/>
      <c r="B550" s="873"/>
      <c r="C550" s="873"/>
      <c r="D550" s="873"/>
      <c r="E550" s="873">
        <v>334</v>
      </c>
      <c r="F550" s="874" t="s">
        <v>1408</v>
      </c>
      <c r="G550" s="1278" t="s">
        <v>1409</v>
      </c>
      <c r="H550" s="881" t="s">
        <v>1395</v>
      </c>
      <c r="I550" s="881" t="s">
        <v>1395</v>
      </c>
      <c r="J550" s="876">
        <f t="shared" si="233"/>
        <v>11.96986301369863</v>
      </c>
      <c r="K550" s="877" t="s">
        <v>465</v>
      </c>
      <c r="L550" s="1078">
        <v>30000000</v>
      </c>
      <c r="M550" s="877" t="s">
        <v>466</v>
      </c>
      <c r="N550" s="879">
        <v>99.575999999999993</v>
      </c>
      <c r="O550" s="1446">
        <v>6.05</v>
      </c>
      <c r="P550" s="874" t="s">
        <v>1311</v>
      </c>
      <c r="Q550" s="1447" t="s">
        <v>1312</v>
      </c>
      <c r="R550" s="1448" t="s">
        <v>1313</v>
      </c>
      <c r="S550" s="1679">
        <v>42216</v>
      </c>
      <c r="T550" s="883">
        <v>42235</v>
      </c>
      <c r="U550" s="884" t="s">
        <v>683</v>
      </c>
      <c r="V550" s="884"/>
      <c r="W550" s="1078">
        <v>29942800</v>
      </c>
      <c r="X550" s="886">
        <v>7.8</v>
      </c>
      <c r="Y550" s="886">
        <f>X550*W550</f>
        <v>233553840</v>
      </c>
      <c r="Z550" s="886"/>
      <c r="AA550" s="887">
        <v>6</v>
      </c>
      <c r="AB550" s="888">
        <v>46604</v>
      </c>
      <c r="AC550" s="889">
        <f>(AB550-S550)/365</f>
        <v>12.021917808219179</v>
      </c>
      <c r="AD550" s="889"/>
      <c r="AF550" s="891"/>
      <c r="AG550" s="892"/>
    </row>
    <row r="551" spans="1:33" s="1529" customFormat="1" ht="18" customHeight="1">
      <c r="A551" s="1519"/>
      <c r="B551" s="1520"/>
      <c r="C551" s="1520"/>
      <c r="D551" s="1520"/>
      <c r="E551" s="1520">
        <v>335</v>
      </c>
      <c r="F551" s="1521" t="s">
        <v>1410</v>
      </c>
      <c r="G551" s="1315" t="s">
        <v>1411</v>
      </c>
      <c r="H551" s="1323" t="s">
        <v>1395</v>
      </c>
      <c r="I551" s="1323" t="s">
        <v>1221</v>
      </c>
      <c r="J551" s="1318">
        <f t="shared" si="233"/>
        <v>27.016438356164382</v>
      </c>
      <c r="K551" s="1319" t="s">
        <v>465</v>
      </c>
      <c r="L551" s="1522">
        <v>47880000</v>
      </c>
      <c r="M551" s="1319" t="s">
        <v>466</v>
      </c>
      <c r="N551" s="1523">
        <v>99.74</v>
      </c>
      <c r="O551" s="1524">
        <v>5.875</v>
      </c>
      <c r="P551" s="1521" t="s">
        <v>1412</v>
      </c>
      <c r="Q551" s="1525" t="s">
        <v>1257</v>
      </c>
      <c r="R551" s="1526" t="s">
        <v>1258</v>
      </c>
      <c r="S551" s="1682">
        <v>42286</v>
      </c>
      <c r="T551" s="1527">
        <v>42293</v>
      </c>
      <c r="U551" s="1528" t="s">
        <v>683</v>
      </c>
      <c r="V551" s="1528"/>
      <c r="W551" s="1522">
        <v>47755512</v>
      </c>
      <c r="X551" s="1329">
        <v>7.8</v>
      </c>
      <c r="Y551" s="1329">
        <f t="shared" ref="Y551:Y552" si="236">X551*W551</f>
        <v>372492993.59999996</v>
      </c>
      <c r="Z551" s="1329"/>
      <c r="AA551" s="1330">
        <v>5.75</v>
      </c>
      <c r="AB551" s="1331">
        <v>52154</v>
      </c>
      <c r="AC551" s="1332">
        <f t="shared" ref="AC551:AC552" si="237">(AB551-S551)/365</f>
        <v>27.035616438356165</v>
      </c>
      <c r="AD551" s="1332"/>
      <c r="AF551" s="1334"/>
      <c r="AG551" s="1335"/>
    </row>
    <row r="552" spans="1:33" s="1529" customFormat="1" ht="18" customHeight="1">
      <c r="A552" s="1519"/>
      <c r="B552" s="1520"/>
      <c r="C552" s="1520"/>
      <c r="D552" s="1520"/>
      <c r="E552" s="1520">
        <v>335</v>
      </c>
      <c r="F552" s="1521" t="s">
        <v>1410</v>
      </c>
      <c r="G552" s="1315" t="s">
        <v>1411</v>
      </c>
      <c r="H552" s="1323" t="s">
        <v>1395</v>
      </c>
      <c r="I552" s="1323" t="s">
        <v>1221</v>
      </c>
      <c r="J552" s="1318">
        <f t="shared" si="233"/>
        <v>27.016438356164382</v>
      </c>
      <c r="K552" s="1319" t="s">
        <v>465</v>
      </c>
      <c r="L552" s="1530">
        <v>5320000</v>
      </c>
      <c r="M552" s="1319" t="s">
        <v>466</v>
      </c>
      <c r="N552" s="1523">
        <v>99.74</v>
      </c>
      <c r="O552" s="1524">
        <v>5.875</v>
      </c>
      <c r="P552" s="1521" t="s">
        <v>1412</v>
      </c>
      <c r="Q552" s="1525" t="s">
        <v>1257</v>
      </c>
      <c r="R552" s="1526" t="s">
        <v>1258</v>
      </c>
      <c r="S552" s="1682">
        <v>42286</v>
      </c>
      <c r="T552" s="1527">
        <v>42293</v>
      </c>
      <c r="U552" s="1528" t="s">
        <v>683</v>
      </c>
      <c r="V552" s="1528"/>
      <c r="W552" s="1530">
        <v>5306168</v>
      </c>
      <c r="X552" s="1329">
        <v>7.8</v>
      </c>
      <c r="Y552" s="1329">
        <f t="shared" si="236"/>
        <v>41388110.399999999</v>
      </c>
      <c r="Z552" s="1329"/>
      <c r="AA552" s="1330">
        <v>5.75</v>
      </c>
      <c r="AB552" s="1331">
        <v>52154</v>
      </c>
      <c r="AC552" s="1332">
        <f t="shared" si="237"/>
        <v>27.035616438356165</v>
      </c>
      <c r="AD552" s="1332"/>
      <c r="AF552" s="1334"/>
      <c r="AG552" s="1335"/>
    </row>
    <row r="553" spans="1:33" s="1549" customFormat="1" ht="18" customHeight="1">
      <c r="A553" s="1531"/>
      <c r="B553" s="1532"/>
      <c r="C553" s="1532"/>
      <c r="D553" s="1532"/>
      <c r="E553" s="1532">
        <v>336</v>
      </c>
      <c r="F553" s="1533" t="s">
        <v>1413</v>
      </c>
      <c r="G553" s="1534" t="s">
        <v>1414</v>
      </c>
      <c r="H553" s="1535" t="s">
        <v>744</v>
      </c>
      <c r="I553" s="1535" t="s">
        <v>1395</v>
      </c>
      <c r="J553" s="1536">
        <f t="shared" ref="J553:J556" si="238">(AB553-T553)/365</f>
        <v>60.041095890410958</v>
      </c>
      <c r="K553" s="1537" t="s">
        <v>465</v>
      </c>
      <c r="L553" s="1538">
        <v>63000000</v>
      </c>
      <c r="M553" s="1537" t="s">
        <v>466</v>
      </c>
      <c r="N553" s="1539">
        <v>100</v>
      </c>
      <c r="O553" s="1540">
        <v>6.25</v>
      </c>
      <c r="P553" s="1533" t="s">
        <v>712</v>
      </c>
      <c r="Q553" s="1541" t="s">
        <v>713</v>
      </c>
      <c r="R553" s="1542" t="s">
        <v>714</v>
      </c>
      <c r="S553" s="1683">
        <v>42291</v>
      </c>
      <c r="T553" s="1543">
        <v>42296</v>
      </c>
      <c r="U553" s="1544" t="s">
        <v>683</v>
      </c>
      <c r="V553" s="1544"/>
      <c r="W553" s="1538">
        <v>63000000</v>
      </c>
      <c r="X553" s="1545">
        <v>7.8</v>
      </c>
      <c r="Y553" s="1545">
        <f t="shared" ref="Y553:Y556" si="239">X553*W553</f>
        <v>491400000</v>
      </c>
      <c r="Z553" s="1545"/>
      <c r="AA553" s="1546">
        <v>6.25</v>
      </c>
      <c r="AB553" s="1547">
        <v>64211</v>
      </c>
      <c r="AC553" s="1548">
        <f t="shared" ref="AC553:AC556" si="240">(AB553-S553)/365</f>
        <v>60.054794520547944</v>
      </c>
      <c r="AD553" s="1548"/>
      <c r="AF553" s="1550"/>
      <c r="AG553" s="1551"/>
    </row>
    <row r="554" spans="1:33" s="1549" customFormat="1" ht="18" customHeight="1">
      <c r="A554" s="1531"/>
      <c r="B554" s="1532"/>
      <c r="C554" s="1532"/>
      <c r="D554" s="1532"/>
      <c r="E554" s="1532">
        <v>336</v>
      </c>
      <c r="F554" s="1533" t="s">
        <v>1413</v>
      </c>
      <c r="G554" s="1534" t="s">
        <v>1414</v>
      </c>
      <c r="H554" s="1535" t="s">
        <v>744</v>
      </c>
      <c r="I554" s="1535" t="s">
        <v>1395</v>
      </c>
      <c r="J554" s="1536">
        <f t="shared" si="238"/>
        <v>60.041095890410958</v>
      </c>
      <c r="K554" s="1537" t="s">
        <v>465</v>
      </c>
      <c r="L554" s="1538">
        <v>7000000</v>
      </c>
      <c r="M554" s="1537" t="s">
        <v>466</v>
      </c>
      <c r="N554" s="1539">
        <v>100</v>
      </c>
      <c r="O554" s="1540">
        <v>6.25</v>
      </c>
      <c r="P554" s="1533" t="s">
        <v>712</v>
      </c>
      <c r="Q554" s="1541" t="s">
        <v>713</v>
      </c>
      <c r="R554" s="1542" t="s">
        <v>714</v>
      </c>
      <c r="S554" s="1683">
        <v>42291</v>
      </c>
      <c r="T554" s="1543">
        <v>42296</v>
      </c>
      <c r="U554" s="1544" t="s">
        <v>683</v>
      </c>
      <c r="V554" s="1544"/>
      <c r="W554" s="1552">
        <v>7000000</v>
      </c>
      <c r="X554" s="1545">
        <v>7.8</v>
      </c>
      <c r="Y554" s="1545">
        <f t="shared" si="239"/>
        <v>54600000</v>
      </c>
      <c r="Z554" s="1545"/>
      <c r="AA554" s="1546">
        <v>6.25</v>
      </c>
      <c r="AB554" s="1547">
        <v>64211</v>
      </c>
      <c r="AC554" s="1548">
        <f t="shared" si="240"/>
        <v>60.054794520547944</v>
      </c>
      <c r="AD554" s="1548"/>
      <c r="AF554" s="1550"/>
      <c r="AG554" s="1551"/>
    </row>
    <row r="555" spans="1:33" s="1549" customFormat="1" ht="18" customHeight="1">
      <c r="A555" s="1531"/>
      <c r="B555" s="1532"/>
      <c r="C555" s="1532"/>
      <c r="D555" s="1532"/>
      <c r="E555" s="1532">
        <v>337</v>
      </c>
      <c r="F555" s="1533" t="s">
        <v>1416</v>
      </c>
      <c r="G555" s="1534" t="s">
        <v>1415</v>
      </c>
      <c r="H555" s="1535" t="s">
        <v>744</v>
      </c>
      <c r="I555" s="1535" t="s">
        <v>1395</v>
      </c>
      <c r="J555" s="1536">
        <f t="shared" si="238"/>
        <v>60.041095890410958</v>
      </c>
      <c r="K555" s="1537" t="s">
        <v>465</v>
      </c>
      <c r="L555" s="1538">
        <v>199180000</v>
      </c>
      <c r="M555" s="1537" t="s">
        <v>466</v>
      </c>
      <c r="N555" s="1539">
        <v>100</v>
      </c>
      <c r="O555" s="1540">
        <v>6.75</v>
      </c>
      <c r="P555" s="1533" t="s">
        <v>712</v>
      </c>
      <c r="Q555" s="1541" t="s">
        <v>713</v>
      </c>
      <c r="R555" s="1542" t="s">
        <v>714</v>
      </c>
      <c r="S555" s="1683">
        <v>42291</v>
      </c>
      <c r="T555" s="1543">
        <v>42296</v>
      </c>
      <c r="U555" s="1544" t="s">
        <v>683</v>
      </c>
      <c r="V555" s="1544"/>
      <c r="W555" s="1538">
        <v>199180000</v>
      </c>
      <c r="X555" s="1545">
        <v>7.8</v>
      </c>
      <c r="Y555" s="1545">
        <f t="shared" si="239"/>
        <v>1553604000</v>
      </c>
      <c r="Z555" s="1545"/>
      <c r="AA555" s="1546">
        <v>6.75</v>
      </c>
      <c r="AB555" s="1547">
        <v>64211</v>
      </c>
      <c r="AC555" s="1548">
        <f t="shared" si="240"/>
        <v>60.054794520547944</v>
      </c>
      <c r="AD555" s="1548"/>
      <c r="AF555" s="1550"/>
      <c r="AG555" s="1551"/>
    </row>
    <row r="556" spans="1:33" s="1549" customFormat="1" ht="18" customHeight="1">
      <c r="A556" s="1531"/>
      <c r="B556" s="1532"/>
      <c r="C556" s="1532"/>
      <c r="D556" s="1532"/>
      <c r="E556" s="1532">
        <v>337</v>
      </c>
      <c r="F556" s="1533" t="s">
        <v>1416</v>
      </c>
      <c r="G556" s="1534" t="s">
        <v>1415</v>
      </c>
      <c r="H556" s="1535" t="s">
        <v>744</v>
      </c>
      <c r="I556" s="1535" t="s">
        <v>1395</v>
      </c>
      <c r="J556" s="1536">
        <f t="shared" si="238"/>
        <v>60.041095890410958</v>
      </c>
      <c r="K556" s="1537" t="s">
        <v>465</v>
      </c>
      <c r="L556" s="1552">
        <v>22131000</v>
      </c>
      <c r="M556" s="1537" t="s">
        <v>466</v>
      </c>
      <c r="N556" s="1539">
        <v>100</v>
      </c>
      <c r="O556" s="1540">
        <v>6.75</v>
      </c>
      <c r="P556" s="1533" t="s">
        <v>712</v>
      </c>
      <c r="Q556" s="1541" t="s">
        <v>713</v>
      </c>
      <c r="R556" s="1542" t="s">
        <v>714</v>
      </c>
      <c r="S556" s="1683">
        <v>42291</v>
      </c>
      <c r="T556" s="1543">
        <v>42296</v>
      </c>
      <c r="U556" s="1544" t="s">
        <v>683</v>
      </c>
      <c r="V556" s="1544"/>
      <c r="W556" s="1552">
        <v>22131000</v>
      </c>
      <c r="X556" s="1545">
        <v>7.8</v>
      </c>
      <c r="Y556" s="1545">
        <f t="shared" si="239"/>
        <v>172621800</v>
      </c>
      <c r="Z556" s="1545"/>
      <c r="AA556" s="1546">
        <v>6.75</v>
      </c>
      <c r="AB556" s="1547">
        <v>64211</v>
      </c>
      <c r="AC556" s="1548">
        <f t="shared" si="240"/>
        <v>60.054794520547944</v>
      </c>
      <c r="AD556" s="1548"/>
      <c r="AF556" s="1550"/>
      <c r="AG556" s="1551"/>
    </row>
    <row r="557" spans="1:33" s="737" customFormat="1" ht="18" customHeight="1">
      <c r="A557" s="1684"/>
      <c r="B557" s="730"/>
      <c r="C557" s="730"/>
      <c r="D557" s="730"/>
      <c r="E557" s="730">
        <v>338</v>
      </c>
      <c r="F557" s="731" t="s">
        <v>1418</v>
      </c>
      <c r="G557" s="629" t="s">
        <v>1419</v>
      </c>
      <c r="H557" s="600" t="s">
        <v>1420</v>
      </c>
      <c r="I557" s="600" t="s">
        <v>1395</v>
      </c>
      <c r="J557" s="589">
        <f t="shared" ref="J557:J590" si="241">(AB557-T557)/365</f>
        <v>30.021917808219179</v>
      </c>
      <c r="K557" s="590" t="s">
        <v>465</v>
      </c>
      <c r="L557" s="732">
        <v>270000000</v>
      </c>
      <c r="M557" s="590" t="s">
        <v>466</v>
      </c>
      <c r="N557" s="733">
        <v>100</v>
      </c>
      <c r="O557" s="1685">
        <v>6.1</v>
      </c>
      <c r="P557" s="731" t="s">
        <v>1073</v>
      </c>
      <c r="Q557" s="1686" t="s">
        <v>1074</v>
      </c>
      <c r="R557" s="1687" t="s">
        <v>1075</v>
      </c>
      <c r="S557" s="1688">
        <v>42314</v>
      </c>
      <c r="T557" s="676">
        <v>42320</v>
      </c>
      <c r="U557" s="735" t="s">
        <v>683</v>
      </c>
      <c r="V557" s="735"/>
      <c r="W557" s="732">
        <v>270000000</v>
      </c>
      <c r="X557" s="598">
        <v>7.8</v>
      </c>
      <c r="Y557" s="598">
        <f t="shared" ref="Y557:Y569" si="242">X557*W557</f>
        <v>2106000000</v>
      </c>
      <c r="Z557" s="598"/>
      <c r="AA557" s="677">
        <v>6.1</v>
      </c>
      <c r="AB557" s="688">
        <v>53278</v>
      </c>
      <c r="AC557" s="601">
        <f t="shared" ref="AC557:AC563" si="243">(AB557-S557)/365</f>
        <v>30.038356164383561</v>
      </c>
      <c r="AD557" s="601"/>
      <c r="AF557" s="602"/>
      <c r="AG557" s="603"/>
    </row>
    <row r="558" spans="1:33" s="737" customFormat="1" ht="18" customHeight="1">
      <c r="A558" s="1684"/>
      <c r="B558" s="730"/>
      <c r="C558" s="730"/>
      <c r="D558" s="730"/>
      <c r="E558" s="730">
        <v>338</v>
      </c>
      <c r="F558" s="731" t="s">
        <v>1418</v>
      </c>
      <c r="G558" s="629" t="s">
        <v>1419</v>
      </c>
      <c r="H558" s="600" t="s">
        <v>1420</v>
      </c>
      <c r="I558" s="600" t="s">
        <v>1395</v>
      </c>
      <c r="J558" s="589">
        <f t="shared" si="241"/>
        <v>30.021917808219179</v>
      </c>
      <c r="K558" s="590" t="s">
        <v>465</v>
      </c>
      <c r="L558" s="894">
        <v>30000000</v>
      </c>
      <c r="M558" s="590" t="s">
        <v>466</v>
      </c>
      <c r="N558" s="733">
        <v>100</v>
      </c>
      <c r="O558" s="1685">
        <v>6.1</v>
      </c>
      <c r="P558" s="731" t="s">
        <v>1073</v>
      </c>
      <c r="Q558" s="1686" t="s">
        <v>1074</v>
      </c>
      <c r="R558" s="1687" t="s">
        <v>1075</v>
      </c>
      <c r="S558" s="1688">
        <v>42314</v>
      </c>
      <c r="T558" s="676">
        <v>42320</v>
      </c>
      <c r="U558" s="735" t="s">
        <v>683</v>
      </c>
      <c r="V558" s="735"/>
      <c r="W558" s="894">
        <v>30000000</v>
      </c>
      <c r="X558" s="598">
        <v>7.8</v>
      </c>
      <c r="Y558" s="598">
        <f t="shared" si="242"/>
        <v>234000000</v>
      </c>
      <c r="Z558" s="598"/>
      <c r="AA558" s="677">
        <v>6.1</v>
      </c>
      <c r="AB558" s="688">
        <v>53278</v>
      </c>
      <c r="AC558" s="601">
        <f t="shared" si="243"/>
        <v>30.038356164383561</v>
      </c>
      <c r="AD558" s="601"/>
      <c r="AF558" s="602"/>
      <c r="AG558" s="603"/>
    </row>
    <row r="559" spans="1:33" s="890" customFormat="1" ht="18" customHeight="1">
      <c r="A559" s="1445"/>
      <c r="B559" s="873"/>
      <c r="C559" s="873"/>
      <c r="D559" s="873"/>
      <c r="E559" s="873">
        <v>339</v>
      </c>
      <c r="F559" s="874" t="s">
        <v>1425</v>
      </c>
      <c r="G559" s="1278" t="s">
        <v>1430</v>
      </c>
      <c r="H559" s="881" t="s">
        <v>1395</v>
      </c>
      <c r="I559" s="881" t="s">
        <v>1395</v>
      </c>
      <c r="J559" s="876">
        <f t="shared" si="241"/>
        <v>10.008219178082191</v>
      </c>
      <c r="K559" s="877" t="s">
        <v>465</v>
      </c>
      <c r="L559" s="878">
        <v>180000000</v>
      </c>
      <c r="M559" s="877" t="s">
        <v>466</v>
      </c>
      <c r="N559" s="879">
        <v>100</v>
      </c>
      <c r="O559" s="1446">
        <v>6.25</v>
      </c>
      <c r="P559" s="874" t="s">
        <v>1426</v>
      </c>
      <c r="Q559" s="882" t="s">
        <v>1427</v>
      </c>
      <c r="R559" s="1690" t="s">
        <v>1428</v>
      </c>
      <c r="S559" s="1679">
        <v>42320</v>
      </c>
      <c r="T559" s="883">
        <v>42326</v>
      </c>
      <c r="U559" s="884" t="s">
        <v>683</v>
      </c>
      <c r="V559" s="884"/>
      <c r="W559" s="878">
        <v>180000000</v>
      </c>
      <c r="X559" s="886">
        <v>7.8</v>
      </c>
      <c r="Y559" s="886">
        <f t="shared" si="242"/>
        <v>1404000000</v>
      </c>
      <c r="Z559" s="886"/>
      <c r="AA559" s="887">
        <v>6.25</v>
      </c>
      <c r="AB559" s="888">
        <v>45979</v>
      </c>
      <c r="AC559" s="889">
        <f t="shared" si="243"/>
        <v>10.024657534246575</v>
      </c>
      <c r="AD559" s="889"/>
      <c r="AF559" s="891"/>
      <c r="AG559" s="892"/>
    </row>
    <row r="560" spans="1:33" s="890" customFormat="1" ht="18" customHeight="1">
      <c r="A560" s="1445"/>
      <c r="B560" s="873"/>
      <c r="C560" s="873"/>
      <c r="D560" s="873"/>
      <c r="E560" s="873">
        <v>339</v>
      </c>
      <c r="F560" s="874" t="s">
        <v>1425</v>
      </c>
      <c r="G560" s="1278" t="s">
        <v>1431</v>
      </c>
      <c r="H560" s="881" t="s">
        <v>1395</v>
      </c>
      <c r="I560" s="881" t="s">
        <v>1395</v>
      </c>
      <c r="J560" s="876">
        <f t="shared" si="241"/>
        <v>10.008219178082191</v>
      </c>
      <c r="K560" s="877" t="s">
        <v>465</v>
      </c>
      <c r="L560" s="1078">
        <v>20000000</v>
      </c>
      <c r="M560" s="877" t="s">
        <v>466</v>
      </c>
      <c r="N560" s="879">
        <v>100</v>
      </c>
      <c r="O560" s="1446">
        <v>6.25</v>
      </c>
      <c r="P560" s="874" t="s">
        <v>1426</v>
      </c>
      <c r="Q560" s="882" t="s">
        <v>1427</v>
      </c>
      <c r="R560" s="1690" t="s">
        <v>1428</v>
      </c>
      <c r="S560" s="1679">
        <v>42320</v>
      </c>
      <c r="T560" s="883">
        <v>42326</v>
      </c>
      <c r="U560" s="884" t="s">
        <v>683</v>
      </c>
      <c r="V560" s="884"/>
      <c r="W560" s="1078">
        <v>20000000</v>
      </c>
      <c r="X560" s="886">
        <v>7.8</v>
      </c>
      <c r="Y560" s="886">
        <f t="shared" si="242"/>
        <v>156000000</v>
      </c>
      <c r="Z560" s="886"/>
      <c r="AA560" s="887">
        <v>6.25</v>
      </c>
      <c r="AB560" s="888">
        <v>45979</v>
      </c>
      <c r="AC560" s="889">
        <f t="shared" si="243"/>
        <v>10.024657534246575</v>
      </c>
      <c r="AD560" s="889"/>
      <c r="AF560" s="891"/>
      <c r="AG560" s="892"/>
    </row>
    <row r="561" spans="1:33" s="890" customFormat="1" ht="18" customHeight="1">
      <c r="A561" s="1445"/>
      <c r="B561" s="873"/>
      <c r="C561" s="873"/>
      <c r="D561" s="873"/>
      <c r="E561" s="873">
        <v>340</v>
      </c>
      <c r="F561" s="874" t="s">
        <v>1429</v>
      </c>
      <c r="G561" s="1278" t="s">
        <v>1432</v>
      </c>
      <c r="H561" s="881" t="s">
        <v>1395</v>
      </c>
      <c r="I561" s="881" t="s">
        <v>1395</v>
      </c>
      <c r="J561" s="876">
        <f t="shared" si="241"/>
        <v>10.008219178082191</v>
      </c>
      <c r="K561" s="877" t="s">
        <v>465</v>
      </c>
      <c r="L561" s="878">
        <v>180000000</v>
      </c>
      <c r="M561" s="877" t="s">
        <v>466</v>
      </c>
      <c r="N561" s="879">
        <v>100</v>
      </c>
      <c r="O561" s="1446">
        <v>6.25</v>
      </c>
      <c r="P561" s="874" t="s">
        <v>1426</v>
      </c>
      <c r="Q561" s="1447" t="s">
        <v>1427</v>
      </c>
      <c r="R561" s="1448" t="s">
        <v>1428</v>
      </c>
      <c r="S561" s="1679">
        <v>42320</v>
      </c>
      <c r="T561" s="883">
        <v>42327</v>
      </c>
      <c r="U561" s="884" t="s">
        <v>683</v>
      </c>
      <c r="V561" s="884"/>
      <c r="W561" s="878">
        <v>180000000</v>
      </c>
      <c r="X561" s="886">
        <v>7.8</v>
      </c>
      <c r="Y561" s="886">
        <f t="shared" si="242"/>
        <v>1404000000</v>
      </c>
      <c r="Z561" s="886"/>
      <c r="AA561" s="887">
        <v>6.25</v>
      </c>
      <c r="AB561" s="888">
        <v>45980</v>
      </c>
      <c r="AC561" s="889">
        <f t="shared" si="243"/>
        <v>10.027397260273972</v>
      </c>
      <c r="AD561" s="889"/>
      <c r="AF561" s="891"/>
      <c r="AG561" s="892"/>
    </row>
    <row r="562" spans="1:33" s="890" customFormat="1" ht="18" customHeight="1">
      <c r="A562" s="1445"/>
      <c r="B562" s="873"/>
      <c r="C562" s="873"/>
      <c r="D562" s="873"/>
      <c r="E562" s="873">
        <v>340</v>
      </c>
      <c r="F562" s="874" t="s">
        <v>1429</v>
      </c>
      <c r="G562" s="1278" t="s">
        <v>1432</v>
      </c>
      <c r="H562" s="881" t="s">
        <v>1395</v>
      </c>
      <c r="I562" s="881" t="s">
        <v>1395</v>
      </c>
      <c r="J562" s="876">
        <f t="shared" si="241"/>
        <v>10.008219178082191</v>
      </c>
      <c r="K562" s="877" t="s">
        <v>465</v>
      </c>
      <c r="L562" s="1078">
        <v>20000000</v>
      </c>
      <c r="M562" s="877" t="s">
        <v>466</v>
      </c>
      <c r="N562" s="879">
        <v>100</v>
      </c>
      <c r="O562" s="1446">
        <v>6.25</v>
      </c>
      <c r="P562" s="874" t="s">
        <v>1426</v>
      </c>
      <c r="Q562" s="1447" t="s">
        <v>1427</v>
      </c>
      <c r="R562" s="1448" t="s">
        <v>1428</v>
      </c>
      <c r="S562" s="1679">
        <v>42320</v>
      </c>
      <c r="T562" s="883">
        <v>42327</v>
      </c>
      <c r="U562" s="884" t="s">
        <v>683</v>
      </c>
      <c r="V562" s="884"/>
      <c r="W562" s="1078">
        <v>20000000</v>
      </c>
      <c r="X562" s="886">
        <v>7.8</v>
      </c>
      <c r="Y562" s="886">
        <f t="shared" si="242"/>
        <v>156000000</v>
      </c>
      <c r="Z562" s="886"/>
      <c r="AA562" s="887">
        <v>6.25</v>
      </c>
      <c r="AB562" s="888">
        <v>45980</v>
      </c>
      <c r="AC562" s="889">
        <f t="shared" si="243"/>
        <v>10.027397260273972</v>
      </c>
      <c r="AD562" s="889"/>
      <c r="AF562" s="891"/>
      <c r="AG562" s="892"/>
    </row>
    <row r="563" spans="1:33" s="1416" customFormat="1" ht="18" customHeight="1">
      <c r="A563" s="1433"/>
      <c r="B563" s="1398"/>
      <c r="C563" s="1398"/>
      <c r="D563" s="1398"/>
      <c r="E563" s="1398">
        <v>341</v>
      </c>
      <c r="F563" s="1399" t="s">
        <v>1463</v>
      </c>
      <c r="G563" s="1434" t="s">
        <v>1460</v>
      </c>
      <c r="H563" s="1435" t="s">
        <v>1269</v>
      </c>
      <c r="I563" s="1716" t="s">
        <v>1160</v>
      </c>
      <c r="J563" s="876">
        <f t="shared" si="241"/>
        <v>63.043835616438358</v>
      </c>
      <c r="K563" s="1403" t="s">
        <v>465</v>
      </c>
      <c r="L563" s="1404">
        <v>360000000</v>
      </c>
      <c r="M563" s="1403" t="s">
        <v>466</v>
      </c>
      <c r="N563" s="1405">
        <v>100</v>
      </c>
      <c r="O563" s="1437">
        <v>6.1</v>
      </c>
      <c r="P563" s="1399" t="s">
        <v>1396</v>
      </c>
      <c r="Q563" s="1438" t="s">
        <v>1461</v>
      </c>
      <c r="R563" s="1439" t="s">
        <v>1462</v>
      </c>
      <c r="S563" s="1715">
        <v>42321</v>
      </c>
      <c r="T563" s="1409">
        <v>42327</v>
      </c>
      <c r="U563" s="1410" t="s">
        <v>683</v>
      </c>
      <c r="V563" s="1410"/>
      <c r="W563" s="1404">
        <v>360000000</v>
      </c>
      <c r="X563" s="1412">
        <v>7.8</v>
      </c>
      <c r="Y563" s="1412">
        <f t="shared" si="242"/>
        <v>2808000000</v>
      </c>
      <c r="Z563" s="1412"/>
      <c r="AA563" s="1413">
        <v>6.1</v>
      </c>
      <c r="AB563" s="1414">
        <v>65338</v>
      </c>
      <c r="AC563" s="1415">
        <f t="shared" si="243"/>
        <v>63.060273972602737</v>
      </c>
      <c r="AD563" s="1415"/>
      <c r="AF563" s="1417"/>
      <c r="AG563" s="1418"/>
    </row>
    <row r="564" spans="1:33" s="1416" customFormat="1" ht="18" customHeight="1">
      <c r="A564" s="1433"/>
      <c r="B564" s="1398"/>
      <c r="C564" s="1398"/>
      <c r="D564" s="1398"/>
      <c r="E564" s="1398">
        <v>341</v>
      </c>
      <c r="F564" s="1399" t="s">
        <v>1463</v>
      </c>
      <c r="G564" s="1434" t="s">
        <v>1460</v>
      </c>
      <c r="H564" s="1435" t="s">
        <v>1269</v>
      </c>
      <c r="I564" s="1716" t="s">
        <v>1160</v>
      </c>
      <c r="J564" s="876">
        <f t="shared" si="241"/>
        <v>63.043835616438358</v>
      </c>
      <c r="K564" s="1403" t="s">
        <v>465</v>
      </c>
      <c r="L564" s="1419">
        <v>40000000</v>
      </c>
      <c r="M564" s="1403" t="s">
        <v>466</v>
      </c>
      <c r="N564" s="1405">
        <v>100</v>
      </c>
      <c r="O564" s="1437">
        <v>6.1</v>
      </c>
      <c r="P564" s="1399" t="s">
        <v>1396</v>
      </c>
      <c r="Q564" s="1438" t="s">
        <v>1461</v>
      </c>
      <c r="R564" s="1439" t="s">
        <v>1462</v>
      </c>
      <c r="S564" s="1715">
        <v>42321</v>
      </c>
      <c r="T564" s="1409">
        <v>42327</v>
      </c>
      <c r="U564" s="1410" t="s">
        <v>683</v>
      </c>
      <c r="V564" s="1410"/>
      <c r="W564" s="1419">
        <v>40000000</v>
      </c>
      <c r="X564" s="1412">
        <v>7.8</v>
      </c>
      <c r="Y564" s="1412">
        <f t="shared" si="242"/>
        <v>312000000</v>
      </c>
      <c r="Z564" s="1412"/>
      <c r="AA564" s="1413">
        <v>6.1</v>
      </c>
      <c r="AB564" s="1414">
        <v>65338</v>
      </c>
      <c r="AC564" s="1415">
        <f>(AB564-S564)/365</f>
        <v>63.060273972602737</v>
      </c>
      <c r="AD564" s="1415"/>
      <c r="AF564" s="1417"/>
      <c r="AG564" s="1418"/>
    </row>
    <row r="565" spans="1:33" s="1742" customFormat="1" ht="18" customHeight="1">
      <c r="A565" s="1739" t="s">
        <v>902</v>
      </c>
      <c r="B565" s="1740"/>
      <c r="C565" s="1740"/>
      <c r="D565" s="1740"/>
      <c r="E565" s="1740" t="s">
        <v>1536</v>
      </c>
      <c r="F565" s="1741" t="s">
        <v>1534</v>
      </c>
      <c r="G565" s="1742" t="s">
        <v>1165</v>
      </c>
      <c r="H565" s="1740" t="s">
        <v>516</v>
      </c>
      <c r="I565" s="1740" t="s">
        <v>516</v>
      </c>
      <c r="J565" s="1740"/>
      <c r="K565" s="1743" t="s">
        <v>1238</v>
      </c>
      <c r="L565" s="1744">
        <v>1500000000</v>
      </c>
      <c r="M565" s="1743" t="s">
        <v>1271</v>
      </c>
      <c r="N565" s="1743">
        <v>103.75</v>
      </c>
      <c r="O565" s="1745"/>
      <c r="P565" s="1741"/>
      <c r="Q565" s="1746"/>
      <c r="R565" s="1747"/>
      <c r="S565" s="1748">
        <v>42401</v>
      </c>
      <c r="T565" s="1748" t="s">
        <v>1537</v>
      </c>
      <c r="U565" s="1749" t="s">
        <v>683</v>
      </c>
      <c r="V565" s="1749"/>
      <c r="W565" s="1744"/>
      <c r="X565" s="1750"/>
      <c r="Y565" s="1750"/>
      <c r="Z565" s="1750"/>
      <c r="AA565" s="1751"/>
      <c r="AB565" s="1752"/>
      <c r="AF565" s="1753"/>
      <c r="AG565" s="1754"/>
    </row>
    <row r="566" spans="1:33" s="1742" customFormat="1" ht="18" customHeight="1">
      <c r="A566" s="1739" t="s">
        <v>902</v>
      </c>
      <c r="B566" s="1740"/>
      <c r="C566" s="1740"/>
      <c r="D566" s="1740"/>
      <c r="E566" s="1740" t="s">
        <v>1536</v>
      </c>
      <c r="F566" s="1741" t="s">
        <v>1535</v>
      </c>
      <c r="G566" s="1742" t="s">
        <v>9</v>
      </c>
      <c r="H566" s="1740" t="s">
        <v>516</v>
      </c>
      <c r="I566" s="1740" t="s">
        <v>516</v>
      </c>
      <c r="J566" s="1740"/>
      <c r="K566" s="1743" t="s">
        <v>1238</v>
      </c>
      <c r="L566" s="1744">
        <v>1000000000</v>
      </c>
      <c r="M566" s="1743" t="s">
        <v>1271</v>
      </c>
      <c r="N566" s="1743">
        <v>104</v>
      </c>
      <c r="O566" s="1745"/>
      <c r="P566" s="1741"/>
      <c r="Q566" s="1746"/>
      <c r="R566" s="1747"/>
      <c r="S566" s="1748">
        <v>42401</v>
      </c>
      <c r="T566" s="1748" t="s">
        <v>1537</v>
      </c>
      <c r="U566" s="1749" t="s">
        <v>683</v>
      </c>
      <c r="V566" s="1749"/>
      <c r="W566" s="1744"/>
      <c r="X566" s="1750"/>
      <c r="Y566" s="1750"/>
      <c r="Z566" s="1750"/>
      <c r="AA566" s="1751"/>
      <c r="AB566" s="1752"/>
      <c r="AF566" s="1753"/>
      <c r="AG566" s="1754"/>
    </row>
    <row r="567" spans="1:33" s="1742" customFormat="1" ht="18" customHeight="1">
      <c r="A567" s="1739" t="s">
        <v>902</v>
      </c>
      <c r="B567" s="1740"/>
      <c r="C567" s="1740"/>
      <c r="D567" s="1740"/>
      <c r="E567" s="1740" t="s">
        <v>1536</v>
      </c>
      <c r="F567" s="1741" t="s">
        <v>1480</v>
      </c>
      <c r="G567" s="1742" t="s">
        <v>236</v>
      </c>
      <c r="H567" s="1740" t="s">
        <v>516</v>
      </c>
      <c r="I567" s="1740" t="s">
        <v>516</v>
      </c>
      <c r="J567" s="1740"/>
      <c r="K567" s="1743" t="s">
        <v>1238</v>
      </c>
      <c r="L567" s="1744">
        <v>1000000000</v>
      </c>
      <c r="M567" s="1743" t="s">
        <v>1271</v>
      </c>
      <c r="N567" s="1743">
        <v>104</v>
      </c>
      <c r="O567" s="1745"/>
      <c r="P567" s="1741"/>
      <c r="Q567" s="1746"/>
      <c r="R567" s="1747"/>
      <c r="S567" s="1748">
        <v>42401</v>
      </c>
      <c r="T567" s="1748" t="s">
        <v>1537</v>
      </c>
      <c r="U567" s="1749" t="s">
        <v>683</v>
      </c>
      <c r="V567" s="1749"/>
      <c r="W567" s="1744"/>
      <c r="X567" s="1750"/>
      <c r="Y567" s="1750"/>
      <c r="Z567" s="1750"/>
      <c r="AA567" s="1751"/>
      <c r="AB567" s="1752"/>
      <c r="AF567" s="1753"/>
      <c r="AG567" s="1754"/>
    </row>
    <row r="568" spans="1:33" s="1721" customFormat="1" ht="18" customHeight="1">
      <c r="A568" s="1531"/>
      <c r="B568" s="1717"/>
      <c r="C568" s="1717"/>
      <c r="D568" s="1717"/>
      <c r="E568" s="1717">
        <v>342</v>
      </c>
      <c r="F568" s="1533" t="s">
        <v>1482</v>
      </c>
      <c r="G568" s="1534" t="s">
        <v>1483</v>
      </c>
      <c r="H568" s="1535" t="s">
        <v>1395</v>
      </c>
      <c r="I568" s="1718" t="s">
        <v>1395</v>
      </c>
      <c r="J568" s="1718">
        <f t="shared" si="241"/>
        <v>4.9424657534246572</v>
      </c>
      <c r="K568" s="1537" t="s">
        <v>465</v>
      </c>
      <c r="L568" s="1552">
        <v>360000000</v>
      </c>
      <c r="M568" s="1537" t="s">
        <v>466</v>
      </c>
      <c r="N568" s="1719">
        <v>98.796999999999997</v>
      </c>
      <c r="O568" s="1540">
        <v>6.0366</v>
      </c>
      <c r="P568" s="1533" t="s">
        <v>1175</v>
      </c>
      <c r="Q568" s="1541" t="s">
        <v>1176</v>
      </c>
      <c r="R568" s="1542" t="s">
        <v>1177</v>
      </c>
      <c r="S568" s="1683">
        <v>42361</v>
      </c>
      <c r="T568" s="1543">
        <v>42398</v>
      </c>
      <c r="U568" s="1720" t="s">
        <v>683</v>
      </c>
      <c r="V568" s="1720"/>
      <c r="W568" s="1552">
        <v>355669200</v>
      </c>
      <c r="X568" s="1545">
        <v>7.8</v>
      </c>
      <c r="Y568" s="1545">
        <f t="shared" si="242"/>
        <v>2774219760</v>
      </c>
      <c r="Z568" s="1545"/>
      <c r="AA568" s="1546">
        <v>5.75</v>
      </c>
      <c r="AB568" s="1547">
        <v>44202</v>
      </c>
      <c r="AC568" s="1548">
        <f t="shared" ref="AC568:AC569" si="244">(AB568-S568)/365</f>
        <v>5.043835616438356</v>
      </c>
      <c r="AD568" s="1548"/>
      <c r="AF568" s="1550"/>
      <c r="AG568" s="1551"/>
    </row>
    <row r="569" spans="1:33" s="1721" customFormat="1" ht="18" customHeight="1">
      <c r="A569" s="1531"/>
      <c r="B569" s="1717"/>
      <c r="C569" s="1717"/>
      <c r="D569" s="1717"/>
      <c r="E569" s="1717">
        <v>342</v>
      </c>
      <c r="F569" s="1533" t="s">
        <v>1482</v>
      </c>
      <c r="G569" s="1534" t="s">
        <v>1483</v>
      </c>
      <c r="H569" s="1535" t="s">
        <v>1395</v>
      </c>
      <c r="I569" s="1718" t="s">
        <v>1395</v>
      </c>
      <c r="J569" s="1718">
        <f t="shared" si="241"/>
        <v>4.9424657534246572</v>
      </c>
      <c r="K569" s="1537" t="s">
        <v>465</v>
      </c>
      <c r="L569" s="1552">
        <v>40000000</v>
      </c>
      <c r="M569" s="1537" t="s">
        <v>466</v>
      </c>
      <c r="N569" s="1719">
        <v>98.796999999999997</v>
      </c>
      <c r="O569" s="1540">
        <v>6.0366</v>
      </c>
      <c r="P569" s="1533" t="s">
        <v>1175</v>
      </c>
      <c r="Q569" s="1541" t="s">
        <v>1176</v>
      </c>
      <c r="R569" s="1542" t="s">
        <v>1177</v>
      </c>
      <c r="S569" s="1683">
        <v>42361</v>
      </c>
      <c r="T569" s="1543">
        <v>42398</v>
      </c>
      <c r="U569" s="1720" t="s">
        <v>683</v>
      </c>
      <c r="V569" s="1720"/>
      <c r="W569" s="1552">
        <v>39518800</v>
      </c>
      <c r="X569" s="1545">
        <v>7.8</v>
      </c>
      <c r="Y569" s="1545">
        <f t="shared" si="242"/>
        <v>308246640</v>
      </c>
      <c r="Z569" s="1545"/>
      <c r="AA569" s="1546">
        <v>5.75</v>
      </c>
      <c r="AB569" s="1547">
        <v>44202</v>
      </c>
      <c r="AC569" s="1548">
        <f t="shared" si="244"/>
        <v>5.043835616438356</v>
      </c>
      <c r="AD569" s="1548"/>
      <c r="AF569" s="1550"/>
      <c r="AG569" s="1551"/>
    </row>
    <row r="570" spans="1:33" s="944" customFormat="1" ht="18" customHeight="1">
      <c r="A570" s="1725"/>
      <c r="B570" s="942"/>
      <c r="C570" s="942"/>
      <c r="D570" s="942"/>
      <c r="E570" s="942">
        <v>343</v>
      </c>
      <c r="F570" s="1006" t="s">
        <v>1499</v>
      </c>
      <c r="G570" s="967" t="s">
        <v>1501</v>
      </c>
      <c r="H570" s="958" t="s">
        <v>1500</v>
      </c>
      <c r="I570" s="958" t="s">
        <v>52</v>
      </c>
      <c r="J570" s="958">
        <f t="shared" si="241"/>
        <v>4.9890410958904106</v>
      </c>
      <c r="K570" s="964" t="s">
        <v>465</v>
      </c>
      <c r="L570" s="1015">
        <v>360000000</v>
      </c>
      <c r="M570" s="964" t="s">
        <v>466</v>
      </c>
      <c r="N570" s="949">
        <v>99.578000000000003</v>
      </c>
      <c r="O570" s="1726">
        <v>6.05</v>
      </c>
      <c r="P570" s="1006" t="s">
        <v>1073</v>
      </c>
      <c r="Q570" s="1727" t="s">
        <v>1074</v>
      </c>
      <c r="R570" s="1728" t="s">
        <v>1075</v>
      </c>
      <c r="S570" s="1729">
        <v>42374</v>
      </c>
      <c r="T570" s="1010">
        <v>42381</v>
      </c>
      <c r="U570" s="955" t="s">
        <v>683</v>
      </c>
      <c r="V570" s="955"/>
      <c r="W570" s="1015">
        <v>358480800</v>
      </c>
      <c r="X570" s="956">
        <v>7.8</v>
      </c>
      <c r="Y570" s="956">
        <f t="shared" ref="Y570:Y571" si="245">X570*W570</f>
        <v>2796150240</v>
      </c>
      <c r="Z570" s="956"/>
      <c r="AA570" s="1013">
        <v>5.75</v>
      </c>
      <c r="AB570" s="959">
        <v>44202</v>
      </c>
      <c r="AC570" s="960">
        <f t="shared" ref="AC570:AC573" si="246">(AB570-S570)/365</f>
        <v>5.0082191780821921</v>
      </c>
      <c r="AD570" s="960"/>
      <c r="AF570" s="962"/>
      <c r="AG570" s="963"/>
    </row>
    <row r="571" spans="1:33" s="944" customFormat="1" ht="18" customHeight="1">
      <c r="A571" s="1725"/>
      <c r="B571" s="942"/>
      <c r="C571" s="942"/>
      <c r="D571" s="942"/>
      <c r="E571" s="942">
        <v>343</v>
      </c>
      <c r="F571" s="1006" t="s">
        <v>1499</v>
      </c>
      <c r="G571" s="967" t="s">
        <v>1501</v>
      </c>
      <c r="H571" s="958" t="s">
        <v>1500</v>
      </c>
      <c r="I571" s="958" t="s">
        <v>52</v>
      </c>
      <c r="J571" s="958">
        <f t="shared" si="241"/>
        <v>4.9890410958904106</v>
      </c>
      <c r="K571" s="964" t="s">
        <v>465</v>
      </c>
      <c r="L571" s="1015">
        <v>40000000</v>
      </c>
      <c r="M571" s="964" t="s">
        <v>466</v>
      </c>
      <c r="N571" s="949">
        <v>99.578000000000003</v>
      </c>
      <c r="O571" s="1726">
        <v>6.05</v>
      </c>
      <c r="P571" s="1006" t="s">
        <v>1073</v>
      </c>
      <c r="Q571" s="1727" t="s">
        <v>1074</v>
      </c>
      <c r="R571" s="1728" t="s">
        <v>1075</v>
      </c>
      <c r="S571" s="1729">
        <v>42374</v>
      </c>
      <c r="T571" s="1010">
        <v>42381</v>
      </c>
      <c r="U571" s="955" t="s">
        <v>683</v>
      </c>
      <c r="V571" s="955"/>
      <c r="W571" s="1015">
        <v>39831200</v>
      </c>
      <c r="X571" s="956">
        <v>7.8</v>
      </c>
      <c r="Y571" s="956">
        <f t="shared" si="245"/>
        <v>310683360</v>
      </c>
      <c r="Z571" s="956"/>
      <c r="AA571" s="1013">
        <v>5.75</v>
      </c>
      <c r="AB571" s="959">
        <v>44202</v>
      </c>
      <c r="AC571" s="960">
        <f t="shared" si="246"/>
        <v>5.0082191780821921</v>
      </c>
      <c r="AD571" s="960"/>
      <c r="AF571" s="962"/>
      <c r="AG571" s="963"/>
    </row>
    <row r="572" spans="1:33" s="611" customFormat="1" ht="18" customHeight="1">
      <c r="A572" s="1730"/>
      <c r="B572" s="609"/>
      <c r="C572" s="609"/>
      <c r="D572" s="609"/>
      <c r="E572" s="609">
        <v>344</v>
      </c>
      <c r="F572" s="1731" t="s">
        <v>1502</v>
      </c>
      <c r="G572" s="834" t="s">
        <v>1503</v>
      </c>
      <c r="H572" s="625" t="s">
        <v>1395</v>
      </c>
      <c r="I572" s="625" t="s">
        <v>1395</v>
      </c>
      <c r="J572" s="625">
        <f t="shared" si="241"/>
        <v>33.024657534246572</v>
      </c>
      <c r="K572" s="615" t="s">
        <v>465</v>
      </c>
      <c r="L572" s="1732">
        <v>447400000</v>
      </c>
      <c r="M572" s="615" t="s">
        <v>466</v>
      </c>
      <c r="N572" s="618">
        <v>98.233000000000004</v>
      </c>
      <c r="O572" s="1427">
        <v>6.2</v>
      </c>
      <c r="P572" s="1731" t="s">
        <v>712</v>
      </c>
      <c r="Q572" s="1733" t="s">
        <v>713</v>
      </c>
      <c r="R572" s="1734" t="s">
        <v>714</v>
      </c>
      <c r="S572" s="1735">
        <v>42384</v>
      </c>
      <c r="T572" s="1736">
        <v>42391</v>
      </c>
      <c r="U572" s="622" t="s">
        <v>683</v>
      </c>
      <c r="V572" s="622"/>
      <c r="W572" s="1732">
        <v>439494442</v>
      </c>
      <c r="X572" s="623">
        <v>7.8</v>
      </c>
      <c r="Y572" s="623">
        <f t="shared" ref="Y572:Y573" si="247">X572*W572</f>
        <v>3428056647.5999999</v>
      </c>
      <c r="Z572" s="623"/>
      <c r="AA572" s="1245">
        <v>6</v>
      </c>
      <c r="AB572" s="689">
        <v>54445</v>
      </c>
      <c r="AC572" s="626">
        <f t="shared" si="246"/>
        <v>33.043835616438358</v>
      </c>
      <c r="AD572" s="626"/>
      <c r="AF572" s="627"/>
      <c r="AG572" s="628"/>
    </row>
    <row r="573" spans="1:33" s="611" customFormat="1" ht="18" customHeight="1">
      <c r="A573" s="1730"/>
      <c r="B573" s="609"/>
      <c r="C573" s="609"/>
      <c r="D573" s="609"/>
      <c r="E573" s="609">
        <v>344</v>
      </c>
      <c r="F573" s="1731" t="s">
        <v>1502</v>
      </c>
      <c r="G573" s="834" t="s">
        <v>1503</v>
      </c>
      <c r="H573" s="625" t="s">
        <v>1395</v>
      </c>
      <c r="I573" s="625" t="s">
        <v>1395</v>
      </c>
      <c r="J573" s="625">
        <f t="shared" si="241"/>
        <v>33.024657534246572</v>
      </c>
      <c r="K573" s="615" t="s">
        <v>465</v>
      </c>
      <c r="L573" s="1732">
        <v>49600000</v>
      </c>
      <c r="M573" s="615" t="s">
        <v>466</v>
      </c>
      <c r="N573" s="618">
        <v>98.233000000000004</v>
      </c>
      <c r="O573" s="1427">
        <v>6.2</v>
      </c>
      <c r="P573" s="1731" t="s">
        <v>712</v>
      </c>
      <c r="Q573" s="1733" t="s">
        <v>713</v>
      </c>
      <c r="R573" s="1734" t="s">
        <v>714</v>
      </c>
      <c r="S573" s="1735">
        <v>42384</v>
      </c>
      <c r="T573" s="1736">
        <v>42391</v>
      </c>
      <c r="U573" s="622" t="s">
        <v>683</v>
      </c>
      <c r="V573" s="622"/>
      <c r="W573" s="1732">
        <v>48723568</v>
      </c>
      <c r="X573" s="623">
        <v>7.8</v>
      </c>
      <c r="Y573" s="623">
        <f t="shared" si="247"/>
        <v>380043830.39999998</v>
      </c>
      <c r="Z573" s="623"/>
      <c r="AA573" s="1245">
        <v>6</v>
      </c>
      <c r="AB573" s="689">
        <v>54445</v>
      </c>
      <c r="AC573" s="626">
        <f t="shared" si="246"/>
        <v>33.043835616438358</v>
      </c>
      <c r="AD573" s="626"/>
      <c r="AF573" s="627"/>
      <c r="AG573" s="628"/>
    </row>
    <row r="574" spans="1:33" s="944" customFormat="1" ht="18" customHeight="1">
      <c r="A574" s="1725"/>
      <c r="B574" s="942"/>
      <c r="C574" s="942"/>
      <c r="D574" s="942"/>
      <c r="E574" s="942">
        <v>345</v>
      </c>
      <c r="F574" s="1006" t="s">
        <v>1507</v>
      </c>
      <c r="G574" s="967" t="s">
        <v>1508</v>
      </c>
      <c r="H574" s="958" t="s">
        <v>1500</v>
      </c>
      <c r="I574" s="958" t="s">
        <v>421</v>
      </c>
      <c r="J574" s="958">
        <f t="shared" si="241"/>
        <v>39.873972602739727</v>
      </c>
      <c r="K574" s="964" t="s">
        <v>465</v>
      </c>
      <c r="L574" s="1015">
        <v>360000000</v>
      </c>
      <c r="M574" s="964" t="s">
        <v>466</v>
      </c>
      <c r="N574" s="949">
        <v>100</v>
      </c>
      <c r="O574" s="1726">
        <v>6.0514999999999999</v>
      </c>
      <c r="P574" s="1006" t="s">
        <v>691</v>
      </c>
      <c r="Q574" s="1727" t="s">
        <v>1398</v>
      </c>
      <c r="R574" s="1728" t="s">
        <v>1400</v>
      </c>
      <c r="S574" s="1729">
        <v>42453</v>
      </c>
      <c r="T574" s="1010">
        <v>42471</v>
      </c>
      <c r="U574" s="955" t="s">
        <v>683</v>
      </c>
      <c r="V574" s="955"/>
      <c r="W574" s="1015">
        <v>360000000</v>
      </c>
      <c r="X574" s="956">
        <v>7.8</v>
      </c>
      <c r="Y574" s="956">
        <f t="shared" ref="Y574:Y577" si="248">X574*W574</f>
        <v>2808000000</v>
      </c>
      <c r="Z574" s="956"/>
      <c r="AA574" s="1013">
        <v>6.05</v>
      </c>
      <c r="AB574" s="959">
        <v>57025</v>
      </c>
      <c r="AC574" s="960">
        <f t="shared" ref="AC574:AC577" si="249">(AB574-S574)/365</f>
        <v>39.923287671232877</v>
      </c>
      <c r="AD574" s="960"/>
      <c r="AF574" s="962"/>
      <c r="AG574" s="963"/>
    </row>
    <row r="575" spans="1:33" s="944" customFormat="1" ht="18" customHeight="1">
      <c r="A575" s="1725"/>
      <c r="B575" s="942"/>
      <c r="C575" s="942"/>
      <c r="D575" s="942"/>
      <c r="E575" s="942">
        <v>345</v>
      </c>
      <c r="F575" s="1006" t="s">
        <v>1507</v>
      </c>
      <c r="G575" s="967" t="s">
        <v>1508</v>
      </c>
      <c r="H575" s="958" t="s">
        <v>1500</v>
      </c>
      <c r="I575" s="958" t="s">
        <v>421</v>
      </c>
      <c r="J575" s="958">
        <f t="shared" si="241"/>
        <v>39.873972602739727</v>
      </c>
      <c r="K575" s="964" t="s">
        <v>465</v>
      </c>
      <c r="L575" s="1015">
        <v>40000000</v>
      </c>
      <c r="M575" s="964" t="s">
        <v>466</v>
      </c>
      <c r="N575" s="949">
        <v>100</v>
      </c>
      <c r="O575" s="1726">
        <v>6.0514999999999999</v>
      </c>
      <c r="P575" s="1006" t="s">
        <v>691</v>
      </c>
      <c r="Q575" s="1727" t="s">
        <v>1398</v>
      </c>
      <c r="R575" s="1728" t="s">
        <v>1400</v>
      </c>
      <c r="S575" s="1729">
        <v>42453</v>
      </c>
      <c r="T575" s="1010">
        <v>42471</v>
      </c>
      <c r="U575" s="955" t="s">
        <v>683</v>
      </c>
      <c r="V575" s="955"/>
      <c r="W575" s="1015">
        <v>40000000</v>
      </c>
      <c r="X575" s="956">
        <v>7.8</v>
      </c>
      <c r="Y575" s="956">
        <f t="shared" si="248"/>
        <v>312000000</v>
      </c>
      <c r="Z575" s="956"/>
      <c r="AA575" s="1013">
        <v>6.05</v>
      </c>
      <c r="AB575" s="959">
        <v>57025</v>
      </c>
      <c r="AC575" s="960">
        <f t="shared" si="249"/>
        <v>39.923287671232877</v>
      </c>
      <c r="AD575" s="960"/>
      <c r="AF575" s="962"/>
      <c r="AG575" s="963"/>
    </row>
    <row r="576" spans="1:33" s="611" customFormat="1" ht="18" customHeight="1">
      <c r="A576" s="1730"/>
      <c r="B576" s="609"/>
      <c r="C576" s="609"/>
      <c r="D576" s="609"/>
      <c r="E576" s="609">
        <v>346</v>
      </c>
      <c r="F576" s="1731" t="s">
        <v>1510</v>
      </c>
      <c r="G576" s="834" t="s">
        <v>1511</v>
      </c>
      <c r="H576" s="625" t="s">
        <v>1500</v>
      </c>
      <c r="I576" s="625" t="s">
        <v>1500</v>
      </c>
      <c r="J576" s="625">
        <f t="shared" si="241"/>
        <v>5.0027397260273974</v>
      </c>
      <c r="K576" s="615" t="s">
        <v>465</v>
      </c>
      <c r="L576" s="1732">
        <v>262800000</v>
      </c>
      <c r="M576" s="615" t="s">
        <v>466</v>
      </c>
      <c r="N576" s="618">
        <v>96.617999999999995</v>
      </c>
      <c r="O576" s="1427">
        <v>6.35</v>
      </c>
      <c r="P576" s="1731" t="s">
        <v>677</v>
      </c>
      <c r="Q576" s="1733" t="s">
        <v>678</v>
      </c>
      <c r="R576" s="1734" t="s">
        <v>679</v>
      </c>
      <c r="S576" s="1735">
        <v>42467</v>
      </c>
      <c r="T576" s="1736">
        <v>42474</v>
      </c>
      <c r="U576" s="622" t="s">
        <v>683</v>
      </c>
      <c r="V576" s="622"/>
      <c r="W576" s="1732">
        <v>253912104</v>
      </c>
      <c r="X576" s="623">
        <v>7.8</v>
      </c>
      <c r="Y576" s="623">
        <f>X576*W576</f>
        <v>1980514411.2</v>
      </c>
      <c r="Z576" s="623"/>
      <c r="AA576" s="1245">
        <v>5.55</v>
      </c>
      <c r="AB576" s="689">
        <v>44300</v>
      </c>
      <c r="AC576" s="626">
        <f t="shared" si="249"/>
        <v>5.021917808219178</v>
      </c>
      <c r="AD576" s="626"/>
      <c r="AF576" s="627"/>
      <c r="AG576" s="628"/>
    </row>
    <row r="577" spans="1:33" s="611" customFormat="1" ht="18" customHeight="1">
      <c r="A577" s="1730"/>
      <c r="B577" s="609"/>
      <c r="C577" s="609"/>
      <c r="D577" s="609"/>
      <c r="E577" s="609">
        <v>346</v>
      </c>
      <c r="F577" s="1731" t="s">
        <v>1510</v>
      </c>
      <c r="G577" s="834" t="s">
        <v>1511</v>
      </c>
      <c r="H577" s="625" t="s">
        <v>1500</v>
      </c>
      <c r="I577" s="625" t="s">
        <v>1500</v>
      </c>
      <c r="J577" s="625">
        <f t="shared" si="241"/>
        <v>5.0027397260273974</v>
      </c>
      <c r="K577" s="615" t="s">
        <v>465</v>
      </c>
      <c r="L577" s="1732">
        <v>29200000</v>
      </c>
      <c r="M577" s="615" t="s">
        <v>466</v>
      </c>
      <c r="N577" s="618">
        <v>96.617999999999995</v>
      </c>
      <c r="O577" s="1427">
        <v>6.35</v>
      </c>
      <c r="P577" s="1731" t="s">
        <v>677</v>
      </c>
      <c r="Q577" s="1733" t="s">
        <v>678</v>
      </c>
      <c r="R577" s="1734" t="s">
        <v>679</v>
      </c>
      <c r="S577" s="1735">
        <v>42467</v>
      </c>
      <c r="T577" s="1736">
        <v>42474</v>
      </c>
      <c r="U577" s="622" t="s">
        <v>683</v>
      </c>
      <c r="V577" s="622"/>
      <c r="W577" s="1732">
        <v>28212456</v>
      </c>
      <c r="X577" s="623">
        <v>7.8</v>
      </c>
      <c r="Y577" s="623">
        <f t="shared" si="248"/>
        <v>220057156.79999998</v>
      </c>
      <c r="Z577" s="623"/>
      <c r="AA577" s="1245">
        <v>5.55</v>
      </c>
      <c r="AB577" s="689">
        <v>44300</v>
      </c>
      <c r="AC577" s="626">
        <f t="shared" si="249"/>
        <v>5.021917808219178</v>
      </c>
      <c r="AD577" s="626"/>
      <c r="AF577" s="627"/>
      <c r="AG577" s="628"/>
    </row>
    <row r="578" spans="1:33" s="944" customFormat="1" ht="18" customHeight="1">
      <c r="A578" s="1725"/>
      <c r="B578" s="942"/>
      <c r="C578" s="942"/>
      <c r="D578" s="942"/>
      <c r="E578" s="942">
        <v>347</v>
      </c>
      <c r="F578" s="1006" t="s">
        <v>1523</v>
      </c>
      <c r="G578" s="967" t="s">
        <v>1525</v>
      </c>
      <c r="H578" s="958" t="s">
        <v>1524</v>
      </c>
      <c r="I578" s="958" t="s">
        <v>1500</v>
      </c>
      <c r="J578" s="958">
        <f t="shared" si="241"/>
        <v>15.008219178082191</v>
      </c>
      <c r="K578" s="964" t="s">
        <v>465</v>
      </c>
      <c r="L578" s="1015">
        <v>360000000</v>
      </c>
      <c r="M578" s="964" t="s">
        <v>466</v>
      </c>
      <c r="N578" s="949">
        <v>99.37</v>
      </c>
      <c r="O578" s="1726">
        <v>6.165</v>
      </c>
      <c r="P578" s="1006" t="s">
        <v>1073</v>
      </c>
      <c r="Q578" s="1727" t="s">
        <v>1074</v>
      </c>
      <c r="R578" s="1728" t="s">
        <v>1075</v>
      </c>
      <c r="S578" s="1729">
        <v>42478</v>
      </c>
      <c r="T578" s="1010">
        <v>42488</v>
      </c>
      <c r="U578" s="955" t="s">
        <v>683</v>
      </c>
      <c r="V578" s="955"/>
      <c r="W578" s="1015">
        <v>357732000</v>
      </c>
      <c r="X578" s="956">
        <v>7.8</v>
      </c>
      <c r="Y578" s="956">
        <f>X578*W578</f>
        <v>2790309600</v>
      </c>
      <c r="Z578" s="956"/>
      <c r="AA578" s="1013">
        <v>6.1</v>
      </c>
      <c r="AB578" s="959">
        <v>47966</v>
      </c>
      <c r="AC578" s="960">
        <f t="shared" ref="AC578" si="250">(AB578-S578)/365</f>
        <v>15.035616438356165</v>
      </c>
      <c r="AD578" s="960"/>
      <c r="AF578" s="962"/>
      <c r="AG578" s="963"/>
    </row>
    <row r="579" spans="1:33" s="944" customFormat="1" ht="18" customHeight="1">
      <c r="A579" s="1725"/>
      <c r="B579" s="942"/>
      <c r="C579" s="942"/>
      <c r="D579" s="942"/>
      <c r="E579" s="942">
        <v>347</v>
      </c>
      <c r="F579" s="1006" t="s">
        <v>1523</v>
      </c>
      <c r="G579" s="967" t="s">
        <v>1525</v>
      </c>
      <c r="H579" s="958" t="s">
        <v>1524</v>
      </c>
      <c r="I579" s="958" t="s">
        <v>1500</v>
      </c>
      <c r="J579" s="958">
        <f t="shared" si="241"/>
        <v>15.008219178082191</v>
      </c>
      <c r="K579" s="964" t="s">
        <v>465</v>
      </c>
      <c r="L579" s="1015">
        <v>40000000</v>
      </c>
      <c r="M579" s="964" t="s">
        <v>466</v>
      </c>
      <c r="N579" s="949">
        <v>99.37</v>
      </c>
      <c r="O579" s="1726">
        <v>6.165</v>
      </c>
      <c r="P579" s="1006" t="s">
        <v>1073</v>
      </c>
      <c r="Q579" s="1727" t="s">
        <v>1074</v>
      </c>
      <c r="R579" s="1728" t="s">
        <v>1075</v>
      </c>
      <c r="S579" s="1729">
        <v>42478</v>
      </c>
      <c r="T579" s="1010">
        <v>42488</v>
      </c>
      <c r="U579" s="955" t="s">
        <v>683</v>
      </c>
      <c r="V579" s="955"/>
      <c r="W579" s="1015">
        <v>39748000</v>
      </c>
      <c r="X579" s="956">
        <v>7.8</v>
      </c>
      <c r="Y579" s="956">
        <f>X579*W579</f>
        <v>310034400</v>
      </c>
      <c r="Z579" s="956"/>
      <c r="AA579" s="1013">
        <v>6.1</v>
      </c>
      <c r="AB579" s="959">
        <v>47966</v>
      </c>
      <c r="AC579" s="960">
        <f t="shared" ref="AC579" si="251">(AB579-S579)/365</f>
        <v>15.035616438356165</v>
      </c>
      <c r="AD579" s="960"/>
      <c r="AF579" s="962"/>
      <c r="AG579" s="963"/>
    </row>
    <row r="580" spans="1:33" s="611" customFormat="1" ht="18" customHeight="1">
      <c r="A580" s="1730"/>
      <c r="B580" s="609"/>
      <c r="C580" s="609"/>
      <c r="D580" s="609"/>
      <c r="E580" s="609">
        <v>348</v>
      </c>
      <c r="F580" s="1731" t="s">
        <v>1526</v>
      </c>
      <c r="G580" s="834" t="s">
        <v>1530</v>
      </c>
      <c r="H580" s="625" t="s">
        <v>1524</v>
      </c>
      <c r="I580" s="625" t="s">
        <v>1500</v>
      </c>
      <c r="J580" s="625">
        <f t="shared" si="241"/>
        <v>30.019178082191782</v>
      </c>
      <c r="K580" s="615" t="s">
        <v>465</v>
      </c>
      <c r="L580" s="1732">
        <v>180000000</v>
      </c>
      <c r="M580" s="615" t="s">
        <v>466</v>
      </c>
      <c r="N580" s="618">
        <v>98.27</v>
      </c>
      <c r="O580" s="1427">
        <v>6</v>
      </c>
      <c r="P580" s="1731" t="s">
        <v>1527</v>
      </c>
      <c r="Q580" s="1733" t="s">
        <v>1528</v>
      </c>
      <c r="R580" s="1734" t="s">
        <v>1529</v>
      </c>
      <c r="S580" s="1735">
        <v>42485</v>
      </c>
      <c r="T580" s="1736">
        <v>42493</v>
      </c>
      <c r="U580" s="622" t="s">
        <v>683</v>
      </c>
      <c r="V580" s="622"/>
      <c r="W580" s="1732">
        <v>176886000</v>
      </c>
      <c r="X580" s="623">
        <v>7.8</v>
      </c>
      <c r="Y580" s="623">
        <f t="shared" ref="Y580" si="252">X580*W580</f>
        <v>1379710800</v>
      </c>
      <c r="Z580" s="623"/>
      <c r="AA580" s="1245">
        <v>5.875</v>
      </c>
      <c r="AB580" s="689">
        <v>53450</v>
      </c>
      <c r="AC580" s="626">
        <f>(AB580-S580)/365</f>
        <v>30.041095890410958</v>
      </c>
      <c r="AD580" s="626"/>
      <c r="AF580" s="627"/>
      <c r="AG580" s="628"/>
    </row>
    <row r="581" spans="1:33" s="611" customFormat="1" ht="18" customHeight="1">
      <c r="A581" s="1730"/>
      <c r="B581" s="609"/>
      <c r="C581" s="609"/>
      <c r="D581" s="609"/>
      <c r="E581" s="609">
        <v>348</v>
      </c>
      <c r="F581" s="1731" t="s">
        <v>1526</v>
      </c>
      <c r="G581" s="834" t="s">
        <v>1530</v>
      </c>
      <c r="H581" s="625" t="s">
        <v>1524</v>
      </c>
      <c r="I581" s="625" t="s">
        <v>1500</v>
      </c>
      <c r="J581" s="625">
        <f t="shared" si="241"/>
        <v>30.019178082191782</v>
      </c>
      <c r="K581" s="615" t="s">
        <v>465</v>
      </c>
      <c r="L581" s="1732">
        <v>20000000</v>
      </c>
      <c r="M581" s="615" t="s">
        <v>466</v>
      </c>
      <c r="N581" s="618">
        <v>98.27</v>
      </c>
      <c r="O581" s="1427">
        <v>6</v>
      </c>
      <c r="P581" s="1731" t="s">
        <v>1527</v>
      </c>
      <c r="Q581" s="1733" t="s">
        <v>1528</v>
      </c>
      <c r="R581" s="1734" t="s">
        <v>1529</v>
      </c>
      <c r="S581" s="1735">
        <v>42485</v>
      </c>
      <c r="T581" s="1736">
        <v>42493</v>
      </c>
      <c r="U581" s="622" t="s">
        <v>683</v>
      </c>
      <c r="V581" s="622"/>
      <c r="W581" s="1732">
        <v>19654000</v>
      </c>
      <c r="X581" s="623">
        <v>7.8</v>
      </c>
      <c r="Y581" s="623">
        <f t="shared" ref="Y581:Y583" si="253">X581*W581</f>
        <v>153301200</v>
      </c>
      <c r="Z581" s="623"/>
      <c r="AA581" s="1245">
        <v>5.875</v>
      </c>
      <c r="AB581" s="689">
        <v>53450</v>
      </c>
      <c r="AC581" s="626">
        <f t="shared" ref="AC581:AC583" si="254">(AB581-S581)/365</f>
        <v>30.041095890410958</v>
      </c>
      <c r="AD581" s="626"/>
      <c r="AF581" s="627"/>
      <c r="AG581" s="628"/>
    </row>
    <row r="582" spans="1:33" s="944" customFormat="1" ht="18" customHeight="1">
      <c r="A582" s="1725"/>
      <c r="B582" s="942"/>
      <c r="C582" s="942"/>
      <c r="D582" s="942"/>
      <c r="E582" s="942">
        <v>349</v>
      </c>
      <c r="F582" s="1006" t="s">
        <v>1538</v>
      </c>
      <c r="G582" s="967" t="s">
        <v>1539</v>
      </c>
      <c r="H582" s="958" t="s">
        <v>1524</v>
      </c>
      <c r="I582" s="958" t="s">
        <v>1500</v>
      </c>
      <c r="J582" s="958">
        <f t="shared" si="241"/>
        <v>29.895890410958906</v>
      </c>
      <c r="K582" s="964" t="s">
        <v>465</v>
      </c>
      <c r="L582" s="1015">
        <v>270000000</v>
      </c>
      <c r="M582" s="964" t="s">
        <v>466</v>
      </c>
      <c r="N582" s="949">
        <v>100</v>
      </c>
      <c r="O582" s="1726">
        <v>6.6254</v>
      </c>
      <c r="P582" s="1006" t="s">
        <v>691</v>
      </c>
      <c r="Q582" s="1727" t="s">
        <v>1398</v>
      </c>
      <c r="R582" s="1728" t="s">
        <v>1400</v>
      </c>
      <c r="S582" s="1729">
        <v>42531</v>
      </c>
      <c r="T582" s="1010">
        <v>42538</v>
      </c>
      <c r="U582" s="955" t="s">
        <v>683</v>
      </c>
      <c r="V582" s="955"/>
      <c r="W582" s="1015">
        <v>270000000</v>
      </c>
      <c r="X582" s="956">
        <v>7.8</v>
      </c>
      <c r="Y582" s="956">
        <f>X582*W582</f>
        <v>2106000000</v>
      </c>
      <c r="Z582" s="956"/>
      <c r="AA582" s="1013">
        <v>5.875</v>
      </c>
      <c r="AB582" s="959">
        <v>53450</v>
      </c>
      <c r="AC582" s="960">
        <f>(AB582-S582)/365</f>
        <v>29.915068493150685</v>
      </c>
      <c r="AD582" s="960"/>
      <c r="AF582" s="962"/>
      <c r="AG582" s="963"/>
    </row>
    <row r="583" spans="1:33" s="944" customFormat="1" ht="18" customHeight="1">
      <c r="A583" s="1725"/>
      <c r="B583" s="942"/>
      <c r="C583" s="942"/>
      <c r="D583" s="942"/>
      <c r="E583" s="942">
        <v>349</v>
      </c>
      <c r="F583" s="1006" t="s">
        <v>1538</v>
      </c>
      <c r="G583" s="967" t="s">
        <v>1539</v>
      </c>
      <c r="H583" s="958" t="s">
        <v>1524</v>
      </c>
      <c r="I583" s="958" t="s">
        <v>1500</v>
      </c>
      <c r="J583" s="958">
        <f t="shared" si="241"/>
        <v>29.895890410958906</v>
      </c>
      <c r="K583" s="964" t="s">
        <v>465</v>
      </c>
      <c r="L583" s="1015">
        <v>30000000</v>
      </c>
      <c r="M583" s="964" t="s">
        <v>466</v>
      </c>
      <c r="N583" s="949">
        <v>100</v>
      </c>
      <c r="O583" s="1726">
        <v>6.6254</v>
      </c>
      <c r="P583" s="1006" t="s">
        <v>691</v>
      </c>
      <c r="Q583" s="1727" t="s">
        <v>1398</v>
      </c>
      <c r="R583" s="1728" t="s">
        <v>1400</v>
      </c>
      <c r="S583" s="1729">
        <v>42531</v>
      </c>
      <c r="T583" s="1010">
        <v>42538</v>
      </c>
      <c r="U583" s="955" t="s">
        <v>683</v>
      </c>
      <c r="V583" s="955"/>
      <c r="W583" s="1015">
        <v>30000000</v>
      </c>
      <c r="X583" s="956">
        <v>7.8</v>
      </c>
      <c r="Y583" s="956">
        <f t="shared" si="253"/>
        <v>234000000</v>
      </c>
      <c r="Z583" s="956"/>
      <c r="AA583" s="1013">
        <v>5.875</v>
      </c>
      <c r="AB583" s="959">
        <v>53450</v>
      </c>
      <c r="AC583" s="960">
        <f t="shared" si="254"/>
        <v>29.915068493150685</v>
      </c>
      <c r="AD583" s="960"/>
      <c r="AF583" s="962"/>
      <c r="AG583" s="963"/>
    </row>
    <row r="584" spans="1:33" s="1742" customFormat="1" ht="18" customHeight="1">
      <c r="A584" s="1739" t="s">
        <v>902</v>
      </c>
      <c r="B584" s="1740"/>
      <c r="C584" s="1740"/>
      <c r="D584" s="1740"/>
      <c r="E584" s="1740" t="s">
        <v>1536</v>
      </c>
      <c r="F584" s="1741" t="s">
        <v>202</v>
      </c>
      <c r="G584" s="1742" t="s">
        <v>1078</v>
      </c>
      <c r="H584" s="1740" t="s">
        <v>1540</v>
      </c>
      <c r="I584" s="1740" t="s">
        <v>1488</v>
      </c>
      <c r="J584" s="1740"/>
      <c r="K584" s="1743" t="s">
        <v>1238</v>
      </c>
      <c r="L584" s="1744">
        <v>110000000</v>
      </c>
      <c r="M584" s="1743" t="s">
        <v>466</v>
      </c>
      <c r="N584" s="1743">
        <v>93</v>
      </c>
      <c r="O584" s="1745"/>
      <c r="P584" s="1741"/>
      <c r="Q584" s="1746"/>
      <c r="R584" s="1747"/>
      <c r="S584" s="1748">
        <v>41455</v>
      </c>
      <c r="T584" s="1748" t="s">
        <v>1537</v>
      </c>
      <c r="U584" s="1749" t="s">
        <v>683</v>
      </c>
      <c r="V584" s="1749"/>
      <c r="W584" s="1744"/>
      <c r="X584" s="1750"/>
      <c r="Y584" s="1750"/>
      <c r="Z584" s="1750"/>
      <c r="AA584" s="1751"/>
      <c r="AB584" s="1752"/>
      <c r="AF584" s="1753"/>
      <c r="AG584" s="1754"/>
    </row>
    <row r="585" spans="1:33" s="944" customFormat="1" ht="18" customHeight="1">
      <c r="A585" s="1725"/>
      <c r="B585" s="942"/>
      <c r="C585" s="942"/>
      <c r="D585" s="942"/>
      <c r="E585" s="942">
        <v>350</v>
      </c>
      <c r="F585" s="1006" t="s">
        <v>1550</v>
      </c>
      <c r="G585" s="967" t="s">
        <v>1551</v>
      </c>
      <c r="H585" s="958" t="s">
        <v>1552</v>
      </c>
      <c r="I585" s="958" t="s">
        <v>1500</v>
      </c>
      <c r="J585" s="958">
        <f t="shared" si="241"/>
        <v>10.005479452054795</v>
      </c>
      <c r="K585" s="964" t="s">
        <v>465</v>
      </c>
      <c r="L585" s="1015">
        <v>270000000</v>
      </c>
      <c r="M585" s="964" t="s">
        <v>466</v>
      </c>
      <c r="N585" s="949">
        <v>98.436999999999998</v>
      </c>
      <c r="O585" s="1726">
        <v>4.9500999999999999</v>
      </c>
      <c r="P585" s="1006" t="s">
        <v>1311</v>
      </c>
      <c r="Q585" s="1727" t="s">
        <v>1312</v>
      </c>
      <c r="R585" s="1728" t="s">
        <v>1313</v>
      </c>
      <c r="S585" s="1729">
        <v>42647</v>
      </c>
      <c r="T585" s="1010">
        <v>42662</v>
      </c>
      <c r="U585" s="955" t="s">
        <v>683</v>
      </c>
      <c r="V585" s="955"/>
      <c r="W585" s="1015">
        <v>265779900</v>
      </c>
      <c r="X585" s="956">
        <v>7.8</v>
      </c>
      <c r="Y585" s="956">
        <f>X585*W585</f>
        <v>2073083220</v>
      </c>
      <c r="Z585" s="956"/>
      <c r="AA585" s="1013">
        <v>4.75</v>
      </c>
      <c r="AB585" s="959">
        <v>46314</v>
      </c>
      <c r="AC585" s="960">
        <f t="shared" ref="AC585:AC588" si="255">(AB585-S585)/365</f>
        <v>10.046575342465754</v>
      </c>
      <c r="AD585" s="960"/>
      <c r="AF585" s="962"/>
      <c r="AG585" s="963"/>
    </row>
    <row r="586" spans="1:33" s="944" customFormat="1" ht="18" customHeight="1">
      <c r="A586" s="1725"/>
      <c r="B586" s="942"/>
      <c r="C586" s="942"/>
      <c r="D586" s="942"/>
      <c r="E586" s="942">
        <v>350</v>
      </c>
      <c r="F586" s="1006" t="s">
        <v>1550</v>
      </c>
      <c r="G586" s="967" t="s">
        <v>1551</v>
      </c>
      <c r="H586" s="958" t="s">
        <v>1552</v>
      </c>
      <c r="I586" s="958" t="s">
        <v>1500</v>
      </c>
      <c r="J586" s="958">
        <f t="shared" si="241"/>
        <v>10.005479452054795</v>
      </c>
      <c r="K586" s="964" t="s">
        <v>465</v>
      </c>
      <c r="L586" s="1015">
        <v>30000000</v>
      </c>
      <c r="M586" s="964" t="s">
        <v>466</v>
      </c>
      <c r="N586" s="949">
        <v>98.436999999999998</v>
      </c>
      <c r="O586" s="1726">
        <v>4.9500999999999999</v>
      </c>
      <c r="P586" s="1006" t="s">
        <v>1311</v>
      </c>
      <c r="Q586" s="1727" t="s">
        <v>1312</v>
      </c>
      <c r="R586" s="1728" t="s">
        <v>1313</v>
      </c>
      <c r="S586" s="1729">
        <v>42647</v>
      </c>
      <c r="T586" s="1010">
        <v>42662</v>
      </c>
      <c r="U586" s="955" t="s">
        <v>683</v>
      </c>
      <c r="V586" s="955"/>
      <c r="W586" s="1015">
        <v>29531100</v>
      </c>
      <c r="X586" s="956">
        <v>7.8</v>
      </c>
      <c r="Y586" s="956">
        <f>X586*W586</f>
        <v>230342580</v>
      </c>
      <c r="Z586" s="956"/>
      <c r="AA586" s="1013">
        <v>4.75</v>
      </c>
      <c r="AB586" s="959">
        <v>46314</v>
      </c>
      <c r="AC586" s="960">
        <f t="shared" si="255"/>
        <v>10.046575342465754</v>
      </c>
      <c r="AD586" s="960"/>
      <c r="AF586" s="962"/>
      <c r="AG586" s="963"/>
    </row>
    <row r="587" spans="1:33" s="944" customFormat="1" ht="18" customHeight="1">
      <c r="A587" s="1725"/>
      <c r="B587" s="942"/>
      <c r="C587" s="942"/>
      <c r="D587" s="942"/>
      <c r="E587" s="942">
        <v>351</v>
      </c>
      <c r="F587" s="1006" t="s">
        <v>1553</v>
      </c>
      <c r="G587" s="967" t="s">
        <v>1554</v>
      </c>
      <c r="H587" s="958" t="s">
        <v>1500</v>
      </c>
      <c r="I587" s="958" t="s">
        <v>1500</v>
      </c>
      <c r="J587" s="958">
        <f t="shared" si="241"/>
        <v>12.008219178082191</v>
      </c>
      <c r="K587" s="964" t="s">
        <v>465</v>
      </c>
      <c r="L587" s="1015">
        <v>10000000</v>
      </c>
      <c r="M587" s="964" t="s">
        <v>466</v>
      </c>
      <c r="N587" s="949">
        <v>100</v>
      </c>
      <c r="O587" s="1726">
        <v>5.01</v>
      </c>
      <c r="P587" s="1006" t="s">
        <v>946</v>
      </c>
      <c r="Q587" s="1727" t="s">
        <v>1493</v>
      </c>
      <c r="R587" s="1728" t="s">
        <v>1494</v>
      </c>
      <c r="S587" s="1729">
        <v>42647</v>
      </c>
      <c r="T587" s="1010">
        <v>42661</v>
      </c>
      <c r="U587" s="955" t="s">
        <v>683</v>
      </c>
      <c r="V587" s="955"/>
      <c r="W587" s="1015">
        <v>10000000</v>
      </c>
      <c r="X587" s="956">
        <v>7.8</v>
      </c>
      <c r="Y587" s="956">
        <f>X587*W587</f>
        <v>78000000</v>
      </c>
      <c r="Z587" s="956"/>
      <c r="AA587" s="1013">
        <v>5.01</v>
      </c>
      <c r="AB587" s="959">
        <v>47044</v>
      </c>
      <c r="AC587" s="960">
        <f t="shared" si="255"/>
        <v>12.046575342465754</v>
      </c>
      <c r="AD587" s="960"/>
      <c r="AF587" s="962"/>
      <c r="AG587" s="963"/>
    </row>
    <row r="588" spans="1:33" s="944" customFormat="1" ht="18" customHeight="1">
      <c r="A588" s="1725"/>
      <c r="B588" s="942"/>
      <c r="C588" s="942"/>
      <c r="D588" s="942"/>
      <c r="E588" s="942">
        <v>351</v>
      </c>
      <c r="F588" s="1006" t="s">
        <v>1553</v>
      </c>
      <c r="G588" s="967" t="s">
        <v>1554</v>
      </c>
      <c r="H588" s="958" t="s">
        <v>1500</v>
      </c>
      <c r="I588" s="958" t="s">
        <v>1500</v>
      </c>
      <c r="J588" s="958">
        <f t="shared" si="241"/>
        <v>12.008219178082191</v>
      </c>
      <c r="K588" s="964" t="s">
        <v>465</v>
      </c>
      <c r="L588" s="1015">
        <v>90000000</v>
      </c>
      <c r="M588" s="964" t="s">
        <v>466</v>
      </c>
      <c r="N588" s="949">
        <v>100</v>
      </c>
      <c r="O588" s="1726">
        <v>5.01</v>
      </c>
      <c r="P588" s="1006" t="s">
        <v>946</v>
      </c>
      <c r="Q588" s="1727" t="s">
        <v>1493</v>
      </c>
      <c r="R588" s="1728" t="s">
        <v>1494</v>
      </c>
      <c r="S588" s="1729">
        <v>42647</v>
      </c>
      <c r="T588" s="1010">
        <v>42661</v>
      </c>
      <c r="U588" s="955" t="s">
        <v>683</v>
      </c>
      <c r="V588" s="955"/>
      <c r="W588" s="1015">
        <v>90000000</v>
      </c>
      <c r="X588" s="956">
        <v>7.8</v>
      </c>
      <c r="Y588" s="956">
        <f t="shared" ref="Y588" si="256">X588*W588</f>
        <v>702000000</v>
      </c>
      <c r="Z588" s="956"/>
      <c r="AA588" s="1013">
        <v>5.01</v>
      </c>
      <c r="AB588" s="959">
        <v>47044</v>
      </c>
      <c r="AC588" s="960">
        <f t="shared" si="255"/>
        <v>12.046575342465754</v>
      </c>
      <c r="AD588" s="960"/>
      <c r="AF588" s="962"/>
      <c r="AG588" s="963"/>
    </row>
    <row r="589" spans="1:33" s="611" customFormat="1" ht="18" customHeight="1">
      <c r="A589" s="1730"/>
      <c r="B589" s="609"/>
      <c r="C589" s="609"/>
      <c r="D589" s="609"/>
      <c r="E589" s="609">
        <v>352</v>
      </c>
      <c r="F589" s="1731" t="s">
        <v>1555</v>
      </c>
      <c r="G589" s="834" t="s">
        <v>1556</v>
      </c>
      <c r="H589" s="625" t="s">
        <v>1500</v>
      </c>
      <c r="I589" s="625" t="s">
        <v>1500</v>
      </c>
      <c r="J589" s="625">
        <f t="shared" si="241"/>
        <v>19.958904109589042</v>
      </c>
      <c r="K589" s="615" t="s">
        <v>465</v>
      </c>
      <c r="L589" s="1732">
        <v>37500000</v>
      </c>
      <c r="M589" s="615" t="s">
        <v>466</v>
      </c>
      <c r="N589" s="618">
        <v>100</v>
      </c>
      <c r="O589" s="1427">
        <v>5.0004</v>
      </c>
      <c r="P589" s="1731" t="s">
        <v>1073</v>
      </c>
      <c r="Q589" s="1733" t="s">
        <v>1074</v>
      </c>
      <c r="R589" s="1734" t="s">
        <v>1075</v>
      </c>
      <c r="S589" s="1735">
        <v>42650</v>
      </c>
      <c r="T589" s="1736">
        <v>42662</v>
      </c>
      <c r="U589" s="622" t="s">
        <v>683</v>
      </c>
      <c r="V589" s="622"/>
      <c r="W589" s="1732">
        <v>37500000</v>
      </c>
      <c r="X589" s="623">
        <v>7.8</v>
      </c>
      <c r="Y589" s="623">
        <f t="shared" ref="Y589" si="257">X589*W589</f>
        <v>292500000</v>
      </c>
      <c r="Z589" s="623"/>
      <c r="AA589" s="1245">
        <v>5</v>
      </c>
      <c r="AB589" s="689">
        <v>49947</v>
      </c>
      <c r="AC589" s="626">
        <f t="shared" ref="AC589" si="258">(AB589-S589)/365</f>
        <v>19.991780821917807</v>
      </c>
      <c r="AD589" s="626"/>
      <c r="AF589" s="627"/>
      <c r="AG589" s="628"/>
    </row>
    <row r="590" spans="1:33" s="611" customFormat="1" ht="18" customHeight="1">
      <c r="A590" s="1730"/>
      <c r="B590" s="609"/>
      <c r="C590" s="609"/>
      <c r="D590" s="609"/>
      <c r="E590" s="609">
        <v>352</v>
      </c>
      <c r="F590" s="1731" t="s">
        <v>1555</v>
      </c>
      <c r="G590" s="834" t="s">
        <v>1556</v>
      </c>
      <c r="H590" s="625" t="s">
        <v>1500</v>
      </c>
      <c r="I590" s="625" t="s">
        <v>1500</v>
      </c>
      <c r="J590" s="625">
        <f t="shared" si="241"/>
        <v>19.958904109589042</v>
      </c>
      <c r="K590" s="615" t="s">
        <v>465</v>
      </c>
      <c r="L590" s="1732">
        <v>337500000</v>
      </c>
      <c r="M590" s="615" t="s">
        <v>466</v>
      </c>
      <c r="N590" s="618">
        <v>100</v>
      </c>
      <c r="O590" s="1427">
        <v>5.0004</v>
      </c>
      <c r="P590" s="1731" t="s">
        <v>1073</v>
      </c>
      <c r="Q590" s="1733" t="s">
        <v>1074</v>
      </c>
      <c r="R590" s="1734" t="s">
        <v>1075</v>
      </c>
      <c r="S590" s="1735">
        <v>42650</v>
      </c>
      <c r="T590" s="1736">
        <v>42662</v>
      </c>
      <c r="U590" s="622" t="s">
        <v>683</v>
      </c>
      <c r="V590" s="622"/>
      <c r="W590" s="1732">
        <v>337500000</v>
      </c>
      <c r="X590" s="623">
        <v>7.8</v>
      </c>
      <c r="Y590" s="623">
        <f t="shared" ref="Y590" si="259">X590*W590</f>
        <v>2632500000</v>
      </c>
      <c r="Z590" s="623"/>
      <c r="AA590" s="1245">
        <v>5</v>
      </c>
      <c r="AB590" s="689">
        <v>49947</v>
      </c>
      <c r="AC590" s="626">
        <f t="shared" ref="AC590" si="260">(AB590-S590)/365</f>
        <v>19.991780821917807</v>
      </c>
      <c r="AD590" s="626"/>
      <c r="AF590" s="627"/>
      <c r="AG590" s="628"/>
    </row>
    <row r="591" spans="1:33">
      <c r="W591" s="272"/>
      <c r="Y591" s="344"/>
      <c r="Z591" s="344"/>
    </row>
    <row r="592" spans="1:33">
      <c r="Y592" s="344"/>
      <c r="Z592" s="344"/>
    </row>
    <row r="593" spans="23:26">
      <c r="W593" s="272"/>
      <c r="Y593" s="344"/>
      <c r="Z593" s="344"/>
    </row>
    <row r="594" spans="23:26">
      <c r="Y594" s="344"/>
      <c r="Z594" s="344"/>
    </row>
    <row r="595" spans="23:26">
      <c r="Y595" s="344"/>
      <c r="Z595" s="344"/>
    </row>
    <row r="596" spans="23:26">
      <c r="Y596" s="344"/>
      <c r="Z596" s="344"/>
    </row>
    <row r="597" spans="23:26">
      <c r="Y597" s="344"/>
      <c r="Z597" s="344"/>
    </row>
    <row r="598" spans="23:26">
      <c r="Y598" s="344"/>
      <c r="Z598" s="344"/>
    </row>
    <row r="599" spans="23:26">
      <c r="Y599" s="344"/>
      <c r="Z599" s="344"/>
    </row>
    <row r="600" spans="23:26">
      <c r="Y600" s="344"/>
      <c r="Z600" s="344"/>
    </row>
    <row r="601" spans="23:26">
      <c r="Y601" s="344"/>
      <c r="Z601" s="344"/>
    </row>
    <row r="602" spans="23:26">
      <c r="Y602" s="344"/>
      <c r="Z602" s="344"/>
    </row>
    <row r="603" spans="23:26">
      <c r="Y603" s="344"/>
      <c r="Z603" s="344"/>
    </row>
    <row r="604" spans="23:26">
      <c r="Y604" s="344"/>
      <c r="Z604" s="344"/>
    </row>
    <row r="605" spans="23:26">
      <c r="Y605" s="344"/>
      <c r="Z605" s="344"/>
    </row>
    <row r="606" spans="23:26">
      <c r="Y606" s="344"/>
      <c r="Z606" s="344"/>
    </row>
    <row r="607" spans="23:26">
      <c r="Y607" s="344"/>
      <c r="Z607" s="344"/>
    </row>
    <row r="608" spans="23:26">
      <c r="Y608" s="344"/>
      <c r="Z608" s="344"/>
    </row>
    <row r="609" spans="25:26">
      <c r="Y609" s="344"/>
      <c r="Z609" s="344"/>
    </row>
    <row r="610" spans="25:26">
      <c r="Y610" s="344"/>
      <c r="Z610" s="344"/>
    </row>
    <row r="611" spans="25:26">
      <c r="Y611" s="344"/>
      <c r="Z611" s="344"/>
    </row>
    <row r="612" spans="25:26">
      <c r="Y612" s="344"/>
      <c r="Z612" s="344"/>
    </row>
    <row r="613" spans="25:26">
      <c r="Y613" s="344"/>
      <c r="Z613" s="344"/>
    </row>
    <row r="614" spans="25:26">
      <c r="Y614" s="344"/>
      <c r="Z614" s="344"/>
    </row>
    <row r="615" spans="25:26">
      <c r="Y615" s="344"/>
      <c r="Z615" s="344"/>
    </row>
    <row r="616" spans="25:26">
      <c r="Y616" s="344"/>
      <c r="Z616" s="344"/>
    </row>
    <row r="617" spans="25:26">
      <c r="Y617" s="344"/>
      <c r="Z617" s="344"/>
    </row>
    <row r="618" spans="25:26">
      <c r="Y618" s="344"/>
      <c r="Z618" s="344"/>
    </row>
    <row r="619" spans="25:26">
      <c r="Y619" s="344"/>
      <c r="Z619" s="344"/>
    </row>
    <row r="620" spans="25:26">
      <c r="Y620" s="344"/>
      <c r="Z620" s="344"/>
    </row>
    <row r="621" spans="25:26">
      <c r="Y621" s="344"/>
      <c r="Z621" s="344"/>
    </row>
    <row r="622" spans="25:26">
      <c r="Y622" s="344"/>
      <c r="Z622" s="344"/>
    </row>
    <row r="623" spans="25:26">
      <c r="Y623" s="344"/>
      <c r="Z623" s="344"/>
    </row>
    <row r="624" spans="25:26">
      <c r="Y624" s="344"/>
      <c r="Z624" s="344"/>
    </row>
    <row r="625" spans="25:26">
      <c r="Y625" s="344"/>
      <c r="Z625" s="344"/>
    </row>
    <row r="626" spans="25:26">
      <c r="Y626" s="344"/>
      <c r="Z626" s="344"/>
    </row>
    <row r="627" spans="25:26">
      <c r="Y627" s="344"/>
      <c r="Z627" s="344"/>
    </row>
    <row r="628" spans="25:26">
      <c r="Y628" s="344"/>
      <c r="Z628" s="344"/>
    </row>
    <row r="629" spans="25:26">
      <c r="Y629" s="344"/>
      <c r="Z629" s="344"/>
    </row>
  </sheetData>
  <autoFilter ref="A5:AL5"/>
  <mergeCells count="1">
    <mergeCell ref="G4:T4"/>
  </mergeCells>
  <phoneticPr fontId="4" type="noConversion"/>
  <conditionalFormatting sqref="F242">
    <cfRule type="duplicateValues" dxfId="13" priority="24"/>
  </conditionalFormatting>
  <conditionalFormatting sqref="F243">
    <cfRule type="duplicateValues" dxfId="12" priority="22"/>
  </conditionalFormatting>
  <conditionalFormatting sqref="F258">
    <cfRule type="duplicateValues" dxfId="11" priority="20"/>
  </conditionalFormatting>
  <conditionalFormatting sqref="F259">
    <cfRule type="duplicateValues" dxfId="10" priority="18"/>
  </conditionalFormatting>
  <conditionalFormatting sqref="F202">
    <cfRule type="duplicateValues" dxfId="9" priority="16"/>
  </conditionalFormatting>
  <conditionalFormatting sqref="F203">
    <cfRule type="duplicateValues" dxfId="8" priority="14"/>
  </conditionalFormatting>
  <conditionalFormatting sqref="F244">
    <cfRule type="duplicateValues" dxfId="7" priority="12"/>
  </conditionalFormatting>
  <conditionalFormatting sqref="F245">
    <cfRule type="duplicateValues" dxfId="6" priority="10"/>
  </conditionalFormatting>
  <conditionalFormatting sqref="F515">
    <cfRule type="duplicateValues" dxfId="5" priority="4"/>
  </conditionalFormatting>
  <conditionalFormatting sqref="F516">
    <cfRule type="duplicateValues" dxfId="4" priority="2"/>
  </conditionalFormatting>
  <hyperlinks>
    <hyperlink ref="R477" r:id="rId1" display="Judy.Yung@anz.com"/>
    <hyperlink ref="R478" r:id="rId2" display="Judy.Yung@anz.com"/>
    <hyperlink ref="R497" r:id="rId3" display="Judy.Yung@anz.com"/>
    <hyperlink ref="R498" r:id="rId4" display="Judy.Yung@anz.com"/>
  </hyperlinks>
  <pageMargins left="0.35433070866141736" right="0.25" top="0.28000000000000003" bottom="0.28999999999999998" header="0.18" footer="0.17"/>
  <pageSetup scale="45" orientation="portrait" r:id="rId5"/>
  <headerFooter alignWithMargins="0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AI64"/>
  <sheetViews>
    <sheetView topLeftCell="E1" zoomScale="70" zoomScaleNormal="70" workbookViewId="0">
      <pane xSplit="1" ySplit="4" topLeftCell="F54" activePane="bottomRight" state="frozen"/>
      <selection activeCell="E1" sqref="E1"/>
      <selection pane="topRight" activeCell="F1" sqref="F1"/>
      <selection pane="bottomLeft" activeCell="E5" sqref="E5"/>
      <selection pane="bottomRight" activeCell="G1" sqref="G1:G1048576"/>
    </sheetView>
  </sheetViews>
  <sheetFormatPr defaultRowHeight="12.75"/>
  <cols>
    <col min="1" max="1" width="16" customWidth="1"/>
    <col min="2" max="2" width="10.5703125" customWidth="1"/>
    <col min="6" max="6" width="16.28515625" customWidth="1"/>
    <col min="7" max="7" width="31" bestFit="1" customWidth="1"/>
    <col min="8" max="9" width="19.42578125" customWidth="1"/>
    <col min="10" max="10" width="9.85546875" customWidth="1"/>
    <col min="12" max="12" width="15.28515625" customWidth="1"/>
    <col min="14" max="15" width="9.85546875" bestFit="1" customWidth="1"/>
    <col min="16" max="16" width="14" bestFit="1" customWidth="1"/>
    <col min="17" max="17" width="10.85546875" customWidth="1"/>
    <col min="18" max="18" width="22.28515625" customWidth="1"/>
    <col min="19" max="19" width="10.42578125" style="637" bestFit="1" customWidth="1"/>
    <col min="20" max="20" width="10.5703125" style="637" bestFit="1" customWidth="1"/>
    <col min="21" max="21" width="10.42578125" customWidth="1"/>
    <col min="23" max="23" width="15.85546875" customWidth="1"/>
    <col min="24" max="24" width="13.28515625" customWidth="1"/>
    <col min="25" max="25" width="15.140625" customWidth="1"/>
    <col min="26" max="26" width="9" customWidth="1"/>
    <col min="27" max="27" width="9.28515625" bestFit="1" customWidth="1"/>
    <col min="28" max="28" width="12.7109375" bestFit="1" customWidth="1"/>
    <col min="29" max="29" width="11.5703125" customWidth="1"/>
    <col min="31" max="31" width="10.28515625" customWidth="1"/>
    <col min="33" max="33" width="11" bestFit="1" customWidth="1"/>
    <col min="34" max="34" width="11.7109375" customWidth="1"/>
  </cols>
  <sheetData>
    <row r="1" spans="1:34">
      <c r="F1" t="s">
        <v>1287</v>
      </c>
      <c r="M1" t="s">
        <v>1169</v>
      </c>
    </row>
    <row r="2" spans="1:34">
      <c r="F2" t="s">
        <v>482</v>
      </c>
    </row>
    <row r="3" spans="1:34">
      <c r="AB3" s="85">
        <f>DATE(2011,12,31)</f>
        <v>40908</v>
      </c>
      <c r="AC3" s="85"/>
      <c r="AG3" s="85"/>
    </row>
    <row r="4" spans="1:34" ht="38.25">
      <c r="A4" s="10"/>
      <c r="B4" s="10"/>
      <c r="C4" s="10"/>
      <c r="D4" s="10"/>
      <c r="E4" s="8" t="s">
        <v>296</v>
      </c>
      <c r="F4" s="8" t="s">
        <v>293</v>
      </c>
      <c r="G4" s="8" t="s">
        <v>300</v>
      </c>
      <c r="H4" s="8"/>
      <c r="I4" s="8"/>
      <c r="J4" s="8"/>
      <c r="K4" s="8" t="s">
        <v>294</v>
      </c>
      <c r="L4" s="9" t="s">
        <v>302</v>
      </c>
      <c r="M4" s="7" t="s">
        <v>301</v>
      </c>
      <c r="N4" s="7" t="s">
        <v>304</v>
      </c>
      <c r="O4" s="7" t="s">
        <v>305</v>
      </c>
      <c r="P4" s="8" t="s">
        <v>297</v>
      </c>
      <c r="Q4" s="8" t="s">
        <v>303</v>
      </c>
      <c r="R4" s="8" t="s">
        <v>312</v>
      </c>
      <c r="S4" s="639" t="s">
        <v>298</v>
      </c>
      <c r="T4" s="639" t="s">
        <v>299</v>
      </c>
      <c r="U4" s="228" t="s">
        <v>752</v>
      </c>
      <c r="V4" s="10"/>
      <c r="W4" s="10" t="s">
        <v>436</v>
      </c>
      <c r="X4" s="10" t="s">
        <v>475</v>
      </c>
      <c r="Y4" s="84" t="s">
        <v>440</v>
      </c>
      <c r="Z4" s="84"/>
      <c r="AA4" s="10" t="s">
        <v>441</v>
      </c>
      <c r="AB4" s="10" t="s">
        <v>442</v>
      </c>
      <c r="AC4" s="10" t="s">
        <v>468</v>
      </c>
      <c r="AD4" s="10"/>
      <c r="AE4" s="10"/>
      <c r="AF4" s="29"/>
      <c r="AG4" s="29"/>
      <c r="AH4" s="29"/>
    </row>
    <row r="5" spans="1:34" ht="25.5">
      <c r="A5" s="73"/>
      <c r="B5" s="73"/>
      <c r="C5" s="73"/>
      <c r="D5" s="33"/>
      <c r="E5" s="26">
        <v>1</v>
      </c>
      <c r="F5" s="15" t="s">
        <v>451</v>
      </c>
      <c r="G5" s="20" t="s">
        <v>452</v>
      </c>
      <c r="H5" s="20"/>
      <c r="I5" s="20"/>
      <c r="J5" s="20"/>
      <c r="K5" s="26" t="s">
        <v>309</v>
      </c>
      <c r="L5" s="24">
        <v>1000000</v>
      </c>
      <c r="M5" s="26" t="s">
        <v>466</v>
      </c>
      <c r="N5" s="28">
        <v>97.638000000000005</v>
      </c>
      <c r="O5" s="30">
        <v>6.430288</v>
      </c>
      <c r="P5" s="32" t="s">
        <v>353</v>
      </c>
      <c r="Q5" s="20" t="s">
        <v>344</v>
      </c>
      <c r="R5" s="14" t="s">
        <v>445</v>
      </c>
      <c r="S5" s="640">
        <v>39617</v>
      </c>
      <c r="T5" s="640">
        <v>39624</v>
      </c>
      <c r="U5" s="40"/>
      <c r="V5" s="12"/>
      <c r="W5" s="77">
        <f>1971760/2</f>
        <v>985880</v>
      </c>
      <c r="X5" s="76"/>
      <c r="AA5" s="88">
        <v>6</v>
      </c>
      <c r="AB5" s="659">
        <v>42122</v>
      </c>
      <c r="AC5" s="92">
        <f t="shared" ref="AC5:AC14" si="0">(AB5-$AB$3)/365</f>
        <v>3.3260273972602739</v>
      </c>
      <c r="AF5" s="161"/>
      <c r="AG5" s="190"/>
      <c r="AH5" s="77"/>
    </row>
    <row r="6" spans="1:34" ht="25.5">
      <c r="A6" s="33"/>
      <c r="B6" s="33"/>
      <c r="C6" s="33"/>
      <c r="D6" s="33"/>
      <c r="E6" s="13">
        <v>2</v>
      </c>
      <c r="F6" s="47" t="s">
        <v>391</v>
      </c>
      <c r="G6" s="48" t="s">
        <v>390</v>
      </c>
      <c r="H6" s="48"/>
      <c r="I6" s="48"/>
      <c r="J6" s="48"/>
      <c r="K6" s="26" t="s">
        <v>309</v>
      </c>
      <c r="L6" s="24">
        <v>1000000</v>
      </c>
      <c r="M6" s="26" t="s">
        <v>466</v>
      </c>
      <c r="N6" s="13">
        <v>98.34</v>
      </c>
      <c r="O6" s="13">
        <v>5.9002160000000003</v>
      </c>
      <c r="P6" s="22" t="s">
        <v>316</v>
      </c>
      <c r="Q6" s="17" t="s">
        <v>317</v>
      </c>
      <c r="R6" s="14" t="s">
        <v>318</v>
      </c>
      <c r="S6" s="640">
        <v>39617</v>
      </c>
      <c r="T6" s="640">
        <v>39624</v>
      </c>
      <c r="U6" s="40"/>
      <c r="V6" s="12"/>
      <c r="W6" s="77">
        <f>1492058.33*1/1.5</f>
        <v>994705.55333333334</v>
      </c>
      <c r="X6" s="76"/>
      <c r="AA6" s="33">
        <v>5.5</v>
      </c>
      <c r="AB6" s="659">
        <v>41375</v>
      </c>
      <c r="AC6" s="92">
        <f t="shared" si="0"/>
        <v>1.2794520547945205</v>
      </c>
      <c r="AF6" s="161"/>
      <c r="AG6" s="190"/>
      <c r="AH6" s="77"/>
    </row>
    <row r="7" spans="1:34" ht="25.5">
      <c r="A7" s="73"/>
      <c r="B7" s="73"/>
      <c r="C7" s="73"/>
      <c r="D7" s="73"/>
      <c r="E7" s="46">
        <v>3</v>
      </c>
      <c r="F7" s="12" t="s">
        <v>435</v>
      </c>
      <c r="G7" s="14" t="s">
        <v>505</v>
      </c>
      <c r="H7" s="14"/>
      <c r="I7" s="14"/>
      <c r="J7" s="14"/>
      <c r="K7" s="26" t="s">
        <v>309</v>
      </c>
      <c r="L7" s="24">
        <v>1000000</v>
      </c>
      <c r="M7" s="26" t="s">
        <v>466</v>
      </c>
      <c r="N7" s="107">
        <v>100.5</v>
      </c>
      <c r="O7" s="108">
        <v>7.0089790000000001</v>
      </c>
      <c r="P7" s="32" t="s">
        <v>350</v>
      </c>
      <c r="Q7" s="20" t="s">
        <v>351</v>
      </c>
      <c r="R7" s="14" t="s">
        <v>352</v>
      </c>
      <c r="S7" s="640">
        <v>39617</v>
      </c>
      <c r="T7" s="640">
        <v>39624</v>
      </c>
      <c r="U7" s="40"/>
      <c r="V7" s="64"/>
      <c r="W7" s="110">
        <v>1010145.83</v>
      </c>
      <c r="X7" s="110"/>
      <c r="Y7" s="64"/>
      <c r="Z7" s="64"/>
      <c r="AA7" s="88">
        <v>7.125</v>
      </c>
      <c r="AB7" s="659">
        <v>41653</v>
      </c>
      <c r="AC7" s="92">
        <f t="shared" si="0"/>
        <v>2.0410958904109591</v>
      </c>
      <c r="AF7" s="161"/>
      <c r="AG7" s="190"/>
      <c r="AH7" s="77"/>
    </row>
    <row r="8" spans="1:34" ht="25.5">
      <c r="A8" s="73"/>
      <c r="B8" s="73"/>
      <c r="C8" s="73"/>
      <c r="D8" s="73"/>
      <c r="E8" s="46">
        <v>4</v>
      </c>
      <c r="F8" s="47" t="s">
        <v>488</v>
      </c>
      <c r="G8" s="48" t="s">
        <v>489</v>
      </c>
      <c r="H8" s="48"/>
      <c r="I8" s="48"/>
      <c r="J8" s="48"/>
      <c r="K8" s="26" t="s">
        <v>309</v>
      </c>
      <c r="L8" s="24">
        <v>1000000</v>
      </c>
      <c r="M8" s="26" t="s">
        <v>466</v>
      </c>
      <c r="N8" s="59">
        <v>96.454999999999998</v>
      </c>
      <c r="O8" s="51">
        <v>6.5160629999999999</v>
      </c>
      <c r="P8" s="22" t="s">
        <v>316</v>
      </c>
      <c r="Q8" s="17" t="s">
        <v>317</v>
      </c>
      <c r="R8" s="14" t="s">
        <v>318</v>
      </c>
      <c r="S8" s="640">
        <v>39618</v>
      </c>
      <c r="T8" s="640">
        <v>39625</v>
      </c>
      <c r="U8" s="40"/>
      <c r="V8" s="64"/>
      <c r="W8" s="117">
        <f>1472575*1/1.5</f>
        <v>981716.66666666663</v>
      </c>
      <c r="X8" s="110"/>
      <c r="Y8" s="110"/>
      <c r="Z8" s="110"/>
      <c r="AA8" s="88">
        <v>6</v>
      </c>
      <c r="AB8" s="659">
        <v>42991</v>
      </c>
      <c r="AC8" s="92">
        <f t="shared" si="0"/>
        <v>5.7068493150684931</v>
      </c>
      <c r="AF8" s="161"/>
      <c r="AG8" s="190"/>
      <c r="AH8" s="77"/>
    </row>
    <row r="9" spans="1:34" ht="25.5">
      <c r="A9" s="86"/>
      <c r="B9" s="86"/>
      <c r="C9" s="73"/>
      <c r="D9" s="73"/>
      <c r="E9" s="91">
        <v>5</v>
      </c>
      <c r="F9" s="55" t="s">
        <v>449</v>
      </c>
      <c r="G9" s="53" t="s">
        <v>450</v>
      </c>
      <c r="H9" s="53"/>
      <c r="I9" s="53"/>
      <c r="J9" s="53"/>
      <c r="K9" s="26" t="s">
        <v>309</v>
      </c>
      <c r="L9" s="24">
        <v>1000000</v>
      </c>
      <c r="M9" s="26" t="s">
        <v>466</v>
      </c>
      <c r="N9" s="114">
        <v>98.15</v>
      </c>
      <c r="O9" s="91">
        <v>5.9241000000000001</v>
      </c>
      <c r="P9" s="32" t="s">
        <v>355</v>
      </c>
      <c r="Q9" s="20" t="s">
        <v>356</v>
      </c>
      <c r="R9" s="14" t="s">
        <v>357</v>
      </c>
      <c r="S9" s="640">
        <v>39618</v>
      </c>
      <c r="T9" s="640">
        <v>39625</v>
      </c>
      <c r="U9" s="40"/>
      <c r="V9" s="64"/>
      <c r="W9" s="110">
        <v>994937.5</v>
      </c>
      <c r="X9" s="110"/>
      <c r="Y9" s="110"/>
      <c r="Z9" s="110"/>
      <c r="AA9" s="86">
        <v>5.625</v>
      </c>
      <c r="AB9" s="661">
        <v>42459</v>
      </c>
      <c r="AC9" s="92">
        <f t="shared" si="0"/>
        <v>4.2493150684931509</v>
      </c>
      <c r="AF9" s="161"/>
      <c r="AG9" s="190"/>
      <c r="AH9" s="77"/>
    </row>
    <row r="10" spans="1:34" ht="25.5">
      <c r="A10" s="103"/>
      <c r="B10" s="103"/>
      <c r="C10" s="94"/>
      <c r="D10" s="94"/>
      <c r="E10" s="65">
        <v>6</v>
      </c>
      <c r="F10" s="66" t="s">
        <v>500</v>
      </c>
      <c r="G10" s="39" t="s">
        <v>501</v>
      </c>
      <c r="H10" s="39"/>
      <c r="I10" s="39"/>
      <c r="J10" s="39"/>
      <c r="K10" s="34" t="s">
        <v>309</v>
      </c>
      <c r="L10" s="140">
        <v>800000</v>
      </c>
      <c r="M10" s="34" t="s">
        <v>466</v>
      </c>
      <c r="N10" s="96">
        <v>102.42</v>
      </c>
      <c r="O10" s="65">
        <v>5.5568150000000003</v>
      </c>
      <c r="P10" s="57" t="s">
        <v>453</v>
      </c>
      <c r="Q10" s="58" t="s">
        <v>454</v>
      </c>
      <c r="R10" s="141" t="s">
        <v>455</v>
      </c>
      <c r="S10" s="643">
        <v>39623</v>
      </c>
      <c r="T10" s="643">
        <v>39629</v>
      </c>
      <c r="U10" s="41"/>
      <c r="V10" s="102"/>
      <c r="W10" s="98">
        <v>829985</v>
      </c>
      <c r="X10" s="98">
        <f>SUM(W4:W$10)</f>
        <v>5797370.5499999998</v>
      </c>
      <c r="Y10" s="98">
        <f>X10*7.8</f>
        <v>45219490.289999999</v>
      </c>
      <c r="Z10" s="98"/>
      <c r="AA10" s="99">
        <v>6.375</v>
      </c>
      <c r="AB10" s="662">
        <v>40831</v>
      </c>
      <c r="AC10" s="101">
        <f t="shared" si="0"/>
        <v>-0.21095890410958903</v>
      </c>
      <c r="AF10" s="161"/>
      <c r="AG10" s="190"/>
      <c r="AH10" s="77"/>
    </row>
    <row r="11" spans="1:34" ht="38.25">
      <c r="A11" s="18"/>
      <c r="B11" s="18"/>
      <c r="C11" s="18"/>
      <c r="D11" s="18"/>
      <c r="E11" s="13">
        <v>7</v>
      </c>
      <c r="F11" s="47" t="s">
        <v>490</v>
      </c>
      <c r="G11" s="53" t="s">
        <v>491</v>
      </c>
      <c r="H11" s="53"/>
      <c r="I11" s="53"/>
      <c r="J11" s="53"/>
      <c r="K11" s="13" t="s">
        <v>309</v>
      </c>
      <c r="L11" s="45">
        <v>5000000</v>
      </c>
      <c r="M11" s="19" t="s">
        <v>466</v>
      </c>
      <c r="N11" s="69">
        <v>97.52</v>
      </c>
      <c r="O11" s="13">
        <v>6.0797999999999996</v>
      </c>
      <c r="P11" s="32" t="s">
        <v>358</v>
      </c>
      <c r="Q11" s="20" t="s">
        <v>403</v>
      </c>
      <c r="R11" s="14" t="s">
        <v>527</v>
      </c>
      <c r="S11" s="640">
        <v>39654</v>
      </c>
      <c r="T11" s="640">
        <v>39660</v>
      </c>
      <c r="U11" s="40"/>
      <c r="V11" s="3"/>
      <c r="W11" s="81">
        <v>4965250</v>
      </c>
      <c r="X11" s="110"/>
      <c r="Y11" s="110"/>
      <c r="Z11" s="110"/>
      <c r="AA11" s="88">
        <v>5.4</v>
      </c>
      <c r="AB11" s="659">
        <v>41183</v>
      </c>
      <c r="AC11" s="92">
        <f t="shared" si="0"/>
        <v>0.75342465753424659</v>
      </c>
      <c r="AD11" s="92"/>
      <c r="AF11" s="161"/>
      <c r="AG11" s="190"/>
      <c r="AH11" s="77"/>
    </row>
    <row r="12" spans="1:34" ht="25.5">
      <c r="A12" s="86"/>
      <c r="B12" s="86"/>
      <c r="C12" s="73"/>
      <c r="D12" s="73"/>
      <c r="E12" s="91">
        <v>8</v>
      </c>
      <c r="F12" s="47" t="s">
        <v>529</v>
      </c>
      <c r="G12" s="53" t="s">
        <v>530</v>
      </c>
      <c r="H12" s="53"/>
      <c r="I12" s="53"/>
      <c r="J12" s="53"/>
      <c r="K12" s="13" t="s">
        <v>309</v>
      </c>
      <c r="L12" s="45">
        <v>2000000</v>
      </c>
      <c r="M12" s="19" t="s">
        <v>466</v>
      </c>
      <c r="N12" s="114">
        <v>101.625</v>
      </c>
      <c r="O12" s="91">
        <v>7.1180519999999996</v>
      </c>
      <c r="P12" s="32" t="s">
        <v>353</v>
      </c>
      <c r="Q12" s="20" t="s">
        <v>344</v>
      </c>
      <c r="R12" s="14" t="s">
        <v>445</v>
      </c>
      <c r="S12" s="640">
        <v>39654</v>
      </c>
      <c r="T12" s="640">
        <v>39660</v>
      </c>
      <c r="U12" s="40"/>
      <c r="V12" s="64"/>
      <c r="W12" s="110">
        <v>2032500</v>
      </c>
      <c r="X12" s="110"/>
      <c r="Y12" s="110"/>
      <c r="Z12" s="110"/>
      <c r="AA12" s="115">
        <v>7.51</v>
      </c>
      <c r="AB12" s="659">
        <v>41486</v>
      </c>
      <c r="AC12" s="92">
        <f t="shared" si="0"/>
        <v>1.5835616438356164</v>
      </c>
      <c r="AF12" s="161"/>
      <c r="AG12" s="190"/>
      <c r="AH12" s="77"/>
    </row>
    <row r="13" spans="1:34" ht="25.5">
      <c r="A13" s="86"/>
      <c r="B13" s="86"/>
      <c r="C13" s="73"/>
      <c r="D13" s="73"/>
      <c r="E13" s="91">
        <v>9</v>
      </c>
      <c r="F13" s="12" t="s">
        <v>435</v>
      </c>
      <c r="G13" s="14" t="s">
        <v>505</v>
      </c>
      <c r="H13" s="14"/>
      <c r="I13" s="14"/>
      <c r="J13" s="14"/>
      <c r="K13" s="26" t="s">
        <v>309</v>
      </c>
      <c r="L13" s="45">
        <v>2000000</v>
      </c>
      <c r="M13" s="26" t="s">
        <v>466</v>
      </c>
      <c r="N13" s="114">
        <v>99</v>
      </c>
      <c r="O13" s="91">
        <v>7.3430939999999998</v>
      </c>
      <c r="P13" s="22" t="s">
        <v>316</v>
      </c>
      <c r="Q13" s="17" t="s">
        <v>532</v>
      </c>
      <c r="R13" s="14" t="s">
        <v>531</v>
      </c>
      <c r="S13" s="640">
        <v>39654</v>
      </c>
      <c r="T13" s="640">
        <v>39660</v>
      </c>
      <c r="U13" s="40"/>
      <c r="V13" s="64"/>
      <c r="W13" s="110">
        <v>2004145.83</v>
      </c>
      <c r="X13" s="110"/>
      <c r="Y13" s="110"/>
      <c r="Z13" s="110"/>
      <c r="AA13" s="88">
        <v>7.125</v>
      </c>
      <c r="AB13" s="659">
        <v>41653</v>
      </c>
      <c r="AC13" s="92">
        <f t="shared" si="0"/>
        <v>2.0410958904109591</v>
      </c>
      <c r="AF13" s="161"/>
      <c r="AG13" s="190"/>
      <c r="AH13" s="77"/>
    </row>
    <row r="14" spans="1:34" ht="25.5">
      <c r="A14" s="103"/>
      <c r="B14" s="103"/>
      <c r="C14" s="94"/>
      <c r="D14" s="94"/>
      <c r="E14" s="65">
        <v>18</v>
      </c>
      <c r="F14" s="142" t="s">
        <v>536</v>
      </c>
      <c r="G14" s="39" t="s">
        <v>540</v>
      </c>
      <c r="H14" s="39"/>
      <c r="I14" s="39"/>
      <c r="J14" s="39"/>
      <c r="K14" s="65" t="s">
        <v>309</v>
      </c>
      <c r="L14" s="44">
        <v>2000000</v>
      </c>
      <c r="M14" s="34" t="s">
        <v>330</v>
      </c>
      <c r="N14" s="96">
        <v>99.319000000000003</v>
      </c>
      <c r="O14" s="65">
        <v>6.343</v>
      </c>
      <c r="P14" s="57" t="s">
        <v>310</v>
      </c>
      <c r="Q14" s="58" t="s">
        <v>538</v>
      </c>
      <c r="R14" s="39" t="s">
        <v>539</v>
      </c>
      <c r="S14" s="643">
        <v>39660</v>
      </c>
      <c r="T14" s="643">
        <v>39667</v>
      </c>
      <c r="U14" s="41"/>
      <c r="V14" s="102"/>
      <c r="W14" s="97">
        <v>1986380</v>
      </c>
      <c r="X14" s="98">
        <f>SUM(W11:W$14)</f>
        <v>10988275.83</v>
      </c>
      <c r="Y14" s="98">
        <f>X14*7.8</f>
        <v>85708551.473999992</v>
      </c>
      <c r="Z14" s="98"/>
      <c r="AA14" s="99">
        <v>6.25</v>
      </c>
      <c r="AB14" s="662">
        <v>43319</v>
      </c>
      <c r="AC14" s="101">
        <f t="shared" si="0"/>
        <v>6.6054794520547944</v>
      </c>
      <c r="AF14" s="161"/>
      <c r="AG14" s="190"/>
      <c r="AH14" s="77"/>
    </row>
    <row r="15" spans="1:34" ht="25.5">
      <c r="A15" s="73"/>
      <c r="B15" s="73"/>
      <c r="C15" s="73"/>
      <c r="D15" s="73"/>
      <c r="E15" s="33">
        <v>19</v>
      </c>
      <c r="F15" s="55" t="s">
        <v>449</v>
      </c>
      <c r="G15" s="53" t="s">
        <v>450</v>
      </c>
      <c r="H15" s="53"/>
      <c r="I15" s="53"/>
      <c r="J15" s="53"/>
      <c r="K15" s="26" t="s">
        <v>309</v>
      </c>
      <c r="L15" s="24">
        <v>1500000</v>
      </c>
      <c r="M15" s="26" t="s">
        <v>466</v>
      </c>
      <c r="N15" s="114">
        <v>97.68</v>
      </c>
      <c r="O15" s="91">
        <v>6.0072950000000001</v>
      </c>
      <c r="P15" s="32" t="s">
        <v>350</v>
      </c>
      <c r="Q15" s="20" t="s">
        <v>351</v>
      </c>
      <c r="R15" s="14" t="s">
        <v>352</v>
      </c>
      <c r="S15" s="642">
        <v>39668</v>
      </c>
      <c r="T15" s="642">
        <v>39674</v>
      </c>
      <c r="U15" s="54"/>
      <c r="V15" s="64"/>
      <c r="W15" s="110">
        <v>1496606.25</v>
      </c>
      <c r="X15" s="110"/>
      <c r="Y15" s="117"/>
      <c r="Z15" s="117"/>
      <c r="AA15" s="86">
        <v>5.625</v>
      </c>
      <c r="AB15" s="661">
        <v>42459</v>
      </c>
      <c r="AC15" s="92">
        <f>(AB15-$AB$3)/365</f>
        <v>4.2493150684931509</v>
      </c>
      <c r="AF15" s="161"/>
      <c r="AG15" s="190"/>
      <c r="AH15" s="77"/>
    </row>
    <row r="16" spans="1:34" ht="38.25">
      <c r="A16" s="73"/>
      <c r="B16" s="73"/>
      <c r="C16" s="73"/>
      <c r="D16" s="73"/>
      <c r="E16" s="115">
        <v>20</v>
      </c>
      <c r="F16" s="55" t="s">
        <v>449</v>
      </c>
      <c r="G16" s="53" t="s">
        <v>450</v>
      </c>
      <c r="H16" s="53"/>
      <c r="I16" s="53"/>
      <c r="J16" s="53"/>
      <c r="K16" s="26" t="s">
        <v>309</v>
      </c>
      <c r="L16" s="24">
        <v>3000000</v>
      </c>
      <c r="M16" s="26" t="s">
        <v>466</v>
      </c>
      <c r="N16" s="69">
        <v>97.68</v>
      </c>
      <c r="O16" s="91">
        <v>6.0072950000000001</v>
      </c>
      <c r="P16" s="32" t="s">
        <v>358</v>
      </c>
      <c r="Q16" s="20" t="s">
        <v>403</v>
      </c>
      <c r="R16" s="14" t="s">
        <v>492</v>
      </c>
      <c r="S16" s="642">
        <v>39668</v>
      </c>
      <c r="T16" s="642">
        <v>39674</v>
      </c>
      <c r="U16" s="54"/>
      <c r="V16" s="64"/>
      <c r="W16" s="143">
        <v>2993212.5</v>
      </c>
      <c r="X16" s="110"/>
      <c r="Y16" s="117"/>
      <c r="Z16" s="117"/>
      <c r="AA16" s="86">
        <v>5.625</v>
      </c>
      <c r="AB16" s="661">
        <v>42459</v>
      </c>
      <c r="AC16" s="92">
        <f>(AB16-$AB$3)/365</f>
        <v>4.2493150684931509</v>
      </c>
      <c r="AF16" s="161"/>
      <c r="AG16" s="190"/>
      <c r="AH16" s="77"/>
    </row>
    <row r="17" spans="1:35" ht="25.5">
      <c r="A17" s="73"/>
      <c r="B17" s="73"/>
      <c r="C17" s="73"/>
      <c r="D17" s="73"/>
      <c r="E17" s="115">
        <v>21</v>
      </c>
      <c r="F17" s="55" t="s">
        <v>541</v>
      </c>
      <c r="G17" s="53" t="s">
        <v>542</v>
      </c>
      <c r="H17" s="53"/>
      <c r="I17" s="53"/>
      <c r="J17" s="53"/>
      <c r="K17" s="26" t="s">
        <v>309</v>
      </c>
      <c r="L17" s="24">
        <v>3000000</v>
      </c>
      <c r="M17" s="26" t="s">
        <v>466</v>
      </c>
      <c r="N17" s="69">
        <v>94.25</v>
      </c>
      <c r="O17" s="91">
        <v>6.2870710000000001</v>
      </c>
      <c r="P17" s="32" t="s">
        <v>350</v>
      </c>
      <c r="Q17" s="20" t="s">
        <v>351</v>
      </c>
      <c r="R17" s="14" t="s">
        <v>352</v>
      </c>
      <c r="S17" s="642">
        <v>39668</v>
      </c>
      <c r="T17" s="642">
        <v>39674</v>
      </c>
      <c r="U17" s="54"/>
      <c r="V17" s="64"/>
      <c r="W17" s="143">
        <v>2885729.173</v>
      </c>
      <c r="X17" s="110"/>
      <c r="Y17" s="117"/>
      <c r="Z17" s="117"/>
      <c r="AA17" s="86">
        <v>5.375</v>
      </c>
      <c r="AB17" s="661">
        <v>42647</v>
      </c>
      <c r="AC17" s="92">
        <f>(AB17-$AB$3)/365</f>
        <v>4.7643835616438359</v>
      </c>
      <c r="AF17" s="161"/>
      <c r="AG17" s="190"/>
      <c r="AH17" s="77"/>
    </row>
    <row r="18" spans="1:35" ht="38.25">
      <c r="A18" s="18"/>
      <c r="B18" s="18"/>
      <c r="C18" s="18"/>
      <c r="D18" s="18"/>
      <c r="E18" s="13">
        <v>22</v>
      </c>
      <c r="F18" s="55" t="s">
        <v>449</v>
      </c>
      <c r="G18" s="53" t="s">
        <v>450</v>
      </c>
      <c r="H18" s="53"/>
      <c r="I18" s="53"/>
      <c r="J18" s="53"/>
      <c r="K18" s="26" t="s">
        <v>309</v>
      </c>
      <c r="L18" s="24">
        <v>4000000</v>
      </c>
      <c r="M18" s="26" t="s">
        <v>466</v>
      </c>
      <c r="N18" s="69">
        <v>97.727000000000004</v>
      </c>
      <c r="O18" s="91">
        <v>6.0000650000000002</v>
      </c>
      <c r="P18" s="52" t="s">
        <v>319</v>
      </c>
      <c r="Q18" s="48" t="s">
        <v>320</v>
      </c>
      <c r="R18" s="109" t="s">
        <v>405</v>
      </c>
      <c r="S18" s="642">
        <v>39673</v>
      </c>
      <c r="T18" s="642">
        <v>39679</v>
      </c>
      <c r="U18" s="54"/>
      <c r="V18" s="64"/>
      <c r="W18" s="110">
        <v>3995955</v>
      </c>
      <c r="X18" s="110"/>
      <c r="Y18" s="117"/>
      <c r="Z18" s="117"/>
      <c r="AA18" s="86">
        <v>5.625</v>
      </c>
      <c r="AB18" s="661">
        <v>42459</v>
      </c>
      <c r="AC18" s="92">
        <f>(AB18-$AB$3)/365</f>
        <v>4.2493150684931509</v>
      </c>
      <c r="AF18" s="161"/>
      <c r="AG18" s="190"/>
      <c r="AH18" s="77"/>
    </row>
    <row r="19" spans="1:35" ht="25.5">
      <c r="A19" s="73"/>
      <c r="B19" s="73"/>
      <c r="C19" s="73"/>
      <c r="D19" s="73"/>
      <c r="E19" s="91">
        <v>23</v>
      </c>
      <c r="F19" s="55" t="s">
        <v>541</v>
      </c>
      <c r="G19" s="53" t="s">
        <v>542</v>
      </c>
      <c r="H19" s="53"/>
      <c r="I19" s="53"/>
      <c r="J19" s="53"/>
      <c r="K19" s="26" t="s">
        <v>309</v>
      </c>
      <c r="L19" s="24">
        <v>2500000</v>
      </c>
      <c r="M19" s="26" t="s">
        <v>466</v>
      </c>
      <c r="N19" s="114">
        <v>94.662999999999997</v>
      </c>
      <c r="O19" s="91">
        <v>6.222264</v>
      </c>
      <c r="P19" s="32" t="s">
        <v>350</v>
      </c>
      <c r="Q19" s="20" t="s">
        <v>546</v>
      </c>
      <c r="R19" s="14" t="s">
        <v>547</v>
      </c>
      <c r="S19" s="642">
        <v>39680</v>
      </c>
      <c r="T19" s="642">
        <v>39686</v>
      </c>
      <c r="U19" s="54"/>
      <c r="V19" s="64"/>
      <c r="W19" s="110">
        <v>2419578.4700000002</v>
      </c>
      <c r="X19" s="110"/>
      <c r="Y19" s="117"/>
      <c r="Z19" s="117"/>
      <c r="AA19" s="86">
        <v>5.625</v>
      </c>
      <c r="AB19" s="661">
        <v>42647</v>
      </c>
      <c r="AC19" s="92">
        <f>(AB19-$AB$3)/365</f>
        <v>4.7643835616438359</v>
      </c>
      <c r="AF19" s="161"/>
      <c r="AG19" s="190"/>
      <c r="AH19" s="77"/>
    </row>
    <row r="20" spans="1:35">
      <c r="A20" s="73"/>
      <c r="B20" s="73"/>
      <c r="C20" s="73"/>
      <c r="D20" s="73"/>
      <c r="E20" s="55"/>
      <c r="F20" s="53"/>
      <c r="G20" s="26"/>
      <c r="H20" s="26"/>
      <c r="I20" s="26"/>
      <c r="J20" s="26"/>
      <c r="K20" s="24"/>
      <c r="L20" s="26"/>
      <c r="M20" s="113"/>
      <c r="N20" s="114"/>
      <c r="O20" s="91"/>
      <c r="P20" s="111"/>
      <c r="Q20" s="112"/>
      <c r="R20" s="109"/>
      <c r="S20" s="642"/>
      <c r="T20" s="642"/>
      <c r="U20" s="54"/>
      <c r="V20" s="64"/>
      <c r="W20" s="110"/>
      <c r="X20" s="110"/>
      <c r="Y20" s="117"/>
      <c r="Z20" s="117"/>
      <c r="AA20" s="86"/>
      <c r="AB20" s="661"/>
      <c r="AC20" s="104"/>
    </row>
    <row r="21" spans="1:35">
      <c r="A21" s="120"/>
      <c r="B21" s="120"/>
      <c r="C21" s="120"/>
      <c r="D21" s="120"/>
      <c r="E21" s="193"/>
      <c r="F21" s="124"/>
      <c r="G21" s="197"/>
      <c r="H21" s="197"/>
      <c r="I21" s="197"/>
      <c r="J21" s="197"/>
      <c r="K21" s="198"/>
      <c r="L21" s="197"/>
      <c r="M21" s="122"/>
      <c r="N21" s="123"/>
      <c r="O21" s="121"/>
      <c r="P21" s="145"/>
      <c r="Q21" s="146"/>
      <c r="R21" s="199"/>
      <c r="S21" s="652"/>
      <c r="T21" s="652"/>
      <c r="U21" s="125"/>
      <c r="V21" s="200"/>
      <c r="W21" s="128"/>
      <c r="X21" s="128"/>
      <c r="Y21" s="201"/>
      <c r="Z21" s="201"/>
      <c r="AA21" s="202"/>
      <c r="AB21" s="663"/>
      <c r="AC21" s="131"/>
      <c r="AD21" s="200"/>
      <c r="AE21" s="200"/>
      <c r="AF21" s="200"/>
      <c r="AG21" s="200"/>
      <c r="AH21" s="200"/>
      <c r="AI21" s="200"/>
    </row>
    <row r="22" spans="1:35">
      <c r="A22" s="120"/>
      <c r="B22" s="120"/>
      <c r="C22" s="120"/>
      <c r="D22" s="120"/>
      <c r="E22" s="193"/>
      <c r="F22" s="124"/>
      <c r="G22" s="197"/>
      <c r="H22" s="197"/>
      <c r="I22" s="197"/>
      <c r="J22" s="197"/>
      <c r="K22" s="198"/>
      <c r="L22" s="197"/>
      <c r="M22" s="122"/>
      <c r="N22" s="123"/>
      <c r="O22" s="121"/>
      <c r="P22" s="145"/>
      <c r="Q22" s="146"/>
      <c r="R22" s="199"/>
      <c r="S22" s="652"/>
      <c r="T22" s="652"/>
      <c r="U22" s="125"/>
      <c r="V22" s="200"/>
      <c r="W22" s="128"/>
      <c r="X22" s="128"/>
      <c r="Y22" s="201"/>
      <c r="Z22" s="201"/>
      <c r="AA22" s="202"/>
      <c r="AB22" s="663"/>
      <c r="AC22" s="131"/>
      <c r="AD22" s="200"/>
      <c r="AE22" s="200"/>
      <c r="AF22" s="126"/>
      <c r="AG22" s="196"/>
      <c r="AH22" s="126"/>
      <c r="AI22" s="200"/>
    </row>
    <row r="23" spans="1:35" ht="25.5">
      <c r="A23" s="94"/>
      <c r="B23" s="94"/>
      <c r="C23" s="94"/>
      <c r="D23" s="94"/>
      <c r="E23" s="65">
        <v>24</v>
      </c>
      <c r="F23" s="66" t="s">
        <v>582</v>
      </c>
      <c r="G23" s="39" t="s">
        <v>577</v>
      </c>
      <c r="H23" s="58" t="s">
        <v>575</v>
      </c>
      <c r="I23" s="58" t="s">
        <v>576</v>
      </c>
      <c r="J23" s="205">
        <f>(AB23-S23)/365</f>
        <v>7.9479452054794519</v>
      </c>
      <c r="K23" s="34" t="s">
        <v>309</v>
      </c>
      <c r="L23" s="95">
        <v>600000</v>
      </c>
      <c r="M23" s="34" t="s">
        <v>466</v>
      </c>
      <c r="N23" s="96">
        <v>101.73</v>
      </c>
      <c r="O23" s="65">
        <v>7.1743769999999998</v>
      </c>
      <c r="P23" s="37" t="s">
        <v>319</v>
      </c>
      <c r="Q23" s="38" t="s">
        <v>571</v>
      </c>
      <c r="R23" s="141" t="s">
        <v>607</v>
      </c>
      <c r="S23" s="643">
        <v>39842</v>
      </c>
      <c r="T23" s="643">
        <v>39847</v>
      </c>
      <c r="U23" s="41"/>
      <c r="V23" s="41"/>
      <c r="W23" s="98">
        <v>610628.32999999996</v>
      </c>
      <c r="X23" s="41"/>
      <c r="Y23" s="78"/>
      <c r="Z23" s="78"/>
      <c r="AA23" s="103">
        <v>7.45</v>
      </c>
      <c r="AB23" s="662">
        <v>42743</v>
      </c>
      <c r="AC23" s="101">
        <f>(AB23-$AG$22)/365</f>
        <v>117.1041095890411</v>
      </c>
      <c r="AD23" s="102"/>
      <c r="AE23" s="102"/>
      <c r="AF23" s="162"/>
      <c r="AG23" s="206"/>
      <c r="AH23" s="78"/>
      <c r="AI23" s="102"/>
    </row>
    <row r="24" spans="1:35" ht="25.5">
      <c r="A24" s="94"/>
      <c r="B24" s="94"/>
      <c r="C24" s="94"/>
      <c r="D24" s="94"/>
      <c r="E24" s="94">
        <v>25</v>
      </c>
      <c r="F24" s="66" t="s">
        <v>629</v>
      </c>
      <c r="G24" s="39" t="s">
        <v>630</v>
      </c>
      <c r="H24" s="58" t="s">
        <v>631</v>
      </c>
      <c r="I24" s="58" t="s">
        <v>632</v>
      </c>
      <c r="J24" s="205">
        <f>(AB24-S24)/365</f>
        <v>9.2356164383561641</v>
      </c>
      <c r="K24" s="34" t="s">
        <v>309</v>
      </c>
      <c r="L24" s="140">
        <v>1000000</v>
      </c>
      <c r="M24" s="34" t="s">
        <v>466</v>
      </c>
      <c r="N24" s="96">
        <v>100.12</v>
      </c>
      <c r="O24" s="65">
        <v>7.1047459999999996</v>
      </c>
      <c r="P24" s="209" t="s">
        <v>636</v>
      </c>
      <c r="Q24" s="38" t="s">
        <v>407</v>
      </c>
      <c r="R24" s="141" t="s">
        <v>637</v>
      </c>
      <c r="S24" s="643">
        <v>39898</v>
      </c>
      <c r="T24" s="643">
        <v>39903</v>
      </c>
      <c r="U24" s="41"/>
      <c r="V24" s="41"/>
      <c r="W24" s="213">
        <v>1021387.5</v>
      </c>
      <c r="X24" s="41"/>
      <c r="Y24" s="78"/>
      <c r="Z24" s="78"/>
      <c r="AA24" s="103">
        <v>7.125</v>
      </c>
      <c r="AB24" s="662">
        <v>43269</v>
      </c>
      <c r="AC24" s="101">
        <f>(AB24-$AG$22)/365</f>
        <v>118.54520547945205</v>
      </c>
      <c r="AD24" s="102"/>
      <c r="AE24" s="102"/>
      <c r="AF24" s="162"/>
      <c r="AG24" s="206"/>
      <c r="AH24" s="78"/>
      <c r="AI24" s="102"/>
    </row>
    <row r="25" spans="1:35" ht="25.5">
      <c r="A25" s="94"/>
      <c r="B25" s="94"/>
      <c r="C25" s="94"/>
      <c r="D25" s="94"/>
      <c r="E25" s="65">
        <v>26</v>
      </c>
      <c r="F25" s="66" t="s">
        <v>729</v>
      </c>
      <c r="G25" s="39" t="s">
        <v>730</v>
      </c>
      <c r="H25" s="58" t="s">
        <v>725</v>
      </c>
      <c r="I25" s="58" t="s">
        <v>576</v>
      </c>
      <c r="J25" s="205">
        <f>(AB25-S25)/365</f>
        <v>5.0082191780821921</v>
      </c>
      <c r="K25" s="34" t="s">
        <v>465</v>
      </c>
      <c r="L25" s="140">
        <v>500000</v>
      </c>
      <c r="M25" s="34" t="s">
        <v>466</v>
      </c>
      <c r="N25" s="96">
        <v>99.771000000000001</v>
      </c>
      <c r="O25" s="65">
        <v>7.356115</v>
      </c>
      <c r="P25" s="209" t="s">
        <v>633</v>
      </c>
      <c r="Q25" s="38" t="s">
        <v>634</v>
      </c>
      <c r="R25" s="141" t="s">
        <v>635</v>
      </c>
      <c r="S25" s="643">
        <v>40024</v>
      </c>
      <c r="T25" s="643">
        <v>40031</v>
      </c>
      <c r="U25" s="41"/>
      <c r="V25" s="41"/>
      <c r="W25" s="98">
        <v>498855</v>
      </c>
      <c r="X25" s="98"/>
      <c r="Y25" s="78"/>
      <c r="Z25" s="78"/>
      <c r="AA25" s="103">
        <v>7.3</v>
      </c>
      <c r="AB25" s="662">
        <v>41852</v>
      </c>
      <c r="AC25" s="101">
        <f>(AB25-$AG$22)/365</f>
        <v>114.66301369863014</v>
      </c>
      <c r="AD25" s="102"/>
      <c r="AE25" s="102"/>
      <c r="AF25" s="162"/>
      <c r="AG25" s="206"/>
      <c r="AH25" s="78"/>
      <c r="AI25" s="102"/>
    </row>
    <row r="26" spans="1:35" ht="38.25">
      <c r="A26" s="73"/>
      <c r="B26" s="73"/>
      <c r="C26" s="73"/>
      <c r="D26" s="73"/>
      <c r="E26" s="91">
        <v>27</v>
      </c>
      <c r="F26" s="55" t="s">
        <v>733</v>
      </c>
      <c r="G26" s="53" t="s">
        <v>740</v>
      </c>
      <c r="H26" s="112" t="s">
        <v>725</v>
      </c>
      <c r="I26" s="112" t="s">
        <v>576</v>
      </c>
      <c r="J26" s="204">
        <f>(AB26-S26)/365</f>
        <v>10.002739726027396</v>
      </c>
      <c r="K26" s="46" t="s">
        <v>465</v>
      </c>
      <c r="L26" s="24">
        <v>500000</v>
      </c>
      <c r="M26" s="46" t="s">
        <v>466</v>
      </c>
      <c r="N26" s="114">
        <v>102</v>
      </c>
      <c r="O26" s="91">
        <v>7.3383799999999999</v>
      </c>
      <c r="P26" s="203" t="s">
        <v>633</v>
      </c>
      <c r="Q26" s="20" t="s">
        <v>731</v>
      </c>
      <c r="R26" s="29" t="s">
        <v>1072</v>
      </c>
      <c r="S26" s="642">
        <v>40039</v>
      </c>
      <c r="T26" s="642">
        <v>40046</v>
      </c>
      <c r="U26" s="54"/>
      <c r="V26" s="74"/>
      <c r="W26" s="143">
        <v>510847.22</v>
      </c>
      <c r="X26" s="143"/>
      <c r="Y26" s="110"/>
      <c r="Z26" s="110"/>
      <c r="AA26" s="86">
        <v>7.625</v>
      </c>
      <c r="AB26" s="661">
        <v>43690</v>
      </c>
      <c r="AC26" s="92">
        <f>(AB26-$AG$22)/365</f>
        <v>119.6986301369863</v>
      </c>
      <c r="AD26" s="104"/>
      <c r="AF26" s="162"/>
      <c r="AG26" s="206"/>
      <c r="AH26" s="78"/>
      <c r="AI26" s="102"/>
    </row>
    <row r="27" spans="1:35" ht="51">
      <c r="A27" s="73"/>
      <c r="B27" s="73"/>
      <c r="C27" s="73"/>
      <c r="D27" s="73"/>
      <c r="E27" s="91">
        <v>28</v>
      </c>
      <c r="F27" s="55" t="s">
        <v>734</v>
      </c>
      <c r="G27" s="53" t="s">
        <v>735</v>
      </c>
      <c r="H27" s="112" t="s">
        <v>725</v>
      </c>
      <c r="I27" s="112" t="s">
        <v>576</v>
      </c>
      <c r="J27" s="204">
        <f>(AB27-S27)/365</f>
        <v>9.9863013698630141</v>
      </c>
      <c r="K27" s="46" t="s">
        <v>465</v>
      </c>
      <c r="L27" s="24">
        <v>1500000</v>
      </c>
      <c r="M27" s="46" t="s">
        <v>466</v>
      </c>
      <c r="N27" s="114">
        <v>101.64700000000001</v>
      </c>
      <c r="O27" s="91">
        <v>7.3879919999999997</v>
      </c>
      <c r="P27" s="203" t="s">
        <v>636</v>
      </c>
      <c r="Q27" s="20" t="s">
        <v>738</v>
      </c>
      <c r="R27" s="29" t="s">
        <v>739</v>
      </c>
      <c r="S27" s="642">
        <v>40045</v>
      </c>
      <c r="T27" s="642">
        <v>40050</v>
      </c>
      <c r="U27" s="54"/>
      <c r="V27" s="74"/>
      <c r="W27" s="143">
        <v>1528517.5</v>
      </c>
      <c r="X27" s="143"/>
      <c r="Y27" s="110"/>
      <c r="Z27" s="110"/>
      <c r="AA27" s="86">
        <v>7.625</v>
      </c>
      <c r="AB27" s="661">
        <v>43690</v>
      </c>
      <c r="AC27" s="92">
        <f>(AB27-$AG$22)/365</f>
        <v>119.6986301369863</v>
      </c>
      <c r="AD27" s="104"/>
      <c r="AF27" s="162"/>
      <c r="AG27" s="206"/>
      <c r="AH27" s="78"/>
      <c r="AI27" s="102"/>
    </row>
    <row r="28" spans="1:35" s="193" customFormat="1">
      <c r="A28" s="121"/>
      <c r="B28" s="121"/>
      <c r="C28" s="121"/>
      <c r="D28" s="121"/>
      <c r="G28" s="124"/>
      <c r="H28" s="146"/>
      <c r="I28" s="146"/>
      <c r="J28" s="230"/>
      <c r="K28" s="197"/>
      <c r="L28" s="144"/>
      <c r="M28" s="197"/>
      <c r="N28" s="123"/>
      <c r="O28" s="121"/>
      <c r="P28" s="194"/>
      <c r="Q28" s="194"/>
      <c r="R28" s="124"/>
      <c r="S28" s="652"/>
      <c r="T28" s="652"/>
      <c r="U28" s="125"/>
      <c r="V28" s="125"/>
      <c r="W28" s="125"/>
      <c r="X28" s="125"/>
      <c r="Y28" s="128"/>
      <c r="Z28" s="128"/>
      <c r="AA28" s="121"/>
      <c r="AB28" s="697"/>
      <c r="AG28" s="196"/>
    </row>
    <row r="29" spans="1:35">
      <c r="A29" s="73"/>
      <c r="B29" s="73"/>
      <c r="C29" s="73"/>
      <c r="D29" s="73"/>
      <c r="E29" s="55"/>
      <c r="F29" s="12"/>
      <c r="G29" s="14"/>
      <c r="H29" s="17"/>
      <c r="I29" s="17"/>
      <c r="J29" s="192"/>
      <c r="K29" s="26"/>
      <c r="L29" s="45"/>
      <c r="M29" s="26"/>
      <c r="N29" s="69"/>
      <c r="O29" s="91"/>
      <c r="P29" s="32"/>
      <c r="Q29" s="32"/>
      <c r="R29" s="14"/>
      <c r="S29" s="642"/>
      <c r="T29" s="642"/>
      <c r="U29" s="54"/>
      <c r="V29" s="54"/>
      <c r="W29" s="54"/>
      <c r="X29" s="54"/>
      <c r="Y29" s="117"/>
      <c r="Z29" s="117"/>
      <c r="AA29" s="86"/>
      <c r="AB29" s="661"/>
      <c r="AC29" s="92"/>
    </row>
    <row r="30" spans="1:35" s="79" customFormat="1" ht="38.25">
      <c r="A30" s="94"/>
      <c r="B30" s="94"/>
      <c r="C30" s="94"/>
      <c r="D30" s="94"/>
      <c r="E30" s="65">
        <v>29</v>
      </c>
      <c r="F30" s="66" t="s">
        <v>755</v>
      </c>
      <c r="G30" s="39" t="s">
        <v>751</v>
      </c>
      <c r="H30" s="58" t="s">
        <v>747</v>
      </c>
      <c r="I30" s="58" t="s">
        <v>700</v>
      </c>
      <c r="J30" s="205">
        <f>(AB30-S30)/365</f>
        <v>9.7232876712328764</v>
      </c>
      <c r="K30" s="34" t="s">
        <v>465</v>
      </c>
      <c r="L30" s="140">
        <v>1000000</v>
      </c>
      <c r="M30" s="34" t="s">
        <v>466</v>
      </c>
      <c r="N30" s="96">
        <v>96.71</v>
      </c>
      <c r="O30" s="65">
        <v>6.0008811</v>
      </c>
      <c r="P30" s="209" t="s">
        <v>756</v>
      </c>
      <c r="Q30" s="209" t="s">
        <v>757</v>
      </c>
      <c r="R30" s="141" t="s">
        <v>758</v>
      </c>
      <c r="S30" s="643">
        <v>40323</v>
      </c>
      <c r="T30" s="643">
        <v>40326</v>
      </c>
      <c r="U30" s="245" t="s">
        <v>760</v>
      </c>
      <c r="W30" s="97">
        <v>983595.83</v>
      </c>
      <c r="X30" s="97"/>
      <c r="Y30" s="98"/>
      <c r="Z30" s="98"/>
      <c r="AA30" s="103">
        <v>5.55</v>
      </c>
      <c r="AB30" s="662">
        <v>43872</v>
      </c>
      <c r="AC30" s="101">
        <f>(AB30-$AG$28)/365</f>
        <v>120.1972602739726</v>
      </c>
      <c r="AF30" s="162"/>
      <c r="AG30" s="206"/>
      <c r="AH30" s="78"/>
    </row>
    <row r="31" spans="1:35" s="74" customFormat="1" ht="38.25">
      <c r="A31" s="73"/>
      <c r="B31" s="73"/>
      <c r="C31" s="73"/>
      <c r="D31" s="73"/>
      <c r="E31" s="91">
        <v>30</v>
      </c>
      <c r="F31" s="55" t="s">
        <v>733</v>
      </c>
      <c r="G31" s="53" t="s">
        <v>740</v>
      </c>
      <c r="H31" s="112" t="s">
        <v>725</v>
      </c>
      <c r="I31" s="112" t="s">
        <v>576</v>
      </c>
      <c r="J31" s="204">
        <f>(AB31-S31)/365</f>
        <v>8.668493150684931</v>
      </c>
      <c r="K31" s="46" t="s">
        <v>465</v>
      </c>
      <c r="L31" s="24">
        <v>4000000</v>
      </c>
      <c r="M31" s="46" t="s">
        <v>466</v>
      </c>
      <c r="N31" s="91">
        <v>109.893</v>
      </c>
      <c r="O31" s="91">
        <v>6.1317439</v>
      </c>
      <c r="P31" s="32" t="s">
        <v>355</v>
      </c>
      <c r="Q31" s="20" t="s">
        <v>648</v>
      </c>
      <c r="R31" s="14" t="s">
        <v>649</v>
      </c>
      <c r="S31" s="642">
        <v>40526</v>
      </c>
      <c r="T31" s="642">
        <v>40533</v>
      </c>
      <c r="U31" s="229" t="s">
        <v>760</v>
      </c>
      <c r="W31" s="143">
        <v>4504164.4400000004</v>
      </c>
      <c r="X31" s="143"/>
      <c r="Y31" s="110"/>
      <c r="Z31" s="110"/>
      <c r="AA31" s="86">
        <v>7.625</v>
      </c>
      <c r="AB31" s="661">
        <v>43690</v>
      </c>
      <c r="AC31" s="92">
        <f>(AB31-$AG$28)/365</f>
        <v>119.6986301369863</v>
      </c>
      <c r="AF31" s="214"/>
      <c r="AG31" s="215"/>
      <c r="AH31" s="117"/>
    </row>
    <row r="32" spans="1:35" s="74" customFormat="1" ht="38.25">
      <c r="A32" s="73"/>
      <c r="B32" s="73"/>
      <c r="C32" s="73"/>
      <c r="D32" s="73"/>
      <c r="E32" s="91">
        <v>31</v>
      </c>
      <c r="F32" s="55" t="s">
        <v>846</v>
      </c>
      <c r="G32" s="53" t="s">
        <v>847</v>
      </c>
      <c r="H32" s="17" t="s">
        <v>787</v>
      </c>
      <c r="I32" s="17" t="s">
        <v>848</v>
      </c>
      <c r="J32" s="204">
        <f>(AB32-S32)/365</f>
        <v>9.8958904109589039</v>
      </c>
      <c r="K32" s="46" t="s">
        <v>465</v>
      </c>
      <c r="L32" s="49">
        <v>2000000</v>
      </c>
      <c r="M32" s="46" t="s">
        <v>466</v>
      </c>
      <c r="N32" s="50">
        <v>99.62</v>
      </c>
      <c r="O32" s="91">
        <v>6.0505282999999999</v>
      </c>
      <c r="P32" s="203" t="s">
        <v>831</v>
      </c>
      <c r="Q32" s="20" t="s">
        <v>830</v>
      </c>
      <c r="R32" s="29" t="s">
        <v>849</v>
      </c>
      <c r="S32" s="642">
        <v>40527</v>
      </c>
      <c r="T32" s="642">
        <v>40533</v>
      </c>
      <c r="U32" s="229" t="s">
        <v>760</v>
      </c>
      <c r="W32" s="143">
        <v>2008066.67</v>
      </c>
      <c r="X32" s="143"/>
      <c r="Y32" s="110"/>
      <c r="Z32" s="110"/>
      <c r="AA32" s="86">
        <v>6</v>
      </c>
      <c r="AB32" s="661">
        <v>44139</v>
      </c>
      <c r="AC32" s="92">
        <f t="shared" ref="AC32:AC37" si="1">(AB32-S32)/365</f>
        <v>9.8958904109589039</v>
      </c>
      <c r="AF32" s="214"/>
      <c r="AG32" s="215"/>
      <c r="AH32" s="117"/>
    </row>
    <row r="33" spans="1:34" s="72" customFormat="1" ht="25.5">
      <c r="A33" s="71"/>
      <c r="B33" s="71"/>
      <c r="C33" s="71"/>
      <c r="D33" s="71"/>
      <c r="E33" s="62">
        <v>32</v>
      </c>
      <c r="F33" s="246" t="s">
        <v>846</v>
      </c>
      <c r="G33" s="247" t="s">
        <v>847</v>
      </c>
      <c r="H33" s="248" t="s">
        <v>787</v>
      </c>
      <c r="I33" s="248" t="s">
        <v>848</v>
      </c>
      <c r="J33" s="249">
        <f>(AB33-S33)/365</f>
        <v>9.8931506849315074</v>
      </c>
      <c r="K33" s="250" t="s">
        <v>465</v>
      </c>
      <c r="L33" s="251">
        <v>2000000</v>
      </c>
      <c r="M33" s="250" t="s">
        <v>466</v>
      </c>
      <c r="N33" s="301">
        <v>99.62</v>
      </c>
      <c r="O33" s="62">
        <v>6.0505282999999999</v>
      </c>
      <c r="P33" s="284" t="s">
        <v>358</v>
      </c>
      <c r="Q33" s="254" t="s">
        <v>867</v>
      </c>
      <c r="R33" s="247" t="s">
        <v>868</v>
      </c>
      <c r="S33" s="644">
        <v>40528</v>
      </c>
      <c r="T33" s="644">
        <v>40533</v>
      </c>
      <c r="U33" s="286" t="s">
        <v>760</v>
      </c>
      <c r="W33" s="81">
        <v>2008066.67</v>
      </c>
      <c r="X33" s="81">
        <v>7.8</v>
      </c>
      <c r="Y33" s="257"/>
      <c r="Z33" s="257"/>
      <c r="AA33" s="258">
        <v>6</v>
      </c>
      <c r="AB33" s="665">
        <v>44139</v>
      </c>
      <c r="AC33" s="259">
        <f t="shared" si="1"/>
        <v>9.8931506849315074</v>
      </c>
      <c r="AF33" s="260"/>
      <c r="AG33" s="261"/>
      <c r="AH33" s="82"/>
    </row>
    <row r="34" spans="1:34" s="74" customFormat="1" ht="25.5">
      <c r="A34" s="73"/>
      <c r="B34" s="73"/>
      <c r="C34" s="73"/>
      <c r="D34" s="73"/>
      <c r="E34" s="91">
        <v>33</v>
      </c>
      <c r="F34" s="55" t="s">
        <v>895</v>
      </c>
      <c r="G34" s="53" t="s">
        <v>894</v>
      </c>
      <c r="H34" s="112" t="s">
        <v>852</v>
      </c>
      <c r="I34" s="112" t="s">
        <v>854</v>
      </c>
      <c r="J34" s="204">
        <f>(AB34-T34)/365</f>
        <v>10.008219178082191</v>
      </c>
      <c r="K34" s="46" t="s">
        <v>465</v>
      </c>
      <c r="L34" s="24">
        <v>1000000</v>
      </c>
      <c r="M34" s="46" t="s">
        <v>466</v>
      </c>
      <c r="N34" s="114">
        <v>98.941000000000003</v>
      </c>
      <c r="O34" s="91">
        <v>6.3949749000000002</v>
      </c>
      <c r="P34" s="32" t="s">
        <v>378</v>
      </c>
      <c r="Q34" s="32" t="s">
        <v>379</v>
      </c>
      <c r="R34" s="14" t="s">
        <v>380</v>
      </c>
      <c r="S34" s="642">
        <v>40549</v>
      </c>
      <c r="T34" s="642">
        <v>40557</v>
      </c>
      <c r="U34" s="229" t="s">
        <v>760</v>
      </c>
      <c r="W34" s="143">
        <v>989410</v>
      </c>
      <c r="Y34" s="117">
        <f>W34*7.8</f>
        <v>7717398</v>
      </c>
      <c r="Z34" s="117"/>
      <c r="AA34" s="86">
        <v>6.25</v>
      </c>
      <c r="AB34" s="661">
        <v>44210</v>
      </c>
      <c r="AC34" s="92">
        <f t="shared" si="1"/>
        <v>10.03013698630137</v>
      </c>
      <c r="AD34" s="104"/>
      <c r="AF34" s="214"/>
      <c r="AG34" s="215"/>
      <c r="AH34" s="117"/>
    </row>
    <row r="35" spans="1:34" s="74" customFormat="1" ht="25.5">
      <c r="A35" s="303"/>
      <c r="B35" s="302"/>
      <c r="C35" s="303"/>
      <c r="D35" s="303"/>
      <c r="E35" s="91">
        <v>34</v>
      </c>
      <c r="F35" s="55" t="s">
        <v>846</v>
      </c>
      <c r="G35" s="53" t="s">
        <v>847</v>
      </c>
      <c r="H35" s="17" t="s">
        <v>787</v>
      </c>
      <c r="I35" s="17" t="s">
        <v>848</v>
      </c>
      <c r="J35" s="204">
        <f t="shared" ref="J35:J40" si="2">(AB35-S35)/365</f>
        <v>9.7835616438356166</v>
      </c>
      <c r="K35" s="46" t="s">
        <v>465</v>
      </c>
      <c r="L35" s="49">
        <v>1500000</v>
      </c>
      <c r="M35" s="46" t="s">
        <v>466</v>
      </c>
      <c r="N35" s="50">
        <v>98.78</v>
      </c>
      <c r="O35" s="91">
        <v>6.166582</v>
      </c>
      <c r="P35" s="203" t="s">
        <v>899</v>
      </c>
      <c r="Q35" s="20" t="s">
        <v>900</v>
      </c>
      <c r="R35" s="29" t="s">
        <v>901</v>
      </c>
      <c r="S35" s="642">
        <v>40568</v>
      </c>
      <c r="T35" s="642">
        <v>40571</v>
      </c>
      <c r="U35" s="229" t="s">
        <v>760</v>
      </c>
      <c r="W35" s="143">
        <v>1502700</v>
      </c>
      <c r="X35" s="143"/>
      <c r="Y35" s="117">
        <f>W35*7.8</f>
        <v>11721060</v>
      </c>
      <c r="Z35" s="110"/>
      <c r="AA35" s="86">
        <v>6</v>
      </c>
      <c r="AB35" s="661">
        <v>44139</v>
      </c>
      <c r="AC35" s="92">
        <f t="shared" si="1"/>
        <v>9.7835616438356166</v>
      </c>
      <c r="AF35" s="214"/>
      <c r="AG35" s="215"/>
      <c r="AH35" s="117"/>
    </row>
    <row r="36" spans="1:34" s="74" customFormat="1" ht="38.25">
      <c r="A36" s="73"/>
      <c r="B36" s="73"/>
      <c r="C36" s="73"/>
      <c r="D36" s="73"/>
      <c r="E36" s="91">
        <v>35</v>
      </c>
      <c r="F36" s="55" t="s">
        <v>919</v>
      </c>
      <c r="G36" s="53" t="s">
        <v>920</v>
      </c>
      <c r="H36" s="17" t="s">
        <v>631</v>
      </c>
      <c r="I36" s="17" t="s">
        <v>918</v>
      </c>
      <c r="J36" s="204">
        <f t="shared" si="2"/>
        <v>9.7589041095890412</v>
      </c>
      <c r="K36" s="46" t="s">
        <v>465</v>
      </c>
      <c r="L36" s="24">
        <v>500000</v>
      </c>
      <c r="M36" s="46" t="s">
        <v>466</v>
      </c>
      <c r="N36" s="114">
        <v>96.3</v>
      </c>
      <c r="O36" s="91">
        <v>6.0059275000000003</v>
      </c>
      <c r="P36" s="203" t="s">
        <v>831</v>
      </c>
      <c r="Q36" s="20" t="s">
        <v>830</v>
      </c>
      <c r="R36" s="29" t="s">
        <v>833</v>
      </c>
      <c r="S36" s="642">
        <v>40583</v>
      </c>
      <c r="T36" s="642">
        <v>40588</v>
      </c>
      <c r="U36" s="229" t="s">
        <v>760</v>
      </c>
      <c r="W36" s="143">
        <v>488680.56</v>
      </c>
      <c r="X36" s="143"/>
      <c r="Y36" s="117">
        <f>W36*7.8</f>
        <v>3811708.3679999998</v>
      </c>
      <c r="Z36" s="110"/>
      <c r="AA36" s="86">
        <v>5.5</v>
      </c>
      <c r="AB36" s="661">
        <v>44145</v>
      </c>
      <c r="AC36" s="92">
        <f t="shared" si="1"/>
        <v>9.7589041095890412</v>
      </c>
      <c r="AF36" s="214"/>
      <c r="AG36" s="215"/>
      <c r="AH36" s="117"/>
    </row>
    <row r="37" spans="1:34" s="74" customFormat="1" ht="38.25">
      <c r="A37" s="303"/>
      <c r="B37" s="73"/>
      <c r="C37" s="303"/>
      <c r="D37" s="303"/>
      <c r="E37" s="91">
        <v>36</v>
      </c>
      <c r="F37" s="55" t="s">
        <v>1000</v>
      </c>
      <c r="G37" s="53" t="s">
        <v>920</v>
      </c>
      <c r="H37" s="17" t="s">
        <v>631</v>
      </c>
      <c r="I37" s="17" t="s">
        <v>918</v>
      </c>
      <c r="J37" s="204">
        <f t="shared" si="2"/>
        <v>9.3972602739726021</v>
      </c>
      <c r="K37" s="46" t="s">
        <v>465</v>
      </c>
      <c r="L37" s="49">
        <v>2000000</v>
      </c>
      <c r="M37" s="46" t="s">
        <v>466</v>
      </c>
      <c r="N37" s="50">
        <v>95.45</v>
      </c>
      <c r="O37" s="91">
        <v>6.1444558999999996</v>
      </c>
      <c r="P37" s="203" t="s">
        <v>1001</v>
      </c>
      <c r="Q37" s="20" t="s">
        <v>1002</v>
      </c>
      <c r="R37" s="29" t="s">
        <v>1003</v>
      </c>
      <c r="S37" s="642">
        <v>40715</v>
      </c>
      <c r="T37" s="642">
        <v>40718</v>
      </c>
      <c r="U37" s="229" t="s">
        <v>760</v>
      </c>
      <c r="W37" s="143">
        <v>1922444.44</v>
      </c>
      <c r="X37" s="143"/>
      <c r="Y37" s="117">
        <f>W37*7.8</f>
        <v>14995066.631999999</v>
      </c>
      <c r="Z37" s="110"/>
      <c r="AA37" s="86">
        <v>5.5</v>
      </c>
      <c r="AB37" s="661">
        <v>44145</v>
      </c>
      <c r="AC37" s="92">
        <f t="shared" si="1"/>
        <v>9.3972602739726021</v>
      </c>
      <c r="AF37" s="214"/>
      <c r="AG37" s="215"/>
      <c r="AH37" s="117"/>
    </row>
    <row r="38" spans="1:34" s="74" customFormat="1" ht="38.25">
      <c r="A38" s="303"/>
      <c r="B38" s="73"/>
      <c r="C38" s="303"/>
      <c r="D38" s="303"/>
      <c r="E38" s="91">
        <v>37</v>
      </c>
      <c r="F38" s="55" t="s">
        <v>1000</v>
      </c>
      <c r="G38" s="53" t="s">
        <v>920</v>
      </c>
      <c r="H38" s="17" t="s">
        <v>631</v>
      </c>
      <c r="I38" s="17" t="s">
        <v>918</v>
      </c>
      <c r="J38" s="204">
        <f t="shared" si="2"/>
        <v>9.3917808219178074</v>
      </c>
      <c r="K38" s="46" t="s">
        <v>465</v>
      </c>
      <c r="L38" s="43">
        <v>1000000</v>
      </c>
      <c r="M38" s="13" t="s">
        <v>466</v>
      </c>
      <c r="N38" s="42">
        <v>95.25</v>
      </c>
      <c r="O38" s="18">
        <v>6.1742292000000001</v>
      </c>
      <c r="P38" s="23" t="s">
        <v>1014</v>
      </c>
      <c r="Q38" s="21" t="s">
        <v>1015</v>
      </c>
      <c r="R38" s="29" t="s">
        <v>1016</v>
      </c>
      <c r="S38" s="642">
        <v>40717</v>
      </c>
      <c r="T38" s="642">
        <v>40722</v>
      </c>
      <c r="U38" s="229" t="s">
        <v>760</v>
      </c>
      <c r="W38" s="143">
        <v>959833.33</v>
      </c>
      <c r="X38" s="143"/>
      <c r="Y38" s="117">
        <f>W38*7.8</f>
        <v>7486699.9739999995</v>
      </c>
      <c r="Z38" s="110"/>
      <c r="AA38" s="86">
        <v>5.5</v>
      </c>
      <c r="AB38" s="661">
        <v>44145</v>
      </c>
      <c r="AC38" s="92">
        <f t="shared" ref="AC38:AC44" si="3">(AB38-S38)/365</f>
        <v>9.3917808219178074</v>
      </c>
      <c r="AF38" s="214"/>
      <c r="AG38" s="215"/>
      <c r="AH38" s="117"/>
    </row>
    <row r="39" spans="1:34" s="74" customFormat="1" ht="38.25">
      <c r="A39" s="303"/>
      <c r="B39" s="73"/>
      <c r="C39" s="303"/>
      <c r="D39" s="303"/>
      <c r="E39" s="91">
        <v>38</v>
      </c>
      <c r="F39" s="55" t="s">
        <v>1039</v>
      </c>
      <c r="G39" s="109" t="s">
        <v>1043</v>
      </c>
      <c r="H39" s="112" t="s">
        <v>1042</v>
      </c>
      <c r="I39" s="112" t="s">
        <v>1042</v>
      </c>
      <c r="J39" s="319">
        <f t="shared" si="2"/>
        <v>3.0191780821917806</v>
      </c>
      <c r="K39" s="46" t="s">
        <v>465</v>
      </c>
      <c r="L39" s="341">
        <v>50000000</v>
      </c>
      <c r="M39" s="91" t="s">
        <v>1041</v>
      </c>
      <c r="N39" s="114">
        <v>99.45</v>
      </c>
      <c r="O39" s="91">
        <v>14.03</v>
      </c>
      <c r="P39" s="227" t="s">
        <v>1040</v>
      </c>
      <c r="Q39" s="48" t="s">
        <v>648</v>
      </c>
      <c r="R39" s="53" t="s">
        <v>649</v>
      </c>
      <c r="S39" s="642">
        <v>40785</v>
      </c>
      <c r="T39" s="642">
        <v>40794</v>
      </c>
      <c r="U39" s="229" t="s">
        <v>760</v>
      </c>
      <c r="W39" s="117">
        <f>L39*N39/100/7.7</f>
        <v>6457792.2077922076</v>
      </c>
      <c r="X39" s="143">
        <v>7.8</v>
      </c>
      <c r="Y39" s="117">
        <f>W39*X39</f>
        <v>50370779.220779218</v>
      </c>
      <c r="Z39" s="110"/>
      <c r="AA39" s="86">
        <v>13.8</v>
      </c>
      <c r="AB39" s="661">
        <v>41887</v>
      </c>
      <c r="AC39" s="104">
        <f t="shared" si="3"/>
        <v>3.0191780821917806</v>
      </c>
      <c r="AE39" s="346"/>
      <c r="AF39" s="214"/>
      <c r="AG39" s="215"/>
      <c r="AH39" s="117"/>
    </row>
    <row r="40" spans="1:34" s="74" customFormat="1" ht="38.25">
      <c r="A40" s="73"/>
      <c r="B40" s="73"/>
      <c r="C40" s="73"/>
      <c r="D40" s="73"/>
      <c r="E40" s="91">
        <v>39</v>
      </c>
      <c r="F40" s="55" t="s">
        <v>1045</v>
      </c>
      <c r="G40" s="53" t="s">
        <v>1049</v>
      </c>
      <c r="H40" s="112" t="s">
        <v>631</v>
      </c>
      <c r="I40" s="112" t="s">
        <v>918</v>
      </c>
      <c r="J40" s="319">
        <f t="shared" si="2"/>
        <v>9.1424657534246574</v>
      </c>
      <c r="K40" s="46" t="s">
        <v>465</v>
      </c>
      <c r="L40" s="105">
        <v>1500000</v>
      </c>
      <c r="M40" s="46" t="s">
        <v>466</v>
      </c>
      <c r="N40" s="114">
        <v>95.74</v>
      </c>
      <c r="O40" s="91">
        <v>6.1152682</v>
      </c>
      <c r="P40" s="227" t="s">
        <v>1001</v>
      </c>
      <c r="Q40" s="48" t="s">
        <v>1002</v>
      </c>
      <c r="R40" s="109" t="s">
        <v>1003</v>
      </c>
      <c r="S40" s="642">
        <v>40808</v>
      </c>
      <c r="T40" s="642">
        <v>40813</v>
      </c>
      <c r="U40" s="229" t="s">
        <v>760</v>
      </c>
      <c r="W40" s="143">
        <v>1467495.83</v>
      </c>
      <c r="X40" s="143"/>
      <c r="Y40" s="117">
        <f>W40*7.8</f>
        <v>11446467.473999999</v>
      </c>
      <c r="Z40" s="110"/>
      <c r="AA40" s="86">
        <v>5.5</v>
      </c>
      <c r="AB40" s="661">
        <v>44145</v>
      </c>
      <c r="AC40" s="104">
        <f t="shared" si="3"/>
        <v>9.1424657534246574</v>
      </c>
      <c r="AF40" s="214"/>
      <c r="AG40" s="215"/>
      <c r="AH40" s="117"/>
    </row>
    <row r="41" spans="1:34" s="74" customFormat="1" ht="38.25">
      <c r="A41" s="73"/>
      <c r="B41" s="73"/>
      <c r="C41" s="73"/>
      <c r="D41" s="73"/>
      <c r="E41" s="277">
        <v>40</v>
      </c>
      <c r="F41" s="55" t="s">
        <v>1061</v>
      </c>
      <c r="G41" s="53" t="s">
        <v>1062</v>
      </c>
      <c r="H41" s="112" t="s">
        <v>631</v>
      </c>
      <c r="I41" s="112" t="s">
        <v>918</v>
      </c>
      <c r="J41" s="319">
        <f>(AB41-S41)/365</f>
        <v>4.6219178082191785</v>
      </c>
      <c r="K41" s="46" t="s">
        <v>465</v>
      </c>
      <c r="L41" s="105">
        <v>1000000</v>
      </c>
      <c r="M41" s="91" t="s">
        <v>466</v>
      </c>
      <c r="N41" s="114">
        <v>90.66</v>
      </c>
      <c r="O41" s="73">
        <v>7.0338690000000001</v>
      </c>
      <c r="P41" s="52" t="s">
        <v>1063</v>
      </c>
      <c r="Q41" s="75" t="s">
        <v>819</v>
      </c>
      <c r="R41" s="75" t="s">
        <v>1064</v>
      </c>
      <c r="S41" s="642">
        <v>40822</v>
      </c>
      <c r="T41" s="642">
        <v>40828</v>
      </c>
      <c r="U41" s="229" t="s">
        <v>760</v>
      </c>
      <c r="W41" s="143">
        <v>924971.53</v>
      </c>
      <c r="X41" s="143"/>
      <c r="Y41" s="117">
        <f>W41*7.8</f>
        <v>7214777.9340000004</v>
      </c>
      <c r="Z41" s="342"/>
      <c r="AA41" s="73">
        <v>4.625</v>
      </c>
      <c r="AB41" s="661">
        <v>42509</v>
      </c>
      <c r="AC41" s="104">
        <f t="shared" si="3"/>
        <v>4.6219178082191785</v>
      </c>
    </row>
    <row r="42" spans="1:34" s="74" customFormat="1" ht="31.5" customHeight="1">
      <c r="A42" s="73"/>
      <c r="B42" s="73"/>
      <c r="C42" s="73"/>
      <c r="D42" s="73"/>
      <c r="E42" s="277">
        <v>41</v>
      </c>
      <c r="F42" s="55" t="s">
        <v>1087</v>
      </c>
      <c r="G42" s="109" t="s">
        <v>1088</v>
      </c>
      <c r="H42" s="112" t="s">
        <v>1089</v>
      </c>
      <c r="I42" s="112" t="s">
        <v>1090</v>
      </c>
      <c r="J42" s="319">
        <f t="shared" ref="J42:J47" si="4">(AB42-T42)/365</f>
        <v>10.504109589041096</v>
      </c>
      <c r="K42" s="46" t="s">
        <v>465</v>
      </c>
      <c r="L42" s="341">
        <v>14000000</v>
      </c>
      <c r="M42" s="46" t="s">
        <v>466</v>
      </c>
      <c r="N42" s="114">
        <v>99.849000000000004</v>
      </c>
      <c r="O42" s="91">
        <v>6.3949999999999996</v>
      </c>
      <c r="P42" s="52" t="s">
        <v>1093</v>
      </c>
      <c r="Q42" s="52" t="s">
        <v>1091</v>
      </c>
      <c r="R42" s="53" t="s">
        <v>1092</v>
      </c>
      <c r="S42" s="642">
        <v>40844</v>
      </c>
      <c r="T42" s="642">
        <v>40851</v>
      </c>
      <c r="U42" s="229" t="s">
        <v>760</v>
      </c>
      <c r="W42" s="143">
        <v>13978860</v>
      </c>
      <c r="X42" s="74">
        <v>7.8</v>
      </c>
      <c r="Y42" s="117">
        <f>W42*X42</f>
        <v>109035108</v>
      </c>
      <c r="Z42" s="117"/>
      <c r="AA42" s="86">
        <v>6.375</v>
      </c>
      <c r="AB42" s="661">
        <v>44685</v>
      </c>
      <c r="AC42" s="104">
        <f t="shared" si="3"/>
        <v>10.523287671232877</v>
      </c>
      <c r="AD42" s="104"/>
      <c r="AF42" s="214"/>
      <c r="AG42" s="215"/>
    </row>
    <row r="43" spans="1:34" s="74" customFormat="1" ht="38.25">
      <c r="A43" s="281"/>
      <c r="B43" s="73"/>
      <c r="C43" s="73"/>
      <c r="D43" s="73"/>
      <c r="E43" s="277">
        <v>42</v>
      </c>
      <c r="F43" s="55" t="s">
        <v>222</v>
      </c>
      <c r="G43" s="109" t="s">
        <v>288</v>
      </c>
      <c r="H43" s="112" t="s">
        <v>289</v>
      </c>
      <c r="I43" s="112" t="s">
        <v>290</v>
      </c>
      <c r="J43" s="319">
        <f t="shared" si="4"/>
        <v>5.0027397260273974</v>
      </c>
      <c r="K43" s="46" t="s">
        <v>465</v>
      </c>
      <c r="L43" s="341">
        <v>7000000</v>
      </c>
      <c r="M43" s="46" t="s">
        <v>466</v>
      </c>
      <c r="N43" s="114">
        <v>99.48</v>
      </c>
      <c r="O43" s="91">
        <v>7</v>
      </c>
      <c r="P43" s="227" t="s">
        <v>1063</v>
      </c>
      <c r="Q43" s="48" t="s">
        <v>819</v>
      </c>
      <c r="R43" s="75" t="s">
        <v>1064</v>
      </c>
      <c r="S43" s="642">
        <v>40996</v>
      </c>
      <c r="T43" s="642">
        <v>41004</v>
      </c>
      <c r="U43" s="229" t="s">
        <v>760</v>
      </c>
      <c r="W43" s="117">
        <f>L43*N43/100</f>
        <v>6963600</v>
      </c>
      <c r="X43" s="143">
        <v>7.8</v>
      </c>
      <c r="Y43" s="117">
        <f t="shared" ref="Y43:Y48" si="5">X43*W43</f>
        <v>54316080</v>
      </c>
      <c r="Z43" s="117"/>
      <c r="AA43" s="86">
        <v>6.875</v>
      </c>
      <c r="AB43" s="661">
        <v>42830</v>
      </c>
      <c r="AC43" s="104">
        <f t="shared" si="3"/>
        <v>5.0246575342465754</v>
      </c>
      <c r="AD43" s="75"/>
      <c r="AF43" s="214"/>
      <c r="AG43" s="215"/>
    </row>
    <row r="44" spans="1:34" s="74" customFormat="1" ht="25.5">
      <c r="A44" s="281"/>
      <c r="B44" s="73"/>
      <c r="C44" s="73"/>
      <c r="D44" s="73"/>
      <c r="E44" s="277">
        <v>43</v>
      </c>
      <c r="F44" s="55" t="s">
        <v>238</v>
      </c>
      <c r="G44" s="109" t="s">
        <v>240</v>
      </c>
      <c r="H44" s="112" t="s">
        <v>241</v>
      </c>
      <c r="I44" s="112" t="s">
        <v>257</v>
      </c>
      <c r="J44" s="319">
        <f t="shared" si="4"/>
        <v>9.9534246575342458</v>
      </c>
      <c r="K44" s="46" t="s">
        <v>465</v>
      </c>
      <c r="L44" s="341">
        <v>7000000</v>
      </c>
      <c r="M44" s="46" t="s">
        <v>466</v>
      </c>
      <c r="N44" s="114">
        <v>99.926000000000002</v>
      </c>
      <c r="O44" s="91">
        <v>6</v>
      </c>
      <c r="P44" s="227" t="s">
        <v>284</v>
      </c>
      <c r="Q44" s="48" t="s">
        <v>259</v>
      </c>
      <c r="R44" s="75" t="s">
        <v>283</v>
      </c>
      <c r="S44" s="642">
        <v>41054</v>
      </c>
      <c r="T44" s="642">
        <v>41059</v>
      </c>
      <c r="U44" s="229" t="s">
        <v>759</v>
      </c>
      <c r="W44" s="117">
        <f>L44*N44/100</f>
        <v>6994820</v>
      </c>
      <c r="X44" s="143">
        <v>7.8</v>
      </c>
      <c r="Y44" s="117">
        <f t="shared" si="5"/>
        <v>54559596</v>
      </c>
      <c r="Z44" s="117"/>
      <c r="AA44" s="86">
        <v>5.99</v>
      </c>
      <c r="AB44" s="642">
        <v>44692</v>
      </c>
      <c r="AC44" s="104">
        <f t="shared" si="3"/>
        <v>9.9671232876712335</v>
      </c>
      <c r="AD44" s="75"/>
      <c r="AF44" s="214"/>
      <c r="AG44" s="215"/>
    </row>
    <row r="45" spans="1:34" s="74" customFormat="1" ht="38.25">
      <c r="A45" s="281"/>
      <c r="B45" s="73"/>
      <c r="C45" s="73"/>
      <c r="D45" s="73"/>
      <c r="E45" s="277">
        <v>44</v>
      </c>
      <c r="F45" s="55" t="s">
        <v>262</v>
      </c>
      <c r="G45" s="109" t="s">
        <v>260</v>
      </c>
      <c r="H45" s="112" t="s">
        <v>261</v>
      </c>
      <c r="I45" s="112" t="s">
        <v>261</v>
      </c>
      <c r="J45" s="319">
        <f t="shared" si="4"/>
        <v>10.005479452054795</v>
      </c>
      <c r="K45" s="46" t="s">
        <v>465</v>
      </c>
      <c r="L45" s="341">
        <v>25000000</v>
      </c>
      <c r="M45" s="46" t="s">
        <v>264</v>
      </c>
      <c r="N45" s="114">
        <v>100</v>
      </c>
      <c r="O45" s="91">
        <v>6</v>
      </c>
      <c r="P45" s="227" t="s">
        <v>1073</v>
      </c>
      <c r="Q45" s="48" t="s">
        <v>1074</v>
      </c>
      <c r="R45" s="75" t="s">
        <v>1075</v>
      </c>
      <c r="S45" s="642">
        <v>41082</v>
      </c>
      <c r="T45" s="642">
        <v>41088</v>
      </c>
      <c r="U45" s="229" t="s">
        <v>759</v>
      </c>
      <c r="W45" s="117">
        <f>L45*N45/100/7.8</f>
        <v>3205128.205128205</v>
      </c>
      <c r="X45" s="143">
        <v>7.8</v>
      </c>
      <c r="Y45" s="117">
        <f t="shared" si="5"/>
        <v>25000000</v>
      </c>
      <c r="Z45" s="117"/>
      <c r="AA45" s="86">
        <v>6</v>
      </c>
      <c r="AB45" s="642">
        <v>44740</v>
      </c>
      <c r="AC45" s="104">
        <f t="shared" ref="AC45:AC51" si="6">(AB45-S45)/365</f>
        <v>10.021917808219179</v>
      </c>
      <c r="AD45" s="75"/>
      <c r="AF45" s="214"/>
      <c r="AG45" s="215"/>
    </row>
    <row r="46" spans="1:34" s="74" customFormat="1" ht="38.25">
      <c r="A46" s="281"/>
      <c r="B46" s="73"/>
      <c r="C46" s="73"/>
      <c r="D46" s="73"/>
      <c r="E46" s="277">
        <v>45</v>
      </c>
      <c r="F46" s="55" t="s">
        <v>275</v>
      </c>
      <c r="G46" s="109" t="s">
        <v>277</v>
      </c>
      <c r="H46" s="112" t="s">
        <v>278</v>
      </c>
      <c r="I46" s="112" t="s">
        <v>279</v>
      </c>
      <c r="J46" s="319">
        <f t="shared" si="4"/>
        <v>8.9205479452054792</v>
      </c>
      <c r="K46" s="46" t="s">
        <v>465</v>
      </c>
      <c r="L46" s="341">
        <v>5000000</v>
      </c>
      <c r="M46" s="46" t="s">
        <v>466</v>
      </c>
      <c r="N46" s="114">
        <v>101.943</v>
      </c>
      <c r="O46" s="91">
        <v>5.2240000000000002</v>
      </c>
      <c r="P46" s="227" t="s">
        <v>280</v>
      </c>
      <c r="Q46" s="48" t="s">
        <v>281</v>
      </c>
      <c r="R46" s="109" t="s">
        <v>282</v>
      </c>
      <c r="S46" s="642">
        <v>41144</v>
      </c>
      <c r="T46" s="642">
        <v>41149</v>
      </c>
      <c r="U46" s="229" t="s">
        <v>759</v>
      </c>
      <c r="W46" s="117">
        <f>L46*N46/100</f>
        <v>5097150</v>
      </c>
      <c r="X46" s="143">
        <v>7.8</v>
      </c>
      <c r="Y46" s="117">
        <f t="shared" si="5"/>
        <v>39757770</v>
      </c>
      <c r="Z46" s="117"/>
      <c r="AA46" s="86">
        <v>5.5</v>
      </c>
      <c r="AB46" s="642">
        <v>44405</v>
      </c>
      <c r="AC46" s="104">
        <f t="shared" si="6"/>
        <v>8.9342465753424651</v>
      </c>
      <c r="AD46" s="75"/>
      <c r="AF46" s="214"/>
      <c r="AG46" s="215"/>
    </row>
    <row r="47" spans="1:34" s="74" customFormat="1" ht="25.5">
      <c r="A47" s="281"/>
      <c r="B47" s="73"/>
      <c r="C47" s="73"/>
      <c r="D47" s="73"/>
      <c r="E47" s="277">
        <v>46</v>
      </c>
      <c r="F47" s="55" t="s">
        <v>43</v>
      </c>
      <c r="G47" s="109" t="s">
        <v>42</v>
      </c>
      <c r="H47" s="112" t="s">
        <v>44</v>
      </c>
      <c r="I47" s="112" t="s">
        <v>44</v>
      </c>
      <c r="J47" s="319">
        <f t="shared" si="4"/>
        <v>12.008219178082191</v>
      </c>
      <c r="K47" s="46" t="s">
        <v>465</v>
      </c>
      <c r="L47" s="341">
        <v>4000000</v>
      </c>
      <c r="M47" s="167" t="s">
        <v>945</v>
      </c>
      <c r="N47" s="114">
        <v>100</v>
      </c>
      <c r="O47" s="91">
        <v>6.1</v>
      </c>
      <c r="P47" s="227" t="s">
        <v>1050</v>
      </c>
      <c r="Q47" s="48" t="s">
        <v>7</v>
      </c>
      <c r="R47" s="109" t="s">
        <v>8</v>
      </c>
      <c r="S47" s="642">
        <v>41331</v>
      </c>
      <c r="T47" s="642">
        <f>S47+7</f>
        <v>41338</v>
      </c>
      <c r="U47" s="229" t="s">
        <v>759</v>
      </c>
      <c r="W47" s="117">
        <f>L47*N47/100</f>
        <v>4000000</v>
      </c>
      <c r="X47" s="143">
        <v>7.8</v>
      </c>
      <c r="Y47" s="117">
        <f t="shared" si="5"/>
        <v>31200000</v>
      </c>
      <c r="Z47" s="117"/>
      <c r="AA47" s="86">
        <v>6.1</v>
      </c>
      <c r="AB47" s="642">
        <v>45721</v>
      </c>
      <c r="AC47" s="104">
        <f t="shared" si="6"/>
        <v>12.027397260273972</v>
      </c>
      <c r="AD47" s="75"/>
      <c r="AF47" s="214"/>
      <c r="AG47" s="215"/>
    </row>
    <row r="48" spans="1:34" s="74" customFormat="1" ht="25.5">
      <c r="A48" s="73"/>
      <c r="B48" s="73"/>
      <c r="C48" s="73"/>
      <c r="D48" s="73"/>
      <c r="E48" s="91">
        <v>47</v>
      </c>
      <c r="F48" s="64" t="s">
        <v>1159</v>
      </c>
      <c r="G48" s="109" t="s">
        <v>1158</v>
      </c>
      <c r="H48" s="399" t="s">
        <v>631</v>
      </c>
      <c r="I48" s="399" t="s">
        <v>1082</v>
      </c>
      <c r="J48" s="319">
        <f t="shared" ref="J48:J53" si="7">(AB48-T48)/365</f>
        <v>9.7150684931506852</v>
      </c>
      <c r="K48" s="46" t="s">
        <v>465</v>
      </c>
      <c r="L48" s="341">
        <v>3000000</v>
      </c>
      <c r="M48" s="167" t="s">
        <v>945</v>
      </c>
      <c r="N48" s="114">
        <v>86.337000000000003</v>
      </c>
      <c r="O48" s="91">
        <v>6.0008939999999997</v>
      </c>
      <c r="P48" s="227" t="s">
        <v>1050</v>
      </c>
      <c r="Q48" s="400" t="s">
        <v>1052</v>
      </c>
      <c r="R48" s="109" t="s">
        <v>1051</v>
      </c>
      <c r="S48" s="642">
        <v>41488</v>
      </c>
      <c r="T48" s="642">
        <v>41495</v>
      </c>
      <c r="U48" s="229" t="s">
        <v>599</v>
      </c>
      <c r="W48" s="143">
        <v>2625860</v>
      </c>
      <c r="X48" s="143">
        <v>7.8</v>
      </c>
      <c r="Y48" s="117">
        <f t="shared" si="5"/>
        <v>20481708</v>
      </c>
      <c r="Z48" s="110"/>
      <c r="AA48" s="86">
        <v>4.125</v>
      </c>
      <c r="AB48" s="642">
        <v>45041</v>
      </c>
      <c r="AC48" s="104">
        <f t="shared" si="6"/>
        <v>9.7342465753424658</v>
      </c>
      <c r="AF48" s="214"/>
      <c r="AG48" s="215"/>
      <c r="AH48" s="117"/>
    </row>
    <row r="49" spans="1:34" s="74" customFormat="1" ht="25.5">
      <c r="A49" s="73"/>
      <c r="B49" s="73"/>
      <c r="C49" s="73"/>
      <c r="D49" s="73"/>
      <c r="E49" s="91">
        <v>48</v>
      </c>
      <c r="F49" s="64" t="s">
        <v>1159</v>
      </c>
      <c r="G49" s="109" t="s">
        <v>1158</v>
      </c>
      <c r="H49" s="399" t="s">
        <v>631</v>
      </c>
      <c r="I49" s="399" t="s">
        <v>1082</v>
      </c>
      <c r="J49" s="319">
        <f t="shared" si="7"/>
        <v>9.7041095890410958</v>
      </c>
      <c r="K49" s="46" t="s">
        <v>465</v>
      </c>
      <c r="L49" s="341">
        <v>1000000</v>
      </c>
      <c r="M49" s="167" t="s">
        <v>945</v>
      </c>
      <c r="N49" s="114">
        <v>86.34</v>
      </c>
      <c r="O49" s="91">
        <v>6.0022000000000002</v>
      </c>
      <c r="P49" s="400" t="s">
        <v>1161</v>
      </c>
      <c r="Q49" s="400" t="s">
        <v>1162</v>
      </c>
      <c r="R49" s="109" t="s">
        <v>1163</v>
      </c>
      <c r="S49" s="642">
        <v>41492</v>
      </c>
      <c r="T49" s="642">
        <v>41499</v>
      </c>
      <c r="U49" s="229" t="s">
        <v>599</v>
      </c>
      <c r="W49" s="143">
        <v>875775</v>
      </c>
      <c r="X49" s="143">
        <v>7.8</v>
      </c>
      <c r="Y49" s="117">
        <f t="shared" ref="Y49:Y55" si="8">X49*W49</f>
        <v>6831045</v>
      </c>
      <c r="Z49" s="110"/>
      <c r="AA49" s="86">
        <v>4.125</v>
      </c>
      <c r="AB49" s="642">
        <v>45041</v>
      </c>
      <c r="AC49" s="104">
        <f t="shared" si="6"/>
        <v>9.7232876712328764</v>
      </c>
      <c r="AF49" s="214"/>
      <c r="AG49" s="215"/>
      <c r="AH49" s="117"/>
    </row>
    <row r="50" spans="1:34" s="74" customFormat="1" ht="25.5">
      <c r="A50" s="73"/>
      <c r="B50" s="73"/>
      <c r="C50" s="73"/>
      <c r="D50" s="73"/>
      <c r="E50" s="91">
        <v>49</v>
      </c>
      <c r="F50" s="64" t="s">
        <v>1159</v>
      </c>
      <c r="G50" s="109" t="s">
        <v>1158</v>
      </c>
      <c r="H50" s="399" t="s">
        <v>631</v>
      </c>
      <c r="I50" s="399" t="s">
        <v>1082</v>
      </c>
      <c r="J50" s="319">
        <f t="shared" si="7"/>
        <v>9.6219178082191785</v>
      </c>
      <c r="K50" s="46" t="s">
        <v>465</v>
      </c>
      <c r="L50" s="341">
        <v>1000000</v>
      </c>
      <c r="M50" s="167" t="s">
        <v>945</v>
      </c>
      <c r="N50" s="114">
        <v>85.78</v>
      </c>
      <c r="O50" s="91">
        <v>6.1001799999999999</v>
      </c>
      <c r="P50" s="400" t="s">
        <v>1050</v>
      </c>
      <c r="Q50" s="400" t="s">
        <v>7</v>
      </c>
      <c r="R50" s="109" t="s">
        <v>8</v>
      </c>
      <c r="S50" s="642">
        <v>41522</v>
      </c>
      <c r="T50" s="642">
        <v>41529</v>
      </c>
      <c r="U50" s="229" t="s">
        <v>599</v>
      </c>
      <c r="W50" s="143">
        <v>873497.92</v>
      </c>
      <c r="X50" s="143">
        <v>7.8</v>
      </c>
      <c r="Y50" s="117">
        <f t="shared" si="8"/>
        <v>6813283.7760000005</v>
      </c>
      <c r="Z50" s="110"/>
      <c r="AA50" s="86">
        <v>4.125</v>
      </c>
      <c r="AB50" s="642">
        <v>45041</v>
      </c>
      <c r="AC50" s="104">
        <f t="shared" si="6"/>
        <v>9.6410958904109592</v>
      </c>
      <c r="AF50" s="214"/>
      <c r="AG50" s="215"/>
      <c r="AH50" s="117"/>
    </row>
    <row r="51" spans="1:34" s="491" customFormat="1" ht="25.5" customHeight="1">
      <c r="A51" s="268"/>
      <c r="B51" s="494"/>
      <c r="C51" s="494"/>
      <c r="D51" s="494"/>
      <c r="E51" s="494">
        <v>50</v>
      </c>
      <c r="F51" s="309" t="s">
        <v>1223</v>
      </c>
      <c r="G51" s="109" t="s">
        <v>1228</v>
      </c>
      <c r="H51" s="399"/>
      <c r="I51" s="399" t="s">
        <v>1227</v>
      </c>
      <c r="J51" s="319">
        <f t="shared" si="7"/>
        <v>10.504109589041096</v>
      </c>
      <c r="K51" s="167" t="s">
        <v>465</v>
      </c>
      <c r="L51" s="493">
        <v>2500000</v>
      </c>
      <c r="M51" s="167" t="s">
        <v>92</v>
      </c>
      <c r="N51" s="492">
        <v>100</v>
      </c>
      <c r="O51" s="698">
        <v>6</v>
      </c>
      <c r="P51" s="86" t="s">
        <v>1224</v>
      </c>
      <c r="Q51" s="400" t="s">
        <v>1225</v>
      </c>
      <c r="R51" s="168" t="s">
        <v>1226</v>
      </c>
      <c r="S51" s="658">
        <v>41578</v>
      </c>
      <c r="T51" s="658">
        <v>41585</v>
      </c>
      <c r="U51" s="495" t="s">
        <v>884</v>
      </c>
      <c r="V51" s="495"/>
      <c r="W51" s="699">
        <v>2500000</v>
      </c>
      <c r="X51" s="117">
        <v>7.8</v>
      </c>
      <c r="Y51" s="117">
        <f t="shared" si="8"/>
        <v>19500000</v>
      </c>
      <c r="Z51" s="117"/>
      <c r="AA51" s="423">
        <v>6</v>
      </c>
      <c r="AB51" s="661">
        <v>45419</v>
      </c>
      <c r="AC51" s="104">
        <f t="shared" si="6"/>
        <v>10.523287671232877</v>
      </c>
      <c r="AD51" s="104"/>
      <c r="AF51" s="214"/>
      <c r="AG51" s="215"/>
    </row>
    <row r="52" spans="1:34" s="696" customFormat="1" ht="25.5" customHeight="1">
      <c r="A52" s="539"/>
      <c r="B52" s="690"/>
      <c r="C52" s="690"/>
      <c r="D52" s="690"/>
      <c r="E52" s="690">
        <v>51</v>
      </c>
      <c r="F52" s="691" t="s">
        <v>590</v>
      </c>
      <c r="G52" s="543" t="s">
        <v>711</v>
      </c>
      <c r="H52" s="544" t="s">
        <v>591</v>
      </c>
      <c r="I52" s="544" t="s">
        <v>340</v>
      </c>
      <c r="J52" s="545">
        <f t="shared" si="7"/>
        <v>7.2136986301369861</v>
      </c>
      <c r="K52" s="546" t="s">
        <v>465</v>
      </c>
      <c r="L52" s="692">
        <v>2000000</v>
      </c>
      <c r="M52" s="546" t="s">
        <v>466</v>
      </c>
      <c r="N52" s="693">
        <v>98</v>
      </c>
      <c r="O52" s="549">
        <v>7.1066700000000003</v>
      </c>
      <c r="P52" s="550" t="s">
        <v>775</v>
      </c>
      <c r="Q52" s="551" t="s">
        <v>776</v>
      </c>
      <c r="R52" s="552" t="s">
        <v>99</v>
      </c>
      <c r="S52" s="694">
        <v>41663</v>
      </c>
      <c r="T52" s="694">
        <v>41668</v>
      </c>
      <c r="U52" s="695" t="s">
        <v>683</v>
      </c>
      <c r="V52" s="695"/>
      <c r="W52" s="554">
        <v>1999000</v>
      </c>
      <c r="X52" s="555">
        <v>7.8</v>
      </c>
      <c r="Y52" s="555">
        <f t="shared" si="8"/>
        <v>15592200</v>
      </c>
      <c r="Z52" s="555"/>
      <c r="AA52" s="556">
        <v>6.75</v>
      </c>
      <c r="AB52" s="686">
        <v>44301</v>
      </c>
      <c r="AC52" s="557">
        <f t="shared" ref="AC52:AC57" si="9">(AB52-S52)/365</f>
        <v>7.2273972602739729</v>
      </c>
      <c r="AD52" s="557"/>
      <c r="AF52" s="559"/>
      <c r="AG52" s="560"/>
    </row>
    <row r="53" spans="1:34" s="696" customFormat="1" ht="25.5" customHeight="1">
      <c r="A53" s="539"/>
      <c r="B53" s="690"/>
      <c r="C53" s="690"/>
      <c r="D53" s="690"/>
      <c r="E53" s="690">
        <v>52</v>
      </c>
      <c r="F53" s="691" t="s">
        <v>590</v>
      </c>
      <c r="G53" s="543" t="s">
        <v>711</v>
      </c>
      <c r="H53" s="544" t="s">
        <v>591</v>
      </c>
      <c r="I53" s="544" t="s">
        <v>340</v>
      </c>
      <c r="J53" s="545">
        <f t="shared" si="7"/>
        <v>7.2136986301369861</v>
      </c>
      <c r="K53" s="546" t="s">
        <v>465</v>
      </c>
      <c r="L53" s="692">
        <v>2000000</v>
      </c>
      <c r="M53" s="546" t="s">
        <v>466</v>
      </c>
      <c r="N53" s="693">
        <v>98</v>
      </c>
      <c r="O53" s="549">
        <v>7.1066700000000003</v>
      </c>
      <c r="P53" s="550" t="s">
        <v>331</v>
      </c>
      <c r="Q53" s="551" t="s">
        <v>595</v>
      </c>
      <c r="R53" s="552" t="s">
        <v>596</v>
      </c>
      <c r="S53" s="694">
        <v>41663</v>
      </c>
      <c r="T53" s="694">
        <v>41668</v>
      </c>
      <c r="U53" s="695" t="s">
        <v>683</v>
      </c>
      <c r="V53" s="695"/>
      <c r="W53" s="554">
        <v>1999000</v>
      </c>
      <c r="X53" s="555">
        <v>7.8</v>
      </c>
      <c r="Y53" s="555">
        <f t="shared" si="8"/>
        <v>15592200</v>
      </c>
      <c r="Z53" s="555"/>
      <c r="AA53" s="556">
        <v>6.75</v>
      </c>
      <c r="AB53" s="686">
        <v>44301</v>
      </c>
      <c r="AC53" s="557">
        <f t="shared" si="9"/>
        <v>7.2273972602739729</v>
      </c>
      <c r="AD53" s="557"/>
      <c r="AF53" s="559"/>
      <c r="AG53" s="560"/>
    </row>
    <row r="54" spans="1:34" s="696" customFormat="1" ht="25.5" customHeight="1">
      <c r="A54" s="539"/>
      <c r="B54" s="690"/>
      <c r="C54" s="690"/>
      <c r="D54" s="690"/>
      <c r="E54" s="690">
        <v>53</v>
      </c>
      <c r="F54" s="691" t="s">
        <v>590</v>
      </c>
      <c r="G54" s="543" t="s">
        <v>711</v>
      </c>
      <c r="H54" s="544" t="s">
        <v>591</v>
      </c>
      <c r="I54" s="544" t="s">
        <v>340</v>
      </c>
      <c r="J54" s="545">
        <f t="shared" ref="J54" si="10">(AB54-T54)/365</f>
        <v>7.2136986301369861</v>
      </c>
      <c r="K54" s="546" t="s">
        <v>465</v>
      </c>
      <c r="L54" s="692">
        <v>4000000</v>
      </c>
      <c r="M54" s="546" t="s">
        <v>466</v>
      </c>
      <c r="N54" s="693">
        <v>98.75</v>
      </c>
      <c r="O54" s="549">
        <v>6.9709649999999996</v>
      </c>
      <c r="P54" s="550" t="s">
        <v>938</v>
      </c>
      <c r="Q54" s="551" t="s">
        <v>342</v>
      </c>
      <c r="R54" s="552" t="s">
        <v>343</v>
      </c>
      <c r="S54" s="694">
        <v>41663</v>
      </c>
      <c r="T54" s="694">
        <v>41668</v>
      </c>
      <c r="U54" s="695" t="s">
        <v>683</v>
      </c>
      <c r="V54" s="695"/>
      <c r="W54" s="554">
        <v>4028000</v>
      </c>
      <c r="X54" s="555">
        <v>7.8</v>
      </c>
      <c r="Y54" s="555">
        <f t="shared" si="8"/>
        <v>31418400</v>
      </c>
      <c r="Z54" s="555"/>
      <c r="AA54" s="556">
        <v>6.75</v>
      </c>
      <c r="AB54" s="686">
        <v>44301</v>
      </c>
      <c r="AC54" s="557">
        <f t="shared" si="9"/>
        <v>7.2273972602739729</v>
      </c>
      <c r="AD54" s="557"/>
      <c r="AF54" s="559"/>
      <c r="AG54" s="560"/>
    </row>
    <row r="55" spans="1:34" s="696" customFormat="1" ht="25.5" customHeight="1">
      <c r="A55" s="539"/>
      <c r="B55" s="690"/>
      <c r="C55" s="690"/>
      <c r="D55" s="690"/>
      <c r="E55" s="690">
        <v>54</v>
      </c>
      <c r="F55" s="691" t="s">
        <v>365</v>
      </c>
      <c r="G55" s="543" t="s">
        <v>78</v>
      </c>
      <c r="H55" s="544" t="s">
        <v>79</v>
      </c>
      <c r="I55" s="544" t="s">
        <v>52</v>
      </c>
      <c r="J55" s="545">
        <f>(AB55-T55)/365</f>
        <v>8.9917808219178088</v>
      </c>
      <c r="K55" s="546" t="s">
        <v>465</v>
      </c>
      <c r="L55" s="692">
        <v>5000000</v>
      </c>
      <c r="M55" s="546" t="s">
        <v>466</v>
      </c>
      <c r="N55" s="693">
        <v>84.5</v>
      </c>
      <c r="O55" s="549">
        <v>6.8369400000000002</v>
      </c>
      <c r="P55" s="550" t="s">
        <v>775</v>
      </c>
      <c r="Q55" s="551" t="s">
        <v>776</v>
      </c>
      <c r="R55" s="552" t="s">
        <v>99</v>
      </c>
      <c r="S55" s="694">
        <v>41663</v>
      </c>
      <c r="T55" s="694">
        <v>41668</v>
      </c>
      <c r="U55" s="695" t="s">
        <v>683</v>
      </c>
      <c r="V55" s="695"/>
      <c r="W55" s="554">
        <v>4228125</v>
      </c>
      <c r="X55" s="555">
        <v>7.8</v>
      </c>
      <c r="Y55" s="555">
        <f t="shared" si="8"/>
        <v>32979375</v>
      </c>
      <c r="Z55" s="555"/>
      <c r="AA55" s="556">
        <v>4.5</v>
      </c>
      <c r="AB55" s="686">
        <v>44950</v>
      </c>
      <c r="AC55" s="557">
        <f t="shared" si="9"/>
        <v>9.0054794520547947</v>
      </c>
      <c r="AD55" s="557"/>
      <c r="AF55" s="559"/>
      <c r="AG55" s="560"/>
    </row>
    <row r="56" spans="1:34" s="706" customFormat="1" ht="25.5" customHeight="1">
      <c r="A56" s="454"/>
      <c r="B56" s="700"/>
      <c r="C56" s="700"/>
      <c r="D56" s="700"/>
      <c r="E56" s="700">
        <v>55</v>
      </c>
      <c r="F56" s="701" t="s">
        <v>590</v>
      </c>
      <c r="G56" s="455" t="s">
        <v>711</v>
      </c>
      <c r="H56" s="456" t="s">
        <v>591</v>
      </c>
      <c r="I56" s="456" t="s">
        <v>340</v>
      </c>
      <c r="J56" s="457">
        <f>(AB56-T56)/365</f>
        <v>7.2109589041095887</v>
      </c>
      <c r="K56" s="458" t="s">
        <v>465</v>
      </c>
      <c r="L56" s="702">
        <v>2000000</v>
      </c>
      <c r="M56" s="458" t="s">
        <v>466</v>
      </c>
      <c r="N56" s="703">
        <v>98.3</v>
      </c>
      <c r="O56" s="488">
        <v>7.0523360000000004</v>
      </c>
      <c r="P56" s="459" t="s">
        <v>938</v>
      </c>
      <c r="Q56" s="460" t="s">
        <v>342</v>
      </c>
      <c r="R56" s="461" t="s">
        <v>343</v>
      </c>
      <c r="S56" s="635">
        <v>41666</v>
      </c>
      <c r="T56" s="635">
        <v>41669</v>
      </c>
      <c r="U56" s="704" t="s">
        <v>683</v>
      </c>
      <c r="V56" s="704"/>
      <c r="W56" s="489">
        <v>2005375</v>
      </c>
      <c r="X56" s="462">
        <v>7.8</v>
      </c>
      <c r="Y56" s="462">
        <f>X56*W56</f>
        <v>15641925</v>
      </c>
      <c r="Z56" s="462"/>
      <c r="AA56" s="463">
        <v>6.75</v>
      </c>
      <c r="AB56" s="705">
        <v>44301</v>
      </c>
      <c r="AC56" s="464">
        <f t="shared" si="9"/>
        <v>7.2191780821917808</v>
      </c>
      <c r="AD56" s="464"/>
      <c r="AF56" s="465"/>
      <c r="AG56" s="466"/>
    </row>
    <row r="57" spans="1:34" s="727" customFormat="1" ht="25.5" customHeight="1">
      <c r="A57" s="707"/>
      <c r="B57" s="708"/>
      <c r="C57" s="708"/>
      <c r="D57" s="708"/>
      <c r="E57" s="717">
        <v>56</v>
      </c>
      <c r="F57" s="709" t="s">
        <v>590</v>
      </c>
      <c r="G57" s="710" t="s">
        <v>711</v>
      </c>
      <c r="H57" s="711" t="s">
        <v>591</v>
      </c>
      <c r="I57" s="711" t="s">
        <v>340</v>
      </c>
      <c r="J57" s="712">
        <f>(AB57-T57)/365</f>
        <v>7.1972602739726028</v>
      </c>
      <c r="K57" s="713" t="s">
        <v>465</v>
      </c>
      <c r="L57" s="714">
        <v>2500000</v>
      </c>
      <c r="M57" s="713" t="s">
        <v>466</v>
      </c>
      <c r="N57" s="715">
        <v>98.5</v>
      </c>
      <c r="O57" s="716">
        <v>7.0165100000000002</v>
      </c>
      <c r="P57" s="717" t="s">
        <v>60</v>
      </c>
      <c r="Q57" s="718" t="s">
        <v>1257</v>
      </c>
      <c r="R57" s="719" t="s">
        <v>1258</v>
      </c>
      <c r="S57" s="720">
        <v>41667</v>
      </c>
      <c r="T57" s="720">
        <v>41674</v>
      </c>
      <c r="U57" s="721" t="s">
        <v>683</v>
      </c>
      <c r="V57" s="721"/>
      <c r="W57" s="722">
        <v>2513593.75</v>
      </c>
      <c r="X57" s="723">
        <v>7.8</v>
      </c>
      <c r="Y57" s="723">
        <f>X57*W57</f>
        <v>19606031.25</v>
      </c>
      <c r="Z57" s="723"/>
      <c r="AA57" s="724">
        <v>6.75</v>
      </c>
      <c r="AB57" s="725">
        <v>44301</v>
      </c>
      <c r="AC57" s="726">
        <f t="shared" si="9"/>
        <v>7.2164383561643834</v>
      </c>
      <c r="AD57" s="726"/>
      <c r="AF57" s="728"/>
      <c r="AG57" s="729"/>
    </row>
    <row r="58" spans="1:34" s="967" customFormat="1" ht="38.25">
      <c r="A58" s="1004"/>
      <c r="B58" s="1005"/>
      <c r="C58" s="1016"/>
      <c r="D58" s="1016"/>
      <c r="E58" s="1017">
        <v>57</v>
      </c>
      <c r="F58" s="967" t="s">
        <v>1288</v>
      </c>
      <c r="G58" s="945" t="s">
        <v>1289</v>
      </c>
      <c r="H58" s="947" t="s">
        <v>192</v>
      </c>
      <c r="I58" s="947" t="s">
        <v>421</v>
      </c>
      <c r="J58" s="948">
        <f>(AB58-T58)/365</f>
        <v>10.008219178082191</v>
      </c>
      <c r="K58" s="964" t="s">
        <v>465</v>
      </c>
      <c r="L58" s="1018">
        <v>5000000</v>
      </c>
      <c r="M58" s="964" t="s">
        <v>466</v>
      </c>
      <c r="N58" s="951">
        <v>99.554000000000002</v>
      </c>
      <c r="O58" s="942">
        <v>6.0099799999999997</v>
      </c>
      <c r="P58" s="952" t="s">
        <v>1290</v>
      </c>
      <c r="Q58" s="953" t="s">
        <v>1291</v>
      </c>
      <c r="R58" s="945" t="s">
        <v>1292</v>
      </c>
      <c r="S58" s="954">
        <v>41758</v>
      </c>
      <c r="T58" s="954">
        <v>41767</v>
      </c>
      <c r="U58" s="955" t="s">
        <v>599</v>
      </c>
      <c r="V58" s="1019"/>
      <c r="W58" s="957">
        <v>4977700</v>
      </c>
      <c r="X58" s="1020">
        <v>7.8</v>
      </c>
      <c r="Y58" s="956">
        <f>X58*W58</f>
        <v>38826060</v>
      </c>
      <c r="Z58" s="956"/>
      <c r="AA58" s="958">
        <v>5.95</v>
      </c>
      <c r="AB58" s="954">
        <v>45420</v>
      </c>
      <c r="AC58" s="960">
        <f>(AB58-S58)/365</f>
        <v>10.032876712328767</v>
      </c>
      <c r="AD58" s="960"/>
      <c r="AE58" s="1019"/>
      <c r="AF58" s="962"/>
      <c r="AG58" s="963"/>
      <c r="AH58" s="956"/>
    </row>
    <row r="59" spans="1:34" s="1074" customFormat="1" ht="25.5" customHeight="1">
      <c r="A59" s="1070"/>
      <c r="B59" s="1071"/>
      <c r="C59" s="1071"/>
      <c r="D59" s="1071"/>
      <c r="E59" s="1071">
        <v>58</v>
      </c>
      <c r="F59" s="897" t="s">
        <v>1300</v>
      </c>
      <c r="G59" s="898" t="s">
        <v>1301</v>
      </c>
      <c r="H59" s="899" t="s">
        <v>744</v>
      </c>
      <c r="I59" s="899" t="s">
        <v>193</v>
      </c>
      <c r="J59" s="900">
        <f t="shared" ref="J59" si="11">(AB59-T59)/365</f>
        <v>1.9205479452054794</v>
      </c>
      <c r="K59" s="901" t="s">
        <v>341</v>
      </c>
      <c r="L59" s="1075">
        <v>-2800000</v>
      </c>
      <c r="M59" s="901" t="s">
        <v>466</v>
      </c>
      <c r="N59" s="903">
        <v>109.47572959999999</v>
      </c>
      <c r="O59" s="904">
        <v>5.0279999999999996</v>
      </c>
      <c r="P59" s="897" t="s">
        <v>1302</v>
      </c>
      <c r="Q59" s="905"/>
      <c r="R59" s="906"/>
      <c r="S59" s="907">
        <v>41830</v>
      </c>
      <c r="T59" s="907">
        <v>41835</v>
      </c>
      <c r="U59" s="908" t="s">
        <v>683</v>
      </c>
      <c r="V59" s="908"/>
      <c r="W59" s="1073">
        <v>-3078445.42</v>
      </c>
      <c r="X59" s="909">
        <v>7.8</v>
      </c>
      <c r="Y59" s="909">
        <f>X59*W59</f>
        <v>-24011874.276000001</v>
      </c>
      <c r="Z59" s="909"/>
      <c r="AA59" s="910">
        <v>5.625</v>
      </c>
      <c r="AB59" s="911">
        <v>42536</v>
      </c>
      <c r="AC59" s="912">
        <f>(AB59-S59)/365</f>
        <v>1.9342465753424658</v>
      </c>
      <c r="AD59" s="912"/>
      <c r="AF59" s="914"/>
      <c r="AG59" s="915"/>
    </row>
    <row r="60" spans="1:34" s="1416" customFormat="1" ht="18" customHeight="1">
      <c r="A60" s="1433"/>
      <c r="B60" s="1398"/>
      <c r="C60" s="1398"/>
      <c r="D60" s="1398"/>
      <c r="E60" s="1398">
        <v>59</v>
      </c>
      <c r="F60" s="1399" t="s">
        <v>1370</v>
      </c>
      <c r="G60" s="1434" t="s">
        <v>1371</v>
      </c>
      <c r="H60" s="1435"/>
      <c r="I60" s="1435"/>
      <c r="J60" s="1436"/>
      <c r="K60" s="1403" t="s">
        <v>465</v>
      </c>
      <c r="L60" s="1404">
        <v>50000000</v>
      </c>
      <c r="M60" s="1403" t="s">
        <v>1271</v>
      </c>
      <c r="N60" s="1405">
        <v>100</v>
      </c>
      <c r="O60" s="1437">
        <v>6.1</v>
      </c>
      <c r="P60" s="1399" t="s">
        <v>1073</v>
      </c>
      <c r="Q60" s="1438" t="s">
        <v>1074</v>
      </c>
      <c r="R60" s="1439" t="s">
        <v>1075</v>
      </c>
      <c r="S60" s="1409">
        <v>41934</v>
      </c>
      <c r="T60" s="1409">
        <v>41940</v>
      </c>
      <c r="U60" s="1410" t="s">
        <v>683</v>
      </c>
      <c r="V60" s="1410"/>
      <c r="W60" s="1404">
        <v>50000000</v>
      </c>
      <c r="X60" s="1412">
        <v>1</v>
      </c>
      <c r="Y60" s="1412">
        <f t="shared" ref="Y60" si="12">X60*W60</f>
        <v>50000000</v>
      </c>
      <c r="Z60" s="1412"/>
      <c r="AA60" s="1413">
        <v>6.1</v>
      </c>
      <c r="AB60" s="1414">
        <v>47419</v>
      </c>
      <c r="AC60" s="1415">
        <f t="shared" ref="AC60" si="13">(AB60-S60)/365</f>
        <v>15.027397260273972</v>
      </c>
      <c r="AD60" s="1415"/>
      <c r="AF60" s="1417"/>
      <c r="AG60" s="1418"/>
    </row>
    <row r="61" spans="1:34" s="491" customFormat="1" ht="25.5" customHeight="1">
      <c r="A61" s="268"/>
      <c r="B61" s="494"/>
      <c r="C61" s="494"/>
      <c r="D61" s="494"/>
      <c r="E61" s="494"/>
      <c r="F61" s="309"/>
      <c r="G61" s="109"/>
      <c r="H61" s="399"/>
      <c r="I61" s="399"/>
      <c r="J61" s="319"/>
      <c r="K61" s="167"/>
      <c r="L61" s="493"/>
      <c r="M61" s="167"/>
      <c r="N61" s="492"/>
      <c r="O61" s="698"/>
      <c r="P61" s="86"/>
      <c r="Q61" s="400"/>
      <c r="R61" s="168"/>
      <c r="S61" s="658"/>
      <c r="T61" s="658"/>
      <c r="U61" s="495"/>
      <c r="V61" s="495"/>
      <c r="W61" s="699"/>
      <c r="X61" s="117"/>
      <c r="Y61" s="117"/>
      <c r="Z61" s="117"/>
      <c r="AA61" s="423"/>
      <c r="AB61" s="661"/>
      <c r="AC61" s="104"/>
      <c r="AD61" s="104"/>
      <c r="AF61" s="214"/>
      <c r="AG61" s="215"/>
    </row>
    <row r="62" spans="1:34" s="74" customFormat="1" ht="16.5">
      <c r="A62" s="73"/>
      <c r="B62" s="73"/>
      <c r="C62" s="73"/>
      <c r="D62" s="73"/>
      <c r="E62" s="91"/>
      <c r="F62" s="55"/>
      <c r="G62" s="109"/>
      <c r="H62" s="112"/>
      <c r="I62" s="112"/>
      <c r="J62" s="204"/>
      <c r="K62" s="46"/>
      <c r="L62" s="24"/>
      <c r="M62" s="46"/>
      <c r="N62" s="114"/>
      <c r="O62" s="91"/>
      <c r="P62" s="203"/>
      <c r="Q62" s="203"/>
      <c r="R62" s="29"/>
      <c r="S62" s="642"/>
      <c r="T62" s="642"/>
      <c r="U62" s="229"/>
      <c r="W62" s="143"/>
      <c r="X62" s="143"/>
      <c r="Y62" s="110"/>
      <c r="Z62" s="110"/>
      <c r="AA62" s="86"/>
      <c r="AB62" s="87"/>
      <c r="AC62" s="92"/>
      <c r="AF62" s="214"/>
      <c r="AG62" s="215"/>
      <c r="AH62" s="117"/>
    </row>
    <row r="63" spans="1:34">
      <c r="A63" s="73"/>
      <c r="B63" s="73"/>
      <c r="C63" s="73"/>
      <c r="D63" s="73"/>
      <c r="E63" s="91"/>
      <c r="F63" s="47"/>
      <c r="G63" s="48"/>
      <c r="H63" s="48"/>
      <c r="I63" s="48"/>
      <c r="J63" s="48"/>
      <c r="K63" s="46"/>
      <c r="L63" s="49"/>
      <c r="M63" s="113"/>
      <c r="N63" s="114"/>
      <c r="O63" s="91"/>
      <c r="P63" s="111"/>
      <c r="Q63" s="112"/>
      <c r="R63" s="109"/>
      <c r="S63" s="642"/>
      <c r="T63" s="642"/>
      <c r="U63" s="54"/>
      <c r="V63" s="64"/>
      <c r="W63" s="110"/>
      <c r="X63" s="143"/>
      <c r="Y63" s="110"/>
      <c r="Z63" s="110"/>
      <c r="AA63" s="86"/>
      <c r="AB63" s="87"/>
      <c r="AC63" s="104"/>
    </row>
    <row r="64" spans="1:34">
      <c r="X64" s="143"/>
      <c r="Y64" s="110"/>
      <c r="Z64" s="110"/>
    </row>
  </sheetData>
  <phoneticPr fontId="4" type="noConversion"/>
  <pageMargins left="0.27" right="0.32" top="0.42" bottom="0.5" header="0.26" footer="0.36"/>
  <pageSetup scale="3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2:XFD128"/>
  <sheetViews>
    <sheetView topLeftCell="E1" zoomScale="70" zoomScaleNormal="70" workbookViewId="0">
      <pane xSplit="1" ySplit="6" topLeftCell="F118" activePane="bottomRight" state="frozen"/>
      <selection activeCell="E1" sqref="E1"/>
      <selection pane="topRight" activeCell="F1" sqref="F1"/>
      <selection pane="bottomLeft" activeCell="E7" sqref="E7"/>
      <selection pane="bottomRight" activeCell="S137" sqref="S137"/>
    </sheetView>
  </sheetViews>
  <sheetFormatPr defaultRowHeight="12.75"/>
  <cols>
    <col min="4" max="4" width="17.140625" customWidth="1"/>
    <col min="5" max="5" width="15.140625" customWidth="1"/>
    <col min="6" max="6" width="16.42578125" customWidth="1"/>
    <col min="7" max="7" width="26.28515625" customWidth="1"/>
    <col min="8" max="10" width="11.85546875" customWidth="1"/>
    <col min="12" max="12" width="14.28515625" customWidth="1"/>
    <col min="14" max="14" width="9.85546875" bestFit="1" customWidth="1"/>
    <col min="15" max="15" width="10" customWidth="1"/>
    <col min="16" max="16" width="10.85546875" customWidth="1"/>
    <col min="17" max="17" width="13.85546875" customWidth="1"/>
    <col min="18" max="18" width="22.140625" customWidth="1"/>
    <col min="19" max="19" width="10.42578125" style="637" bestFit="1" customWidth="1"/>
    <col min="20" max="20" width="11.42578125" style="637" bestFit="1" customWidth="1"/>
    <col min="21" max="21" width="13" customWidth="1"/>
    <col min="22" max="22" width="5.140625" customWidth="1"/>
    <col min="23" max="23" width="22" bestFit="1" customWidth="1"/>
    <col min="24" max="24" width="16.5703125" customWidth="1"/>
    <col min="25" max="25" width="14.85546875" customWidth="1"/>
    <col min="27" max="27" width="11.140625" customWidth="1"/>
    <col min="28" max="28" width="13.140625" customWidth="1"/>
    <col min="33" max="33" width="9.85546875" customWidth="1"/>
    <col min="34" max="34" width="12.42578125" customWidth="1"/>
  </cols>
  <sheetData>
    <row r="2" spans="1:34">
      <c r="F2" s="1" t="s">
        <v>295</v>
      </c>
      <c r="G2" s="134">
        <f ca="1">TODAY()</f>
        <v>42654</v>
      </c>
      <c r="H2" s="134"/>
      <c r="I2" s="134"/>
      <c r="J2" s="134"/>
      <c r="K2" s="135"/>
      <c r="L2" s="1"/>
      <c r="M2" s="1"/>
      <c r="N2" s="1"/>
      <c r="O2" s="1"/>
      <c r="P2" s="1"/>
      <c r="Q2" s="1"/>
      <c r="R2" s="1"/>
      <c r="S2" s="653"/>
      <c r="T2" s="653"/>
      <c r="U2" s="1"/>
      <c r="V2" s="1"/>
    </row>
    <row r="3" spans="1:34">
      <c r="F3" s="1" t="s">
        <v>306</v>
      </c>
      <c r="G3" s="136" t="s">
        <v>1260</v>
      </c>
      <c r="H3" s="136"/>
      <c r="I3" s="136"/>
      <c r="J3" s="136"/>
      <c r="K3" s="137"/>
      <c r="N3" s="1" t="s">
        <v>552</v>
      </c>
      <c r="O3" s="1"/>
      <c r="P3" s="1"/>
      <c r="Q3" s="1"/>
      <c r="R3" s="1"/>
      <c r="S3" s="653"/>
      <c r="T3" s="653"/>
      <c r="U3" s="1"/>
      <c r="V3" s="1"/>
    </row>
    <row r="4" spans="1:34">
      <c r="E4" s="3"/>
      <c r="F4" s="4"/>
      <c r="G4" s="5"/>
      <c r="H4" s="5"/>
      <c r="I4" s="5"/>
      <c r="J4" s="5"/>
      <c r="K4" s="5"/>
      <c r="L4" s="5"/>
      <c r="M4" s="6"/>
      <c r="N4" s="5"/>
      <c r="O4" s="5"/>
      <c r="P4" s="5"/>
      <c r="Q4" s="5"/>
      <c r="R4" s="5"/>
      <c r="S4" s="654"/>
      <c r="T4" s="654"/>
      <c r="U4" s="5"/>
      <c r="V4" s="5"/>
    </row>
    <row r="5" spans="1:34">
      <c r="E5" s="12"/>
      <c r="F5" s="15"/>
      <c r="G5" s="1818"/>
      <c r="H5" s="1818"/>
      <c r="I5" s="1818"/>
      <c r="J5" s="1818"/>
      <c r="K5" s="1818"/>
      <c r="L5" s="1818"/>
      <c r="M5" s="1818"/>
      <c r="N5" s="1818"/>
      <c r="O5" s="1818"/>
      <c r="P5" s="1818"/>
      <c r="Q5" s="1818"/>
      <c r="R5" s="1818"/>
      <c r="S5" s="1818"/>
      <c r="T5" s="1818"/>
      <c r="U5" s="1818"/>
      <c r="V5" s="228"/>
      <c r="AB5" s="85">
        <f>DATE(2008,12,31)</f>
        <v>39813</v>
      </c>
      <c r="AC5" s="16"/>
      <c r="AG5" s="85"/>
    </row>
    <row r="6" spans="1:34" ht="38.25">
      <c r="A6" s="10" t="s">
        <v>392</v>
      </c>
      <c r="B6" s="10" t="s">
        <v>617</v>
      </c>
      <c r="C6" s="10"/>
      <c r="D6" s="10"/>
      <c r="E6" s="8" t="s">
        <v>296</v>
      </c>
      <c r="F6" s="8" t="s">
        <v>293</v>
      </c>
      <c r="G6" s="8" t="s">
        <v>300</v>
      </c>
      <c r="H6" s="8" t="s">
        <v>573</v>
      </c>
      <c r="I6" s="8" t="s">
        <v>574</v>
      </c>
      <c r="J6" s="8" t="s">
        <v>603</v>
      </c>
      <c r="K6" s="8" t="s">
        <v>294</v>
      </c>
      <c r="L6" s="9" t="s">
        <v>302</v>
      </c>
      <c r="M6" s="7" t="s">
        <v>301</v>
      </c>
      <c r="N6" s="7" t="s">
        <v>304</v>
      </c>
      <c r="O6" s="7" t="s">
        <v>305</v>
      </c>
      <c r="P6" s="8" t="s">
        <v>297</v>
      </c>
      <c r="Q6" s="8" t="s">
        <v>303</v>
      </c>
      <c r="R6" s="8" t="s">
        <v>312</v>
      </c>
      <c r="S6" s="639" t="s">
        <v>298</v>
      </c>
      <c r="T6" s="639" t="s">
        <v>299</v>
      </c>
      <c r="U6" s="228" t="s">
        <v>752</v>
      </c>
      <c r="V6" s="228"/>
      <c r="W6" s="10" t="s">
        <v>436</v>
      </c>
      <c r="X6" s="10" t="s">
        <v>475</v>
      </c>
      <c r="Y6" s="84" t="s">
        <v>440</v>
      </c>
      <c r="Z6" s="84"/>
      <c r="AA6" s="10" t="s">
        <v>441</v>
      </c>
      <c r="AB6" s="10" t="s">
        <v>442</v>
      </c>
      <c r="AC6" s="10" t="s">
        <v>468</v>
      </c>
      <c r="AF6" s="29"/>
      <c r="AG6" s="29"/>
      <c r="AH6" s="29"/>
    </row>
    <row r="7" spans="1:34" ht="38.25">
      <c r="A7" s="33" t="s">
        <v>432</v>
      </c>
      <c r="B7" s="33"/>
      <c r="C7" s="33"/>
      <c r="D7" s="33"/>
      <c r="E7" s="26">
        <v>1</v>
      </c>
      <c r="F7" s="15" t="s">
        <v>328</v>
      </c>
      <c r="G7" s="20" t="s">
        <v>385</v>
      </c>
      <c r="H7" s="20"/>
      <c r="I7" s="20"/>
      <c r="J7" s="20"/>
      <c r="K7" s="26" t="s">
        <v>329</v>
      </c>
      <c r="L7" s="24">
        <v>5000000</v>
      </c>
      <c r="M7" s="26" t="s">
        <v>330</v>
      </c>
      <c r="N7" s="28">
        <v>95.44</v>
      </c>
      <c r="O7" s="30">
        <v>6.1407619999999996</v>
      </c>
      <c r="P7" s="20" t="s">
        <v>375</v>
      </c>
      <c r="Q7" s="20" t="s">
        <v>344</v>
      </c>
      <c r="R7" s="29" t="s">
        <v>376</v>
      </c>
      <c r="S7" s="640">
        <v>39540</v>
      </c>
      <c r="T7" s="640">
        <v>39547</v>
      </c>
      <c r="U7" s="12"/>
      <c r="V7" s="12"/>
      <c r="W7" s="76">
        <v>4901895.83</v>
      </c>
      <c r="X7" s="76"/>
      <c r="AA7" s="13">
        <v>5.375</v>
      </c>
      <c r="AB7" s="659">
        <v>42292</v>
      </c>
      <c r="AC7" s="92">
        <f>(AB7-$AB$5)/365</f>
        <v>6.7917808219178086</v>
      </c>
      <c r="AF7" s="161"/>
      <c r="AG7" s="190"/>
      <c r="AH7" s="77"/>
    </row>
    <row r="8" spans="1:34" ht="38.25">
      <c r="A8" s="13">
        <v>362</v>
      </c>
      <c r="B8" s="13"/>
      <c r="C8" s="13"/>
      <c r="D8" s="13"/>
      <c r="E8" s="26">
        <v>2</v>
      </c>
      <c r="F8" s="15" t="s">
        <v>377</v>
      </c>
      <c r="G8" s="20" t="s">
        <v>384</v>
      </c>
      <c r="H8" s="20"/>
      <c r="I8" s="20"/>
      <c r="J8" s="20"/>
      <c r="K8" s="26" t="s">
        <v>329</v>
      </c>
      <c r="L8" s="24">
        <v>500000</v>
      </c>
      <c r="M8" s="26" t="s">
        <v>330</v>
      </c>
      <c r="N8" s="28">
        <v>104.372</v>
      </c>
      <c r="O8" s="30">
        <v>6.3070719999999998</v>
      </c>
      <c r="P8" s="20" t="s">
        <v>375</v>
      </c>
      <c r="Q8" s="20" t="s">
        <v>344</v>
      </c>
      <c r="R8" s="29" t="s">
        <v>376</v>
      </c>
      <c r="S8" s="640">
        <v>39547</v>
      </c>
      <c r="T8" s="640">
        <v>39554</v>
      </c>
      <c r="U8" s="12"/>
      <c r="V8" s="12"/>
      <c r="W8" s="77">
        <f>(10447398.61)*0.5/10</f>
        <v>522369.93049999996</v>
      </c>
      <c r="X8" s="77"/>
      <c r="AA8" s="33">
        <v>7.343</v>
      </c>
      <c r="AB8" s="659">
        <v>41375</v>
      </c>
      <c r="AC8" s="92">
        <f>(AB8-$AB$5)/365</f>
        <v>4.279452054794521</v>
      </c>
      <c r="AF8" s="161"/>
      <c r="AG8" s="190"/>
      <c r="AH8" s="77"/>
    </row>
    <row r="9" spans="1:34" ht="57.75" customHeight="1">
      <c r="A9" s="94">
        <v>255</v>
      </c>
      <c r="B9" s="94"/>
      <c r="C9" s="94"/>
      <c r="D9" s="94"/>
      <c r="E9" s="65">
        <v>3</v>
      </c>
      <c r="F9" s="66" t="s">
        <v>314</v>
      </c>
      <c r="G9" s="39" t="s">
        <v>315</v>
      </c>
      <c r="H9" s="39"/>
      <c r="I9" s="39"/>
      <c r="J9" s="39"/>
      <c r="K9" s="65" t="s">
        <v>309</v>
      </c>
      <c r="L9" s="67">
        <v>1700000</v>
      </c>
      <c r="M9" s="68" t="s">
        <v>466</v>
      </c>
      <c r="N9" s="65">
        <v>99.61</v>
      </c>
      <c r="O9" s="65">
        <v>5.4651959999999997</v>
      </c>
      <c r="P9" s="57" t="s">
        <v>316</v>
      </c>
      <c r="Q9" s="58" t="s">
        <v>317</v>
      </c>
      <c r="R9" s="39" t="s">
        <v>318</v>
      </c>
      <c r="S9" s="655">
        <v>39549</v>
      </c>
      <c r="T9" s="655">
        <v>39556</v>
      </c>
      <c r="U9" s="66"/>
      <c r="V9" s="66"/>
      <c r="W9" s="78">
        <f>(9961000)*1.7/10</f>
        <v>1693370</v>
      </c>
      <c r="X9" s="98">
        <f>SUM(W7:W$9)</f>
        <v>7117635.7604999999</v>
      </c>
      <c r="Y9" s="98">
        <f>SUM(W7:W$9)*7.8</f>
        <v>55517558.931899995</v>
      </c>
      <c r="Z9" s="98"/>
      <c r="AA9" s="103">
        <v>5.375</v>
      </c>
      <c r="AB9" s="662">
        <v>41382</v>
      </c>
      <c r="AC9" s="101">
        <f>(AB9-$AB$5)/365</f>
        <v>4.2986301369863016</v>
      </c>
      <c r="AF9" s="161"/>
      <c r="AG9" s="190"/>
      <c r="AH9" s="77"/>
    </row>
    <row r="10" spans="1:34" ht="25.5">
      <c r="A10" s="18" t="s">
        <v>409</v>
      </c>
      <c r="B10" s="18"/>
      <c r="C10" s="18"/>
      <c r="D10" s="18"/>
      <c r="E10" s="26">
        <v>4</v>
      </c>
      <c r="F10" s="15" t="s">
        <v>406</v>
      </c>
      <c r="G10" s="60" t="s">
        <v>415</v>
      </c>
      <c r="H10" s="60"/>
      <c r="I10" s="60"/>
      <c r="J10" s="60"/>
      <c r="K10" s="26" t="s">
        <v>329</v>
      </c>
      <c r="L10" s="24">
        <v>4000000</v>
      </c>
      <c r="M10" s="26" t="s">
        <v>330</v>
      </c>
      <c r="N10" s="28">
        <v>105.28</v>
      </c>
      <c r="O10" s="30">
        <v>6.395912</v>
      </c>
      <c r="P10" s="20" t="s">
        <v>375</v>
      </c>
      <c r="Q10" s="20" t="s">
        <v>407</v>
      </c>
      <c r="R10" s="29" t="s">
        <v>408</v>
      </c>
      <c r="S10" s="640">
        <v>39581</v>
      </c>
      <c r="T10" s="640">
        <v>39588</v>
      </c>
      <c r="W10" s="76">
        <v>4238116.67</v>
      </c>
      <c r="X10" s="76"/>
      <c r="AA10" s="33">
        <v>7.125</v>
      </c>
      <c r="AB10" s="659">
        <v>43205</v>
      </c>
      <c r="AC10" s="92">
        <f t="shared" ref="AC10:AC25" si="0">(AB10-$AB$5)/365</f>
        <v>9.293150684931506</v>
      </c>
      <c r="AF10" s="161"/>
      <c r="AG10" s="190"/>
      <c r="AH10" s="77"/>
    </row>
    <row r="11" spans="1:34" ht="38.25">
      <c r="A11" s="18" t="s">
        <v>413</v>
      </c>
      <c r="B11" s="18"/>
      <c r="C11" s="18"/>
      <c r="D11" s="18"/>
      <c r="E11" s="26">
        <v>5</v>
      </c>
      <c r="F11" s="47" t="s">
        <v>397</v>
      </c>
      <c r="G11" s="20" t="s">
        <v>399</v>
      </c>
      <c r="H11" s="20"/>
      <c r="I11" s="20"/>
      <c r="J11" s="20"/>
      <c r="K11" s="26" t="s">
        <v>346</v>
      </c>
      <c r="L11" s="43">
        <v>3860000</v>
      </c>
      <c r="M11" s="26" t="s">
        <v>347</v>
      </c>
      <c r="N11" s="27">
        <v>96.29</v>
      </c>
      <c r="O11" s="25">
        <v>5.7894899999999998</v>
      </c>
      <c r="P11" s="32" t="s">
        <v>350</v>
      </c>
      <c r="Q11" s="20" t="s">
        <v>351</v>
      </c>
      <c r="R11" s="14" t="s">
        <v>352</v>
      </c>
      <c r="S11" s="640">
        <v>39582</v>
      </c>
      <c r="T11" s="640">
        <v>39588</v>
      </c>
      <c r="W11" s="76">
        <v>3751962.89</v>
      </c>
      <c r="X11" s="76"/>
      <c r="AA11" s="33">
        <v>5.125</v>
      </c>
      <c r="AB11" s="659">
        <v>42079</v>
      </c>
      <c r="AC11" s="92">
        <f t="shared" si="0"/>
        <v>6.2082191780821914</v>
      </c>
      <c r="AF11" s="161"/>
      <c r="AG11" s="190"/>
      <c r="AH11" s="77"/>
    </row>
    <row r="12" spans="1:34" ht="38.25">
      <c r="A12" s="94" t="s">
        <v>448</v>
      </c>
      <c r="B12" s="94"/>
      <c r="C12" s="94"/>
      <c r="D12" s="94"/>
      <c r="E12" s="34">
        <v>6</v>
      </c>
      <c r="F12" s="66" t="s">
        <v>449</v>
      </c>
      <c r="G12" s="39" t="s">
        <v>450</v>
      </c>
      <c r="H12" s="39"/>
      <c r="I12" s="39"/>
      <c r="J12" s="39"/>
      <c r="K12" s="65" t="s">
        <v>309</v>
      </c>
      <c r="L12" s="95">
        <v>1900000</v>
      </c>
      <c r="M12" s="34" t="s">
        <v>330</v>
      </c>
      <c r="N12" s="56">
        <v>98.066999999999993</v>
      </c>
      <c r="O12" s="36">
        <v>5.9360530000000002</v>
      </c>
      <c r="P12" s="57" t="s">
        <v>319</v>
      </c>
      <c r="Q12" s="58" t="s">
        <v>320</v>
      </c>
      <c r="R12" s="39" t="s">
        <v>321</v>
      </c>
      <c r="S12" s="643">
        <v>39597</v>
      </c>
      <c r="T12" s="643">
        <v>39604</v>
      </c>
      <c r="U12" s="102"/>
      <c r="V12" s="102"/>
      <c r="W12" s="98">
        <v>1882569.88</v>
      </c>
      <c r="X12" s="98">
        <f>SUM(W$10:W12)</f>
        <v>9872649.4400000013</v>
      </c>
      <c r="Y12" s="76">
        <f>SUM(W10:W12)*7.8</f>
        <v>77006665.632000014</v>
      </c>
      <c r="Z12" s="76"/>
      <c r="AA12" s="103">
        <v>5.625</v>
      </c>
      <c r="AB12" s="662">
        <v>42459</v>
      </c>
      <c r="AC12" s="101">
        <f t="shared" si="0"/>
        <v>7.2493150684931509</v>
      </c>
      <c r="AF12" s="161"/>
      <c r="AG12" s="190"/>
      <c r="AH12" s="77"/>
    </row>
    <row r="13" spans="1:34" ht="25.5">
      <c r="A13" s="33" t="s">
        <v>464</v>
      </c>
      <c r="B13" s="33"/>
      <c r="C13" s="18"/>
      <c r="D13" s="18"/>
      <c r="E13" s="13">
        <v>7</v>
      </c>
      <c r="F13" s="12" t="s">
        <v>410</v>
      </c>
      <c r="G13" s="14" t="s">
        <v>416</v>
      </c>
      <c r="H13" s="14"/>
      <c r="I13" s="14"/>
      <c r="J13" s="14"/>
      <c r="K13" s="13" t="s">
        <v>309</v>
      </c>
      <c r="L13" s="45">
        <v>2500000</v>
      </c>
      <c r="M13" s="19" t="s">
        <v>466</v>
      </c>
      <c r="N13" s="69">
        <v>99.43</v>
      </c>
      <c r="O13" s="13">
        <v>5.6341359999999998</v>
      </c>
      <c r="P13" s="22" t="s">
        <v>316</v>
      </c>
      <c r="Q13" s="17" t="s">
        <v>317</v>
      </c>
      <c r="R13" s="14" t="s">
        <v>318</v>
      </c>
      <c r="S13" s="640">
        <v>39604</v>
      </c>
      <c r="T13" s="640">
        <v>39611</v>
      </c>
      <c r="W13" s="76">
        <v>2507138.89</v>
      </c>
      <c r="X13" s="110"/>
      <c r="Y13" s="110"/>
      <c r="Z13" s="110"/>
      <c r="AA13" s="88">
        <v>5.5</v>
      </c>
      <c r="AB13" s="659">
        <v>41380</v>
      </c>
      <c r="AC13" s="104">
        <f t="shared" si="0"/>
        <v>4.2931506849315069</v>
      </c>
      <c r="AF13" s="161"/>
      <c r="AG13" s="190"/>
      <c r="AH13" s="77"/>
    </row>
    <row r="14" spans="1:34" ht="25.5">
      <c r="A14" s="33" t="s">
        <v>473</v>
      </c>
      <c r="B14" s="33"/>
      <c r="C14" s="18"/>
      <c r="D14" s="18"/>
      <c r="E14" s="13">
        <v>8</v>
      </c>
      <c r="F14" s="12" t="s">
        <v>435</v>
      </c>
      <c r="G14" s="14" t="s">
        <v>505</v>
      </c>
      <c r="H14" s="14"/>
      <c r="I14" s="14"/>
      <c r="J14" s="14"/>
      <c r="K14" s="13" t="s">
        <v>309</v>
      </c>
      <c r="L14" s="45">
        <f>3000000</f>
        <v>3000000</v>
      </c>
      <c r="M14" s="19" t="s">
        <v>466</v>
      </c>
      <c r="N14" s="69">
        <v>100.55</v>
      </c>
      <c r="O14" s="91">
        <v>6.9993220000000003</v>
      </c>
      <c r="P14" s="22" t="s">
        <v>316</v>
      </c>
      <c r="Q14" s="17" t="s">
        <v>317</v>
      </c>
      <c r="R14" s="14" t="s">
        <v>318</v>
      </c>
      <c r="S14" s="640">
        <v>39605</v>
      </c>
      <c r="T14" s="640">
        <v>39612</v>
      </c>
      <c r="W14" s="76">
        <v>3024812.5</v>
      </c>
      <c r="X14" s="110"/>
      <c r="Y14" s="110"/>
      <c r="Z14" s="110"/>
      <c r="AA14" s="88">
        <v>7.125</v>
      </c>
      <c r="AB14" s="659">
        <v>41653</v>
      </c>
      <c r="AC14" s="104">
        <f t="shared" si="0"/>
        <v>5.0410958904109586</v>
      </c>
      <c r="AF14" s="161"/>
      <c r="AG14" s="190"/>
      <c r="AH14" s="77"/>
    </row>
    <row r="15" spans="1:34" ht="25.5">
      <c r="A15" s="33" t="s">
        <v>469</v>
      </c>
      <c r="B15" s="33"/>
      <c r="C15" s="18"/>
      <c r="D15" s="18"/>
      <c r="E15" s="13">
        <v>9</v>
      </c>
      <c r="F15" s="47" t="s">
        <v>395</v>
      </c>
      <c r="G15" s="20" t="s">
        <v>396</v>
      </c>
      <c r="H15" s="20"/>
      <c r="I15" s="20"/>
      <c r="J15" s="20"/>
      <c r="K15" s="26" t="s">
        <v>329</v>
      </c>
      <c r="L15" s="43">
        <v>4000000</v>
      </c>
      <c r="M15" s="26" t="s">
        <v>330</v>
      </c>
      <c r="N15" s="42">
        <v>97.51</v>
      </c>
      <c r="O15" s="93">
        <v>5.7703689999999996</v>
      </c>
      <c r="P15" s="32" t="s">
        <v>470</v>
      </c>
      <c r="Q15" s="32" t="s">
        <v>471</v>
      </c>
      <c r="R15" s="14" t="s">
        <v>472</v>
      </c>
      <c r="S15" s="640">
        <v>39605</v>
      </c>
      <c r="T15" s="640">
        <v>39612</v>
      </c>
      <c r="W15" s="76">
        <v>3972150</v>
      </c>
      <c r="X15" s="110"/>
      <c r="Y15" s="110"/>
      <c r="Z15" s="110"/>
      <c r="AA15" s="33">
        <v>5.25</v>
      </c>
      <c r="AB15" s="659">
        <v>41680</v>
      </c>
      <c r="AC15" s="104">
        <f t="shared" si="0"/>
        <v>5.1150684931506847</v>
      </c>
      <c r="AF15" s="161"/>
      <c r="AG15" s="190"/>
      <c r="AH15" s="77"/>
    </row>
    <row r="16" spans="1:34" ht="25.5">
      <c r="A16" s="18" t="s">
        <v>480</v>
      </c>
      <c r="B16" s="18"/>
      <c r="C16" s="18"/>
      <c r="D16" s="18"/>
      <c r="E16" s="13">
        <v>10</v>
      </c>
      <c r="F16" s="47" t="s">
        <v>391</v>
      </c>
      <c r="G16" s="48" t="s">
        <v>390</v>
      </c>
      <c r="H16" s="48"/>
      <c r="I16" s="48"/>
      <c r="J16" s="48"/>
      <c r="K16" s="46" t="s">
        <v>329</v>
      </c>
      <c r="L16" s="49">
        <v>4000000</v>
      </c>
      <c r="M16" s="19" t="s">
        <v>466</v>
      </c>
      <c r="N16" s="69">
        <v>98.54</v>
      </c>
      <c r="O16" s="13">
        <v>5.8511420000000003</v>
      </c>
      <c r="P16" s="22" t="s">
        <v>453</v>
      </c>
      <c r="Q16" s="17" t="s">
        <v>454</v>
      </c>
      <c r="R16" s="29" t="s">
        <v>455</v>
      </c>
      <c r="S16" s="640">
        <v>39616</v>
      </c>
      <c r="T16" s="640">
        <v>39623</v>
      </c>
      <c r="W16" s="76">
        <v>3986211.11</v>
      </c>
      <c r="X16" s="110"/>
      <c r="Y16" s="110"/>
      <c r="Z16" s="110"/>
      <c r="AA16" s="33">
        <v>5.5</v>
      </c>
      <c r="AB16" s="659">
        <v>41375</v>
      </c>
      <c r="AC16" s="104">
        <f t="shared" si="0"/>
        <v>4.279452054794521</v>
      </c>
      <c r="AF16" s="161"/>
      <c r="AG16" s="190"/>
      <c r="AH16" s="77"/>
    </row>
    <row r="17" spans="1:34" ht="25.5">
      <c r="A17" s="33" t="s">
        <v>495</v>
      </c>
      <c r="B17" s="33"/>
      <c r="C17" s="18"/>
      <c r="D17" s="18"/>
      <c r="E17" s="13">
        <v>11</v>
      </c>
      <c r="F17" s="12" t="s">
        <v>435</v>
      </c>
      <c r="G17" s="14" t="s">
        <v>505</v>
      </c>
      <c r="H17" s="14"/>
      <c r="I17" s="14"/>
      <c r="J17" s="14"/>
      <c r="K17" s="13" t="s">
        <v>309</v>
      </c>
      <c r="L17" s="43">
        <v>1000000</v>
      </c>
      <c r="M17" s="19" t="s">
        <v>466</v>
      </c>
      <c r="N17" s="42">
        <v>100.375</v>
      </c>
      <c r="O17" s="93">
        <v>7.0362739999999997</v>
      </c>
      <c r="P17" s="22" t="s">
        <v>316</v>
      </c>
      <c r="Q17" s="17" t="s">
        <v>317</v>
      </c>
      <c r="R17" s="14" t="s">
        <v>318</v>
      </c>
      <c r="S17" s="640">
        <v>39619</v>
      </c>
      <c r="T17" s="640">
        <v>39626</v>
      </c>
      <c r="W17" s="76">
        <v>1009291.67</v>
      </c>
      <c r="X17" s="110"/>
      <c r="Y17" s="110"/>
      <c r="Z17" s="110"/>
      <c r="AA17" s="88">
        <v>7.125</v>
      </c>
      <c r="AB17" s="659">
        <v>41653</v>
      </c>
      <c r="AC17" s="104">
        <f t="shared" si="0"/>
        <v>5.0410958904109586</v>
      </c>
      <c r="AF17" s="161"/>
      <c r="AG17" s="190"/>
      <c r="AH17" s="77"/>
    </row>
    <row r="18" spans="1:34" ht="25.5">
      <c r="A18" s="18" t="s">
        <v>496</v>
      </c>
      <c r="B18" s="18"/>
      <c r="C18" s="18"/>
      <c r="D18" s="18"/>
      <c r="E18" s="26">
        <v>12</v>
      </c>
      <c r="F18" s="55" t="s">
        <v>449</v>
      </c>
      <c r="G18" s="53" t="s">
        <v>450</v>
      </c>
      <c r="H18" s="53"/>
      <c r="I18" s="53"/>
      <c r="J18" s="53"/>
      <c r="K18" s="91" t="s">
        <v>309</v>
      </c>
      <c r="L18" s="43">
        <v>2000000</v>
      </c>
      <c r="M18" s="19" t="s">
        <v>466</v>
      </c>
      <c r="N18" s="28">
        <v>97.775000000000006</v>
      </c>
      <c r="O18" s="30">
        <v>5.986027</v>
      </c>
      <c r="P18" s="32" t="s">
        <v>378</v>
      </c>
      <c r="Q18" s="32" t="s">
        <v>379</v>
      </c>
      <c r="R18" s="14" t="s">
        <v>380</v>
      </c>
      <c r="S18" s="640">
        <v>39619</v>
      </c>
      <c r="T18" s="640">
        <v>39626</v>
      </c>
      <c r="W18" s="76">
        <v>1982687.5</v>
      </c>
      <c r="X18" s="110"/>
      <c r="Y18" s="74"/>
      <c r="Z18" s="74"/>
      <c r="AA18" s="86">
        <v>5.625</v>
      </c>
      <c r="AB18" s="661">
        <v>42459</v>
      </c>
      <c r="AC18" s="104">
        <f t="shared" si="0"/>
        <v>7.2493150684931509</v>
      </c>
      <c r="AF18" s="161"/>
      <c r="AG18" s="190"/>
      <c r="AH18" s="77"/>
    </row>
    <row r="19" spans="1:34" ht="38.25">
      <c r="A19" s="18" t="s">
        <v>497</v>
      </c>
      <c r="B19" s="18"/>
      <c r="C19" s="18"/>
      <c r="D19" s="18"/>
      <c r="E19" s="26">
        <v>13</v>
      </c>
      <c r="F19" s="55" t="s">
        <v>493</v>
      </c>
      <c r="G19" s="53" t="s">
        <v>494</v>
      </c>
      <c r="H19" s="53"/>
      <c r="I19" s="53"/>
      <c r="J19" s="53"/>
      <c r="K19" s="91" t="s">
        <v>309</v>
      </c>
      <c r="L19" s="43">
        <v>3000000</v>
      </c>
      <c r="M19" s="19" t="s">
        <v>466</v>
      </c>
      <c r="N19" s="28">
        <v>97.81</v>
      </c>
      <c r="O19" s="30">
        <v>6.4541899999999996</v>
      </c>
      <c r="P19" s="111" t="s">
        <v>319</v>
      </c>
      <c r="Q19" s="112" t="s">
        <v>320</v>
      </c>
      <c r="R19" s="53" t="s">
        <v>321</v>
      </c>
      <c r="S19" s="640">
        <v>39619</v>
      </c>
      <c r="T19" s="640">
        <v>39626</v>
      </c>
      <c r="W19" s="76">
        <v>2978375</v>
      </c>
      <c r="X19" s="76"/>
      <c r="Y19" s="76"/>
      <c r="Z19" s="76"/>
      <c r="AA19" s="86">
        <v>6.15</v>
      </c>
      <c r="AB19" s="661">
        <v>43191</v>
      </c>
      <c r="AC19" s="104">
        <f t="shared" si="0"/>
        <v>9.2547945205479447</v>
      </c>
      <c r="AF19" s="161"/>
      <c r="AG19" s="190"/>
      <c r="AH19" s="77"/>
    </row>
    <row r="20" spans="1:34" ht="25.5">
      <c r="A20" s="18" t="s">
        <v>498</v>
      </c>
      <c r="B20" s="18"/>
      <c r="C20" s="18"/>
      <c r="D20" s="18"/>
      <c r="E20" s="26">
        <v>14</v>
      </c>
      <c r="F20" s="47" t="s">
        <v>488</v>
      </c>
      <c r="G20" s="48" t="s">
        <v>499</v>
      </c>
      <c r="H20" s="48"/>
      <c r="I20" s="48"/>
      <c r="J20" s="48"/>
      <c r="K20" s="91" t="s">
        <v>309</v>
      </c>
      <c r="L20" s="43">
        <v>1000000</v>
      </c>
      <c r="M20" s="19" t="s">
        <v>466</v>
      </c>
      <c r="N20" s="28">
        <v>96.28</v>
      </c>
      <c r="O20" s="30">
        <v>6.5423499999999999</v>
      </c>
      <c r="P20" s="22" t="s">
        <v>316</v>
      </c>
      <c r="Q20" s="17" t="s">
        <v>317</v>
      </c>
      <c r="R20" s="14" t="s">
        <v>318</v>
      </c>
      <c r="S20" s="640">
        <v>39619</v>
      </c>
      <c r="T20" s="640">
        <v>39626</v>
      </c>
      <c r="W20" s="76">
        <v>980133.33</v>
      </c>
      <c r="X20" s="76"/>
      <c r="Y20" s="76"/>
      <c r="Z20" s="76"/>
      <c r="AA20" s="88">
        <v>7.125</v>
      </c>
      <c r="AB20" s="659">
        <v>41653</v>
      </c>
      <c r="AC20" s="104">
        <f t="shared" si="0"/>
        <v>5.0410958904109586</v>
      </c>
      <c r="AF20" s="161"/>
      <c r="AG20" s="190"/>
      <c r="AH20" s="77"/>
    </row>
    <row r="21" spans="1:34" ht="25.5">
      <c r="A21" s="94" t="s">
        <v>502</v>
      </c>
      <c r="B21" s="94"/>
      <c r="C21" s="94"/>
      <c r="D21" s="94"/>
      <c r="E21" s="65">
        <v>15</v>
      </c>
      <c r="F21" s="35" t="s">
        <v>371</v>
      </c>
      <c r="G21" s="38" t="s">
        <v>383</v>
      </c>
      <c r="H21" s="38"/>
      <c r="I21" s="38"/>
      <c r="J21" s="38"/>
      <c r="K21" s="34" t="s">
        <v>329</v>
      </c>
      <c r="L21" s="44">
        <v>3500000</v>
      </c>
      <c r="M21" s="68" t="s">
        <v>466</v>
      </c>
      <c r="N21" s="96">
        <v>111.125</v>
      </c>
      <c r="O21" s="65">
        <v>6.7906000000000004</v>
      </c>
      <c r="P21" s="37" t="s">
        <v>378</v>
      </c>
      <c r="Q21" s="37" t="s">
        <v>379</v>
      </c>
      <c r="R21" s="39" t="s">
        <v>380</v>
      </c>
      <c r="S21" s="643">
        <v>39629</v>
      </c>
      <c r="T21" s="643">
        <v>39636</v>
      </c>
      <c r="U21" s="79"/>
      <c r="V21" s="79"/>
      <c r="W21" s="97">
        <v>4007128.25</v>
      </c>
      <c r="X21" s="98">
        <f>SUM(W$13:W21)</f>
        <v>24447928.25</v>
      </c>
      <c r="Y21" s="76">
        <f>SUM(W13:W21)*7.8</f>
        <v>190693840.34999999</v>
      </c>
      <c r="Z21" s="76"/>
      <c r="AA21" s="99">
        <v>9.625</v>
      </c>
      <c r="AB21" s="662">
        <v>41334</v>
      </c>
      <c r="AC21" s="101">
        <f t="shared" si="0"/>
        <v>4.1671232876712327</v>
      </c>
      <c r="AD21" s="92"/>
      <c r="AF21" s="161"/>
      <c r="AG21" s="190"/>
      <c r="AH21" s="77"/>
    </row>
    <row r="22" spans="1:34" ht="25.5">
      <c r="A22" s="73">
        <v>418</v>
      </c>
      <c r="B22" s="73"/>
      <c r="C22" s="73"/>
      <c r="D22" s="73"/>
      <c r="E22" s="91">
        <v>16</v>
      </c>
      <c r="F22" s="55" t="s">
        <v>435</v>
      </c>
      <c r="G22" s="53" t="s">
        <v>505</v>
      </c>
      <c r="H22" s="53"/>
      <c r="I22" s="53"/>
      <c r="J22" s="53"/>
      <c r="K22" s="91" t="s">
        <v>309</v>
      </c>
      <c r="L22" s="49">
        <v>1000000</v>
      </c>
      <c r="M22" s="113" t="s">
        <v>466</v>
      </c>
      <c r="N22" s="114">
        <v>99</v>
      </c>
      <c r="O22" s="91">
        <v>7.3423439999999998</v>
      </c>
      <c r="P22" s="111" t="s">
        <v>325</v>
      </c>
      <c r="Q22" s="112" t="s">
        <v>326</v>
      </c>
      <c r="R22" s="53" t="s">
        <v>327</v>
      </c>
      <c r="S22" s="642">
        <v>39639</v>
      </c>
      <c r="T22" s="642">
        <v>39646</v>
      </c>
      <c r="U22" s="74"/>
      <c r="V22" s="74"/>
      <c r="W22" s="143">
        <v>999500</v>
      </c>
      <c r="X22" s="110"/>
      <c r="Y22" s="110"/>
      <c r="Z22" s="110"/>
      <c r="AA22" s="115">
        <v>7.125</v>
      </c>
      <c r="AB22" s="661">
        <v>41653</v>
      </c>
      <c r="AC22" s="104">
        <f t="shared" si="0"/>
        <v>5.0410958904109586</v>
      </c>
      <c r="AD22" s="92"/>
      <c r="AF22" s="161"/>
      <c r="AG22" s="190"/>
      <c r="AH22" s="77"/>
    </row>
    <row r="23" spans="1:34" ht="25.5">
      <c r="A23" s="103" t="s">
        <v>537</v>
      </c>
      <c r="B23" s="103"/>
      <c r="C23" s="94"/>
      <c r="D23" s="94"/>
      <c r="E23" s="65">
        <v>17</v>
      </c>
      <c r="F23" s="142" t="s">
        <v>536</v>
      </c>
      <c r="G23" s="39" t="s">
        <v>540</v>
      </c>
      <c r="H23" s="39"/>
      <c r="I23" s="39"/>
      <c r="J23" s="39"/>
      <c r="K23" s="65" t="s">
        <v>309</v>
      </c>
      <c r="L23" s="44">
        <v>1000000</v>
      </c>
      <c r="M23" s="34" t="s">
        <v>330</v>
      </c>
      <c r="N23" s="96">
        <v>99.319000000000003</v>
      </c>
      <c r="O23" s="65">
        <v>6.343</v>
      </c>
      <c r="P23" s="57" t="s">
        <v>310</v>
      </c>
      <c r="Q23" s="58" t="s">
        <v>538</v>
      </c>
      <c r="R23" s="39" t="s">
        <v>539</v>
      </c>
      <c r="S23" s="643">
        <v>39660</v>
      </c>
      <c r="T23" s="643">
        <v>39667</v>
      </c>
      <c r="U23" s="79"/>
      <c r="V23" s="79"/>
      <c r="W23" s="97">
        <v>999501</v>
      </c>
      <c r="X23" s="98">
        <f>SUM(W$22:W23)</f>
        <v>1999001</v>
      </c>
      <c r="Y23" s="76">
        <f>SUM(W22:W23)*7.8</f>
        <v>15592207.799999999</v>
      </c>
      <c r="Z23" s="76"/>
      <c r="AA23" s="99">
        <v>6.25</v>
      </c>
      <c r="AB23" s="662">
        <v>43319</v>
      </c>
      <c r="AC23" s="101">
        <f t="shared" si="0"/>
        <v>9.6054794520547944</v>
      </c>
      <c r="AD23" s="92"/>
      <c r="AF23" s="161"/>
      <c r="AG23" s="190"/>
      <c r="AH23" s="77"/>
    </row>
    <row r="24" spans="1:34" ht="38.25">
      <c r="A24" s="86" t="s">
        <v>554</v>
      </c>
      <c r="B24" s="86"/>
      <c r="C24" s="73"/>
      <c r="D24" s="73"/>
      <c r="E24" s="91">
        <v>18</v>
      </c>
      <c r="F24" s="47" t="s">
        <v>533</v>
      </c>
      <c r="G24" s="53" t="s">
        <v>534</v>
      </c>
      <c r="H24" s="53"/>
      <c r="I24" s="53"/>
      <c r="J24" s="53"/>
      <c r="K24" s="91" t="s">
        <v>309</v>
      </c>
      <c r="L24" s="63">
        <v>3000000</v>
      </c>
      <c r="M24" s="113" t="s">
        <v>466</v>
      </c>
      <c r="N24" s="114">
        <v>96.835999999999999</v>
      </c>
      <c r="O24" s="91">
        <v>6.0310269999999999</v>
      </c>
      <c r="P24" s="111" t="s">
        <v>325</v>
      </c>
      <c r="Q24" s="112" t="s">
        <v>553</v>
      </c>
      <c r="R24" s="53" t="s">
        <v>327</v>
      </c>
      <c r="S24" s="642">
        <v>39702</v>
      </c>
      <c r="T24" s="642">
        <v>39708</v>
      </c>
      <c r="U24" s="74"/>
      <c r="V24" s="74"/>
      <c r="W24" s="143">
        <v>2906455</v>
      </c>
      <c r="X24" s="64"/>
      <c r="Y24" s="64"/>
      <c r="Z24" s="64"/>
      <c r="AA24" s="86">
        <v>5.625</v>
      </c>
      <c r="AB24" s="661">
        <v>42459</v>
      </c>
      <c r="AC24" s="104">
        <f t="shared" si="0"/>
        <v>7.2493150684931509</v>
      </c>
      <c r="AD24" s="92"/>
      <c r="AF24" s="161"/>
      <c r="AG24" s="190"/>
      <c r="AH24" s="77"/>
    </row>
    <row r="25" spans="1:34" ht="25.5">
      <c r="A25" s="86" t="s">
        <v>560</v>
      </c>
      <c r="B25" s="86"/>
      <c r="C25" s="73"/>
      <c r="D25" s="73"/>
      <c r="E25" s="91">
        <v>19</v>
      </c>
      <c r="F25" s="47" t="s">
        <v>559</v>
      </c>
      <c r="G25" s="109" t="s">
        <v>561</v>
      </c>
      <c r="H25" s="109"/>
      <c r="I25" s="109"/>
      <c r="J25" s="109"/>
      <c r="K25" s="26" t="s">
        <v>465</v>
      </c>
      <c r="L25" s="24">
        <v>2500000</v>
      </c>
      <c r="M25" s="26" t="s">
        <v>466</v>
      </c>
      <c r="N25" s="114">
        <v>92.77</v>
      </c>
      <c r="O25" s="91">
        <v>6.4998870000000002</v>
      </c>
      <c r="P25" s="32" t="s">
        <v>353</v>
      </c>
      <c r="Q25" s="20" t="s">
        <v>344</v>
      </c>
      <c r="R25" s="14" t="s">
        <v>445</v>
      </c>
      <c r="S25" s="642">
        <v>39714</v>
      </c>
      <c r="T25" s="642">
        <v>39717</v>
      </c>
      <c r="U25" s="74"/>
      <c r="V25" s="74"/>
      <c r="W25" s="143">
        <v>2325968.75</v>
      </c>
      <c r="X25" s="64"/>
      <c r="Y25" s="64"/>
      <c r="Z25" s="64"/>
      <c r="AA25" s="86">
        <v>5.375</v>
      </c>
      <c r="AB25" s="661">
        <v>42812</v>
      </c>
      <c r="AC25" s="104">
        <f t="shared" si="0"/>
        <v>8.2164383561643834</v>
      </c>
      <c r="AD25" s="92"/>
      <c r="AF25" s="161"/>
      <c r="AG25" s="190"/>
      <c r="AH25" s="77"/>
    </row>
    <row r="26" spans="1:34">
      <c r="A26" s="86"/>
      <c r="B26" s="86"/>
      <c r="C26" s="73"/>
      <c r="D26" s="73"/>
      <c r="E26" s="91"/>
      <c r="F26" s="163"/>
      <c r="G26" s="53"/>
      <c r="H26" s="53"/>
      <c r="I26" s="53"/>
      <c r="J26" s="53"/>
      <c r="K26" s="91"/>
      <c r="L26" s="49"/>
      <c r="M26" s="46"/>
      <c r="N26" s="114"/>
      <c r="O26" s="91"/>
      <c r="P26" s="111"/>
      <c r="Q26" s="112"/>
      <c r="R26" s="53"/>
      <c r="S26" s="642"/>
      <c r="T26" s="642"/>
      <c r="U26" s="74"/>
      <c r="V26" s="74"/>
      <c r="W26" s="143"/>
      <c r="X26" s="64"/>
      <c r="Y26" s="64"/>
      <c r="Z26" s="64"/>
      <c r="AA26" s="115"/>
      <c r="AB26" s="661"/>
      <c r="AC26" s="104"/>
      <c r="AD26" s="92"/>
    </row>
    <row r="27" spans="1:34">
      <c r="A27" s="202"/>
      <c r="B27" s="202"/>
      <c r="C27" s="120"/>
      <c r="D27" s="120"/>
      <c r="E27" s="121"/>
      <c r="F27" s="207"/>
      <c r="G27" s="124"/>
      <c r="H27" s="124"/>
      <c r="I27" s="124"/>
      <c r="J27" s="124"/>
      <c r="K27" s="121"/>
      <c r="L27" s="208"/>
      <c r="M27" s="197"/>
      <c r="N27" s="123"/>
      <c r="O27" s="121"/>
      <c r="P27" s="145"/>
      <c r="Q27" s="146"/>
      <c r="R27" s="124"/>
      <c r="S27" s="652"/>
      <c r="T27" s="652"/>
      <c r="U27" s="126"/>
      <c r="V27" s="126"/>
      <c r="W27" s="127"/>
      <c r="X27" s="200"/>
      <c r="Y27" s="200"/>
      <c r="Z27" s="200"/>
      <c r="AA27" s="129"/>
      <c r="AB27" s="663"/>
      <c r="AC27" s="131"/>
      <c r="AD27" s="131"/>
      <c r="AE27" s="200"/>
      <c r="AF27" s="200"/>
      <c r="AG27" s="196"/>
      <c r="AH27" s="126"/>
    </row>
    <row r="28" spans="1:34">
      <c r="A28" s="86"/>
      <c r="B28" s="86"/>
      <c r="C28" s="73"/>
      <c r="D28" s="73"/>
      <c r="E28" s="91"/>
      <c r="F28" s="163"/>
      <c r="G28" s="53"/>
      <c r="H28" s="53"/>
      <c r="I28" s="53"/>
      <c r="J28" s="53"/>
      <c r="K28" s="91"/>
      <c r="L28" s="49"/>
      <c r="M28" s="46"/>
      <c r="N28" s="114"/>
      <c r="O28" s="91"/>
      <c r="P28" s="111"/>
      <c r="Q28" s="112"/>
      <c r="R28" s="53"/>
      <c r="S28" s="642"/>
      <c r="T28" s="642"/>
      <c r="U28" s="74"/>
      <c r="V28" s="74"/>
      <c r="W28" s="143"/>
      <c r="X28" s="64"/>
      <c r="Y28" s="64"/>
      <c r="Z28" s="64"/>
      <c r="AA28" s="115"/>
      <c r="AB28" s="661"/>
      <c r="AC28" s="104"/>
      <c r="AD28" s="92"/>
    </row>
    <row r="29" spans="1:34" ht="38.25">
      <c r="A29" s="94" t="s">
        <v>618</v>
      </c>
      <c r="B29" s="94">
        <v>2.66</v>
      </c>
      <c r="C29" s="94"/>
      <c r="D29" s="94"/>
      <c r="E29" s="65">
        <v>20</v>
      </c>
      <c r="F29" s="66" t="s">
        <v>582</v>
      </c>
      <c r="G29" s="39" t="s">
        <v>577</v>
      </c>
      <c r="H29" s="58" t="s">
        <v>575</v>
      </c>
      <c r="I29" s="58" t="s">
        <v>576</v>
      </c>
      <c r="J29" s="211">
        <f>(AB29-S29)/365</f>
        <v>7.8931506849315065</v>
      </c>
      <c r="K29" s="34" t="s">
        <v>309</v>
      </c>
      <c r="L29" s="95">
        <v>1000000</v>
      </c>
      <c r="M29" s="34" t="s">
        <v>466</v>
      </c>
      <c r="N29" s="96">
        <v>101.81</v>
      </c>
      <c r="O29" s="65">
        <v>7.1594160000000002</v>
      </c>
      <c r="P29" s="37" t="s">
        <v>353</v>
      </c>
      <c r="Q29" s="212" t="s">
        <v>578</v>
      </c>
      <c r="R29" s="39" t="s">
        <v>579</v>
      </c>
      <c r="S29" s="643">
        <v>39862</v>
      </c>
      <c r="T29" s="643">
        <v>39867</v>
      </c>
      <c r="U29" s="41"/>
      <c r="V29" s="41"/>
      <c r="W29" s="98">
        <v>1022652.78</v>
      </c>
      <c r="X29" s="41"/>
      <c r="Y29" s="78"/>
      <c r="Z29" s="78"/>
      <c r="AA29" s="103">
        <v>7.45</v>
      </c>
      <c r="AB29" s="662">
        <v>42743</v>
      </c>
      <c r="AC29" s="101">
        <f>(AB29-$AG$22)/365</f>
        <v>117.1041095890411</v>
      </c>
      <c r="AD29" s="103"/>
      <c r="AE29" s="100"/>
      <c r="AF29" s="162"/>
      <c r="AG29" s="206"/>
      <c r="AH29" s="78"/>
    </row>
    <row r="30" spans="1:34" s="64" customFormat="1" ht="25.5">
      <c r="A30" s="94" t="s">
        <v>661</v>
      </c>
      <c r="B30" s="94">
        <v>2.84</v>
      </c>
      <c r="C30" s="94"/>
      <c r="D30" s="94"/>
      <c r="E30" s="65">
        <v>21</v>
      </c>
      <c r="F30" s="66" t="s">
        <v>629</v>
      </c>
      <c r="G30" s="39" t="s">
        <v>630</v>
      </c>
      <c r="H30" s="58" t="s">
        <v>631</v>
      </c>
      <c r="I30" s="58" t="s">
        <v>632</v>
      </c>
      <c r="J30" s="211">
        <f>(AB30-S30)/365</f>
        <v>9.1643835616438363</v>
      </c>
      <c r="K30" s="34" t="s">
        <v>309</v>
      </c>
      <c r="L30" s="140">
        <v>600000</v>
      </c>
      <c r="M30" s="34" t="s">
        <v>466</v>
      </c>
      <c r="N30" s="96">
        <v>103.48</v>
      </c>
      <c r="O30" s="65">
        <v>6.6102650000000001</v>
      </c>
      <c r="P30" s="209" t="s">
        <v>633</v>
      </c>
      <c r="Q30" s="38" t="s">
        <v>634</v>
      </c>
      <c r="R30" s="141" t="s">
        <v>635</v>
      </c>
      <c r="S30" s="643">
        <v>39924</v>
      </c>
      <c r="T30" s="643">
        <v>39927</v>
      </c>
      <c r="U30" s="41"/>
      <c r="V30" s="41"/>
      <c r="W30" s="98">
        <v>635842.5</v>
      </c>
      <c r="X30" s="41"/>
      <c r="Y30" s="78"/>
      <c r="Z30" s="78"/>
      <c r="AA30" s="103">
        <v>7.125</v>
      </c>
      <c r="AB30" s="662">
        <v>43269</v>
      </c>
      <c r="AC30" s="101">
        <f>(AB30-$AG$22)/365</f>
        <v>118.54520547945205</v>
      </c>
      <c r="AD30" s="103"/>
      <c r="AE30" s="100"/>
      <c r="AF30" s="162"/>
      <c r="AG30" s="206"/>
      <c r="AH30" s="78"/>
    </row>
    <row r="31" spans="1:34" ht="25.5">
      <c r="A31" s="94" t="s">
        <v>728</v>
      </c>
      <c r="B31" s="94">
        <v>2.6059999999999999</v>
      </c>
      <c r="C31" s="94"/>
      <c r="D31" s="94"/>
      <c r="E31" s="65">
        <v>22</v>
      </c>
      <c r="F31" s="66" t="s">
        <v>729</v>
      </c>
      <c r="G31" s="39" t="s">
        <v>730</v>
      </c>
      <c r="H31" s="58" t="s">
        <v>725</v>
      </c>
      <c r="I31" s="58" t="s">
        <v>576</v>
      </c>
      <c r="J31" s="205">
        <f>(AB31-S31)/365</f>
        <v>5.0082191780821921</v>
      </c>
      <c r="K31" s="34" t="s">
        <v>465</v>
      </c>
      <c r="L31" s="140">
        <v>300000</v>
      </c>
      <c r="M31" s="34" t="s">
        <v>466</v>
      </c>
      <c r="N31" s="96">
        <v>99.771000000000001</v>
      </c>
      <c r="O31" s="65">
        <v>7.356115</v>
      </c>
      <c r="P31" s="209" t="s">
        <v>633</v>
      </c>
      <c r="Q31" s="38" t="s">
        <v>634</v>
      </c>
      <c r="R31" s="141" t="s">
        <v>635</v>
      </c>
      <c r="S31" s="643">
        <v>40024</v>
      </c>
      <c r="T31" s="643">
        <v>40031</v>
      </c>
      <c r="U31" s="41"/>
      <c r="V31" s="41"/>
      <c r="W31" s="98">
        <v>299313</v>
      </c>
      <c r="X31" s="98"/>
      <c r="Y31" s="78"/>
      <c r="Z31" s="78"/>
      <c r="AA31" s="103">
        <v>7.3</v>
      </c>
      <c r="AB31" s="662">
        <v>41852</v>
      </c>
      <c r="AC31" s="101">
        <f>(AB31-$AG$22)/365</f>
        <v>114.66301369863014</v>
      </c>
      <c r="AD31" s="103"/>
      <c r="AE31" s="100"/>
      <c r="AF31" s="162"/>
      <c r="AG31" s="206"/>
      <c r="AH31" s="78"/>
    </row>
    <row r="32" spans="1:34" ht="51">
      <c r="A32" s="73" t="s">
        <v>737</v>
      </c>
      <c r="B32" s="73">
        <v>3.49</v>
      </c>
      <c r="C32" s="73"/>
      <c r="D32" s="73"/>
      <c r="E32" s="91">
        <v>23</v>
      </c>
      <c r="F32" s="55" t="s">
        <v>734</v>
      </c>
      <c r="G32" s="53" t="s">
        <v>735</v>
      </c>
      <c r="H32" s="112" t="s">
        <v>725</v>
      </c>
      <c r="I32" s="112" t="s">
        <v>576</v>
      </c>
      <c r="J32" s="204">
        <f>(AB32-S32)/365</f>
        <v>9.9863013698630141</v>
      </c>
      <c r="K32" s="46" t="s">
        <v>465</v>
      </c>
      <c r="L32" s="24">
        <v>1000000</v>
      </c>
      <c r="M32" s="46" t="s">
        <v>466</v>
      </c>
      <c r="N32" s="114">
        <v>101.64700000000001</v>
      </c>
      <c r="O32" s="91">
        <v>7.3879919999999997</v>
      </c>
      <c r="P32" s="203" t="s">
        <v>636</v>
      </c>
      <c r="Q32" s="20" t="s">
        <v>738</v>
      </c>
      <c r="R32" s="29" t="s">
        <v>739</v>
      </c>
      <c r="S32" s="642">
        <v>40045</v>
      </c>
      <c r="T32" s="642">
        <v>40050</v>
      </c>
      <c r="U32" s="74"/>
      <c r="V32" s="74"/>
      <c r="W32" s="143">
        <v>1019011.67</v>
      </c>
      <c r="X32" s="143"/>
      <c r="Y32" s="110"/>
      <c r="Z32" s="110"/>
      <c r="AA32" s="86">
        <v>7.625</v>
      </c>
      <c r="AB32" s="661">
        <v>43690</v>
      </c>
      <c r="AC32" s="101">
        <f>(AB32-$AG$22)/365</f>
        <v>119.6986301369863</v>
      </c>
      <c r="AD32" s="86"/>
      <c r="AE32" s="87"/>
      <c r="AF32" s="162"/>
      <c r="AG32" s="206"/>
      <c r="AH32" s="78"/>
    </row>
    <row r="33" spans="1:36" s="200" customFormat="1">
      <c r="A33" s="120"/>
      <c r="B33" s="120"/>
      <c r="C33" s="120"/>
      <c r="D33" s="120"/>
      <c r="E33" s="121"/>
      <c r="F33" s="193"/>
      <c r="G33" s="124"/>
      <c r="H33" s="146"/>
      <c r="I33" s="146"/>
      <c r="J33" s="230"/>
      <c r="K33" s="197"/>
      <c r="L33" s="144"/>
      <c r="M33" s="197"/>
      <c r="N33" s="123"/>
      <c r="O33" s="121"/>
      <c r="P33" s="194"/>
      <c r="Q33" s="231"/>
      <c r="R33" s="124"/>
      <c r="S33" s="652"/>
      <c r="T33" s="652"/>
      <c r="U33" s="125"/>
      <c r="V33" s="125"/>
      <c r="W33" s="128"/>
      <c r="X33" s="125"/>
      <c r="Y33" s="201"/>
      <c r="Z33" s="201"/>
      <c r="AA33" s="202"/>
      <c r="AB33" s="663"/>
      <c r="AC33" s="131"/>
      <c r="AD33" s="202"/>
      <c r="AE33" s="130"/>
      <c r="AF33" s="232"/>
      <c r="AG33" s="196"/>
      <c r="AH33" s="201"/>
    </row>
    <row r="34" spans="1:36" s="64" customFormat="1">
      <c r="A34" s="73"/>
      <c r="B34" s="73"/>
      <c r="C34" s="73"/>
      <c r="D34" s="73"/>
      <c r="E34" s="91"/>
      <c r="F34" s="55"/>
      <c r="G34" s="53"/>
      <c r="H34" s="112"/>
      <c r="I34" s="112"/>
      <c r="J34" s="233"/>
      <c r="K34" s="46"/>
      <c r="L34" s="63"/>
      <c r="M34" s="46"/>
      <c r="N34" s="114"/>
      <c r="O34" s="91"/>
      <c r="P34" s="52"/>
      <c r="Q34" s="168"/>
      <c r="R34" s="53"/>
      <c r="S34" s="642"/>
      <c r="T34" s="642"/>
      <c r="U34" s="54"/>
      <c r="V34" s="54"/>
      <c r="W34" s="110"/>
      <c r="X34" s="54"/>
      <c r="Y34" s="117"/>
      <c r="Z34" s="117"/>
      <c r="AA34" s="86"/>
      <c r="AB34" s="661"/>
      <c r="AC34" s="104"/>
      <c r="AD34" s="86"/>
      <c r="AE34" s="87"/>
      <c r="AF34" s="214"/>
      <c r="AG34" s="234"/>
      <c r="AH34" s="117"/>
    </row>
    <row r="35" spans="1:36" ht="38.25">
      <c r="A35" s="73" t="s">
        <v>754</v>
      </c>
      <c r="B35" s="73">
        <v>3.17</v>
      </c>
      <c r="C35" s="73"/>
      <c r="D35" s="73"/>
      <c r="E35" s="91">
        <v>24</v>
      </c>
      <c r="F35" s="55" t="s">
        <v>755</v>
      </c>
      <c r="G35" s="53" t="s">
        <v>751</v>
      </c>
      <c r="H35" s="112" t="s">
        <v>747</v>
      </c>
      <c r="I35" s="112" t="s">
        <v>700</v>
      </c>
      <c r="J35" s="204">
        <f t="shared" ref="J35:J40" si="1">(AB35-S35)/365</f>
        <v>9.7232876712328764</v>
      </c>
      <c r="K35" s="46" t="s">
        <v>465</v>
      </c>
      <c r="L35" s="24">
        <v>1000000</v>
      </c>
      <c r="M35" s="167" t="s">
        <v>92</v>
      </c>
      <c r="N35" s="114">
        <v>96.71</v>
      </c>
      <c r="O35" s="91">
        <v>6.0008811</v>
      </c>
      <c r="P35" s="203" t="s">
        <v>756</v>
      </c>
      <c r="Q35" s="203" t="s">
        <v>757</v>
      </c>
      <c r="R35" s="29" t="s">
        <v>758</v>
      </c>
      <c r="S35" s="642">
        <v>40323</v>
      </c>
      <c r="T35" s="642">
        <v>40326</v>
      </c>
      <c r="U35" s="73" t="s">
        <v>759</v>
      </c>
      <c r="V35" s="74"/>
      <c r="W35" s="143">
        <v>983595.83</v>
      </c>
      <c r="X35" s="143">
        <v>7.76</v>
      </c>
      <c r="Y35" s="117">
        <f>W35*$X$35</f>
        <v>7632703.6407999992</v>
      </c>
      <c r="Z35" s="117"/>
      <c r="AA35" s="86">
        <v>5.55</v>
      </c>
      <c r="AB35" s="661">
        <v>43872</v>
      </c>
      <c r="AC35" s="92">
        <f t="shared" ref="AC35:AC44" si="2">(AB35-$AG$33)/365</f>
        <v>120.1972602739726</v>
      </c>
      <c r="AD35" s="92"/>
      <c r="AF35" s="162"/>
      <c r="AG35" s="206"/>
      <c r="AH35" s="78"/>
    </row>
    <row r="36" spans="1:36" s="102" customFormat="1" ht="25.5">
      <c r="A36" s="94" t="s">
        <v>556</v>
      </c>
      <c r="B36" s="94">
        <v>3.27</v>
      </c>
      <c r="C36" s="94"/>
      <c r="D36" s="94"/>
      <c r="E36" s="65">
        <v>25</v>
      </c>
      <c r="F36" s="66" t="s">
        <v>767</v>
      </c>
      <c r="G36" s="39" t="s">
        <v>766</v>
      </c>
      <c r="H36" s="58" t="s">
        <v>698</v>
      </c>
      <c r="I36" s="58" t="s">
        <v>576</v>
      </c>
      <c r="J36" s="205">
        <f t="shared" si="1"/>
        <v>9.6410958904109592</v>
      </c>
      <c r="K36" s="34" t="s">
        <v>465</v>
      </c>
      <c r="L36" s="140">
        <v>1000000</v>
      </c>
      <c r="M36" s="34" t="s">
        <v>466</v>
      </c>
      <c r="N36" s="96">
        <v>98.349000000000004</v>
      </c>
      <c r="O36" s="65">
        <v>6.2296405000000004</v>
      </c>
      <c r="P36" s="209" t="s">
        <v>749</v>
      </c>
      <c r="Q36" s="38" t="s">
        <v>344</v>
      </c>
      <c r="R36" s="141" t="s">
        <v>768</v>
      </c>
      <c r="S36" s="643">
        <v>40325</v>
      </c>
      <c r="T36" s="643">
        <v>40331</v>
      </c>
      <c r="U36" s="245" t="s">
        <v>760</v>
      </c>
      <c r="V36" s="79"/>
      <c r="W36" s="97">
        <v>1006490</v>
      </c>
      <c r="X36" s="97"/>
      <c r="Y36" s="78">
        <f>W36*$X$35</f>
        <v>7810362.3999999994</v>
      </c>
      <c r="Z36" s="78"/>
      <c r="AA36" s="103">
        <v>6</v>
      </c>
      <c r="AB36" s="662">
        <v>43844</v>
      </c>
      <c r="AC36" s="101">
        <f t="shared" si="2"/>
        <v>120.12054794520547</v>
      </c>
      <c r="AD36" s="101"/>
      <c r="AF36" s="162"/>
      <c r="AG36" s="206"/>
      <c r="AH36" s="78"/>
    </row>
    <row r="37" spans="1:36" s="74" customFormat="1" ht="38.25">
      <c r="A37" s="73" t="s">
        <v>790</v>
      </c>
      <c r="B37" s="73">
        <v>3.24</v>
      </c>
      <c r="C37" s="73"/>
      <c r="D37" s="73"/>
      <c r="E37" s="305">
        <f t="shared" ref="E37:E48" si="3">E36+1</f>
        <v>26</v>
      </c>
      <c r="F37" s="55" t="s">
        <v>785</v>
      </c>
      <c r="G37" s="109" t="s">
        <v>786</v>
      </c>
      <c r="H37" s="17" t="s">
        <v>787</v>
      </c>
      <c r="I37" s="17" t="s">
        <v>789</v>
      </c>
      <c r="J37" s="204">
        <f t="shared" si="1"/>
        <v>10.013698630136986</v>
      </c>
      <c r="K37" s="46" t="s">
        <v>465</v>
      </c>
      <c r="L37" s="24">
        <v>100000</v>
      </c>
      <c r="M37" s="167" t="s">
        <v>92</v>
      </c>
      <c r="N37" s="114">
        <v>100.343</v>
      </c>
      <c r="O37" s="91">
        <v>6.8270556999999998</v>
      </c>
      <c r="P37" s="32" t="s">
        <v>355</v>
      </c>
      <c r="Q37" s="20" t="s">
        <v>648</v>
      </c>
      <c r="R37" s="14" t="s">
        <v>649</v>
      </c>
      <c r="S37" s="642">
        <v>40351</v>
      </c>
      <c r="T37" s="642">
        <v>40354</v>
      </c>
      <c r="U37" s="229" t="s">
        <v>760</v>
      </c>
      <c r="W37" s="143">
        <v>100362.1</v>
      </c>
      <c r="X37" s="143"/>
      <c r="Y37" s="117">
        <f>W37*$X$35</f>
        <v>778809.89600000007</v>
      </c>
      <c r="Z37" s="117"/>
      <c r="AA37" s="86">
        <v>6.875</v>
      </c>
      <c r="AB37" s="661">
        <v>44006</v>
      </c>
      <c r="AC37" s="92">
        <f t="shared" si="2"/>
        <v>120.56438356164384</v>
      </c>
      <c r="AD37" s="104"/>
      <c r="AF37" s="162"/>
      <c r="AG37" s="206"/>
      <c r="AH37" s="78"/>
      <c r="AI37" s="117"/>
    </row>
    <row r="38" spans="1:36" s="102" customFormat="1" ht="16.5">
      <c r="A38" s="94" t="s">
        <v>798</v>
      </c>
      <c r="B38" s="94" t="s">
        <v>799</v>
      </c>
      <c r="C38" s="94"/>
      <c r="D38" s="94"/>
      <c r="E38" s="306">
        <f t="shared" si="3"/>
        <v>27</v>
      </c>
      <c r="F38" s="66" t="s">
        <v>792</v>
      </c>
      <c r="G38" s="39" t="s">
        <v>793</v>
      </c>
      <c r="H38" s="58" t="s">
        <v>727</v>
      </c>
      <c r="I38" s="58" t="s">
        <v>727</v>
      </c>
      <c r="J38" s="205">
        <f t="shared" si="1"/>
        <v>3.0246575342465754</v>
      </c>
      <c r="K38" s="34" t="s">
        <v>465</v>
      </c>
      <c r="L38" s="140">
        <v>50000000</v>
      </c>
      <c r="M38" s="34" t="s">
        <v>794</v>
      </c>
      <c r="N38" s="96">
        <v>100</v>
      </c>
      <c r="O38" s="65">
        <v>10</v>
      </c>
      <c r="P38" s="37" t="s">
        <v>795</v>
      </c>
      <c r="Q38" s="38" t="s">
        <v>796</v>
      </c>
      <c r="R38" s="141" t="s">
        <v>797</v>
      </c>
      <c r="S38" s="643">
        <v>40359</v>
      </c>
      <c r="T38" s="643">
        <v>40367</v>
      </c>
      <c r="U38" s="245" t="s">
        <v>760</v>
      </c>
      <c r="V38" s="79"/>
      <c r="W38" s="140">
        <v>50000000</v>
      </c>
      <c r="X38" s="97">
        <v>1</v>
      </c>
      <c r="Y38" s="78">
        <f>W38*$X$38</f>
        <v>50000000</v>
      </c>
      <c r="Z38" s="78"/>
      <c r="AA38" s="103">
        <v>10</v>
      </c>
      <c r="AB38" s="662">
        <v>41463</v>
      </c>
      <c r="AC38" s="101">
        <f t="shared" si="2"/>
        <v>113.59726027397261</v>
      </c>
      <c r="AD38" s="101"/>
      <c r="AF38" s="162"/>
      <c r="AG38" s="206"/>
      <c r="AH38" s="78"/>
    </row>
    <row r="39" spans="1:36" s="102" customFormat="1" ht="25.5">
      <c r="A39" s="94" t="s">
        <v>807</v>
      </c>
      <c r="B39" s="94" t="s">
        <v>808</v>
      </c>
      <c r="C39" s="94"/>
      <c r="D39" s="94"/>
      <c r="E39" s="306">
        <f t="shared" si="3"/>
        <v>28</v>
      </c>
      <c r="F39" s="66" t="s">
        <v>800</v>
      </c>
      <c r="G39" s="39" t="s">
        <v>809</v>
      </c>
      <c r="H39" s="58" t="s">
        <v>727</v>
      </c>
      <c r="I39" s="58" t="s">
        <v>727</v>
      </c>
      <c r="J39" s="205">
        <f t="shared" si="1"/>
        <v>12.021917808219179</v>
      </c>
      <c r="K39" s="34" t="s">
        <v>465</v>
      </c>
      <c r="L39" s="140">
        <v>8500000</v>
      </c>
      <c r="M39" s="167" t="s">
        <v>92</v>
      </c>
      <c r="N39" s="96">
        <v>99.596999999999994</v>
      </c>
      <c r="O39" s="65">
        <v>6.95</v>
      </c>
      <c r="P39" s="37" t="s">
        <v>801</v>
      </c>
      <c r="Q39" s="38" t="s">
        <v>805</v>
      </c>
      <c r="R39" s="279" t="s">
        <v>806</v>
      </c>
      <c r="S39" s="643">
        <v>40401</v>
      </c>
      <c r="T39" s="643">
        <v>40406</v>
      </c>
      <c r="U39" s="245" t="s">
        <v>760</v>
      </c>
      <c r="V39" s="79"/>
      <c r="W39" s="78">
        <f>L39*N39/100</f>
        <v>8465745</v>
      </c>
      <c r="X39" s="97"/>
      <c r="Y39" s="78">
        <f>W39*$X$35</f>
        <v>65694181.199999996</v>
      </c>
      <c r="Z39" s="78"/>
      <c r="AA39" s="103">
        <v>6.9</v>
      </c>
      <c r="AB39" s="662">
        <v>44789</v>
      </c>
      <c r="AC39" s="101">
        <f t="shared" si="2"/>
        <v>122.7095890410959</v>
      </c>
      <c r="AD39" s="101"/>
      <c r="AE39" s="79"/>
      <c r="AF39" s="162"/>
      <c r="AG39" s="206"/>
      <c r="AH39" s="78"/>
      <c r="AJ39" s="79"/>
    </row>
    <row r="40" spans="1:36" s="74" customFormat="1" ht="38.25">
      <c r="A40" s="73" t="s">
        <v>822</v>
      </c>
      <c r="B40" s="73">
        <v>0.61</v>
      </c>
      <c r="C40" s="73"/>
      <c r="D40" s="73"/>
      <c r="E40" s="305">
        <f t="shared" si="3"/>
        <v>29</v>
      </c>
      <c r="F40" s="55" t="s">
        <v>815</v>
      </c>
      <c r="G40" s="53" t="s">
        <v>816</v>
      </c>
      <c r="H40" s="17" t="s">
        <v>817</v>
      </c>
      <c r="I40" s="17" t="s">
        <v>818</v>
      </c>
      <c r="J40" s="204">
        <f t="shared" si="1"/>
        <v>3.7397260273972601</v>
      </c>
      <c r="K40" s="46" t="s">
        <v>465</v>
      </c>
      <c r="L40" s="24">
        <v>2000000</v>
      </c>
      <c r="M40" s="167" t="s">
        <v>92</v>
      </c>
      <c r="N40" s="114">
        <v>106.75</v>
      </c>
      <c r="O40" s="91">
        <v>7.6284400000000003</v>
      </c>
      <c r="P40" s="203" t="s">
        <v>820</v>
      </c>
      <c r="Q40" s="20" t="s">
        <v>819</v>
      </c>
      <c r="R40" s="29" t="s">
        <v>821</v>
      </c>
      <c r="S40" s="642">
        <v>40478</v>
      </c>
      <c r="T40" s="642">
        <v>40483</v>
      </c>
      <c r="U40" s="229" t="s">
        <v>760</v>
      </c>
      <c r="W40" s="117">
        <f>10940416.67*0.2</f>
        <v>2188083.3340000003</v>
      </c>
      <c r="X40" s="143"/>
      <c r="Y40" s="117">
        <f>W40*$X$35</f>
        <v>16979526.671840001</v>
      </c>
      <c r="Z40" s="117"/>
      <c r="AA40" s="86">
        <v>9.75</v>
      </c>
      <c r="AB40" s="661">
        <v>41843</v>
      </c>
      <c r="AC40" s="92">
        <f t="shared" si="2"/>
        <v>114.63835616438357</v>
      </c>
      <c r="AD40" s="104"/>
      <c r="AF40" s="162"/>
      <c r="AG40" s="206"/>
      <c r="AH40" s="78"/>
      <c r="AI40" s="64"/>
    </row>
    <row r="41" spans="1:36" s="64" customFormat="1" ht="25.5">
      <c r="A41" s="73" t="s">
        <v>823</v>
      </c>
      <c r="B41" s="73" t="s">
        <v>824</v>
      </c>
      <c r="C41" s="73"/>
      <c r="D41" s="73"/>
      <c r="E41" s="305">
        <f t="shared" si="3"/>
        <v>30</v>
      </c>
      <c r="F41" s="55" t="s">
        <v>792</v>
      </c>
      <c r="G41" s="53" t="s">
        <v>793</v>
      </c>
      <c r="H41" s="17" t="s">
        <v>727</v>
      </c>
      <c r="I41" s="17" t="s">
        <v>727</v>
      </c>
      <c r="J41" s="204">
        <f t="shared" ref="J41:J53" si="4">(AB41-S41)/365</f>
        <v>2.6794520547945204</v>
      </c>
      <c r="K41" s="46" t="s">
        <v>465</v>
      </c>
      <c r="L41" s="24">
        <v>50000000</v>
      </c>
      <c r="M41" s="167" t="s">
        <v>1200</v>
      </c>
      <c r="N41" s="114">
        <v>100</v>
      </c>
      <c r="O41" s="91">
        <v>10</v>
      </c>
      <c r="P41" s="32" t="s">
        <v>795</v>
      </c>
      <c r="Q41" s="20" t="s">
        <v>796</v>
      </c>
      <c r="R41" s="29" t="s">
        <v>832</v>
      </c>
      <c r="S41" s="642">
        <v>40485</v>
      </c>
      <c r="T41" s="642">
        <v>40490</v>
      </c>
      <c r="U41" s="229" t="s">
        <v>760</v>
      </c>
      <c r="V41" s="74"/>
      <c r="W41" s="267">
        <v>50000000</v>
      </c>
      <c r="X41" s="143">
        <v>1</v>
      </c>
      <c r="Y41" s="274">
        <f>W41*$X$38</f>
        <v>50000000</v>
      </c>
      <c r="Z41" s="274"/>
      <c r="AA41" s="86">
        <v>10</v>
      </c>
      <c r="AB41" s="661">
        <v>41463</v>
      </c>
      <c r="AC41" s="92">
        <f t="shared" si="2"/>
        <v>113.59726027397261</v>
      </c>
      <c r="AD41" s="104"/>
      <c r="AF41" s="162"/>
      <c r="AG41" s="206"/>
      <c r="AH41" s="78"/>
    </row>
    <row r="42" spans="1:36" s="64" customFormat="1" ht="38.25">
      <c r="A42" s="73"/>
      <c r="B42" s="73"/>
      <c r="C42" s="73"/>
      <c r="D42" s="73"/>
      <c r="E42" s="305">
        <f t="shared" si="3"/>
        <v>31</v>
      </c>
      <c r="F42" s="55" t="s">
        <v>815</v>
      </c>
      <c r="G42" s="53" t="s">
        <v>816</v>
      </c>
      <c r="H42" s="17" t="s">
        <v>817</v>
      </c>
      <c r="I42" s="17" t="s">
        <v>818</v>
      </c>
      <c r="J42" s="204">
        <f t="shared" si="4"/>
        <v>3.6958904109589041</v>
      </c>
      <c r="K42" s="46" t="s">
        <v>465</v>
      </c>
      <c r="L42" s="24">
        <v>1000000</v>
      </c>
      <c r="M42" s="167" t="s">
        <v>92</v>
      </c>
      <c r="N42" s="114">
        <v>108.175</v>
      </c>
      <c r="O42" s="91">
        <v>7.1785594000000001</v>
      </c>
      <c r="P42" s="203" t="s">
        <v>831</v>
      </c>
      <c r="Q42" s="20" t="s">
        <v>830</v>
      </c>
      <c r="R42" s="29" t="s">
        <v>833</v>
      </c>
      <c r="S42" s="642">
        <v>40494</v>
      </c>
      <c r="T42" s="642">
        <v>40499</v>
      </c>
      <c r="U42" s="229" t="s">
        <v>760</v>
      </c>
      <c r="V42" s="74"/>
      <c r="W42" s="117">
        <v>1112625</v>
      </c>
      <c r="X42" s="143"/>
      <c r="Y42" s="117">
        <f>W42*$X$35</f>
        <v>8633970</v>
      </c>
      <c r="Z42" s="117"/>
      <c r="AA42" s="86">
        <v>9.75</v>
      </c>
      <c r="AB42" s="661">
        <v>41843</v>
      </c>
      <c r="AC42" s="92">
        <f t="shared" si="2"/>
        <v>114.63835616438357</v>
      </c>
      <c r="AD42" s="104"/>
      <c r="AE42" s="74"/>
      <c r="AF42" s="162"/>
      <c r="AG42" s="206"/>
      <c r="AH42" s="78"/>
    </row>
    <row r="43" spans="1:36" s="61" customFormat="1" ht="38.25">
      <c r="A43" s="71" t="s">
        <v>839</v>
      </c>
      <c r="B43" s="71">
        <v>0.78</v>
      </c>
      <c r="C43" s="71"/>
      <c r="D43" s="71"/>
      <c r="E43" s="307">
        <f t="shared" si="3"/>
        <v>32</v>
      </c>
      <c r="F43" s="246" t="s">
        <v>815</v>
      </c>
      <c r="G43" s="247" t="s">
        <v>816</v>
      </c>
      <c r="H43" s="248" t="s">
        <v>817</v>
      </c>
      <c r="I43" s="248" t="s">
        <v>818</v>
      </c>
      <c r="J43" s="249">
        <f t="shared" si="4"/>
        <v>3.6821917808219178</v>
      </c>
      <c r="K43" s="250" t="s">
        <v>465</v>
      </c>
      <c r="L43" s="251">
        <v>2000000</v>
      </c>
      <c r="M43" s="450" t="s">
        <v>92</v>
      </c>
      <c r="N43" s="252">
        <v>108.136</v>
      </c>
      <c r="O43" s="62">
        <v>7.1823423000000002</v>
      </c>
      <c r="P43" s="253" t="s">
        <v>831</v>
      </c>
      <c r="Q43" s="254" t="s">
        <v>830</v>
      </c>
      <c r="R43" s="255" t="s">
        <v>833</v>
      </c>
      <c r="S43" s="644">
        <v>40499</v>
      </c>
      <c r="T43" s="644">
        <v>40504</v>
      </c>
      <c r="U43" s="286" t="s">
        <v>760</v>
      </c>
      <c r="V43" s="72"/>
      <c r="W43" s="82">
        <v>2227178.33</v>
      </c>
      <c r="X43" s="81">
        <v>7.78</v>
      </c>
      <c r="Y43" s="82">
        <f>W43*$X$35</f>
        <v>17282903.840799998</v>
      </c>
      <c r="Z43" s="82"/>
      <c r="AA43" s="258">
        <v>9.75</v>
      </c>
      <c r="AB43" s="665">
        <v>41843</v>
      </c>
      <c r="AC43" s="259">
        <f t="shared" si="2"/>
        <v>114.63835616438357</v>
      </c>
      <c r="AD43" s="259"/>
      <c r="AE43" s="72"/>
      <c r="AF43" s="260"/>
      <c r="AG43" s="261"/>
      <c r="AH43" s="82"/>
    </row>
    <row r="44" spans="1:36" s="74" customFormat="1" ht="25.5">
      <c r="A44" s="73">
        <v>300</v>
      </c>
      <c r="B44" s="73">
        <v>3.39</v>
      </c>
      <c r="C44" s="73"/>
      <c r="D44" s="73"/>
      <c r="E44" s="305">
        <f t="shared" si="3"/>
        <v>33</v>
      </c>
      <c r="F44" s="55" t="s">
        <v>895</v>
      </c>
      <c r="G44" s="53" t="s">
        <v>894</v>
      </c>
      <c r="H44" s="112" t="s">
        <v>852</v>
      </c>
      <c r="I44" s="112" t="s">
        <v>854</v>
      </c>
      <c r="J44" s="204">
        <f t="shared" si="4"/>
        <v>10.03013698630137</v>
      </c>
      <c r="K44" s="46" t="s">
        <v>465</v>
      </c>
      <c r="L44" s="24">
        <v>500000</v>
      </c>
      <c r="M44" s="167" t="s">
        <v>945</v>
      </c>
      <c r="N44" s="114">
        <v>98.941000000000003</v>
      </c>
      <c r="O44" s="91">
        <v>6.3949749000000002</v>
      </c>
      <c r="P44" s="32" t="s">
        <v>378</v>
      </c>
      <c r="Q44" s="32" t="s">
        <v>379</v>
      </c>
      <c r="R44" s="14" t="s">
        <v>380</v>
      </c>
      <c r="S44" s="642">
        <v>40549</v>
      </c>
      <c r="T44" s="642">
        <v>40557</v>
      </c>
      <c r="U44" s="229" t="s">
        <v>760</v>
      </c>
      <c r="W44" s="143">
        <v>494705</v>
      </c>
      <c r="Y44" s="117">
        <f>W44*$X$43</f>
        <v>3848804.9</v>
      </c>
      <c r="Z44" s="117"/>
      <c r="AA44" s="86">
        <v>6.25</v>
      </c>
      <c r="AB44" s="661">
        <v>44210</v>
      </c>
      <c r="AC44" s="92">
        <f t="shared" si="2"/>
        <v>121.12328767123287</v>
      </c>
      <c r="AD44" s="104"/>
      <c r="AF44" s="214"/>
      <c r="AG44" s="215"/>
      <c r="AH44" s="117"/>
    </row>
    <row r="45" spans="1:36" s="74" customFormat="1" ht="38.25">
      <c r="A45" s="73">
        <v>227</v>
      </c>
      <c r="B45" s="73">
        <v>3.73</v>
      </c>
      <c r="C45" s="73"/>
      <c r="D45" s="73"/>
      <c r="E45" s="305">
        <f t="shared" si="3"/>
        <v>34</v>
      </c>
      <c r="F45" s="55" t="s">
        <v>919</v>
      </c>
      <c r="G45" s="53" t="s">
        <v>920</v>
      </c>
      <c r="H45" s="17" t="s">
        <v>631</v>
      </c>
      <c r="I45" s="17" t="s">
        <v>918</v>
      </c>
      <c r="J45" s="204">
        <f t="shared" si="4"/>
        <v>9.7589041095890412</v>
      </c>
      <c r="K45" s="46" t="s">
        <v>465</v>
      </c>
      <c r="L45" s="24">
        <v>1000000</v>
      </c>
      <c r="M45" s="167" t="s">
        <v>945</v>
      </c>
      <c r="N45" s="114">
        <v>96.3</v>
      </c>
      <c r="O45" s="91">
        <v>6.0059275000000003</v>
      </c>
      <c r="P45" s="203" t="s">
        <v>831</v>
      </c>
      <c r="Q45" s="20" t="s">
        <v>830</v>
      </c>
      <c r="R45" s="29" t="s">
        <v>833</v>
      </c>
      <c r="S45" s="642">
        <v>40583</v>
      </c>
      <c r="T45" s="642">
        <v>40588</v>
      </c>
      <c r="U45" s="229" t="s">
        <v>760</v>
      </c>
      <c r="W45" s="143">
        <v>977361.11</v>
      </c>
      <c r="Y45" s="117">
        <f>W45*$X$43</f>
        <v>7603869.4358000001</v>
      </c>
      <c r="Z45" s="117"/>
      <c r="AA45" s="86">
        <v>5.5</v>
      </c>
      <c r="AB45" s="661">
        <v>44145</v>
      </c>
      <c r="AC45" s="92">
        <f>(AB45-S45)/365</f>
        <v>9.7589041095890412</v>
      </c>
      <c r="AD45" s="104"/>
      <c r="AF45" s="214"/>
      <c r="AG45" s="215"/>
      <c r="AH45" s="117"/>
    </row>
    <row r="46" spans="1:36" s="74" customFormat="1" ht="38.25">
      <c r="A46" s="73" t="s">
        <v>924</v>
      </c>
      <c r="B46" s="73">
        <v>2.75</v>
      </c>
      <c r="C46" s="73"/>
      <c r="D46" s="73"/>
      <c r="E46" s="305">
        <f t="shared" si="3"/>
        <v>35</v>
      </c>
      <c r="F46" s="55" t="s">
        <v>927</v>
      </c>
      <c r="G46" s="53" t="s">
        <v>925</v>
      </c>
      <c r="H46" s="17" t="s">
        <v>727</v>
      </c>
      <c r="I46" s="17" t="s">
        <v>727</v>
      </c>
      <c r="J46" s="204">
        <f t="shared" si="4"/>
        <v>3.021917808219178</v>
      </c>
      <c r="K46" s="46" t="s">
        <v>465</v>
      </c>
      <c r="L46" s="24">
        <v>30000000</v>
      </c>
      <c r="M46" s="46" t="s">
        <v>865</v>
      </c>
      <c r="N46" s="114">
        <v>100</v>
      </c>
      <c r="O46" s="91">
        <v>4.7499500000000001</v>
      </c>
      <c r="P46" s="32" t="s">
        <v>355</v>
      </c>
      <c r="Q46" s="20" t="s">
        <v>648</v>
      </c>
      <c r="R46" s="14" t="s">
        <v>649</v>
      </c>
      <c r="S46" s="642">
        <v>40588</v>
      </c>
      <c r="T46" s="642">
        <v>40598</v>
      </c>
      <c r="U46" s="229" t="s">
        <v>760</v>
      </c>
      <c r="W46" s="266">
        <v>30011712.329999998</v>
      </c>
      <c r="X46" s="308">
        <f>7.77/6.58</f>
        <v>1.1808510638297871</v>
      </c>
      <c r="Y46" s="274">
        <f>W46*X46</f>
        <v>35439362.432234034</v>
      </c>
      <c r="Z46" s="70"/>
      <c r="AA46" s="86">
        <v>4.75</v>
      </c>
      <c r="AB46" s="661">
        <v>41691</v>
      </c>
      <c r="AC46" s="92">
        <f>(AB46-S46)/365</f>
        <v>3.021917808219178</v>
      </c>
      <c r="AF46" s="214"/>
      <c r="AG46" s="215"/>
      <c r="AH46" s="117"/>
    </row>
    <row r="47" spans="1:36" s="74" customFormat="1" ht="38.25">
      <c r="A47" s="73" t="s">
        <v>975</v>
      </c>
      <c r="B47" s="73">
        <v>316</v>
      </c>
      <c r="C47" s="73"/>
      <c r="D47" s="73"/>
      <c r="E47" s="305">
        <f t="shared" si="3"/>
        <v>36</v>
      </c>
      <c r="F47" s="55" t="s">
        <v>971</v>
      </c>
      <c r="G47" s="53" t="s">
        <v>972</v>
      </c>
      <c r="H47" s="17" t="s">
        <v>973</v>
      </c>
      <c r="I47" s="217" t="s">
        <v>974</v>
      </c>
      <c r="J47" s="204">
        <f t="shared" si="4"/>
        <v>10.027397260273972</v>
      </c>
      <c r="K47" s="46" t="s">
        <v>465</v>
      </c>
      <c r="L47" s="278">
        <v>4000000</v>
      </c>
      <c r="M47" s="167" t="s">
        <v>945</v>
      </c>
      <c r="N47" s="69">
        <v>100</v>
      </c>
      <c r="O47" s="13">
        <v>6.75</v>
      </c>
      <c r="P47" s="32" t="s">
        <v>355</v>
      </c>
      <c r="Q47" s="20" t="s">
        <v>648</v>
      </c>
      <c r="R47" s="14" t="s">
        <v>649</v>
      </c>
      <c r="S47" s="642">
        <v>40641</v>
      </c>
      <c r="T47" s="642">
        <v>40648</v>
      </c>
      <c r="U47" s="229" t="s">
        <v>760</v>
      </c>
      <c r="W47" s="143">
        <v>4000000</v>
      </c>
      <c r="X47" s="143"/>
      <c r="Y47" s="117">
        <f t="shared" ref="Y47:Y52" si="5">W47*$X$43</f>
        <v>31120000</v>
      </c>
      <c r="Z47" s="70"/>
      <c r="AA47" s="86">
        <v>6.75</v>
      </c>
      <c r="AB47" s="661">
        <v>44301</v>
      </c>
      <c r="AC47" s="92">
        <f>(AB47-S47)/365</f>
        <v>10.027397260273972</v>
      </c>
      <c r="AD47" s="104"/>
      <c r="AF47" s="214"/>
      <c r="AG47" s="215"/>
      <c r="AH47" s="117"/>
    </row>
    <row r="48" spans="1:36" s="74" customFormat="1" ht="38.25">
      <c r="A48" s="73" t="s">
        <v>975</v>
      </c>
      <c r="B48" s="73"/>
      <c r="C48" s="73"/>
      <c r="D48" s="73"/>
      <c r="E48" s="305">
        <f t="shared" si="3"/>
        <v>37</v>
      </c>
      <c r="F48" s="55" t="s">
        <v>971</v>
      </c>
      <c r="G48" s="53" t="s">
        <v>972</v>
      </c>
      <c r="H48" s="17" t="s">
        <v>973</v>
      </c>
      <c r="I48" s="217" t="s">
        <v>974</v>
      </c>
      <c r="J48" s="204">
        <f t="shared" si="4"/>
        <v>10.016438356164384</v>
      </c>
      <c r="K48" s="46" t="s">
        <v>465</v>
      </c>
      <c r="L48" s="278">
        <v>1000000</v>
      </c>
      <c r="M48" s="167" t="s">
        <v>945</v>
      </c>
      <c r="N48" s="69">
        <v>99.75</v>
      </c>
      <c r="O48" s="13">
        <v>6.7848388999999996</v>
      </c>
      <c r="P48" s="203" t="s">
        <v>831</v>
      </c>
      <c r="Q48" s="20" t="s">
        <v>830</v>
      </c>
      <c r="R48" s="29" t="s">
        <v>833</v>
      </c>
      <c r="S48" s="642">
        <v>40645</v>
      </c>
      <c r="T48" s="642">
        <v>40648</v>
      </c>
      <c r="U48" s="229" t="s">
        <v>760</v>
      </c>
      <c r="W48" s="143">
        <v>997500</v>
      </c>
      <c r="X48" s="143"/>
      <c r="Y48" s="117">
        <f t="shared" si="5"/>
        <v>7760550</v>
      </c>
      <c r="Z48" s="70"/>
      <c r="AA48" s="86">
        <v>6.75</v>
      </c>
      <c r="AB48" s="661">
        <v>44301</v>
      </c>
      <c r="AC48" s="92">
        <f>(AB48-S48)/365</f>
        <v>10.016438356164384</v>
      </c>
      <c r="AD48" s="104"/>
      <c r="AF48" s="214"/>
      <c r="AG48" s="215"/>
      <c r="AH48" s="117"/>
    </row>
    <row r="49" spans="1:34" s="102" customFormat="1" ht="25.5">
      <c r="A49" s="340" t="s">
        <v>1005</v>
      </c>
      <c r="B49" s="94">
        <v>315.5</v>
      </c>
      <c r="C49" s="340"/>
      <c r="D49" s="340"/>
      <c r="E49" s="306">
        <v>38</v>
      </c>
      <c r="F49" s="66" t="s">
        <v>1000</v>
      </c>
      <c r="G49" s="39" t="s">
        <v>920</v>
      </c>
      <c r="H49" s="58" t="s">
        <v>631</v>
      </c>
      <c r="I49" s="58" t="s">
        <v>918</v>
      </c>
      <c r="J49" s="205">
        <f t="shared" si="4"/>
        <v>9.3972602739726021</v>
      </c>
      <c r="K49" s="34" t="s">
        <v>465</v>
      </c>
      <c r="L49" s="44">
        <v>5000000</v>
      </c>
      <c r="M49" s="34" t="s">
        <v>466</v>
      </c>
      <c r="N49" s="96">
        <v>95.7</v>
      </c>
      <c r="O49" s="65">
        <v>6.1080249000000002</v>
      </c>
      <c r="P49" s="37" t="s">
        <v>1006</v>
      </c>
      <c r="Q49" s="38" t="s">
        <v>1007</v>
      </c>
      <c r="R49" s="141" t="s">
        <v>1008</v>
      </c>
      <c r="S49" s="643">
        <v>40715</v>
      </c>
      <c r="T49" s="643">
        <v>40718</v>
      </c>
      <c r="U49" s="245" t="s">
        <v>760</v>
      </c>
      <c r="V49" s="245"/>
      <c r="W49" s="97">
        <v>4818611.1100000003</v>
      </c>
      <c r="X49" s="97"/>
      <c r="Y49" s="78">
        <f t="shared" si="5"/>
        <v>37488794.435800001</v>
      </c>
      <c r="Z49" s="98"/>
      <c r="AA49" s="103">
        <v>5.5</v>
      </c>
      <c r="AB49" s="662">
        <v>44145</v>
      </c>
      <c r="AC49" s="101">
        <f>(AB49-S49)/365</f>
        <v>9.3972602739726021</v>
      </c>
      <c r="AD49" s="101"/>
      <c r="AF49" s="162"/>
      <c r="AG49" s="206"/>
      <c r="AH49" s="78"/>
    </row>
    <row r="50" spans="1:34" s="64" customFormat="1" ht="38.25">
      <c r="A50" s="73">
        <v>0.65</v>
      </c>
      <c r="B50" s="73">
        <v>613</v>
      </c>
      <c r="C50" s="73"/>
      <c r="D50" s="73"/>
      <c r="E50" s="305">
        <f>E49+1</f>
        <v>39</v>
      </c>
      <c r="F50" s="55" t="s">
        <v>815</v>
      </c>
      <c r="G50" s="53" t="s">
        <v>816</v>
      </c>
      <c r="H50" s="112" t="s">
        <v>817</v>
      </c>
      <c r="I50" s="112" t="s">
        <v>818</v>
      </c>
      <c r="J50" s="319">
        <f t="shared" si="4"/>
        <v>3.0301369863013701</v>
      </c>
      <c r="K50" s="46" t="s">
        <v>465</v>
      </c>
      <c r="L50" s="105">
        <v>3000000</v>
      </c>
      <c r="M50" s="167" t="s">
        <v>945</v>
      </c>
      <c r="N50" s="114">
        <v>107.95</v>
      </c>
      <c r="O50" s="91">
        <v>6.785812</v>
      </c>
      <c r="P50" s="32" t="s">
        <v>355</v>
      </c>
      <c r="Q50" s="20" t="s">
        <v>648</v>
      </c>
      <c r="R50" s="14" t="s">
        <v>649</v>
      </c>
      <c r="S50" s="642">
        <v>40737</v>
      </c>
      <c r="T50" s="642">
        <v>40743</v>
      </c>
      <c r="U50" s="229" t="s">
        <v>760</v>
      </c>
      <c r="V50" s="74"/>
      <c r="W50" s="110">
        <v>3381500</v>
      </c>
      <c r="X50" s="143"/>
      <c r="Y50" s="117">
        <f t="shared" si="5"/>
        <v>26308070</v>
      </c>
      <c r="Z50" s="117"/>
      <c r="AA50" s="86">
        <v>9.75</v>
      </c>
      <c r="AB50" s="661">
        <v>41843</v>
      </c>
      <c r="AC50" s="104">
        <f>(AB50-$AG$33)/365</f>
        <v>114.63835616438357</v>
      </c>
      <c r="AD50" s="104"/>
      <c r="AE50" s="74"/>
      <c r="AF50" s="214"/>
      <c r="AG50" s="215"/>
      <c r="AH50" s="117"/>
    </row>
    <row r="51" spans="1:34" s="64" customFormat="1" ht="25.5">
      <c r="A51" s="73">
        <v>0.62</v>
      </c>
      <c r="B51" s="73">
        <v>623</v>
      </c>
      <c r="C51" s="73"/>
      <c r="D51" s="73"/>
      <c r="E51" s="305">
        <f>E50+1</f>
        <v>40</v>
      </c>
      <c r="F51" s="55" t="s">
        <v>815</v>
      </c>
      <c r="G51" s="53" t="s">
        <v>816</v>
      </c>
      <c r="H51" s="112" t="s">
        <v>817</v>
      </c>
      <c r="I51" s="112" t="s">
        <v>818</v>
      </c>
      <c r="J51" s="319">
        <f t="shared" si="4"/>
        <v>3.0164383561643837</v>
      </c>
      <c r="K51" s="46" t="s">
        <v>465</v>
      </c>
      <c r="L51" s="105">
        <v>2000000</v>
      </c>
      <c r="M51" s="167" t="s">
        <v>945</v>
      </c>
      <c r="N51" s="114">
        <v>107.75</v>
      </c>
      <c r="O51" s="91">
        <v>6.8505311999999998</v>
      </c>
      <c r="P51" s="203" t="s">
        <v>843</v>
      </c>
      <c r="Q51" s="20" t="s">
        <v>841</v>
      </c>
      <c r="R51" s="29" t="s">
        <v>842</v>
      </c>
      <c r="S51" s="642">
        <v>40742</v>
      </c>
      <c r="T51" s="642">
        <v>40746</v>
      </c>
      <c r="U51" s="229" t="s">
        <v>760</v>
      </c>
      <c r="V51" s="74"/>
      <c r="W51" s="110">
        <v>2251958.33</v>
      </c>
      <c r="X51" s="143"/>
      <c r="Y51" s="117">
        <f t="shared" si="5"/>
        <v>17520235.807399999</v>
      </c>
      <c r="Z51" s="117"/>
      <c r="AA51" s="86">
        <v>9.75</v>
      </c>
      <c r="AB51" s="661">
        <v>41843</v>
      </c>
      <c r="AC51" s="104">
        <f>(AB51-$AG$33)/365</f>
        <v>114.63835616438357</v>
      </c>
      <c r="AD51" s="104"/>
      <c r="AE51" s="74"/>
      <c r="AF51" s="214"/>
      <c r="AG51" s="215"/>
      <c r="AH51" s="117"/>
    </row>
    <row r="52" spans="1:34" s="64" customFormat="1" ht="38.25">
      <c r="A52" s="73">
        <v>737</v>
      </c>
      <c r="B52" s="73">
        <v>0.45</v>
      </c>
      <c r="C52" s="73"/>
      <c r="D52" s="73"/>
      <c r="E52" s="305">
        <f>E51+1</f>
        <v>41</v>
      </c>
      <c r="F52" s="55" t="s">
        <v>815</v>
      </c>
      <c r="G52" s="53" t="s">
        <v>816</v>
      </c>
      <c r="H52" s="112" t="s">
        <v>817</v>
      </c>
      <c r="I52" s="112" t="s">
        <v>818</v>
      </c>
      <c r="J52" s="319">
        <f t="shared" si="4"/>
        <v>2.956164383561644</v>
      </c>
      <c r="K52" s="46" t="s">
        <v>465</v>
      </c>
      <c r="L52" s="278">
        <v>2000000</v>
      </c>
      <c r="M52" s="167" t="s">
        <v>945</v>
      </c>
      <c r="N52" s="69">
        <v>105</v>
      </c>
      <c r="O52" s="13">
        <v>7.8144530999999997</v>
      </c>
      <c r="P52" s="203" t="s">
        <v>831</v>
      </c>
      <c r="Q52" s="20" t="s">
        <v>830</v>
      </c>
      <c r="R52" s="29" t="s">
        <v>833</v>
      </c>
      <c r="S52" s="642">
        <v>40764</v>
      </c>
      <c r="T52" s="642">
        <v>40767</v>
      </c>
      <c r="U52" s="229" t="s">
        <v>760</v>
      </c>
      <c r="V52" s="74"/>
      <c r="W52" s="110">
        <v>2110291.67</v>
      </c>
      <c r="X52" s="143"/>
      <c r="Y52" s="117">
        <f t="shared" si="5"/>
        <v>16418069.192600001</v>
      </c>
      <c r="Z52" s="117"/>
      <c r="AA52" s="86">
        <v>9.75</v>
      </c>
      <c r="AB52" s="661">
        <v>41843</v>
      </c>
      <c r="AC52" s="104">
        <f>(AB52-$AG$33)/365</f>
        <v>114.63835616438357</v>
      </c>
      <c r="AD52" s="104"/>
      <c r="AE52" s="74"/>
      <c r="AF52" s="214"/>
      <c r="AG52" s="215"/>
      <c r="AH52" s="117"/>
    </row>
    <row r="53" spans="1:34" s="64" customFormat="1" ht="38.25">
      <c r="A53" s="73"/>
      <c r="B53" s="73" t="s">
        <v>1044</v>
      </c>
      <c r="C53" s="73"/>
      <c r="D53" s="73"/>
      <c r="E53" s="305">
        <f>E52+1</f>
        <v>42</v>
      </c>
      <c r="F53" s="55" t="s">
        <v>1039</v>
      </c>
      <c r="G53" s="109" t="s">
        <v>1043</v>
      </c>
      <c r="H53" s="112" t="s">
        <v>1042</v>
      </c>
      <c r="I53" s="112" t="s">
        <v>1042</v>
      </c>
      <c r="J53" s="319">
        <f t="shared" si="4"/>
        <v>3.0191780821917806</v>
      </c>
      <c r="K53" s="46" t="s">
        <v>465</v>
      </c>
      <c r="L53" s="341">
        <v>100000000</v>
      </c>
      <c r="M53" s="91" t="s">
        <v>1041</v>
      </c>
      <c r="N53" s="114">
        <v>99.45</v>
      </c>
      <c r="O53" s="91">
        <v>14.03</v>
      </c>
      <c r="P53" s="227" t="s">
        <v>1040</v>
      </c>
      <c r="Q53" s="48" t="s">
        <v>648</v>
      </c>
      <c r="R53" s="53" t="s">
        <v>649</v>
      </c>
      <c r="S53" s="642">
        <v>40785</v>
      </c>
      <c r="T53" s="642">
        <v>40794</v>
      </c>
      <c r="U53" s="229" t="s">
        <v>760</v>
      </c>
      <c r="V53" s="74"/>
      <c r="W53" s="117">
        <f>L53*N53/100/7.78</f>
        <v>12782776.349614395</v>
      </c>
      <c r="X53" s="143">
        <v>7.78</v>
      </c>
      <c r="Y53" s="117">
        <f>W53*X53</f>
        <v>99450000</v>
      </c>
      <c r="Z53" s="117"/>
      <c r="AA53" s="86">
        <v>13.8</v>
      </c>
      <c r="AB53" s="661">
        <v>41887</v>
      </c>
      <c r="AC53" s="104">
        <f>(AB53-$AG$33)/365</f>
        <v>114.75890410958904</v>
      </c>
      <c r="AD53" s="104"/>
      <c r="AE53" s="346"/>
      <c r="AF53" s="214"/>
      <c r="AG53" s="215"/>
      <c r="AH53" s="117"/>
    </row>
    <row r="54" spans="1:34" s="74" customFormat="1" ht="38.25">
      <c r="A54" s="281" t="s">
        <v>1123</v>
      </c>
      <c r="B54" s="73"/>
      <c r="C54" s="73"/>
      <c r="D54" s="73"/>
      <c r="E54" s="277">
        <v>43</v>
      </c>
      <c r="F54" s="55" t="s">
        <v>1</v>
      </c>
      <c r="G54" s="109" t="s">
        <v>1124</v>
      </c>
      <c r="H54" s="112" t="s">
        <v>1125</v>
      </c>
      <c r="I54" s="112" t="s">
        <v>1125</v>
      </c>
      <c r="J54" s="319">
        <f t="shared" ref="J54:J86" si="6">(AB54-T54)/365</f>
        <v>5.0054794520547947</v>
      </c>
      <c r="K54" s="46" t="s">
        <v>465</v>
      </c>
      <c r="L54" s="341">
        <v>25000000</v>
      </c>
      <c r="M54" s="46" t="s">
        <v>1083</v>
      </c>
      <c r="N54" s="114">
        <v>99.584000000000003</v>
      </c>
      <c r="O54" s="91">
        <v>7.05</v>
      </c>
      <c r="P54" s="52" t="s">
        <v>1073</v>
      </c>
      <c r="Q54" s="52" t="s">
        <v>1074</v>
      </c>
      <c r="R54" s="53" t="s">
        <v>1075</v>
      </c>
      <c r="S54" s="642">
        <v>40893</v>
      </c>
      <c r="T54" s="642">
        <v>40898</v>
      </c>
      <c r="U54" s="229" t="s">
        <v>760</v>
      </c>
      <c r="W54" s="143">
        <f>L54*N54/100</f>
        <v>24896000</v>
      </c>
      <c r="X54" s="345">
        <f>7.77/6.35</f>
        <v>1.2236220472440944</v>
      </c>
      <c r="Y54" s="117">
        <f>W54*X54</f>
        <v>30463294.488188975</v>
      </c>
      <c r="Z54" s="117"/>
      <c r="AA54" s="86">
        <v>6.95</v>
      </c>
      <c r="AB54" s="661">
        <v>42725</v>
      </c>
      <c r="AC54" s="104">
        <f t="shared" ref="AC54:AC86" si="7">(AB54-S54)/365</f>
        <v>5.0191780821917806</v>
      </c>
      <c r="AD54" s="104"/>
      <c r="AF54" s="214"/>
      <c r="AG54" s="215"/>
    </row>
    <row r="55" spans="1:34" s="382" customFormat="1" ht="63.75">
      <c r="A55" s="397" t="s">
        <v>1121</v>
      </c>
      <c r="B55" s="381"/>
      <c r="C55" s="381"/>
      <c r="D55" s="381"/>
      <c r="E55" s="398">
        <v>43</v>
      </c>
      <c r="F55" s="382" t="s">
        <v>1116</v>
      </c>
      <c r="G55" s="383" t="s">
        <v>1124</v>
      </c>
      <c r="H55" s="384" t="s">
        <v>1117</v>
      </c>
      <c r="I55" s="384" t="s">
        <v>1117</v>
      </c>
      <c r="J55" s="385">
        <f t="shared" si="6"/>
        <v>5.0054794520547947</v>
      </c>
      <c r="K55" s="386" t="s">
        <v>465</v>
      </c>
      <c r="L55" s="387">
        <f>L56*9</f>
        <v>25200000</v>
      </c>
      <c r="M55" s="386" t="s">
        <v>1118</v>
      </c>
      <c r="N55" s="388">
        <v>99.584000000000003</v>
      </c>
      <c r="O55" s="381">
        <v>7.05</v>
      </c>
      <c r="P55" s="389" t="s">
        <v>1073</v>
      </c>
      <c r="Q55" s="389" t="s">
        <v>665</v>
      </c>
      <c r="R55" s="383" t="s">
        <v>1079</v>
      </c>
      <c r="S55" s="656">
        <v>40893</v>
      </c>
      <c r="T55" s="656">
        <v>40898</v>
      </c>
      <c r="U55" s="390" t="s">
        <v>884</v>
      </c>
      <c r="W55" s="391">
        <f>L55*N55/100</f>
        <v>25095168</v>
      </c>
      <c r="X55" s="392">
        <f>7.77/6.35</f>
        <v>1.2236220472440944</v>
      </c>
      <c r="Y55" s="393">
        <f>X55*W55</f>
        <v>30707000.844094485</v>
      </c>
      <c r="Z55" s="393"/>
      <c r="AA55" s="381">
        <v>6.95</v>
      </c>
      <c r="AB55" s="666">
        <v>42725</v>
      </c>
      <c r="AC55" s="394">
        <f t="shared" si="7"/>
        <v>5.0191780821917806</v>
      </c>
      <c r="AD55" s="383" t="s">
        <v>1119</v>
      </c>
      <c r="AF55" s="395"/>
      <c r="AG55" s="396"/>
    </row>
    <row r="56" spans="1:34" s="382" customFormat="1" ht="63.75">
      <c r="A56" s="397" t="s">
        <v>1120</v>
      </c>
      <c r="B56" s="381"/>
      <c r="C56" s="381"/>
      <c r="D56" s="381"/>
      <c r="E56" s="398">
        <v>43</v>
      </c>
      <c r="F56" s="382" t="s">
        <v>1110</v>
      </c>
      <c r="G56" s="383" t="s">
        <v>1112</v>
      </c>
      <c r="H56" s="384" t="s">
        <v>1113</v>
      </c>
      <c r="I56" s="384" t="s">
        <v>1113</v>
      </c>
      <c r="J56" s="385">
        <f t="shared" si="6"/>
        <v>5.0054794520547947</v>
      </c>
      <c r="K56" s="386" t="s">
        <v>465</v>
      </c>
      <c r="L56" s="387">
        <v>2800000</v>
      </c>
      <c r="M56" s="386" t="s">
        <v>1114</v>
      </c>
      <c r="N56" s="388">
        <v>99.584000000000003</v>
      </c>
      <c r="O56" s="381">
        <v>7.05</v>
      </c>
      <c r="P56" s="389" t="s">
        <v>1073</v>
      </c>
      <c r="Q56" s="389" t="s">
        <v>1074</v>
      </c>
      <c r="R56" s="383" t="s">
        <v>1075</v>
      </c>
      <c r="S56" s="656">
        <v>40893</v>
      </c>
      <c r="T56" s="656">
        <v>40898</v>
      </c>
      <c r="U56" s="390" t="s">
        <v>1115</v>
      </c>
      <c r="W56" s="391">
        <f>L56*N56/100</f>
        <v>2788352</v>
      </c>
      <c r="X56" s="392">
        <f>X54</f>
        <v>1.2236220472440944</v>
      </c>
      <c r="Y56" s="393">
        <f>W56*X56</f>
        <v>3411888.982677165</v>
      </c>
      <c r="Z56" s="393"/>
      <c r="AA56" s="381">
        <v>6.95</v>
      </c>
      <c r="AB56" s="666">
        <v>42725</v>
      </c>
      <c r="AC56" s="394">
        <f t="shared" si="7"/>
        <v>5.0191780821917806</v>
      </c>
      <c r="AD56" s="383" t="s">
        <v>1119</v>
      </c>
      <c r="AF56" s="395"/>
      <c r="AG56" s="396"/>
    </row>
    <row r="57" spans="1:34" s="74" customFormat="1" ht="42.75" customHeight="1">
      <c r="A57" s="281" t="s">
        <v>218</v>
      </c>
      <c r="B57" s="73"/>
      <c r="C57" s="73"/>
      <c r="D57" s="73"/>
      <c r="E57" s="277">
        <v>44</v>
      </c>
      <c r="F57" s="841" t="s">
        <v>1479</v>
      </c>
      <c r="G57" s="109" t="s">
        <v>217</v>
      </c>
      <c r="H57" s="112" t="s">
        <v>1125</v>
      </c>
      <c r="I57" s="112" t="s">
        <v>1125</v>
      </c>
      <c r="J57" s="319">
        <f t="shared" si="6"/>
        <v>10.005479452054795</v>
      </c>
      <c r="K57" s="46" t="s">
        <v>465</v>
      </c>
      <c r="L57" s="341">
        <v>160000000</v>
      </c>
      <c r="M57" s="46" t="s">
        <v>1041</v>
      </c>
      <c r="N57" s="114">
        <v>100</v>
      </c>
      <c r="O57" s="91">
        <v>6</v>
      </c>
      <c r="P57" s="227" t="s">
        <v>1050</v>
      </c>
      <c r="Q57" s="48" t="s">
        <v>7</v>
      </c>
      <c r="R57" s="75" t="s">
        <v>8</v>
      </c>
      <c r="S57" s="642">
        <v>40983</v>
      </c>
      <c r="T57" s="642">
        <v>40989</v>
      </c>
      <c r="U57" s="229" t="s">
        <v>760</v>
      </c>
      <c r="W57" s="117">
        <f>L57*N57/100/7.8</f>
        <v>20512820.512820512</v>
      </c>
      <c r="X57" s="143">
        <v>7.8</v>
      </c>
      <c r="Y57" s="117">
        <f t="shared" ref="Y57:Y86" si="8">X57*W57</f>
        <v>160000000</v>
      </c>
      <c r="Z57" s="117"/>
      <c r="AA57" s="86">
        <v>6</v>
      </c>
      <c r="AB57" s="661">
        <v>44641</v>
      </c>
      <c r="AC57" s="104">
        <f t="shared" si="7"/>
        <v>10.021917808219179</v>
      </c>
      <c r="AD57" s="75" t="s">
        <v>5</v>
      </c>
      <c r="AF57" s="214"/>
      <c r="AG57" s="215"/>
    </row>
    <row r="58" spans="1:34" s="74" customFormat="1" ht="42.75" customHeight="1">
      <c r="A58" s="281"/>
      <c r="B58" s="73"/>
      <c r="C58" s="73"/>
      <c r="D58" s="73"/>
      <c r="E58" s="277">
        <v>45</v>
      </c>
      <c r="F58" s="55" t="s">
        <v>222</v>
      </c>
      <c r="G58" s="109" t="s">
        <v>288</v>
      </c>
      <c r="H58" s="112" t="s">
        <v>289</v>
      </c>
      <c r="I58" s="112" t="s">
        <v>290</v>
      </c>
      <c r="J58" s="319">
        <f t="shared" si="6"/>
        <v>5.0027397260273974</v>
      </c>
      <c r="K58" s="46" t="s">
        <v>465</v>
      </c>
      <c r="L58" s="341">
        <v>1000000</v>
      </c>
      <c r="M58" s="167" t="s">
        <v>945</v>
      </c>
      <c r="N58" s="114">
        <v>99.48</v>
      </c>
      <c r="O58" s="91">
        <v>7</v>
      </c>
      <c r="P58" s="227" t="s">
        <v>1063</v>
      </c>
      <c r="Q58" s="48" t="s">
        <v>819</v>
      </c>
      <c r="R58" s="75" t="s">
        <v>1064</v>
      </c>
      <c r="S58" s="642">
        <v>40996</v>
      </c>
      <c r="T58" s="642">
        <v>41004</v>
      </c>
      <c r="U58" s="229" t="s">
        <v>760</v>
      </c>
      <c r="W58" s="117">
        <f>L58*N58/100</f>
        <v>994800</v>
      </c>
      <c r="X58" s="143">
        <v>7.8</v>
      </c>
      <c r="Y58" s="117">
        <f t="shared" si="8"/>
        <v>7759440</v>
      </c>
      <c r="Z58" s="117"/>
      <c r="AA58" s="86">
        <v>6.875</v>
      </c>
      <c r="AB58" s="661">
        <v>42830</v>
      </c>
      <c r="AC58" s="104">
        <f t="shared" si="7"/>
        <v>5.0246575342465754</v>
      </c>
      <c r="AD58" s="75" t="s">
        <v>5</v>
      </c>
      <c r="AF58" s="214"/>
      <c r="AG58" s="215"/>
    </row>
    <row r="59" spans="1:34" s="74" customFormat="1" ht="38.25">
      <c r="A59" s="281" t="s">
        <v>223</v>
      </c>
      <c r="B59" s="73"/>
      <c r="C59" s="73"/>
      <c r="D59" s="73"/>
      <c r="E59" s="277">
        <v>46</v>
      </c>
      <c r="F59" s="841" t="s">
        <v>1480</v>
      </c>
      <c r="G59" s="109" t="s">
        <v>233</v>
      </c>
      <c r="H59" s="112" t="s">
        <v>1125</v>
      </c>
      <c r="I59" s="112" t="s">
        <v>1125</v>
      </c>
      <c r="J59" s="319">
        <f t="shared" si="6"/>
        <v>8.0054794520547947</v>
      </c>
      <c r="K59" s="46" t="s">
        <v>465</v>
      </c>
      <c r="L59" s="341">
        <v>6000000</v>
      </c>
      <c r="M59" s="46" t="s">
        <v>1041</v>
      </c>
      <c r="N59" s="114">
        <v>100</v>
      </c>
      <c r="O59" s="91">
        <v>6.4</v>
      </c>
      <c r="P59" s="227" t="s">
        <v>1132</v>
      </c>
      <c r="Q59" s="48" t="s">
        <v>234</v>
      </c>
      <c r="R59" s="75" t="s">
        <v>235</v>
      </c>
      <c r="S59" s="642">
        <v>41010</v>
      </c>
      <c r="T59" s="642">
        <v>41015</v>
      </c>
      <c r="U59" s="229" t="s">
        <v>760</v>
      </c>
      <c r="W59" s="117">
        <f>L59*N59/100/7.8</f>
        <v>769230.76923076925</v>
      </c>
      <c r="X59" s="143">
        <v>7.8</v>
      </c>
      <c r="Y59" s="117">
        <f t="shared" si="8"/>
        <v>6000000</v>
      </c>
      <c r="Z59" s="117"/>
      <c r="AA59" s="86">
        <v>6.4</v>
      </c>
      <c r="AB59" s="642">
        <v>43937</v>
      </c>
      <c r="AC59" s="104">
        <f t="shared" si="7"/>
        <v>8.0191780821917806</v>
      </c>
      <c r="AD59" s="75" t="s">
        <v>5</v>
      </c>
      <c r="AF59" s="214"/>
      <c r="AG59" s="215"/>
    </row>
    <row r="60" spans="1:34" s="74" customFormat="1" ht="38.25">
      <c r="A60" s="281"/>
      <c r="B60" s="73"/>
      <c r="C60" s="73"/>
      <c r="D60" s="73"/>
      <c r="E60" s="277">
        <v>47</v>
      </c>
      <c r="F60" s="55" t="s">
        <v>238</v>
      </c>
      <c r="G60" s="109" t="s">
        <v>240</v>
      </c>
      <c r="H60" s="112" t="s">
        <v>241</v>
      </c>
      <c r="I60" s="112" t="s">
        <v>257</v>
      </c>
      <c r="J60" s="319">
        <f t="shared" si="6"/>
        <v>9.9534246575342458</v>
      </c>
      <c r="K60" s="46" t="s">
        <v>465</v>
      </c>
      <c r="L60" s="341">
        <v>5000000</v>
      </c>
      <c r="M60" s="167" t="s">
        <v>945</v>
      </c>
      <c r="N60" s="114">
        <v>99.926000000000002</v>
      </c>
      <c r="O60" s="91">
        <v>6</v>
      </c>
      <c r="P60" s="227" t="s">
        <v>284</v>
      </c>
      <c r="Q60" s="48" t="s">
        <v>259</v>
      </c>
      <c r="R60" s="75" t="s">
        <v>283</v>
      </c>
      <c r="S60" s="642">
        <v>41054</v>
      </c>
      <c r="T60" s="642">
        <v>41059</v>
      </c>
      <c r="U60" s="229" t="s">
        <v>759</v>
      </c>
      <c r="W60" s="117">
        <f>L60*N60/100</f>
        <v>4996300</v>
      </c>
      <c r="X60" s="143">
        <v>7.8</v>
      </c>
      <c r="Y60" s="117">
        <f t="shared" si="8"/>
        <v>38971140</v>
      </c>
      <c r="Z60" s="117"/>
      <c r="AA60" s="86">
        <v>5.99</v>
      </c>
      <c r="AB60" s="642">
        <v>44692</v>
      </c>
      <c r="AC60" s="104">
        <f t="shared" si="7"/>
        <v>9.9671232876712335</v>
      </c>
      <c r="AD60" s="75" t="s">
        <v>5</v>
      </c>
      <c r="AF60" s="214"/>
      <c r="AG60" s="215"/>
    </row>
    <row r="61" spans="1:34" s="74" customFormat="1" ht="38.25">
      <c r="A61" s="281" t="s">
        <v>263</v>
      </c>
      <c r="B61" s="73"/>
      <c r="C61" s="73"/>
      <c r="D61" s="73"/>
      <c r="E61" s="277">
        <v>48</v>
      </c>
      <c r="F61" s="55" t="s">
        <v>262</v>
      </c>
      <c r="G61" s="109" t="s">
        <v>260</v>
      </c>
      <c r="H61" s="112" t="s">
        <v>261</v>
      </c>
      <c r="I61" s="112" t="s">
        <v>261</v>
      </c>
      <c r="J61" s="319">
        <f t="shared" si="6"/>
        <v>10.005479452054795</v>
      </c>
      <c r="K61" s="46" t="s">
        <v>465</v>
      </c>
      <c r="L61" s="341">
        <v>50000000</v>
      </c>
      <c r="M61" s="46" t="s">
        <v>264</v>
      </c>
      <c r="N61" s="114">
        <v>100</v>
      </c>
      <c r="O61" s="91">
        <v>6</v>
      </c>
      <c r="P61" s="227" t="s">
        <v>1073</v>
      </c>
      <c r="Q61" s="48" t="s">
        <v>1074</v>
      </c>
      <c r="R61" s="75" t="s">
        <v>1075</v>
      </c>
      <c r="S61" s="642">
        <v>41082</v>
      </c>
      <c r="T61" s="642">
        <v>41088</v>
      </c>
      <c r="U61" s="229" t="s">
        <v>759</v>
      </c>
      <c r="W61" s="117">
        <f>L61*N61/100/7.8</f>
        <v>6410256.41025641</v>
      </c>
      <c r="X61" s="143">
        <v>7.8</v>
      </c>
      <c r="Y61" s="117">
        <f t="shared" si="8"/>
        <v>50000000</v>
      </c>
      <c r="Z61" s="117"/>
      <c r="AA61" s="86">
        <v>6</v>
      </c>
      <c r="AB61" s="642">
        <v>44740</v>
      </c>
      <c r="AC61" s="104">
        <f t="shared" si="7"/>
        <v>10.021917808219179</v>
      </c>
      <c r="AD61" s="75" t="s">
        <v>5</v>
      </c>
      <c r="AF61" s="214"/>
      <c r="AG61" s="215"/>
    </row>
    <row r="62" spans="1:34" s="74" customFormat="1" ht="38.25">
      <c r="A62" s="281"/>
      <c r="B62" s="73"/>
      <c r="C62" s="73"/>
      <c r="D62" s="73"/>
      <c r="E62" s="277">
        <v>49</v>
      </c>
      <c r="F62" s="55" t="s">
        <v>274</v>
      </c>
      <c r="G62" s="109" t="s">
        <v>272</v>
      </c>
      <c r="H62" s="112" t="s">
        <v>261</v>
      </c>
      <c r="I62" s="112" t="s">
        <v>261</v>
      </c>
      <c r="J62" s="319">
        <f t="shared" si="6"/>
        <v>9.0054794520547947</v>
      </c>
      <c r="K62" s="46" t="s">
        <v>465</v>
      </c>
      <c r="L62" s="341">
        <v>63000000</v>
      </c>
      <c r="M62" s="46" t="s">
        <v>273</v>
      </c>
      <c r="N62" s="114">
        <v>100</v>
      </c>
      <c r="O62" s="91">
        <v>6.15</v>
      </c>
      <c r="P62" s="227" t="s">
        <v>1132</v>
      </c>
      <c r="Q62" s="48" t="s">
        <v>234</v>
      </c>
      <c r="R62" s="75" t="s">
        <v>235</v>
      </c>
      <c r="S62" s="642">
        <v>41122</v>
      </c>
      <c r="T62" s="642">
        <v>41128</v>
      </c>
      <c r="U62" s="229" t="s">
        <v>759</v>
      </c>
      <c r="W62" s="117">
        <f>L62*N62/100</f>
        <v>63000000</v>
      </c>
      <c r="X62" s="143">
        <v>1.22</v>
      </c>
      <c r="Y62" s="117">
        <f t="shared" si="8"/>
        <v>76860000</v>
      </c>
      <c r="Z62" s="117"/>
      <c r="AA62" s="86">
        <v>6.15</v>
      </c>
      <c r="AB62" s="642">
        <v>44415</v>
      </c>
      <c r="AC62" s="104">
        <f t="shared" si="7"/>
        <v>9.0219178082191789</v>
      </c>
      <c r="AD62" s="75" t="s">
        <v>5</v>
      </c>
      <c r="AF62" s="214"/>
      <c r="AG62" s="215"/>
    </row>
    <row r="63" spans="1:34" s="74" customFormat="1" ht="38.25">
      <c r="A63" s="281"/>
      <c r="B63" s="73"/>
      <c r="C63" s="73"/>
      <c r="D63" s="73"/>
      <c r="E63" s="277">
        <v>50</v>
      </c>
      <c r="F63" s="55" t="s">
        <v>247</v>
      </c>
      <c r="G63" s="109" t="s">
        <v>248</v>
      </c>
      <c r="H63" s="112" t="s">
        <v>261</v>
      </c>
      <c r="I63" s="112" t="s">
        <v>261</v>
      </c>
      <c r="J63" s="319">
        <f t="shared" si="6"/>
        <v>3</v>
      </c>
      <c r="K63" s="46" t="s">
        <v>465</v>
      </c>
      <c r="L63" s="341">
        <v>156000000</v>
      </c>
      <c r="M63" s="46" t="s">
        <v>273</v>
      </c>
      <c r="N63" s="114">
        <v>99.457999999999998</v>
      </c>
      <c r="O63" s="91">
        <v>6.0000900000000001</v>
      </c>
      <c r="P63" s="227" t="s">
        <v>249</v>
      </c>
      <c r="Q63" s="48" t="s">
        <v>250</v>
      </c>
      <c r="R63" s="109" t="s">
        <v>256</v>
      </c>
      <c r="S63" s="642">
        <v>41243</v>
      </c>
      <c r="T63" s="642">
        <v>41250</v>
      </c>
      <c r="U63" s="229" t="s">
        <v>759</v>
      </c>
      <c r="W63" s="117">
        <f>L63*N63/100</f>
        <v>155154480</v>
      </c>
      <c r="X63" s="143">
        <v>1.22</v>
      </c>
      <c r="Y63" s="117">
        <f t="shared" si="8"/>
        <v>189288465.59999999</v>
      </c>
      <c r="Z63" s="117"/>
      <c r="AA63" s="86">
        <v>5.8</v>
      </c>
      <c r="AB63" s="642">
        <v>42345</v>
      </c>
      <c r="AC63" s="104">
        <f t="shared" si="7"/>
        <v>3.0191780821917806</v>
      </c>
      <c r="AD63" s="75" t="s">
        <v>5</v>
      </c>
      <c r="AF63" s="214"/>
      <c r="AG63" s="215"/>
    </row>
    <row r="64" spans="1:34" s="518" customFormat="1" ht="38.25">
      <c r="A64" s="758"/>
      <c r="B64" s="739"/>
      <c r="C64" s="739"/>
      <c r="D64" s="739"/>
      <c r="E64" s="759">
        <v>51</v>
      </c>
      <c r="F64" s="741" t="s">
        <v>514</v>
      </c>
      <c r="G64" s="742" t="s">
        <v>1252</v>
      </c>
      <c r="H64" s="743" t="s">
        <v>516</v>
      </c>
      <c r="I64" s="743" t="s">
        <v>516</v>
      </c>
      <c r="J64" s="744">
        <f t="shared" si="6"/>
        <v>10.005479452054795</v>
      </c>
      <c r="K64" s="745" t="s">
        <v>465</v>
      </c>
      <c r="L64" s="746">
        <v>125000000</v>
      </c>
      <c r="M64" s="745" t="s">
        <v>466</v>
      </c>
      <c r="N64" s="747">
        <v>100</v>
      </c>
      <c r="O64" s="740">
        <v>6.5</v>
      </c>
      <c r="P64" s="748" t="s">
        <v>517</v>
      </c>
      <c r="Q64" s="749" t="s">
        <v>518</v>
      </c>
      <c r="R64" s="742" t="s">
        <v>519</v>
      </c>
      <c r="S64" s="796">
        <v>41383</v>
      </c>
      <c r="T64" s="796">
        <v>41390</v>
      </c>
      <c r="U64" s="750" t="s">
        <v>759</v>
      </c>
      <c r="W64" s="751">
        <f>L64*N64/100</f>
        <v>125000000</v>
      </c>
      <c r="X64" s="752">
        <v>7.8</v>
      </c>
      <c r="Y64" s="751">
        <f t="shared" si="8"/>
        <v>975000000</v>
      </c>
      <c r="Z64" s="751"/>
      <c r="AA64" s="753">
        <v>5.99</v>
      </c>
      <c r="AB64" s="796">
        <v>45042</v>
      </c>
      <c r="AC64" s="754">
        <f t="shared" si="7"/>
        <v>10.024657534246575</v>
      </c>
      <c r="AD64" s="755" t="s">
        <v>5</v>
      </c>
      <c r="AF64" s="756"/>
      <c r="AG64" s="757"/>
    </row>
    <row r="65" spans="1:34" s="518" customFormat="1" ht="38.25">
      <c r="A65" s="758"/>
      <c r="B65" s="739"/>
      <c r="C65" s="739"/>
      <c r="D65" s="739"/>
      <c r="E65" s="759">
        <v>52</v>
      </c>
      <c r="F65" s="741" t="s">
        <v>668</v>
      </c>
      <c r="G65" s="742" t="s">
        <v>669</v>
      </c>
      <c r="H65" s="760" t="s">
        <v>671</v>
      </c>
      <c r="I65" s="760" t="s">
        <v>1090</v>
      </c>
      <c r="J65" s="744">
        <f t="shared" si="6"/>
        <v>29.386301369863013</v>
      </c>
      <c r="K65" s="745" t="s">
        <v>465</v>
      </c>
      <c r="L65" s="746">
        <v>9000000</v>
      </c>
      <c r="M65" s="745" t="s">
        <v>466</v>
      </c>
      <c r="N65" s="747">
        <v>87</v>
      </c>
      <c r="O65" s="740">
        <v>6.3294639999999998</v>
      </c>
      <c r="P65" s="763" t="s">
        <v>707</v>
      </c>
      <c r="Q65" s="764" t="s">
        <v>670</v>
      </c>
      <c r="R65" s="742" t="s">
        <v>672</v>
      </c>
      <c r="S65" s="796">
        <v>41451</v>
      </c>
      <c r="T65" s="796">
        <v>41459</v>
      </c>
      <c r="U65" s="750" t="s">
        <v>715</v>
      </c>
      <c r="W65" s="751">
        <v>7895537.5</v>
      </c>
      <c r="X65" s="752">
        <v>7.8</v>
      </c>
      <c r="Y65" s="751">
        <f t="shared" si="8"/>
        <v>61585192.5</v>
      </c>
      <c r="Z65" s="751"/>
      <c r="AA65" s="753">
        <v>5.35</v>
      </c>
      <c r="AB65" s="796">
        <v>52185</v>
      </c>
      <c r="AC65" s="754">
        <f t="shared" si="7"/>
        <v>29.408219178082192</v>
      </c>
      <c r="AD65" s="755"/>
      <c r="AF65" s="756"/>
      <c r="AG65" s="757"/>
    </row>
    <row r="66" spans="1:34" s="518" customFormat="1" ht="38.25">
      <c r="A66" s="758"/>
      <c r="B66" s="739"/>
      <c r="C66" s="739"/>
      <c r="D66" s="739"/>
      <c r="E66" s="759">
        <v>53</v>
      </c>
      <c r="F66" s="741" t="s">
        <v>668</v>
      </c>
      <c r="G66" s="742" t="s">
        <v>669</v>
      </c>
      <c r="H66" s="760" t="s">
        <v>671</v>
      </c>
      <c r="I66" s="760" t="s">
        <v>1090</v>
      </c>
      <c r="J66" s="744">
        <f t="shared" si="6"/>
        <v>29.386301369863013</v>
      </c>
      <c r="K66" s="745" t="s">
        <v>465</v>
      </c>
      <c r="L66" s="746">
        <v>3000000</v>
      </c>
      <c r="M66" s="745" t="s">
        <v>466</v>
      </c>
      <c r="N66" s="747">
        <v>87.832999999999998</v>
      </c>
      <c r="O66" s="740">
        <v>6.2600899999999999</v>
      </c>
      <c r="P66" s="763" t="s">
        <v>331</v>
      </c>
      <c r="Q66" s="764" t="s">
        <v>595</v>
      </c>
      <c r="R66" s="742" t="s">
        <v>596</v>
      </c>
      <c r="S66" s="796">
        <v>41451</v>
      </c>
      <c r="T66" s="796">
        <v>41459</v>
      </c>
      <c r="U66" s="750" t="s">
        <v>715</v>
      </c>
      <c r="W66" s="751">
        <v>2656835.83</v>
      </c>
      <c r="X66" s="752">
        <v>7.8</v>
      </c>
      <c r="Y66" s="751">
        <f t="shared" si="8"/>
        <v>20723319.473999999</v>
      </c>
      <c r="Z66" s="751"/>
      <c r="AA66" s="753">
        <v>5.35</v>
      </c>
      <c r="AB66" s="796">
        <v>52185</v>
      </c>
      <c r="AC66" s="754">
        <f t="shared" si="7"/>
        <v>29.408219178082192</v>
      </c>
      <c r="AD66" s="755"/>
      <c r="AF66" s="756"/>
      <c r="AG66" s="757"/>
    </row>
    <row r="67" spans="1:34" s="761" customFormat="1" ht="38.25">
      <c r="A67" s="739"/>
      <c r="B67" s="739"/>
      <c r="C67" s="739"/>
      <c r="D67" s="739"/>
      <c r="E67" s="797">
        <v>54</v>
      </c>
      <c r="F67" s="741" t="s">
        <v>668</v>
      </c>
      <c r="G67" s="798" t="s">
        <v>420</v>
      </c>
      <c r="H67" s="743" t="s">
        <v>192</v>
      </c>
      <c r="I67" s="743" t="s">
        <v>421</v>
      </c>
      <c r="J67" s="744">
        <f t="shared" si="6"/>
        <v>29.383561643835616</v>
      </c>
      <c r="K67" s="745" t="s">
        <v>465</v>
      </c>
      <c r="L67" s="799">
        <v>3000000</v>
      </c>
      <c r="M67" s="745" t="s">
        <v>466</v>
      </c>
      <c r="N67" s="747">
        <v>88.808999999999997</v>
      </c>
      <c r="O67" s="740">
        <v>6.18011</v>
      </c>
      <c r="P67" s="748" t="s">
        <v>331</v>
      </c>
      <c r="Q67" s="749" t="s">
        <v>595</v>
      </c>
      <c r="R67" s="742" t="s">
        <v>596</v>
      </c>
      <c r="S67" s="796">
        <v>41453</v>
      </c>
      <c r="T67" s="796">
        <v>41460</v>
      </c>
      <c r="U67" s="750" t="s">
        <v>683</v>
      </c>
      <c r="V67" s="518"/>
      <c r="W67" s="767">
        <v>2686561.67</v>
      </c>
      <c r="X67" s="752">
        <v>7.8</v>
      </c>
      <c r="Y67" s="751">
        <f t="shared" si="8"/>
        <v>20955181.026000001</v>
      </c>
      <c r="Z67" s="751"/>
      <c r="AA67" s="753">
        <v>5.35</v>
      </c>
      <c r="AB67" s="800">
        <v>52185</v>
      </c>
      <c r="AC67" s="754">
        <f t="shared" si="7"/>
        <v>29.402739726027399</v>
      </c>
      <c r="AD67" s="754"/>
      <c r="AE67" s="518"/>
      <c r="AF67" s="756"/>
      <c r="AG67" s="757"/>
      <c r="AH67" s="751"/>
    </row>
    <row r="68" spans="1:34" s="761" customFormat="1" ht="38.25">
      <c r="A68" s="739"/>
      <c r="B68" s="739"/>
      <c r="C68" s="739"/>
      <c r="D68" s="739"/>
      <c r="E68" s="797">
        <v>55</v>
      </c>
      <c r="F68" s="741" t="s">
        <v>668</v>
      </c>
      <c r="G68" s="798" t="s">
        <v>420</v>
      </c>
      <c r="H68" s="743" t="s">
        <v>192</v>
      </c>
      <c r="I68" s="743" t="s">
        <v>421</v>
      </c>
      <c r="J68" s="744">
        <f t="shared" si="6"/>
        <v>29.367123287671234</v>
      </c>
      <c r="K68" s="745" t="s">
        <v>465</v>
      </c>
      <c r="L68" s="799">
        <v>5000000</v>
      </c>
      <c r="M68" s="745" t="s">
        <v>466</v>
      </c>
      <c r="N68" s="747">
        <v>90.81</v>
      </c>
      <c r="O68" s="740">
        <v>6.0203530000000001</v>
      </c>
      <c r="P68" s="748" t="s">
        <v>938</v>
      </c>
      <c r="Q68" s="749" t="s">
        <v>939</v>
      </c>
      <c r="R68" s="742" t="s">
        <v>940</v>
      </c>
      <c r="S68" s="796">
        <v>41459</v>
      </c>
      <c r="T68" s="796">
        <v>41466</v>
      </c>
      <c r="U68" s="750" t="s">
        <v>683</v>
      </c>
      <c r="V68" s="518"/>
      <c r="W68" s="767">
        <v>4582111.1100000003</v>
      </c>
      <c r="X68" s="752">
        <v>7.8</v>
      </c>
      <c r="Y68" s="751">
        <f t="shared" si="8"/>
        <v>35740466.658</v>
      </c>
      <c r="Z68" s="751"/>
      <c r="AA68" s="753">
        <v>5.35</v>
      </c>
      <c r="AB68" s="800">
        <v>52185</v>
      </c>
      <c r="AC68" s="754">
        <f t="shared" si="7"/>
        <v>29.386301369863013</v>
      </c>
      <c r="AD68" s="754"/>
      <c r="AE68" s="518"/>
      <c r="AF68" s="756"/>
      <c r="AG68" s="757"/>
      <c r="AH68" s="751"/>
    </row>
    <row r="69" spans="1:34" s="761" customFormat="1" ht="25.5">
      <c r="A69" s="739"/>
      <c r="B69" s="739"/>
      <c r="C69" s="739"/>
      <c r="D69" s="739"/>
      <c r="E69" s="797">
        <v>56</v>
      </c>
      <c r="F69" s="741" t="s">
        <v>668</v>
      </c>
      <c r="G69" s="798" t="s">
        <v>420</v>
      </c>
      <c r="H69" s="743" t="s">
        <v>192</v>
      </c>
      <c r="I69" s="743" t="s">
        <v>421</v>
      </c>
      <c r="J69" s="744">
        <f t="shared" si="6"/>
        <v>29.367123287671234</v>
      </c>
      <c r="K69" s="745" t="s">
        <v>465</v>
      </c>
      <c r="L69" s="799">
        <v>3000000</v>
      </c>
      <c r="M69" s="745" t="s">
        <v>466</v>
      </c>
      <c r="N69" s="747">
        <v>90.941000000000003</v>
      </c>
      <c r="O69" s="740">
        <v>6.0100699999999998</v>
      </c>
      <c r="P69" s="748" t="s">
        <v>712</v>
      </c>
      <c r="Q69" s="764" t="s">
        <v>713</v>
      </c>
      <c r="R69" s="742" t="s">
        <v>714</v>
      </c>
      <c r="S69" s="796">
        <v>41459</v>
      </c>
      <c r="T69" s="796">
        <v>41466</v>
      </c>
      <c r="U69" s="750" t="s">
        <v>683</v>
      </c>
      <c r="V69" s="518"/>
      <c r="W69" s="767">
        <v>2753196.67</v>
      </c>
      <c r="X69" s="752">
        <v>7.8</v>
      </c>
      <c r="Y69" s="751">
        <f t="shared" si="8"/>
        <v>21474934.026000001</v>
      </c>
      <c r="Z69" s="751"/>
      <c r="AA69" s="753">
        <v>5.35</v>
      </c>
      <c r="AB69" s="800">
        <v>52185</v>
      </c>
      <c r="AC69" s="754">
        <f t="shared" si="7"/>
        <v>29.386301369863013</v>
      </c>
      <c r="AD69" s="754"/>
      <c r="AE69" s="518"/>
      <c r="AF69" s="756"/>
      <c r="AG69" s="757"/>
      <c r="AH69" s="751"/>
    </row>
    <row r="70" spans="1:34" s="761" customFormat="1" ht="25.5">
      <c r="A70" s="739"/>
      <c r="B70" s="739"/>
      <c r="C70" s="739"/>
      <c r="D70" s="739"/>
      <c r="E70" s="797">
        <v>57</v>
      </c>
      <c r="F70" s="741" t="s">
        <v>668</v>
      </c>
      <c r="G70" s="798" t="s">
        <v>420</v>
      </c>
      <c r="H70" s="743" t="s">
        <v>192</v>
      </c>
      <c r="I70" s="743" t="s">
        <v>421</v>
      </c>
      <c r="J70" s="744">
        <f t="shared" si="6"/>
        <v>29.356164383561644</v>
      </c>
      <c r="K70" s="745" t="s">
        <v>465</v>
      </c>
      <c r="L70" s="799">
        <v>2000000</v>
      </c>
      <c r="M70" s="762" t="s">
        <v>945</v>
      </c>
      <c r="N70" s="747">
        <v>87.9</v>
      </c>
      <c r="O70" s="740">
        <v>6.2548430000000002</v>
      </c>
      <c r="P70" s="748" t="s">
        <v>946</v>
      </c>
      <c r="Q70" s="764" t="s">
        <v>947</v>
      </c>
      <c r="R70" s="742" t="s">
        <v>948</v>
      </c>
      <c r="S70" s="796">
        <v>41463</v>
      </c>
      <c r="T70" s="796">
        <v>41470</v>
      </c>
      <c r="U70" s="750" t="s">
        <v>683</v>
      </c>
      <c r="V70" s="518"/>
      <c r="W70" s="767">
        <v>1775833.33</v>
      </c>
      <c r="X70" s="752">
        <v>7.8</v>
      </c>
      <c r="Y70" s="751">
        <f t="shared" si="8"/>
        <v>13851499.973999999</v>
      </c>
      <c r="Z70" s="751"/>
      <c r="AA70" s="753">
        <v>5.35</v>
      </c>
      <c r="AB70" s="800">
        <v>52185</v>
      </c>
      <c r="AC70" s="754">
        <f t="shared" si="7"/>
        <v>29.375342465753423</v>
      </c>
      <c r="AD70" s="754"/>
      <c r="AE70" s="518"/>
      <c r="AF70" s="756"/>
      <c r="AG70" s="757"/>
      <c r="AH70" s="751"/>
    </row>
    <row r="71" spans="1:34" s="761" customFormat="1" ht="38.25">
      <c r="A71" s="739"/>
      <c r="B71" s="739"/>
      <c r="C71" s="739"/>
      <c r="D71" s="739"/>
      <c r="E71" s="797">
        <v>58</v>
      </c>
      <c r="F71" s="741" t="s">
        <v>668</v>
      </c>
      <c r="G71" s="798" t="s">
        <v>420</v>
      </c>
      <c r="H71" s="743" t="s">
        <v>192</v>
      </c>
      <c r="I71" s="743" t="s">
        <v>421</v>
      </c>
      <c r="J71" s="744">
        <f t="shared" si="6"/>
        <v>29.350684931506848</v>
      </c>
      <c r="K71" s="745" t="s">
        <v>465</v>
      </c>
      <c r="L71" s="799">
        <v>2000000</v>
      </c>
      <c r="M71" s="762" t="s">
        <v>945</v>
      </c>
      <c r="N71" s="747">
        <v>89.93</v>
      </c>
      <c r="O71" s="740">
        <v>6.0901319999999997</v>
      </c>
      <c r="P71" s="748" t="s">
        <v>938</v>
      </c>
      <c r="Q71" s="764" t="s">
        <v>333</v>
      </c>
      <c r="R71" s="742" t="s">
        <v>332</v>
      </c>
      <c r="S71" s="796">
        <v>41465</v>
      </c>
      <c r="T71" s="796">
        <v>41472</v>
      </c>
      <c r="U71" s="750" t="s">
        <v>683</v>
      </c>
      <c r="V71" s="518"/>
      <c r="W71" s="767">
        <v>1817027.78</v>
      </c>
      <c r="X71" s="752">
        <v>7.8</v>
      </c>
      <c r="Y71" s="751">
        <f t="shared" si="8"/>
        <v>14172816.684</v>
      </c>
      <c r="Z71" s="751"/>
      <c r="AA71" s="753">
        <v>5.35</v>
      </c>
      <c r="AB71" s="800">
        <v>52185</v>
      </c>
      <c r="AC71" s="754">
        <f t="shared" si="7"/>
        <v>29.36986301369863</v>
      </c>
      <c r="AD71" s="754"/>
      <c r="AE71" s="518"/>
      <c r="AF71" s="756"/>
      <c r="AG71" s="757"/>
      <c r="AH71" s="751"/>
    </row>
    <row r="72" spans="1:34" s="761" customFormat="1" ht="25.5">
      <c r="A72" s="739"/>
      <c r="B72" s="739"/>
      <c r="C72" s="739"/>
      <c r="D72" s="739"/>
      <c r="E72" s="797">
        <v>59</v>
      </c>
      <c r="F72" s="741" t="s">
        <v>668</v>
      </c>
      <c r="G72" s="798" t="s">
        <v>420</v>
      </c>
      <c r="H72" s="743" t="s">
        <v>192</v>
      </c>
      <c r="I72" s="743" t="s">
        <v>421</v>
      </c>
      <c r="J72" s="744">
        <f t="shared" si="6"/>
        <v>29.350684931506848</v>
      </c>
      <c r="K72" s="745" t="s">
        <v>465</v>
      </c>
      <c r="L72" s="799">
        <v>2000000</v>
      </c>
      <c r="M72" s="762" t="s">
        <v>945</v>
      </c>
      <c r="N72" s="747">
        <v>89.9</v>
      </c>
      <c r="O72" s="740">
        <v>6.09253</v>
      </c>
      <c r="P72" s="748" t="s">
        <v>946</v>
      </c>
      <c r="Q72" s="764" t="s">
        <v>947</v>
      </c>
      <c r="R72" s="742" t="s">
        <v>948</v>
      </c>
      <c r="S72" s="796">
        <v>41465</v>
      </c>
      <c r="T72" s="796">
        <v>41472</v>
      </c>
      <c r="U72" s="750" t="s">
        <v>683</v>
      </c>
      <c r="V72" s="518"/>
      <c r="W72" s="767">
        <v>1816427.78</v>
      </c>
      <c r="X72" s="752">
        <v>7.8</v>
      </c>
      <c r="Y72" s="751">
        <f t="shared" si="8"/>
        <v>14168136.684</v>
      </c>
      <c r="Z72" s="751"/>
      <c r="AA72" s="753">
        <v>5.35</v>
      </c>
      <c r="AB72" s="800">
        <v>52185</v>
      </c>
      <c r="AC72" s="754">
        <f t="shared" si="7"/>
        <v>29.36986301369863</v>
      </c>
      <c r="AD72" s="754"/>
      <c r="AE72" s="518"/>
      <c r="AF72" s="756"/>
      <c r="AG72" s="757"/>
      <c r="AH72" s="751"/>
    </row>
    <row r="73" spans="1:34" s="761" customFormat="1" ht="38.25">
      <c r="A73" s="739"/>
      <c r="B73" s="739"/>
      <c r="C73" s="739"/>
      <c r="D73" s="739"/>
      <c r="E73" s="797">
        <v>60</v>
      </c>
      <c r="F73" s="741" t="s">
        <v>668</v>
      </c>
      <c r="G73" s="798" t="s">
        <v>420</v>
      </c>
      <c r="H73" s="743" t="s">
        <v>192</v>
      </c>
      <c r="I73" s="743" t="s">
        <v>421</v>
      </c>
      <c r="J73" s="744">
        <f t="shared" si="6"/>
        <v>29.347945205479451</v>
      </c>
      <c r="K73" s="745" t="s">
        <v>465</v>
      </c>
      <c r="L73" s="799">
        <v>1000000</v>
      </c>
      <c r="M73" s="762" t="s">
        <v>945</v>
      </c>
      <c r="N73" s="747">
        <v>90.435000000000002</v>
      </c>
      <c r="O73" s="747">
        <v>6.0500499999999997</v>
      </c>
      <c r="P73" s="748" t="s">
        <v>331</v>
      </c>
      <c r="Q73" s="764" t="s">
        <v>595</v>
      </c>
      <c r="R73" s="742" t="s">
        <v>596</v>
      </c>
      <c r="S73" s="796">
        <v>41466</v>
      </c>
      <c r="T73" s="796">
        <v>41473</v>
      </c>
      <c r="U73" s="750" t="s">
        <v>683</v>
      </c>
      <c r="V73" s="518"/>
      <c r="W73" s="767">
        <v>913712.5</v>
      </c>
      <c r="X73" s="752">
        <v>7.8</v>
      </c>
      <c r="Y73" s="751">
        <f t="shared" si="8"/>
        <v>7126957.5</v>
      </c>
      <c r="Z73" s="751"/>
      <c r="AA73" s="753">
        <v>5.35</v>
      </c>
      <c r="AB73" s="800">
        <v>52185</v>
      </c>
      <c r="AC73" s="754">
        <f t="shared" si="7"/>
        <v>29.367123287671234</v>
      </c>
      <c r="AD73" s="754"/>
      <c r="AE73" s="518"/>
      <c r="AF73" s="756"/>
      <c r="AG73" s="757"/>
      <c r="AH73" s="751"/>
    </row>
    <row r="74" spans="1:34" s="761" customFormat="1" ht="25.5">
      <c r="A74" s="739"/>
      <c r="B74" s="739"/>
      <c r="C74" s="739"/>
      <c r="D74" s="739"/>
      <c r="E74" s="797">
        <v>61</v>
      </c>
      <c r="F74" s="741" t="s">
        <v>668</v>
      </c>
      <c r="G74" s="798" t="s">
        <v>420</v>
      </c>
      <c r="H74" s="743" t="s">
        <v>192</v>
      </c>
      <c r="I74" s="743" t="s">
        <v>421</v>
      </c>
      <c r="J74" s="744">
        <f t="shared" si="6"/>
        <v>29.345205479452055</v>
      </c>
      <c r="K74" s="745" t="s">
        <v>465</v>
      </c>
      <c r="L74" s="799">
        <v>2500000</v>
      </c>
      <c r="M74" s="762" t="s">
        <v>945</v>
      </c>
      <c r="N74" s="747">
        <v>91.07</v>
      </c>
      <c r="O74" s="747">
        <v>6.0001199999999999</v>
      </c>
      <c r="P74" s="748" t="s">
        <v>946</v>
      </c>
      <c r="Q74" s="764" t="s">
        <v>947</v>
      </c>
      <c r="R74" s="742" t="s">
        <v>948</v>
      </c>
      <c r="S74" s="796">
        <v>41467</v>
      </c>
      <c r="T74" s="796">
        <v>41474</v>
      </c>
      <c r="U74" s="750" t="s">
        <v>683</v>
      </c>
      <c r="V74" s="518"/>
      <c r="W74" s="767">
        <v>2300527.7799999998</v>
      </c>
      <c r="X74" s="752">
        <v>7.8</v>
      </c>
      <c r="Y74" s="751">
        <f t="shared" si="8"/>
        <v>17944116.683999997</v>
      </c>
      <c r="Z74" s="751"/>
      <c r="AA74" s="753">
        <v>5.35</v>
      </c>
      <c r="AB74" s="800">
        <v>52185</v>
      </c>
      <c r="AC74" s="754">
        <f t="shared" si="7"/>
        <v>29.364383561643837</v>
      </c>
      <c r="AD74" s="754"/>
      <c r="AE74" s="518"/>
      <c r="AF74" s="756"/>
      <c r="AG74" s="757"/>
      <c r="AH74" s="751"/>
    </row>
    <row r="75" spans="1:34" s="761" customFormat="1" ht="38.25">
      <c r="A75" s="739"/>
      <c r="B75" s="739"/>
      <c r="C75" s="739"/>
      <c r="D75" s="739"/>
      <c r="E75" s="797">
        <v>62</v>
      </c>
      <c r="F75" s="741" t="s">
        <v>668</v>
      </c>
      <c r="G75" s="798" t="s">
        <v>420</v>
      </c>
      <c r="H75" s="743" t="s">
        <v>192</v>
      </c>
      <c r="I75" s="743" t="s">
        <v>421</v>
      </c>
      <c r="J75" s="744">
        <f t="shared" si="6"/>
        <v>29.331506849315069</v>
      </c>
      <c r="K75" s="745" t="s">
        <v>465</v>
      </c>
      <c r="L75" s="799">
        <v>3000000</v>
      </c>
      <c r="M75" s="762" t="s">
        <v>945</v>
      </c>
      <c r="N75" s="747">
        <v>91.07</v>
      </c>
      <c r="O75" s="747">
        <v>6.0002230000000001</v>
      </c>
      <c r="P75" s="748" t="s">
        <v>938</v>
      </c>
      <c r="Q75" s="764" t="s">
        <v>342</v>
      </c>
      <c r="R75" s="742" t="s">
        <v>343</v>
      </c>
      <c r="S75" s="796">
        <v>41472</v>
      </c>
      <c r="T75" s="796">
        <v>41479</v>
      </c>
      <c r="U75" s="750" t="s">
        <v>683</v>
      </c>
      <c r="V75" s="518"/>
      <c r="W75" s="767">
        <v>2762862.5</v>
      </c>
      <c r="X75" s="752">
        <v>7.8</v>
      </c>
      <c r="Y75" s="751">
        <f t="shared" si="8"/>
        <v>21550327.5</v>
      </c>
      <c r="Z75" s="751"/>
      <c r="AA75" s="753">
        <v>5.35</v>
      </c>
      <c r="AB75" s="800">
        <v>52185</v>
      </c>
      <c r="AC75" s="754">
        <f t="shared" si="7"/>
        <v>29.350684931506848</v>
      </c>
      <c r="AD75" s="754"/>
      <c r="AE75" s="518"/>
      <c r="AF75" s="756"/>
      <c r="AG75" s="757"/>
      <c r="AH75" s="751"/>
    </row>
    <row r="76" spans="1:34" s="761" customFormat="1" ht="38.25">
      <c r="A76" s="739"/>
      <c r="B76" s="739"/>
      <c r="C76" s="739"/>
      <c r="D76" s="739"/>
      <c r="E76" s="797">
        <v>63</v>
      </c>
      <c r="F76" s="761" t="s">
        <v>1144</v>
      </c>
      <c r="G76" s="742" t="s">
        <v>1137</v>
      </c>
      <c r="H76" s="760" t="s">
        <v>23</v>
      </c>
      <c r="I76" s="760" t="s">
        <v>159</v>
      </c>
      <c r="J76" s="744">
        <f t="shared" si="6"/>
        <v>23.084931506849315</v>
      </c>
      <c r="K76" s="745" t="s">
        <v>465</v>
      </c>
      <c r="L76" s="799">
        <v>95000000</v>
      </c>
      <c r="M76" s="762" t="s">
        <v>945</v>
      </c>
      <c r="N76" s="747">
        <v>100</v>
      </c>
      <c r="O76" s="747">
        <v>6.0004299999999997</v>
      </c>
      <c r="P76" s="763" t="s">
        <v>584</v>
      </c>
      <c r="Q76" s="764" t="s">
        <v>1138</v>
      </c>
      <c r="R76" s="742" t="s">
        <v>1139</v>
      </c>
      <c r="S76" s="796">
        <v>41480</v>
      </c>
      <c r="T76" s="796">
        <v>41492</v>
      </c>
      <c r="U76" s="750" t="s">
        <v>683</v>
      </c>
      <c r="V76" s="518"/>
      <c r="W76" s="767">
        <v>95000000</v>
      </c>
      <c r="X76" s="752">
        <v>7.8</v>
      </c>
      <c r="Y76" s="751">
        <f t="shared" si="8"/>
        <v>741000000</v>
      </c>
      <c r="Z76" s="751"/>
      <c r="AA76" s="753">
        <v>6</v>
      </c>
      <c r="AB76" s="800">
        <v>49918</v>
      </c>
      <c r="AC76" s="754">
        <f t="shared" si="7"/>
        <v>23.117808219178084</v>
      </c>
      <c r="AD76" s="754"/>
      <c r="AE76" s="518"/>
      <c r="AF76" s="756"/>
      <c r="AG76" s="757"/>
      <c r="AH76" s="751"/>
    </row>
    <row r="77" spans="1:34" s="761" customFormat="1" ht="25.5">
      <c r="A77" s="739"/>
      <c r="B77" s="739"/>
      <c r="C77" s="739"/>
      <c r="D77" s="739"/>
      <c r="E77" s="797">
        <v>64</v>
      </c>
      <c r="F77" s="761" t="s">
        <v>1210</v>
      </c>
      <c r="G77" s="742" t="s">
        <v>1216</v>
      </c>
      <c r="H77" s="760" t="s">
        <v>516</v>
      </c>
      <c r="I77" s="760" t="s">
        <v>516</v>
      </c>
      <c r="J77" s="744">
        <f t="shared" si="6"/>
        <v>15.010958904109589</v>
      </c>
      <c r="K77" s="745" t="s">
        <v>465</v>
      </c>
      <c r="L77" s="799">
        <v>16000000</v>
      </c>
      <c r="M77" s="762" t="s">
        <v>466</v>
      </c>
      <c r="N77" s="747">
        <v>100</v>
      </c>
      <c r="O77" s="747">
        <v>6</v>
      </c>
      <c r="P77" s="763" t="s">
        <v>1213</v>
      </c>
      <c r="Q77" s="764" t="s">
        <v>1214</v>
      </c>
      <c r="R77" s="742" t="s">
        <v>1215</v>
      </c>
      <c r="S77" s="796">
        <v>41544</v>
      </c>
      <c r="T77" s="796">
        <v>41551</v>
      </c>
      <c r="U77" s="750" t="s">
        <v>683</v>
      </c>
      <c r="V77" s="518"/>
      <c r="W77" s="767">
        <v>16000000</v>
      </c>
      <c r="X77" s="752">
        <v>7.8</v>
      </c>
      <c r="Y77" s="751">
        <f t="shared" si="8"/>
        <v>124800000</v>
      </c>
      <c r="Z77" s="751"/>
      <c r="AA77" s="753">
        <v>6</v>
      </c>
      <c r="AB77" s="800">
        <v>47030</v>
      </c>
      <c r="AC77" s="754">
        <f t="shared" si="7"/>
        <v>15.03013698630137</v>
      </c>
      <c r="AD77" s="754"/>
      <c r="AE77" s="518"/>
      <c r="AF77" s="756"/>
      <c r="AG77" s="757"/>
      <c r="AH77" s="751"/>
    </row>
    <row r="78" spans="1:34" s="518" customFormat="1" ht="63.75">
      <c r="A78" s="758"/>
      <c r="B78" s="739"/>
      <c r="C78" s="739"/>
      <c r="D78" s="739"/>
      <c r="E78" s="759">
        <v>65</v>
      </c>
      <c r="F78" s="741" t="s">
        <v>274</v>
      </c>
      <c r="G78" s="742" t="s">
        <v>272</v>
      </c>
      <c r="H78" s="743" t="s">
        <v>44</v>
      </c>
      <c r="I78" s="743" t="s">
        <v>44</v>
      </c>
      <c r="J78" s="744">
        <f t="shared" si="6"/>
        <v>7.7342465753424658</v>
      </c>
      <c r="K78" s="768" t="s">
        <v>1230</v>
      </c>
      <c r="L78" s="746">
        <v>-63000000</v>
      </c>
      <c r="M78" s="745" t="s">
        <v>273</v>
      </c>
      <c r="N78" s="747">
        <v>100</v>
      </c>
      <c r="O78" s="747" t="s">
        <v>1229</v>
      </c>
      <c r="P78" s="748" t="s">
        <v>775</v>
      </c>
      <c r="Q78" s="749" t="s">
        <v>776</v>
      </c>
      <c r="R78" s="755" t="s">
        <v>99</v>
      </c>
      <c r="S78" s="796">
        <v>41586</v>
      </c>
      <c r="T78" s="796">
        <v>41592</v>
      </c>
      <c r="U78" s="750" t="s">
        <v>599</v>
      </c>
      <c r="W78" s="751">
        <v>-64050891.780000001</v>
      </c>
      <c r="X78" s="752">
        <v>1.28</v>
      </c>
      <c r="Y78" s="751">
        <f t="shared" si="8"/>
        <v>-81985141.478400007</v>
      </c>
      <c r="Z78" s="751"/>
      <c r="AA78" s="753">
        <v>6.15</v>
      </c>
      <c r="AB78" s="796">
        <v>44415</v>
      </c>
      <c r="AC78" s="754">
        <f t="shared" si="7"/>
        <v>7.7506849315068491</v>
      </c>
      <c r="AD78" s="761" t="s">
        <v>1232</v>
      </c>
      <c r="AF78" s="756"/>
      <c r="AG78" s="757"/>
    </row>
    <row r="79" spans="1:34" s="791" customFormat="1" ht="38.25">
      <c r="A79" s="789"/>
      <c r="B79" s="789"/>
      <c r="C79" s="789"/>
      <c r="D79" s="789"/>
      <c r="E79" s="804">
        <v>66</v>
      </c>
      <c r="F79" s="791" t="s">
        <v>1250</v>
      </c>
      <c r="G79" s="710" t="s">
        <v>1251</v>
      </c>
      <c r="H79" s="711" t="s">
        <v>192</v>
      </c>
      <c r="I79" s="711" t="s">
        <v>421</v>
      </c>
      <c r="J79" s="712">
        <f t="shared" si="6"/>
        <v>9.7534246575342465</v>
      </c>
      <c r="K79" s="713" t="s">
        <v>465</v>
      </c>
      <c r="L79" s="805">
        <v>2000000</v>
      </c>
      <c r="M79" s="713" t="s">
        <v>466</v>
      </c>
      <c r="N79" s="793">
        <v>95.353999999999999</v>
      </c>
      <c r="O79" s="790">
        <v>6.0102500000000001</v>
      </c>
      <c r="P79" s="806" t="s">
        <v>331</v>
      </c>
      <c r="Q79" s="719" t="s">
        <v>595</v>
      </c>
      <c r="R79" s="710" t="s">
        <v>596</v>
      </c>
      <c r="S79" s="807">
        <v>41662</v>
      </c>
      <c r="T79" s="807">
        <v>41668</v>
      </c>
      <c r="U79" s="794" t="s">
        <v>599</v>
      </c>
      <c r="V79" s="795"/>
      <c r="W79" s="808">
        <v>1933955</v>
      </c>
      <c r="X79" s="809">
        <v>7.8</v>
      </c>
      <c r="Y79" s="723">
        <f t="shared" si="8"/>
        <v>15084849</v>
      </c>
      <c r="Z79" s="723"/>
      <c r="AA79" s="717">
        <v>5.375</v>
      </c>
      <c r="AB79" s="807">
        <v>45228</v>
      </c>
      <c r="AC79" s="726">
        <f t="shared" si="7"/>
        <v>9.7698630136986306</v>
      </c>
      <c r="AD79" s="726"/>
      <c r="AE79" s="795"/>
      <c r="AF79" s="728"/>
      <c r="AG79" s="729"/>
      <c r="AH79" s="723"/>
    </row>
    <row r="80" spans="1:34" s="542" customFormat="1" ht="38.25">
      <c r="A80" s="540"/>
      <c r="B80" s="540"/>
      <c r="C80" s="540"/>
      <c r="D80" s="540"/>
      <c r="E80" s="801">
        <v>67</v>
      </c>
      <c r="F80" s="542" t="s">
        <v>1250</v>
      </c>
      <c r="G80" s="543" t="s">
        <v>1251</v>
      </c>
      <c r="H80" s="544" t="s">
        <v>192</v>
      </c>
      <c r="I80" s="544" t="s">
        <v>421</v>
      </c>
      <c r="J80" s="545">
        <f t="shared" si="6"/>
        <v>9.75068493150685</v>
      </c>
      <c r="K80" s="546" t="s">
        <v>465</v>
      </c>
      <c r="L80" s="802">
        <v>14000000</v>
      </c>
      <c r="M80" s="546" t="s">
        <v>466</v>
      </c>
      <c r="N80" s="565">
        <v>95.355999999999995</v>
      </c>
      <c r="O80" s="541">
        <v>6.0101100000000001</v>
      </c>
      <c r="P80" s="566" t="s">
        <v>677</v>
      </c>
      <c r="Q80" s="552" t="s">
        <v>1219</v>
      </c>
      <c r="R80" s="543" t="s">
        <v>1220</v>
      </c>
      <c r="S80" s="647">
        <v>41663</v>
      </c>
      <c r="T80" s="647">
        <v>41669</v>
      </c>
      <c r="U80" s="553" t="s">
        <v>599</v>
      </c>
      <c r="V80" s="558"/>
      <c r="W80" s="569">
        <v>13540055.279999999</v>
      </c>
      <c r="X80" s="803">
        <v>7.8</v>
      </c>
      <c r="Y80" s="555">
        <f t="shared" si="8"/>
        <v>105612431.18399999</v>
      </c>
      <c r="Z80" s="555"/>
      <c r="AA80" s="550">
        <v>5.375</v>
      </c>
      <c r="AB80" s="647">
        <v>45228</v>
      </c>
      <c r="AC80" s="557">
        <f t="shared" si="7"/>
        <v>9.7671232876712324</v>
      </c>
      <c r="AD80" s="557"/>
      <c r="AE80" s="558"/>
      <c r="AF80" s="559"/>
      <c r="AG80" s="560"/>
      <c r="AH80" s="555"/>
    </row>
    <row r="81" spans="1:16384" s="524" customFormat="1" ht="38.25">
      <c r="A81" s="522"/>
      <c r="B81" s="522"/>
      <c r="C81" s="522"/>
      <c r="D81" s="522"/>
      <c r="E81" s="810">
        <v>68</v>
      </c>
      <c r="F81" s="524" t="s">
        <v>1250</v>
      </c>
      <c r="G81" s="525" t="s">
        <v>1251</v>
      </c>
      <c r="H81" s="526" t="s">
        <v>192</v>
      </c>
      <c r="I81" s="526" t="s">
        <v>421</v>
      </c>
      <c r="J81" s="527">
        <f t="shared" si="6"/>
        <v>9.7369863013698623</v>
      </c>
      <c r="K81" s="528" t="s">
        <v>465</v>
      </c>
      <c r="L81" s="811">
        <v>3000000</v>
      </c>
      <c r="M81" s="528" t="s">
        <v>466</v>
      </c>
      <c r="N81" s="529">
        <v>95.427000000000007</v>
      </c>
      <c r="O81" s="523">
        <v>6.0000999999999998</v>
      </c>
      <c r="P81" s="812" t="s">
        <v>331</v>
      </c>
      <c r="Q81" s="813" t="s">
        <v>595</v>
      </c>
      <c r="R81" s="525" t="s">
        <v>596</v>
      </c>
      <c r="S81" s="814">
        <v>41666</v>
      </c>
      <c r="T81" s="814">
        <v>41674</v>
      </c>
      <c r="U81" s="530" t="s">
        <v>599</v>
      </c>
      <c r="V81" s="531"/>
      <c r="W81" s="534">
        <v>2905362.08</v>
      </c>
      <c r="X81" s="532">
        <v>7.8</v>
      </c>
      <c r="Y81" s="533">
        <f t="shared" si="8"/>
        <v>22661824.223999999</v>
      </c>
      <c r="Z81" s="533"/>
      <c r="AA81" s="535">
        <v>5.375</v>
      </c>
      <c r="AB81" s="814">
        <v>45228</v>
      </c>
      <c r="AC81" s="536">
        <f t="shared" si="7"/>
        <v>9.7589041095890412</v>
      </c>
      <c r="AD81" s="536"/>
      <c r="AE81" s="531"/>
      <c r="AF81" s="537"/>
      <c r="AG81" s="538"/>
      <c r="AH81" s="533"/>
    </row>
    <row r="82" spans="1:16384" s="524" customFormat="1" ht="38.25">
      <c r="A82" s="522"/>
      <c r="B82" s="522"/>
      <c r="C82" s="522"/>
      <c r="D82" s="522"/>
      <c r="E82" s="810">
        <v>69</v>
      </c>
      <c r="F82" s="524" t="s">
        <v>1254</v>
      </c>
      <c r="G82" s="525" t="s">
        <v>1253</v>
      </c>
      <c r="H82" s="526" t="s">
        <v>192</v>
      </c>
      <c r="I82" s="526" t="s">
        <v>421</v>
      </c>
      <c r="J82" s="527">
        <f t="shared" si="6"/>
        <v>8.7835616438356166</v>
      </c>
      <c r="K82" s="528" t="s">
        <v>465</v>
      </c>
      <c r="L82" s="811">
        <v>5000000</v>
      </c>
      <c r="M82" s="528" t="s">
        <v>466</v>
      </c>
      <c r="N82" s="529">
        <v>86.144000000000005</v>
      </c>
      <c r="O82" s="523">
        <v>6.0021899999999997</v>
      </c>
      <c r="P82" s="812" t="s">
        <v>677</v>
      </c>
      <c r="Q82" s="813" t="s">
        <v>1219</v>
      </c>
      <c r="R82" s="525" t="s">
        <v>1220</v>
      </c>
      <c r="S82" s="814">
        <v>41666</v>
      </c>
      <c r="T82" s="814">
        <v>41674</v>
      </c>
      <c r="U82" s="530" t="s">
        <v>599</v>
      </c>
      <c r="V82" s="531"/>
      <c r="W82" s="534">
        <v>4350540.28</v>
      </c>
      <c r="X82" s="532">
        <v>7.8</v>
      </c>
      <c r="Y82" s="533">
        <f t="shared" si="8"/>
        <v>33934214.184</v>
      </c>
      <c r="Z82" s="533"/>
      <c r="AA82" s="535">
        <v>3.95</v>
      </c>
      <c r="AB82" s="814">
        <v>44880</v>
      </c>
      <c r="AC82" s="536">
        <f t="shared" si="7"/>
        <v>8.8054794520547937</v>
      </c>
      <c r="AD82" s="536"/>
      <c r="AE82" s="531"/>
      <c r="AF82" s="537"/>
      <c r="AG82" s="538"/>
      <c r="AH82" s="533"/>
    </row>
    <row r="83" spans="1:16384" s="834" customFormat="1" ht="25.5">
      <c r="A83" s="832"/>
      <c r="B83" s="832"/>
      <c r="C83" s="832"/>
      <c r="D83" s="832"/>
      <c r="E83" s="833">
        <v>70</v>
      </c>
      <c r="F83" s="834" t="s">
        <v>1250</v>
      </c>
      <c r="G83" s="612" t="s">
        <v>1251</v>
      </c>
      <c r="H83" s="835" t="s">
        <v>192</v>
      </c>
      <c r="I83" s="835" t="s">
        <v>421</v>
      </c>
      <c r="J83" s="614">
        <f t="shared" si="6"/>
        <v>9.712328767123287</v>
      </c>
      <c r="K83" s="615" t="s">
        <v>465</v>
      </c>
      <c r="L83" s="836">
        <v>3000000</v>
      </c>
      <c r="M83" s="615" t="s">
        <v>466</v>
      </c>
      <c r="N83" s="837">
        <v>95.69</v>
      </c>
      <c r="O83" s="609">
        <v>5.9647899999999998</v>
      </c>
      <c r="P83" s="619" t="s">
        <v>1213</v>
      </c>
      <c r="Q83" s="838" t="s">
        <v>1214</v>
      </c>
      <c r="R83" s="612" t="s">
        <v>1215</v>
      </c>
      <c r="S83" s="651">
        <v>41677</v>
      </c>
      <c r="T83" s="651">
        <v>41683</v>
      </c>
      <c r="U83" s="622" t="s">
        <v>599</v>
      </c>
      <c r="V83" s="839"/>
      <c r="W83" s="624">
        <v>2917283.33</v>
      </c>
      <c r="X83" s="840">
        <v>7.8</v>
      </c>
      <c r="Y83" s="623">
        <f t="shared" si="8"/>
        <v>22754809.973999999</v>
      </c>
      <c r="Z83" s="623"/>
      <c r="AA83" s="625">
        <v>5.375</v>
      </c>
      <c r="AB83" s="651">
        <v>45228</v>
      </c>
      <c r="AC83" s="626">
        <f t="shared" si="7"/>
        <v>9.7287671232876711</v>
      </c>
      <c r="AD83" s="626"/>
      <c r="AE83" s="839"/>
      <c r="AF83" s="627"/>
      <c r="AG83" s="628"/>
      <c r="AH83" s="623"/>
    </row>
    <row r="84" spans="1:16384" s="791" customFormat="1" ht="38.25">
      <c r="A84" s="789"/>
      <c r="B84" s="789"/>
      <c r="C84" s="789"/>
      <c r="D84" s="789"/>
      <c r="E84" s="804">
        <v>71</v>
      </c>
      <c r="F84" s="791" t="s">
        <v>1250</v>
      </c>
      <c r="G84" s="710" t="s">
        <v>1251</v>
      </c>
      <c r="H84" s="711" t="s">
        <v>192</v>
      </c>
      <c r="I84" s="711" t="s">
        <v>421</v>
      </c>
      <c r="J84" s="712">
        <f t="shared" si="6"/>
        <v>9.6986301369863011</v>
      </c>
      <c r="K84" s="713" t="s">
        <v>465</v>
      </c>
      <c r="L84" s="805">
        <v>2000000</v>
      </c>
      <c r="M84" s="713" t="s">
        <v>466</v>
      </c>
      <c r="N84" s="793">
        <v>96.155000000000001</v>
      </c>
      <c r="O84" s="790">
        <v>5.90008</v>
      </c>
      <c r="P84" s="806" t="s">
        <v>331</v>
      </c>
      <c r="Q84" s="719" t="s">
        <v>595</v>
      </c>
      <c r="R84" s="710" t="s">
        <v>596</v>
      </c>
      <c r="S84" s="807">
        <v>41682</v>
      </c>
      <c r="T84" s="807">
        <v>41688</v>
      </c>
      <c r="U84" s="794" t="s">
        <v>599</v>
      </c>
      <c r="V84" s="795"/>
      <c r="W84" s="808">
        <v>1955648.61</v>
      </c>
      <c r="X84" s="809">
        <v>7.8</v>
      </c>
      <c r="Y84" s="723">
        <f t="shared" si="8"/>
        <v>15254059.158</v>
      </c>
      <c r="Z84" s="723"/>
      <c r="AA84" s="717">
        <v>5.375</v>
      </c>
      <c r="AB84" s="807">
        <v>45228</v>
      </c>
      <c r="AC84" s="726">
        <f t="shared" si="7"/>
        <v>9.7150684931506852</v>
      </c>
      <c r="AD84" s="726"/>
      <c r="AE84" s="795"/>
      <c r="AF84" s="728"/>
      <c r="AG84" s="729"/>
      <c r="AH84" s="723"/>
    </row>
    <row r="85" spans="1:16384" s="542" customFormat="1" ht="38.25">
      <c r="A85" s="540"/>
      <c r="B85" s="540"/>
      <c r="C85" s="540"/>
      <c r="D85" s="540"/>
      <c r="E85" s="801">
        <v>72</v>
      </c>
      <c r="F85" s="542" t="s">
        <v>1250</v>
      </c>
      <c r="G85" s="543" t="s">
        <v>1251</v>
      </c>
      <c r="H85" s="544" t="s">
        <v>192</v>
      </c>
      <c r="I85" s="544" t="s">
        <v>421</v>
      </c>
      <c r="J85" s="545">
        <f t="shared" si="6"/>
        <v>9.6958904109589046</v>
      </c>
      <c r="K85" s="546" t="s">
        <v>465</v>
      </c>
      <c r="L85" s="802">
        <v>2000000</v>
      </c>
      <c r="M85" s="546" t="s">
        <v>466</v>
      </c>
      <c r="N85" s="565">
        <v>96.084999999999994</v>
      </c>
      <c r="O85" s="541">
        <v>5.9100200000000003</v>
      </c>
      <c r="P85" s="566" t="s">
        <v>331</v>
      </c>
      <c r="Q85" s="552" t="s">
        <v>595</v>
      </c>
      <c r="R85" s="543" t="s">
        <v>596</v>
      </c>
      <c r="S85" s="647">
        <v>41683</v>
      </c>
      <c r="T85" s="647">
        <v>41689</v>
      </c>
      <c r="U85" s="553" t="s">
        <v>599</v>
      </c>
      <c r="V85" s="558"/>
      <c r="W85" s="569">
        <v>1954547.22</v>
      </c>
      <c r="X85" s="803">
        <v>7.8</v>
      </c>
      <c r="Y85" s="555">
        <f t="shared" si="8"/>
        <v>15245468.316</v>
      </c>
      <c r="Z85" s="555"/>
      <c r="AA85" s="550">
        <v>5.375</v>
      </c>
      <c r="AB85" s="647">
        <v>45228</v>
      </c>
      <c r="AC85" s="557">
        <f t="shared" si="7"/>
        <v>9.712328767123287</v>
      </c>
      <c r="AD85" s="557"/>
      <c r="AE85" s="558"/>
      <c r="AF85" s="559"/>
      <c r="AG85" s="560"/>
      <c r="AH85" s="555"/>
    </row>
    <row r="86" spans="1:16384" s="795" customFormat="1" ht="31.5" customHeight="1">
      <c r="A86" s="667"/>
      <c r="B86" s="667"/>
      <c r="C86" s="667"/>
      <c r="D86" s="667"/>
      <c r="E86" s="668">
        <v>73</v>
      </c>
      <c r="F86" s="731" t="s">
        <v>1263</v>
      </c>
      <c r="G86" s="587" t="s">
        <v>1264</v>
      </c>
      <c r="H86" s="669" t="s">
        <v>192</v>
      </c>
      <c r="I86" s="669" t="s">
        <v>1265</v>
      </c>
      <c r="J86" s="589">
        <f t="shared" si="6"/>
        <v>10.005479452054795</v>
      </c>
      <c r="K86" s="590" t="s">
        <v>465</v>
      </c>
      <c r="L86" s="732">
        <v>24000000</v>
      </c>
      <c r="M86" s="590" t="s">
        <v>466</v>
      </c>
      <c r="N86" s="733">
        <v>100</v>
      </c>
      <c r="O86" s="734">
        <v>6</v>
      </c>
      <c r="P86" s="600" t="s">
        <v>1073</v>
      </c>
      <c r="Q86" s="675" t="s">
        <v>1074</v>
      </c>
      <c r="R86" s="604" t="s">
        <v>1075</v>
      </c>
      <c r="S86" s="676">
        <v>41690</v>
      </c>
      <c r="T86" s="676">
        <v>41697</v>
      </c>
      <c r="U86" s="735" t="s">
        <v>683</v>
      </c>
      <c r="V86" s="735"/>
      <c r="W86" s="732">
        <v>24000000</v>
      </c>
      <c r="X86" s="598">
        <v>7.8</v>
      </c>
      <c r="Y86" s="598">
        <f t="shared" si="8"/>
        <v>187200000</v>
      </c>
      <c r="Z86" s="598"/>
      <c r="AA86" s="677">
        <v>6</v>
      </c>
      <c r="AB86" s="688">
        <v>45349</v>
      </c>
      <c r="AC86" s="601">
        <f t="shared" si="7"/>
        <v>10.024657534246575</v>
      </c>
      <c r="AD86" s="601"/>
      <c r="AE86" s="672"/>
      <c r="AF86" s="602"/>
      <c r="AG86" s="603"/>
      <c r="AH86" s="598"/>
      <c r="AI86" s="629"/>
      <c r="AJ86" s="629"/>
      <c r="AK86" s="629"/>
      <c r="AL86" s="629"/>
      <c r="AM86" s="629"/>
      <c r="AN86" s="629"/>
      <c r="AO86" s="629"/>
      <c r="AP86" s="629"/>
      <c r="AQ86" s="629"/>
      <c r="AR86" s="629"/>
      <c r="AS86" s="629"/>
      <c r="AT86" s="629"/>
      <c r="AU86" s="629"/>
      <c r="AV86" s="629"/>
      <c r="AW86" s="629"/>
      <c r="AX86" s="629"/>
      <c r="AY86" s="629"/>
      <c r="AZ86" s="629"/>
      <c r="BA86" s="629"/>
      <c r="BB86" s="629"/>
      <c r="BC86" s="629"/>
      <c r="BD86" s="629"/>
      <c r="BE86" s="629"/>
      <c r="BF86" s="629"/>
      <c r="BG86" s="629"/>
      <c r="BH86" s="629"/>
      <c r="BI86" s="629"/>
      <c r="BJ86" s="629"/>
      <c r="BK86" s="629"/>
      <c r="BL86" s="629"/>
      <c r="BM86" s="629"/>
      <c r="BN86" s="629"/>
      <c r="BO86" s="629"/>
      <c r="BP86" s="629"/>
      <c r="BQ86" s="629"/>
      <c r="BR86" s="629"/>
      <c r="BS86" s="629"/>
      <c r="BT86" s="629"/>
      <c r="BU86" s="629"/>
      <c r="BV86" s="629"/>
      <c r="BW86" s="629"/>
      <c r="BX86" s="629"/>
      <c r="BY86" s="629"/>
      <c r="BZ86" s="629"/>
      <c r="CA86" s="629"/>
      <c r="CB86" s="629"/>
      <c r="CC86" s="629"/>
      <c r="CD86" s="629"/>
      <c r="CE86" s="629"/>
      <c r="CF86" s="629"/>
      <c r="CG86" s="629"/>
      <c r="CH86" s="629"/>
      <c r="CI86" s="629"/>
      <c r="CJ86" s="629"/>
      <c r="CK86" s="629"/>
      <c r="CL86" s="629"/>
      <c r="CM86" s="629"/>
      <c r="CN86" s="629"/>
      <c r="CO86" s="629"/>
      <c r="CP86" s="629"/>
      <c r="CQ86" s="629"/>
      <c r="CR86" s="629"/>
      <c r="CS86" s="629"/>
      <c r="CT86" s="629"/>
      <c r="CU86" s="629"/>
      <c r="CV86" s="629"/>
      <c r="CW86" s="629"/>
      <c r="CX86" s="629"/>
      <c r="CY86" s="629"/>
      <c r="CZ86" s="629"/>
      <c r="DA86" s="629"/>
      <c r="DB86" s="629"/>
      <c r="DC86" s="629"/>
      <c r="DD86" s="629"/>
      <c r="DE86" s="629"/>
      <c r="DF86" s="629"/>
      <c r="DG86" s="629"/>
      <c r="DH86" s="629"/>
      <c r="DI86" s="629"/>
      <c r="DJ86" s="629"/>
      <c r="DK86" s="629"/>
      <c r="DL86" s="629"/>
      <c r="DM86" s="629"/>
      <c r="DN86" s="629"/>
      <c r="DO86" s="629"/>
      <c r="DP86" s="629"/>
      <c r="DQ86" s="629"/>
      <c r="DR86" s="629"/>
      <c r="DS86" s="629"/>
      <c r="DT86" s="629"/>
      <c r="DU86" s="629"/>
      <c r="DV86" s="629"/>
      <c r="DW86" s="629"/>
      <c r="DX86" s="629"/>
      <c r="DY86" s="629"/>
      <c r="DZ86" s="629"/>
      <c r="EA86" s="629"/>
      <c r="EB86" s="629"/>
      <c r="EC86" s="629"/>
      <c r="ED86" s="629"/>
      <c r="EE86" s="629"/>
      <c r="EF86" s="629"/>
      <c r="EG86" s="629"/>
      <c r="EH86" s="629"/>
      <c r="EI86" s="629"/>
      <c r="EJ86" s="629"/>
      <c r="EK86" s="629"/>
      <c r="EL86" s="629"/>
      <c r="EM86" s="629"/>
      <c r="EN86" s="629"/>
      <c r="EO86" s="629"/>
      <c r="EP86" s="629"/>
      <c r="EQ86" s="629"/>
      <c r="ER86" s="629"/>
      <c r="ES86" s="629"/>
      <c r="ET86" s="629"/>
      <c r="EU86" s="629"/>
      <c r="EV86" s="629"/>
      <c r="EW86" s="629"/>
      <c r="EX86" s="629"/>
      <c r="EY86" s="629"/>
      <c r="EZ86" s="629"/>
      <c r="FA86" s="629"/>
      <c r="FB86" s="629"/>
      <c r="FC86" s="629"/>
      <c r="FD86" s="629"/>
      <c r="FE86" s="629"/>
      <c r="FF86" s="629"/>
      <c r="FG86" s="629"/>
      <c r="FH86" s="629"/>
      <c r="FI86" s="629"/>
      <c r="FJ86" s="629"/>
      <c r="FK86" s="629"/>
      <c r="FL86" s="629"/>
      <c r="FM86" s="629"/>
      <c r="FN86" s="629"/>
      <c r="FO86" s="629"/>
      <c r="FP86" s="629"/>
      <c r="FQ86" s="629"/>
      <c r="FR86" s="629"/>
      <c r="FS86" s="629"/>
      <c r="FT86" s="629"/>
      <c r="FU86" s="629"/>
      <c r="FV86" s="629"/>
      <c r="FW86" s="629"/>
      <c r="FX86" s="629"/>
      <c r="FY86" s="629"/>
      <c r="FZ86" s="629"/>
      <c r="GA86" s="629"/>
      <c r="GB86" s="629"/>
      <c r="GC86" s="629"/>
      <c r="GD86" s="629"/>
      <c r="GE86" s="629"/>
      <c r="GF86" s="629"/>
      <c r="GG86" s="629"/>
      <c r="GH86" s="629"/>
      <c r="GI86" s="629"/>
      <c r="GJ86" s="629"/>
      <c r="GK86" s="629"/>
      <c r="GL86" s="629"/>
      <c r="GM86" s="629"/>
      <c r="GN86" s="629"/>
      <c r="GO86" s="629"/>
      <c r="GP86" s="629"/>
      <c r="GQ86" s="629"/>
      <c r="GR86" s="629"/>
      <c r="GS86" s="629"/>
      <c r="GT86" s="629"/>
      <c r="GU86" s="629"/>
      <c r="GV86" s="629"/>
      <c r="GW86" s="629"/>
      <c r="GX86" s="629"/>
      <c r="GY86" s="629"/>
      <c r="GZ86" s="629"/>
      <c r="HA86" s="629"/>
      <c r="HB86" s="629"/>
      <c r="HC86" s="629"/>
      <c r="HD86" s="629"/>
      <c r="HE86" s="629"/>
      <c r="HF86" s="629"/>
      <c r="HG86" s="629"/>
      <c r="HH86" s="629"/>
      <c r="HI86" s="629"/>
      <c r="HJ86" s="629"/>
      <c r="HK86" s="629"/>
      <c r="HL86" s="629"/>
      <c r="HM86" s="629"/>
      <c r="HN86" s="629"/>
      <c r="HO86" s="629"/>
      <c r="HP86" s="629"/>
      <c r="HQ86" s="629"/>
      <c r="HR86" s="629"/>
      <c r="HS86" s="629"/>
      <c r="HT86" s="629"/>
      <c r="HU86" s="629"/>
      <c r="HV86" s="629"/>
      <c r="HW86" s="629"/>
      <c r="HX86" s="629"/>
      <c r="HY86" s="629"/>
      <c r="HZ86" s="629"/>
      <c r="IA86" s="629"/>
      <c r="IB86" s="629"/>
      <c r="IC86" s="629"/>
      <c r="ID86" s="629"/>
      <c r="IE86" s="629"/>
      <c r="IF86" s="629"/>
      <c r="IG86" s="629"/>
      <c r="IH86" s="629"/>
      <c r="II86" s="629"/>
      <c r="IJ86" s="629"/>
      <c r="IK86" s="629"/>
      <c r="IL86" s="629"/>
      <c r="IM86" s="629"/>
      <c r="IN86" s="629"/>
      <c r="IO86" s="629"/>
      <c r="IP86" s="629"/>
      <c r="IQ86" s="629"/>
      <c r="IR86" s="629"/>
      <c r="IS86" s="629"/>
      <c r="IT86" s="629"/>
      <c r="IU86" s="629"/>
      <c r="IV86" s="629"/>
      <c r="IW86" s="629"/>
      <c r="IX86" s="629"/>
      <c r="IY86" s="629"/>
      <c r="IZ86" s="629"/>
      <c r="JA86" s="629"/>
      <c r="JB86" s="629"/>
      <c r="JC86" s="629"/>
      <c r="JD86" s="629"/>
      <c r="JE86" s="629"/>
      <c r="JF86" s="629"/>
      <c r="JG86" s="629"/>
      <c r="JH86" s="629"/>
      <c r="JI86" s="629"/>
      <c r="JJ86" s="629"/>
      <c r="JK86" s="629"/>
      <c r="JL86" s="629"/>
      <c r="JM86" s="629"/>
      <c r="JN86" s="629"/>
      <c r="JO86" s="629"/>
      <c r="JP86" s="629"/>
      <c r="JQ86" s="629"/>
      <c r="JR86" s="629"/>
      <c r="JS86" s="629"/>
      <c r="JT86" s="629"/>
      <c r="JU86" s="629"/>
      <c r="JV86" s="629"/>
      <c r="JW86" s="629"/>
      <c r="JX86" s="629"/>
      <c r="JY86" s="629"/>
      <c r="JZ86" s="629"/>
      <c r="KA86" s="629"/>
      <c r="KB86" s="629"/>
      <c r="KC86" s="629"/>
      <c r="KD86" s="629"/>
      <c r="KE86" s="629"/>
      <c r="KF86" s="629"/>
      <c r="KG86" s="629"/>
      <c r="KH86" s="629"/>
      <c r="KI86" s="629"/>
      <c r="KJ86" s="629"/>
      <c r="KK86" s="629"/>
      <c r="KL86" s="629"/>
      <c r="KM86" s="629"/>
      <c r="KN86" s="629"/>
      <c r="KO86" s="629"/>
      <c r="KP86" s="629"/>
      <c r="KQ86" s="629"/>
      <c r="KR86" s="629"/>
      <c r="KS86" s="629"/>
      <c r="KT86" s="629"/>
      <c r="KU86" s="629"/>
      <c r="KV86" s="629"/>
      <c r="KW86" s="629"/>
      <c r="KX86" s="629"/>
      <c r="KY86" s="629"/>
      <c r="KZ86" s="629"/>
      <c r="LA86" s="629"/>
      <c r="LB86" s="629"/>
      <c r="LC86" s="629"/>
      <c r="LD86" s="629"/>
      <c r="LE86" s="629"/>
      <c r="LF86" s="629"/>
      <c r="LG86" s="629"/>
      <c r="LH86" s="629"/>
      <c r="LI86" s="629"/>
      <c r="LJ86" s="629"/>
      <c r="LK86" s="629"/>
      <c r="LL86" s="629"/>
      <c r="LM86" s="629"/>
      <c r="LN86" s="629"/>
      <c r="LO86" s="629"/>
      <c r="LP86" s="629"/>
      <c r="LQ86" s="629"/>
      <c r="LR86" s="629"/>
      <c r="LS86" s="629"/>
      <c r="LT86" s="629"/>
      <c r="LU86" s="629"/>
      <c r="LV86" s="629"/>
      <c r="LW86" s="629"/>
      <c r="LX86" s="629"/>
      <c r="LY86" s="629"/>
      <c r="LZ86" s="629"/>
      <c r="MA86" s="629"/>
      <c r="MB86" s="629"/>
      <c r="MC86" s="629"/>
      <c r="MD86" s="629"/>
      <c r="ME86" s="629"/>
      <c r="MF86" s="629"/>
      <c r="MG86" s="629"/>
      <c r="MH86" s="629"/>
      <c r="MI86" s="629"/>
      <c r="MJ86" s="629"/>
      <c r="MK86" s="629"/>
      <c r="ML86" s="629"/>
      <c r="MM86" s="629"/>
      <c r="MN86" s="629"/>
      <c r="MO86" s="629"/>
      <c r="MP86" s="629"/>
      <c r="MQ86" s="629"/>
      <c r="MR86" s="629"/>
      <c r="MS86" s="629"/>
      <c r="MT86" s="629"/>
      <c r="MU86" s="629"/>
      <c r="MV86" s="629"/>
      <c r="MW86" s="629"/>
      <c r="MX86" s="629"/>
      <c r="MY86" s="629"/>
      <c r="MZ86" s="629"/>
      <c r="NA86" s="629"/>
      <c r="NB86" s="629"/>
      <c r="NC86" s="629"/>
      <c r="ND86" s="629"/>
      <c r="NE86" s="629"/>
      <c r="NF86" s="629"/>
      <c r="NG86" s="629"/>
      <c r="NH86" s="629"/>
      <c r="NI86" s="629"/>
      <c r="NJ86" s="629"/>
      <c r="NK86" s="629"/>
      <c r="NL86" s="629"/>
      <c r="NM86" s="629"/>
      <c r="NN86" s="629"/>
      <c r="NO86" s="629"/>
      <c r="NP86" s="629"/>
      <c r="NQ86" s="629"/>
      <c r="NR86" s="629"/>
      <c r="NS86" s="629"/>
      <c r="NT86" s="629"/>
      <c r="NU86" s="629"/>
      <c r="NV86" s="629"/>
      <c r="NW86" s="629"/>
      <c r="NX86" s="629"/>
      <c r="NY86" s="629"/>
      <c r="NZ86" s="629"/>
      <c r="OA86" s="629"/>
      <c r="OB86" s="629"/>
      <c r="OC86" s="629"/>
      <c r="OD86" s="629"/>
      <c r="OE86" s="629"/>
      <c r="OF86" s="629"/>
      <c r="OG86" s="629"/>
      <c r="OH86" s="629"/>
      <c r="OI86" s="629"/>
      <c r="OJ86" s="629"/>
      <c r="OK86" s="629"/>
      <c r="OL86" s="629"/>
      <c r="OM86" s="629"/>
      <c r="ON86" s="629"/>
      <c r="OO86" s="629"/>
      <c r="OP86" s="629"/>
      <c r="OQ86" s="629"/>
      <c r="OR86" s="629"/>
      <c r="OS86" s="629"/>
      <c r="OT86" s="629"/>
      <c r="OU86" s="629"/>
      <c r="OV86" s="629"/>
      <c r="OW86" s="629"/>
      <c r="OX86" s="629"/>
      <c r="OY86" s="629"/>
      <c r="OZ86" s="629"/>
      <c r="PA86" s="629"/>
      <c r="PB86" s="629"/>
      <c r="PC86" s="629"/>
      <c r="PD86" s="629"/>
      <c r="PE86" s="629"/>
      <c r="PF86" s="629"/>
      <c r="PG86" s="629"/>
      <c r="PH86" s="629"/>
      <c r="PI86" s="629"/>
      <c r="PJ86" s="629"/>
      <c r="PK86" s="629"/>
      <c r="PL86" s="629"/>
      <c r="PM86" s="629"/>
      <c r="PN86" s="629"/>
      <c r="PO86" s="629"/>
      <c r="PP86" s="629"/>
      <c r="PQ86" s="629"/>
      <c r="PR86" s="629"/>
      <c r="PS86" s="629"/>
      <c r="PT86" s="629"/>
      <c r="PU86" s="629"/>
      <c r="PV86" s="629"/>
      <c r="PW86" s="629"/>
      <c r="PX86" s="629"/>
      <c r="PY86" s="629"/>
      <c r="PZ86" s="629"/>
      <c r="QA86" s="629"/>
      <c r="QB86" s="629"/>
      <c r="QC86" s="629"/>
      <c r="QD86" s="629"/>
      <c r="QE86" s="629"/>
      <c r="QF86" s="629"/>
      <c r="QG86" s="629"/>
      <c r="QH86" s="629"/>
      <c r="QI86" s="629"/>
      <c r="QJ86" s="629"/>
      <c r="QK86" s="629"/>
      <c r="QL86" s="629"/>
      <c r="QM86" s="629"/>
      <c r="QN86" s="629"/>
      <c r="QO86" s="629"/>
      <c r="QP86" s="629"/>
      <c r="QQ86" s="629"/>
      <c r="QR86" s="629"/>
      <c r="QS86" s="629"/>
      <c r="QT86" s="629"/>
      <c r="QU86" s="629"/>
      <c r="QV86" s="629"/>
      <c r="QW86" s="629"/>
      <c r="QX86" s="629"/>
      <c r="QY86" s="629"/>
      <c r="QZ86" s="629"/>
      <c r="RA86" s="629"/>
      <c r="RB86" s="629"/>
      <c r="RC86" s="629"/>
      <c r="RD86" s="629"/>
      <c r="RE86" s="629"/>
      <c r="RF86" s="629"/>
      <c r="RG86" s="629"/>
      <c r="RH86" s="629"/>
      <c r="RI86" s="629"/>
      <c r="RJ86" s="629"/>
      <c r="RK86" s="629"/>
      <c r="RL86" s="629"/>
      <c r="RM86" s="629"/>
      <c r="RN86" s="629"/>
      <c r="RO86" s="629"/>
      <c r="RP86" s="629"/>
      <c r="RQ86" s="629"/>
      <c r="RR86" s="629"/>
      <c r="RS86" s="629"/>
      <c r="RT86" s="629"/>
      <c r="RU86" s="629"/>
      <c r="RV86" s="629"/>
      <c r="RW86" s="629"/>
      <c r="RX86" s="629"/>
      <c r="RY86" s="629"/>
      <c r="RZ86" s="629"/>
      <c r="SA86" s="629"/>
      <c r="SB86" s="629"/>
      <c r="SC86" s="629"/>
      <c r="SD86" s="629"/>
      <c r="SE86" s="629"/>
      <c r="SF86" s="629"/>
      <c r="SG86" s="629"/>
      <c r="SH86" s="629"/>
      <c r="SI86" s="629"/>
      <c r="SJ86" s="629"/>
      <c r="SK86" s="629"/>
      <c r="SL86" s="629"/>
      <c r="SM86" s="629"/>
      <c r="SN86" s="629"/>
      <c r="SO86" s="629"/>
      <c r="SP86" s="629"/>
      <c r="SQ86" s="629"/>
      <c r="SR86" s="629"/>
      <c r="SS86" s="629"/>
      <c r="ST86" s="629"/>
      <c r="SU86" s="629"/>
      <c r="SV86" s="629"/>
      <c r="SW86" s="629"/>
      <c r="SX86" s="629"/>
      <c r="SY86" s="629"/>
      <c r="SZ86" s="629"/>
      <c r="TA86" s="629"/>
      <c r="TB86" s="629"/>
      <c r="TC86" s="629"/>
      <c r="TD86" s="629"/>
      <c r="TE86" s="629"/>
      <c r="TF86" s="629"/>
      <c r="TG86" s="629"/>
      <c r="TH86" s="629"/>
      <c r="TI86" s="629"/>
      <c r="TJ86" s="629"/>
      <c r="TK86" s="629"/>
      <c r="TL86" s="629"/>
      <c r="TM86" s="629"/>
      <c r="TN86" s="629"/>
      <c r="TO86" s="629"/>
      <c r="TP86" s="629"/>
      <c r="TQ86" s="629"/>
      <c r="TR86" s="629"/>
      <c r="TS86" s="629"/>
      <c r="TT86" s="629"/>
      <c r="TU86" s="629"/>
      <c r="TV86" s="629"/>
      <c r="TW86" s="629"/>
      <c r="TX86" s="629"/>
      <c r="TY86" s="629"/>
      <c r="TZ86" s="629"/>
      <c r="UA86" s="629"/>
      <c r="UB86" s="629"/>
      <c r="UC86" s="629"/>
      <c r="UD86" s="629"/>
      <c r="UE86" s="629"/>
      <c r="UF86" s="629"/>
      <c r="UG86" s="629"/>
      <c r="UH86" s="629"/>
      <c r="UI86" s="629"/>
      <c r="UJ86" s="629"/>
      <c r="UK86" s="629"/>
      <c r="UL86" s="629"/>
      <c r="UM86" s="629"/>
      <c r="UN86" s="629"/>
      <c r="UO86" s="629"/>
      <c r="UP86" s="629"/>
      <c r="UQ86" s="629"/>
      <c r="UR86" s="629"/>
      <c r="US86" s="629"/>
      <c r="UT86" s="629"/>
      <c r="UU86" s="629"/>
      <c r="UV86" s="629"/>
      <c r="UW86" s="629"/>
      <c r="UX86" s="629"/>
      <c r="UY86" s="629"/>
      <c r="UZ86" s="629"/>
      <c r="VA86" s="629"/>
      <c r="VB86" s="629"/>
      <c r="VC86" s="629"/>
      <c r="VD86" s="629"/>
      <c r="VE86" s="629"/>
      <c r="VF86" s="629"/>
      <c r="VG86" s="629"/>
      <c r="VH86" s="629"/>
      <c r="VI86" s="629"/>
      <c r="VJ86" s="629"/>
      <c r="VK86" s="629"/>
      <c r="VL86" s="629"/>
      <c r="VM86" s="629"/>
      <c r="VN86" s="629"/>
      <c r="VO86" s="629"/>
      <c r="VP86" s="629"/>
      <c r="VQ86" s="629"/>
      <c r="VR86" s="629"/>
      <c r="VS86" s="629"/>
      <c r="VT86" s="629"/>
      <c r="VU86" s="629"/>
      <c r="VV86" s="629"/>
      <c r="VW86" s="629"/>
      <c r="VX86" s="629"/>
      <c r="VY86" s="629"/>
      <c r="VZ86" s="629"/>
      <c r="WA86" s="629"/>
      <c r="WB86" s="629"/>
      <c r="WC86" s="629"/>
      <c r="WD86" s="629"/>
      <c r="WE86" s="629"/>
      <c r="WF86" s="629"/>
      <c r="WG86" s="629"/>
      <c r="WH86" s="629"/>
      <c r="WI86" s="629"/>
      <c r="WJ86" s="629"/>
      <c r="WK86" s="629"/>
      <c r="WL86" s="629"/>
      <c r="WM86" s="629"/>
      <c r="WN86" s="629"/>
      <c r="WO86" s="629"/>
      <c r="WP86" s="629"/>
      <c r="WQ86" s="629"/>
      <c r="WR86" s="629"/>
      <c r="WS86" s="629"/>
      <c r="WT86" s="629"/>
      <c r="WU86" s="629"/>
      <c r="WV86" s="629"/>
      <c r="WW86" s="629"/>
      <c r="WX86" s="629"/>
      <c r="WY86" s="629"/>
      <c r="WZ86" s="629"/>
      <c r="XA86" s="629"/>
      <c r="XB86" s="629"/>
      <c r="XC86" s="629"/>
      <c r="XD86" s="629"/>
      <c r="XE86" s="629"/>
      <c r="XF86" s="629"/>
      <c r="XG86" s="629"/>
      <c r="XH86" s="629"/>
      <c r="XI86" s="629"/>
      <c r="XJ86" s="629"/>
      <c r="XK86" s="629"/>
      <c r="XL86" s="629"/>
      <c r="XM86" s="629"/>
      <c r="XN86" s="629"/>
      <c r="XO86" s="629"/>
      <c r="XP86" s="629"/>
      <c r="XQ86" s="629"/>
      <c r="XR86" s="629"/>
      <c r="XS86" s="629"/>
      <c r="XT86" s="629"/>
      <c r="XU86" s="629"/>
      <c r="XV86" s="629"/>
      <c r="XW86" s="629"/>
      <c r="XX86" s="629"/>
      <c r="XY86" s="629"/>
      <c r="XZ86" s="629"/>
      <c r="YA86" s="629"/>
      <c r="YB86" s="629"/>
      <c r="YC86" s="629"/>
      <c r="YD86" s="629"/>
      <c r="YE86" s="629"/>
      <c r="YF86" s="629"/>
      <c r="YG86" s="629"/>
      <c r="YH86" s="629"/>
      <c r="YI86" s="629"/>
      <c r="YJ86" s="629"/>
      <c r="YK86" s="629"/>
      <c r="YL86" s="629"/>
      <c r="YM86" s="629"/>
      <c r="YN86" s="629"/>
      <c r="YO86" s="629"/>
      <c r="YP86" s="629"/>
      <c r="YQ86" s="629"/>
      <c r="YR86" s="629"/>
      <c r="YS86" s="629"/>
      <c r="YT86" s="629"/>
      <c r="YU86" s="629"/>
      <c r="YV86" s="629"/>
      <c r="YW86" s="629"/>
      <c r="YX86" s="629"/>
      <c r="YY86" s="629"/>
      <c r="YZ86" s="629"/>
      <c r="ZA86" s="629"/>
      <c r="ZB86" s="629"/>
      <c r="ZC86" s="629"/>
      <c r="ZD86" s="629"/>
      <c r="ZE86" s="629"/>
      <c r="ZF86" s="629"/>
      <c r="ZG86" s="629"/>
      <c r="ZH86" s="629"/>
      <c r="ZI86" s="629"/>
      <c r="ZJ86" s="629"/>
      <c r="ZK86" s="629"/>
      <c r="ZL86" s="629"/>
      <c r="ZM86" s="629"/>
      <c r="ZN86" s="629"/>
      <c r="ZO86" s="629"/>
      <c r="ZP86" s="629"/>
      <c r="ZQ86" s="629"/>
      <c r="ZR86" s="629"/>
      <c r="ZS86" s="629"/>
      <c r="ZT86" s="629"/>
      <c r="ZU86" s="629"/>
      <c r="ZV86" s="629"/>
      <c r="ZW86" s="629"/>
      <c r="ZX86" s="629"/>
      <c r="ZY86" s="629"/>
      <c r="ZZ86" s="629"/>
      <c r="AAA86" s="629"/>
      <c r="AAB86" s="629"/>
      <c r="AAC86" s="629"/>
      <c r="AAD86" s="629"/>
      <c r="AAE86" s="629"/>
      <c r="AAF86" s="629"/>
      <c r="AAG86" s="629"/>
      <c r="AAH86" s="629"/>
      <c r="AAI86" s="629"/>
      <c r="AAJ86" s="629"/>
      <c r="AAK86" s="629"/>
      <c r="AAL86" s="629"/>
      <c r="AAM86" s="629"/>
      <c r="AAN86" s="629"/>
      <c r="AAO86" s="629"/>
      <c r="AAP86" s="629"/>
      <c r="AAQ86" s="629"/>
      <c r="AAR86" s="629"/>
      <c r="AAS86" s="629"/>
      <c r="AAT86" s="629"/>
      <c r="AAU86" s="629"/>
      <c r="AAV86" s="629"/>
      <c r="AAW86" s="629"/>
      <c r="AAX86" s="629"/>
      <c r="AAY86" s="629"/>
      <c r="AAZ86" s="629"/>
      <c r="ABA86" s="629"/>
      <c r="ABB86" s="629"/>
      <c r="ABC86" s="629"/>
      <c r="ABD86" s="629"/>
      <c r="ABE86" s="629"/>
      <c r="ABF86" s="629"/>
      <c r="ABG86" s="629"/>
      <c r="ABH86" s="629"/>
      <c r="ABI86" s="629"/>
      <c r="ABJ86" s="629"/>
      <c r="ABK86" s="629"/>
      <c r="ABL86" s="629"/>
      <c r="ABM86" s="629"/>
      <c r="ABN86" s="629"/>
      <c r="ABO86" s="629"/>
      <c r="ABP86" s="629"/>
      <c r="ABQ86" s="629"/>
      <c r="ABR86" s="629"/>
      <c r="ABS86" s="629"/>
      <c r="ABT86" s="629"/>
      <c r="ABU86" s="629"/>
      <c r="ABV86" s="629"/>
      <c r="ABW86" s="629"/>
      <c r="ABX86" s="629"/>
      <c r="ABY86" s="629"/>
      <c r="ABZ86" s="629"/>
      <c r="ACA86" s="629"/>
      <c r="ACB86" s="629"/>
      <c r="ACC86" s="629"/>
      <c r="ACD86" s="629"/>
      <c r="ACE86" s="629"/>
      <c r="ACF86" s="629"/>
      <c r="ACG86" s="629"/>
      <c r="ACH86" s="629"/>
      <c r="ACI86" s="629"/>
      <c r="ACJ86" s="629"/>
      <c r="ACK86" s="629"/>
      <c r="ACL86" s="629"/>
      <c r="ACM86" s="629"/>
      <c r="ACN86" s="629"/>
      <c r="ACO86" s="629"/>
      <c r="ACP86" s="629"/>
      <c r="ACQ86" s="629"/>
      <c r="ACR86" s="629"/>
      <c r="ACS86" s="629"/>
      <c r="ACT86" s="629"/>
      <c r="ACU86" s="629"/>
      <c r="ACV86" s="629"/>
      <c r="ACW86" s="629"/>
      <c r="ACX86" s="629"/>
      <c r="ACY86" s="629"/>
      <c r="ACZ86" s="629"/>
      <c r="ADA86" s="629"/>
      <c r="ADB86" s="629"/>
      <c r="ADC86" s="629"/>
      <c r="ADD86" s="629"/>
      <c r="ADE86" s="629"/>
      <c r="ADF86" s="629"/>
      <c r="ADG86" s="629"/>
      <c r="ADH86" s="629"/>
      <c r="ADI86" s="629"/>
      <c r="ADJ86" s="629"/>
      <c r="ADK86" s="629"/>
      <c r="ADL86" s="629"/>
      <c r="ADM86" s="629"/>
      <c r="ADN86" s="629"/>
      <c r="ADO86" s="629"/>
      <c r="ADP86" s="629"/>
      <c r="ADQ86" s="629"/>
      <c r="ADR86" s="629"/>
      <c r="ADS86" s="629"/>
      <c r="ADT86" s="629"/>
      <c r="ADU86" s="629"/>
      <c r="ADV86" s="629"/>
      <c r="ADW86" s="629"/>
      <c r="ADX86" s="629"/>
      <c r="ADY86" s="629"/>
      <c r="ADZ86" s="629"/>
      <c r="AEA86" s="629"/>
      <c r="AEB86" s="629"/>
      <c r="AEC86" s="629"/>
      <c r="AED86" s="629"/>
      <c r="AEE86" s="629"/>
      <c r="AEF86" s="629"/>
      <c r="AEG86" s="629"/>
      <c r="AEH86" s="629"/>
      <c r="AEI86" s="629"/>
      <c r="AEJ86" s="629"/>
      <c r="AEK86" s="629"/>
      <c r="AEL86" s="629"/>
      <c r="AEM86" s="629"/>
      <c r="AEN86" s="629"/>
      <c r="AEO86" s="629"/>
      <c r="AEP86" s="629"/>
      <c r="AEQ86" s="629"/>
      <c r="AER86" s="629"/>
      <c r="AES86" s="629"/>
      <c r="AET86" s="629"/>
      <c r="AEU86" s="629"/>
      <c r="AEV86" s="629"/>
      <c r="AEW86" s="629"/>
      <c r="AEX86" s="629"/>
      <c r="AEY86" s="629"/>
      <c r="AEZ86" s="629"/>
      <c r="AFA86" s="629"/>
      <c r="AFB86" s="629"/>
      <c r="AFC86" s="629"/>
      <c r="AFD86" s="629"/>
      <c r="AFE86" s="629"/>
      <c r="AFF86" s="629"/>
      <c r="AFG86" s="629"/>
      <c r="AFH86" s="629"/>
      <c r="AFI86" s="629"/>
      <c r="AFJ86" s="629"/>
      <c r="AFK86" s="629"/>
      <c r="AFL86" s="629"/>
      <c r="AFM86" s="629"/>
      <c r="AFN86" s="629"/>
      <c r="AFO86" s="629"/>
      <c r="AFP86" s="629"/>
      <c r="AFQ86" s="629"/>
      <c r="AFR86" s="629"/>
      <c r="AFS86" s="629"/>
      <c r="AFT86" s="629"/>
      <c r="AFU86" s="629"/>
      <c r="AFV86" s="629"/>
      <c r="AFW86" s="629"/>
      <c r="AFX86" s="629"/>
      <c r="AFY86" s="629"/>
      <c r="AFZ86" s="629"/>
      <c r="AGA86" s="629"/>
      <c r="AGB86" s="629"/>
      <c r="AGC86" s="629"/>
      <c r="AGD86" s="629"/>
      <c r="AGE86" s="629"/>
      <c r="AGF86" s="629"/>
      <c r="AGG86" s="629"/>
      <c r="AGH86" s="629"/>
      <c r="AGI86" s="629"/>
      <c r="AGJ86" s="629"/>
      <c r="AGK86" s="629"/>
      <c r="AGL86" s="629"/>
      <c r="AGM86" s="629"/>
      <c r="AGN86" s="629"/>
      <c r="AGO86" s="629"/>
      <c r="AGP86" s="629"/>
      <c r="AGQ86" s="629"/>
      <c r="AGR86" s="629"/>
      <c r="AGS86" s="629"/>
      <c r="AGT86" s="629"/>
      <c r="AGU86" s="629"/>
      <c r="AGV86" s="629"/>
      <c r="AGW86" s="629"/>
      <c r="AGX86" s="629"/>
      <c r="AGY86" s="629"/>
      <c r="AGZ86" s="629"/>
      <c r="AHA86" s="629"/>
      <c r="AHB86" s="629"/>
      <c r="AHC86" s="629"/>
      <c r="AHD86" s="629"/>
      <c r="AHE86" s="629"/>
      <c r="AHF86" s="629"/>
      <c r="AHG86" s="629"/>
      <c r="AHH86" s="629"/>
      <c r="AHI86" s="629"/>
      <c r="AHJ86" s="629"/>
      <c r="AHK86" s="629"/>
      <c r="AHL86" s="629"/>
      <c r="AHM86" s="629"/>
      <c r="AHN86" s="629"/>
      <c r="AHO86" s="629"/>
      <c r="AHP86" s="629"/>
      <c r="AHQ86" s="629"/>
      <c r="AHR86" s="629"/>
      <c r="AHS86" s="629"/>
      <c r="AHT86" s="629"/>
      <c r="AHU86" s="629"/>
      <c r="AHV86" s="629"/>
      <c r="AHW86" s="629"/>
      <c r="AHX86" s="629"/>
      <c r="AHY86" s="629"/>
      <c r="AHZ86" s="629"/>
      <c r="AIA86" s="629"/>
      <c r="AIB86" s="629"/>
      <c r="AIC86" s="629"/>
      <c r="AID86" s="629"/>
      <c r="AIE86" s="629"/>
      <c r="AIF86" s="629"/>
      <c r="AIG86" s="629"/>
      <c r="AIH86" s="629"/>
      <c r="AII86" s="629"/>
      <c r="AIJ86" s="629"/>
      <c r="AIK86" s="629"/>
      <c r="AIL86" s="629"/>
      <c r="AIM86" s="629"/>
      <c r="AIN86" s="629"/>
      <c r="AIO86" s="629"/>
      <c r="AIP86" s="629"/>
      <c r="AIQ86" s="629"/>
      <c r="AIR86" s="629"/>
      <c r="AIS86" s="629"/>
      <c r="AIT86" s="629"/>
      <c r="AIU86" s="629"/>
      <c r="AIV86" s="629"/>
      <c r="AIW86" s="629"/>
      <c r="AIX86" s="629"/>
      <c r="AIY86" s="629"/>
      <c r="AIZ86" s="629"/>
      <c r="AJA86" s="629"/>
      <c r="AJB86" s="629"/>
      <c r="AJC86" s="629"/>
      <c r="AJD86" s="629"/>
      <c r="AJE86" s="629"/>
      <c r="AJF86" s="629"/>
      <c r="AJG86" s="629"/>
      <c r="AJH86" s="629"/>
      <c r="AJI86" s="629"/>
      <c r="AJJ86" s="629"/>
      <c r="AJK86" s="629"/>
      <c r="AJL86" s="629"/>
      <c r="AJM86" s="629"/>
      <c r="AJN86" s="629"/>
      <c r="AJO86" s="629"/>
      <c r="AJP86" s="629"/>
      <c r="AJQ86" s="629"/>
      <c r="AJR86" s="629"/>
      <c r="AJS86" s="629"/>
      <c r="AJT86" s="629"/>
      <c r="AJU86" s="629"/>
      <c r="AJV86" s="629"/>
      <c r="AJW86" s="629"/>
      <c r="AJX86" s="629"/>
      <c r="AJY86" s="629"/>
      <c r="AJZ86" s="629"/>
      <c r="AKA86" s="629"/>
      <c r="AKB86" s="629"/>
      <c r="AKC86" s="629"/>
      <c r="AKD86" s="629"/>
      <c r="AKE86" s="629"/>
      <c r="AKF86" s="629"/>
      <c r="AKG86" s="629"/>
      <c r="AKH86" s="629"/>
      <c r="AKI86" s="629"/>
      <c r="AKJ86" s="629"/>
      <c r="AKK86" s="629"/>
      <c r="AKL86" s="629"/>
      <c r="AKM86" s="629"/>
      <c r="AKN86" s="629"/>
      <c r="AKO86" s="629"/>
      <c r="AKP86" s="629"/>
      <c r="AKQ86" s="629"/>
      <c r="AKR86" s="629"/>
      <c r="AKS86" s="629"/>
      <c r="AKT86" s="629"/>
      <c r="AKU86" s="629"/>
      <c r="AKV86" s="629"/>
      <c r="AKW86" s="629"/>
      <c r="AKX86" s="629"/>
      <c r="AKY86" s="629"/>
      <c r="AKZ86" s="629"/>
      <c r="ALA86" s="629"/>
      <c r="ALB86" s="629"/>
      <c r="ALC86" s="629"/>
      <c r="ALD86" s="629"/>
      <c r="ALE86" s="629"/>
      <c r="ALF86" s="629"/>
      <c r="ALG86" s="629"/>
      <c r="ALH86" s="629"/>
      <c r="ALI86" s="629"/>
      <c r="ALJ86" s="629"/>
      <c r="ALK86" s="629"/>
      <c r="ALL86" s="629"/>
      <c r="ALM86" s="629"/>
      <c r="ALN86" s="629"/>
      <c r="ALO86" s="629"/>
      <c r="ALP86" s="629"/>
      <c r="ALQ86" s="629"/>
      <c r="ALR86" s="629"/>
      <c r="ALS86" s="629"/>
      <c r="ALT86" s="629"/>
      <c r="ALU86" s="629"/>
      <c r="ALV86" s="629"/>
      <c r="ALW86" s="629"/>
      <c r="ALX86" s="629"/>
      <c r="ALY86" s="629"/>
      <c r="ALZ86" s="629"/>
      <c r="AMA86" s="629"/>
      <c r="AMB86" s="629"/>
      <c r="AMC86" s="629"/>
      <c r="AMD86" s="629"/>
      <c r="AME86" s="629"/>
      <c r="AMF86" s="629"/>
      <c r="AMG86" s="629"/>
      <c r="AMH86" s="629"/>
      <c r="AMI86" s="629"/>
      <c r="AMJ86" s="629"/>
      <c r="AMK86" s="629"/>
      <c r="AML86" s="629"/>
      <c r="AMM86" s="629"/>
      <c r="AMN86" s="629"/>
      <c r="AMO86" s="629"/>
      <c r="AMP86" s="629"/>
      <c r="AMQ86" s="629"/>
      <c r="AMR86" s="629"/>
      <c r="AMS86" s="629"/>
      <c r="AMT86" s="629"/>
      <c r="AMU86" s="629"/>
      <c r="AMV86" s="629"/>
      <c r="AMW86" s="629"/>
      <c r="AMX86" s="629"/>
      <c r="AMY86" s="629"/>
      <c r="AMZ86" s="629"/>
      <c r="ANA86" s="629"/>
      <c r="ANB86" s="629"/>
      <c r="ANC86" s="629"/>
      <c r="AND86" s="629"/>
      <c r="ANE86" s="629"/>
      <c r="ANF86" s="629"/>
      <c r="ANG86" s="629"/>
      <c r="ANH86" s="629"/>
      <c r="ANI86" s="629"/>
      <c r="ANJ86" s="629"/>
      <c r="ANK86" s="629"/>
      <c r="ANL86" s="629"/>
      <c r="ANM86" s="629"/>
      <c r="ANN86" s="629"/>
      <c r="ANO86" s="629"/>
      <c r="ANP86" s="629"/>
      <c r="ANQ86" s="629"/>
      <c r="ANR86" s="629"/>
      <c r="ANS86" s="629"/>
      <c r="ANT86" s="629"/>
      <c r="ANU86" s="629"/>
      <c r="ANV86" s="629"/>
      <c r="ANW86" s="629"/>
      <c r="ANX86" s="629"/>
      <c r="ANY86" s="629"/>
      <c r="ANZ86" s="629"/>
      <c r="AOA86" s="629"/>
      <c r="AOB86" s="629"/>
      <c r="AOC86" s="629"/>
      <c r="AOD86" s="629"/>
      <c r="AOE86" s="629"/>
      <c r="AOF86" s="629"/>
      <c r="AOG86" s="629"/>
      <c r="AOH86" s="629"/>
      <c r="AOI86" s="629"/>
      <c r="AOJ86" s="629"/>
      <c r="AOK86" s="629"/>
      <c r="AOL86" s="629"/>
      <c r="AOM86" s="629"/>
      <c r="AON86" s="629"/>
      <c r="AOO86" s="629"/>
      <c r="AOP86" s="629"/>
      <c r="AOQ86" s="629"/>
      <c r="AOR86" s="629"/>
      <c r="AOS86" s="629"/>
      <c r="AOT86" s="629"/>
      <c r="AOU86" s="629"/>
      <c r="AOV86" s="629"/>
      <c r="AOW86" s="629"/>
      <c r="AOX86" s="629"/>
      <c r="AOY86" s="629"/>
      <c r="AOZ86" s="629"/>
      <c r="APA86" s="629"/>
      <c r="APB86" s="629"/>
      <c r="APC86" s="629"/>
      <c r="APD86" s="629"/>
      <c r="APE86" s="629"/>
      <c r="APF86" s="629"/>
      <c r="APG86" s="629"/>
      <c r="APH86" s="629"/>
      <c r="API86" s="629"/>
      <c r="APJ86" s="629"/>
      <c r="APK86" s="629"/>
      <c r="APL86" s="629"/>
      <c r="APM86" s="629"/>
      <c r="APN86" s="629"/>
      <c r="APO86" s="629"/>
      <c r="APP86" s="629"/>
      <c r="APQ86" s="629"/>
      <c r="APR86" s="629"/>
      <c r="APS86" s="629"/>
      <c r="APT86" s="629"/>
      <c r="APU86" s="629"/>
      <c r="APV86" s="629"/>
      <c r="APW86" s="629"/>
      <c r="APX86" s="629"/>
      <c r="APY86" s="629"/>
      <c r="APZ86" s="629"/>
      <c r="AQA86" s="629"/>
      <c r="AQB86" s="629"/>
      <c r="AQC86" s="629"/>
      <c r="AQD86" s="629"/>
      <c r="AQE86" s="629"/>
      <c r="AQF86" s="629"/>
      <c r="AQG86" s="629"/>
      <c r="AQH86" s="629"/>
      <c r="AQI86" s="629"/>
      <c r="AQJ86" s="629"/>
      <c r="AQK86" s="629"/>
      <c r="AQL86" s="629"/>
      <c r="AQM86" s="629"/>
      <c r="AQN86" s="629"/>
      <c r="AQO86" s="629"/>
      <c r="AQP86" s="629"/>
      <c r="AQQ86" s="629"/>
      <c r="AQR86" s="629"/>
      <c r="AQS86" s="629"/>
      <c r="AQT86" s="629"/>
      <c r="AQU86" s="629"/>
      <c r="AQV86" s="629"/>
      <c r="AQW86" s="629"/>
      <c r="AQX86" s="629"/>
      <c r="AQY86" s="629"/>
      <c r="AQZ86" s="629"/>
      <c r="ARA86" s="629"/>
      <c r="ARB86" s="629"/>
      <c r="ARC86" s="629"/>
      <c r="ARD86" s="629"/>
      <c r="ARE86" s="629"/>
      <c r="ARF86" s="629"/>
      <c r="ARG86" s="629"/>
      <c r="ARH86" s="629"/>
      <c r="ARI86" s="629"/>
      <c r="ARJ86" s="629"/>
      <c r="ARK86" s="629"/>
      <c r="ARL86" s="629"/>
      <c r="ARM86" s="629"/>
      <c r="ARN86" s="629"/>
      <c r="ARO86" s="629"/>
      <c r="ARP86" s="629"/>
      <c r="ARQ86" s="629"/>
      <c r="ARR86" s="629"/>
      <c r="ARS86" s="629"/>
      <c r="ART86" s="629"/>
      <c r="ARU86" s="629"/>
      <c r="ARV86" s="629"/>
      <c r="ARW86" s="629"/>
      <c r="ARX86" s="629"/>
      <c r="ARY86" s="629"/>
      <c r="ARZ86" s="629"/>
      <c r="ASA86" s="629"/>
      <c r="ASB86" s="629"/>
      <c r="ASC86" s="629"/>
      <c r="ASD86" s="629"/>
      <c r="ASE86" s="629"/>
      <c r="ASF86" s="629"/>
      <c r="ASG86" s="629"/>
      <c r="ASH86" s="629"/>
      <c r="ASI86" s="629"/>
      <c r="ASJ86" s="629"/>
      <c r="ASK86" s="629"/>
      <c r="ASL86" s="629"/>
      <c r="ASM86" s="629"/>
      <c r="ASN86" s="629"/>
      <c r="ASO86" s="629"/>
      <c r="ASP86" s="629"/>
      <c r="ASQ86" s="629"/>
      <c r="ASR86" s="629"/>
      <c r="ASS86" s="629"/>
      <c r="AST86" s="629"/>
      <c r="ASU86" s="629"/>
      <c r="ASV86" s="629"/>
      <c r="ASW86" s="629"/>
      <c r="ASX86" s="629"/>
      <c r="ASY86" s="629"/>
      <c r="ASZ86" s="629"/>
      <c r="ATA86" s="629"/>
      <c r="ATB86" s="629"/>
      <c r="ATC86" s="629"/>
      <c r="ATD86" s="629"/>
      <c r="ATE86" s="629"/>
      <c r="ATF86" s="629"/>
      <c r="ATG86" s="629"/>
      <c r="ATH86" s="629"/>
      <c r="ATI86" s="629"/>
      <c r="ATJ86" s="629"/>
      <c r="ATK86" s="629"/>
      <c r="ATL86" s="629"/>
      <c r="ATM86" s="629"/>
      <c r="ATN86" s="629"/>
      <c r="ATO86" s="629"/>
      <c r="ATP86" s="629"/>
      <c r="ATQ86" s="629"/>
      <c r="ATR86" s="629"/>
      <c r="ATS86" s="629"/>
      <c r="ATT86" s="629"/>
      <c r="ATU86" s="629"/>
      <c r="ATV86" s="629"/>
      <c r="ATW86" s="629"/>
      <c r="ATX86" s="629"/>
      <c r="ATY86" s="629"/>
      <c r="ATZ86" s="629"/>
      <c r="AUA86" s="629"/>
      <c r="AUB86" s="629"/>
      <c r="AUC86" s="629"/>
      <c r="AUD86" s="629"/>
      <c r="AUE86" s="629"/>
      <c r="AUF86" s="629"/>
      <c r="AUG86" s="629"/>
      <c r="AUH86" s="629"/>
      <c r="AUI86" s="629"/>
      <c r="AUJ86" s="629"/>
      <c r="AUK86" s="629"/>
      <c r="AUL86" s="629"/>
      <c r="AUM86" s="629"/>
      <c r="AUN86" s="629"/>
      <c r="AUO86" s="629"/>
      <c r="AUP86" s="629"/>
      <c r="AUQ86" s="629"/>
      <c r="AUR86" s="629"/>
      <c r="AUS86" s="629"/>
      <c r="AUT86" s="629"/>
      <c r="AUU86" s="629"/>
      <c r="AUV86" s="629"/>
      <c r="AUW86" s="629"/>
      <c r="AUX86" s="629"/>
      <c r="AUY86" s="629"/>
      <c r="AUZ86" s="629"/>
      <c r="AVA86" s="629"/>
      <c r="AVB86" s="629"/>
      <c r="AVC86" s="629"/>
      <c r="AVD86" s="629"/>
      <c r="AVE86" s="629"/>
      <c r="AVF86" s="629"/>
      <c r="AVG86" s="629"/>
      <c r="AVH86" s="629"/>
      <c r="AVI86" s="629"/>
      <c r="AVJ86" s="629"/>
      <c r="AVK86" s="629"/>
      <c r="AVL86" s="629"/>
      <c r="AVM86" s="629"/>
      <c r="AVN86" s="629"/>
      <c r="AVO86" s="629"/>
      <c r="AVP86" s="629"/>
      <c r="AVQ86" s="629"/>
      <c r="AVR86" s="629"/>
      <c r="AVS86" s="629"/>
      <c r="AVT86" s="629"/>
      <c r="AVU86" s="629"/>
      <c r="AVV86" s="629"/>
      <c r="AVW86" s="629"/>
      <c r="AVX86" s="629"/>
      <c r="AVY86" s="629"/>
      <c r="AVZ86" s="629"/>
      <c r="AWA86" s="629"/>
      <c r="AWB86" s="629"/>
      <c r="AWC86" s="629"/>
      <c r="AWD86" s="629"/>
      <c r="AWE86" s="629"/>
      <c r="AWF86" s="629"/>
      <c r="AWG86" s="629"/>
      <c r="AWH86" s="629"/>
      <c r="AWI86" s="629"/>
      <c r="AWJ86" s="629"/>
      <c r="AWK86" s="629"/>
      <c r="AWL86" s="629"/>
      <c r="AWM86" s="629"/>
      <c r="AWN86" s="629"/>
      <c r="AWO86" s="629"/>
      <c r="AWP86" s="629"/>
      <c r="AWQ86" s="629"/>
      <c r="AWR86" s="629"/>
      <c r="AWS86" s="629"/>
      <c r="AWT86" s="629"/>
      <c r="AWU86" s="629"/>
      <c r="AWV86" s="629"/>
      <c r="AWW86" s="629"/>
      <c r="AWX86" s="629"/>
      <c r="AWY86" s="629"/>
      <c r="AWZ86" s="629"/>
      <c r="AXA86" s="629"/>
      <c r="AXB86" s="629"/>
      <c r="AXC86" s="629"/>
      <c r="AXD86" s="629"/>
      <c r="AXE86" s="629"/>
      <c r="AXF86" s="629"/>
      <c r="AXG86" s="629"/>
      <c r="AXH86" s="629"/>
      <c r="AXI86" s="629"/>
      <c r="AXJ86" s="629"/>
      <c r="AXK86" s="629"/>
      <c r="AXL86" s="629"/>
      <c r="AXM86" s="629"/>
      <c r="AXN86" s="629"/>
      <c r="AXO86" s="629"/>
      <c r="AXP86" s="629"/>
      <c r="AXQ86" s="629"/>
      <c r="AXR86" s="629"/>
      <c r="AXS86" s="629"/>
      <c r="AXT86" s="629"/>
      <c r="AXU86" s="629"/>
      <c r="AXV86" s="629"/>
      <c r="AXW86" s="629"/>
      <c r="AXX86" s="629"/>
      <c r="AXY86" s="629"/>
      <c r="AXZ86" s="629"/>
      <c r="AYA86" s="629"/>
      <c r="AYB86" s="629"/>
      <c r="AYC86" s="629"/>
      <c r="AYD86" s="629"/>
      <c r="AYE86" s="629"/>
      <c r="AYF86" s="629"/>
      <c r="AYG86" s="629"/>
      <c r="AYH86" s="629"/>
      <c r="AYI86" s="629"/>
      <c r="AYJ86" s="629"/>
      <c r="AYK86" s="629"/>
      <c r="AYL86" s="629"/>
      <c r="AYM86" s="629"/>
      <c r="AYN86" s="629"/>
      <c r="AYO86" s="629"/>
      <c r="AYP86" s="629"/>
      <c r="AYQ86" s="629"/>
      <c r="AYR86" s="629"/>
      <c r="AYS86" s="629"/>
      <c r="AYT86" s="629"/>
      <c r="AYU86" s="629"/>
      <c r="AYV86" s="629"/>
      <c r="AYW86" s="629"/>
      <c r="AYX86" s="629"/>
      <c r="AYY86" s="629"/>
      <c r="AYZ86" s="629"/>
      <c r="AZA86" s="629"/>
      <c r="AZB86" s="629"/>
      <c r="AZC86" s="629"/>
      <c r="AZD86" s="629"/>
      <c r="AZE86" s="629"/>
      <c r="AZF86" s="629"/>
      <c r="AZG86" s="629"/>
      <c r="AZH86" s="629"/>
      <c r="AZI86" s="629"/>
      <c r="AZJ86" s="629"/>
      <c r="AZK86" s="629"/>
      <c r="AZL86" s="629"/>
      <c r="AZM86" s="629"/>
      <c r="AZN86" s="629"/>
      <c r="AZO86" s="629"/>
      <c r="AZP86" s="629"/>
      <c r="AZQ86" s="629"/>
      <c r="AZR86" s="629"/>
      <c r="AZS86" s="629"/>
      <c r="AZT86" s="629"/>
      <c r="AZU86" s="629"/>
      <c r="AZV86" s="629"/>
      <c r="AZW86" s="629"/>
      <c r="AZX86" s="629"/>
      <c r="AZY86" s="629"/>
      <c r="AZZ86" s="629"/>
      <c r="BAA86" s="629"/>
      <c r="BAB86" s="629"/>
      <c r="BAC86" s="629"/>
      <c r="BAD86" s="629"/>
      <c r="BAE86" s="629"/>
      <c r="BAF86" s="629"/>
      <c r="BAG86" s="629"/>
      <c r="BAH86" s="629"/>
      <c r="BAI86" s="629"/>
      <c r="BAJ86" s="629"/>
      <c r="BAK86" s="629"/>
      <c r="BAL86" s="629"/>
      <c r="BAM86" s="629"/>
      <c r="BAN86" s="629"/>
      <c r="BAO86" s="629"/>
      <c r="BAP86" s="629"/>
      <c r="BAQ86" s="629"/>
      <c r="BAR86" s="629"/>
      <c r="BAS86" s="629"/>
      <c r="BAT86" s="629"/>
      <c r="BAU86" s="629"/>
      <c r="BAV86" s="629"/>
      <c r="BAW86" s="629"/>
      <c r="BAX86" s="629"/>
      <c r="BAY86" s="629"/>
      <c r="BAZ86" s="629"/>
      <c r="BBA86" s="629"/>
      <c r="BBB86" s="629"/>
      <c r="BBC86" s="629"/>
      <c r="BBD86" s="629"/>
      <c r="BBE86" s="629"/>
      <c r="BBF86" s="629"/>
      <c r="BBG86" s="629"/>
      <c r="BBH86" s="629"/>
      <c r="BBI86" s="629"/>
      <c r="BBJ86" s="629"/>
      <c r="BBK86" s="629"/>
      <c r="BBL86" s="629"/>
      <c r="BBM86" s="629"/>
      <c r="BBN86" s="629"/>
      <c r="BBO86" s="629"/>
      <c r="BBP86" s="629"/>
      <c r="BBQ86" s="629"/>
      <c r="BBR86" s="629"/>
      <c r="BBS86" s="629"/>
      <c r="BBT86" s="629"/>
      <c r="BBU86" s="629"/>
      <c r="BBV86" s="629"/>
      <c r="BBW86" s="629"/>
      <c r="BBX86" s="629"/>
      <c r="BBY86" s="629"/>
      <c r="BBZ86" s="629"/>
      <c r="BCA86" s="629"/>
      <c r="BCB86" s="629"/>
      <c r="BCC86" s="629"/>
      <c r="BCD86" s="629"/>
      <c r="BCE86" s="629"/>
      <c r="BCF86" s="629"/>
      <c r="BCG86" s="629"/>
      <c r="BCH86" s="629"/>
      <c r="BCI86" s="629"/>
      <c r="BCJ86" s="629"/>
      <c r="BCK86" s="629"/>
      <c r="BCL86" s="629"/>
      <c r="BCM86" s="629"/>
      <c r="BCN86" s="629"/>
      <c r="BCO86" s="629"/>
      <c r="BCP86" s="629"/>
      <c r="BCQ86" s="629"/>
      <c r="BCR86" s="629"/>
      <c r="BCS86" s="629"/>
      <c r="BCT86" s="629"/>
      <c r="BCU86" s="629"/>
      <c r="BCV86" s="629"/>
      <c r="BCW86" s="629"/>
      <c r="BCX86" s="629"/>
      <c r="BCY86" s="629"/>
      <c r="BCZ86" s="629"/>
      <c r="BDA86" s="629"/>
      <c r="BDB86" s="629"/>
      <c r="BDC86" s="629"/>
      <c r="BDD86" s="629"/>
      <c r="BDE86" s="629"/>
      <c r="BDF86" s="629"/>
      <c r="BDG86" s="629"/>
      <c r="BDH86" s="629"/>
      <c r="BDI86" s="629"/>
      <c r="BDJ86" s="629"/>
      <c r="BDK86" s="629"/>
      <c r="BDL86" s="629"/>
      <c r="BDM86" s="629"/>
      <c r="BDN86" s="629"/>
      <c r="BDO86" s="629"/>
      <c r="BDP86" s="629"/>
      <c r="BDQ86" s="629"/>
      <c r="BDR86" s="629"/>
      <c r="BDS86" s="629"/>
      <c r="BDT86" s="629"/>
      <c r="BDU86" s="629"/>
      <c r="BDV86" s="629"/>
      <c r="BDW86" s="629"/>
      <c r="BDX86" s="629"/>
      <c r="BDY86" s="629"/>
      <c r="BDZ86" s="629"/>
      <c r="BEA86" s="629"/>
      <c r="BEB86" s="629"/>
      <c r="BEC86" s="629"/>
      <c r="BED86" s="629"/>
      <c r="BEE86" s="629"/>
      <c r="BEF86" s="629"/>
      <c r="BEG86" s="629"/>
      <c r="BEH86" s="629"/>
      <c r="BEI86" s="629"/>
      <c r="BEJ86" s="629"/>
      <c r="BEK86" s="629"/>
      <c r="BEL86" s="629"/>
      <c r="BEM86" s="629"/>
      <c r="BEN86" s="629"/>
      <c r="BEO86" s="629"/>
      <c r="BEP86" s="629"/>
      <c r="BEQ86" s="629"/>
      <c r="BER86" s="629"/>
      <c r="BES86" s="629"/>
      <c r="BET86" s="629"/>
      <c r="BEU86" s="629"/>
      <c r="BEV86" s="629"/>
      <c r="BEW86" s="629"/>
      <c r="BEX86" s="629"/>
      <c r="BEY86" s="629"/>
      <c r="BEZ86" s="629"/>
      <c r="BFA86" s="629"/>
      <c r="BFB86" s="629"/>
      <c r="BFC86" s="629"/>
      <c r="BFD86" s="629"/>
      <c r="BFE86" s="629"/>
      <c r="BFF86" s="629"/>
      <c r="BFG86" s="629"/>
      <c r="BFH86" s="629"/>
      <c r="BFI86" s="629"/>
      <c r="BFJ86" s="629"/>
      <c r="BFK86" s="629"/>
      <c r="BFL86" s="629"/>
      <c r="BFM86" s="629"/>
      <c r="BFN86" s="629"/>
      <c r="BFO86" s="629"/>
      <c r="BFP86" s="629"/>
      <c r="BFQ86" s="629"/>
      <c r="BFR86" s="629"/>
      <c r="BFS86" s="629"/>
      <c r="BFT86" s="629"/>
      <c r="BFU86" s="629"/>
      <c r="BFV86" s="629"/>
      <c r="BFW86" s="629"/>
      <c r="BFX86" s="629"/>
      <c r="BFY86" s="629"/>
      <c r="BFZ86" s="629"/>
      <c r="BGA86" s="629"/>
      <c r="BGB86" s="629"/>
      <c r="BGC86" s="629"/>
      <c r="BGD86" s="629"/>
      <c r="BGE86" s="629"/>
      <c r="BGF86" s="629"/>
      <c r="BGG86" s="629"/>
      <c r="BGH86" s="629"/>
      <c r="BGI86" s="629"/>
      <c r="BGJ86" s="629"/>
      <c r="BGK86" s="629"/>
      <c r="BGL86" s="629"/>
      <c r="BGM86" s="629"/>
      <c r="BGN86" s="629"/>
      <c r="BGO86" s="629"/>
      <c r="BGP86" s="629"/>
      <c r="BGQ86" s="629"/>
      <c r="BGR86" s="629"/>
      <c r="BGS86" s="629"/>
      <c r="BGT86" s="629"/>
      <c r="BGU86" s="629"/>
      <c r="BGV86" s="629"/>
      <c r="BGW86" s="629"/>
      <c r="BGX86" s="629"/>
      <c r="BGY86" s="629"/>
      <c r="BGZ86" s="629"/>
      <c r="BHA86" s="629"/>
      <c r="BHB86" s="629"/>
      <c r="BHC86" s="629"/>
      <c r="BHD86" s="629"/>
      <c r="BHE86" s="629"/>
      <c r="BHF86" s="629"/>
      <c r="BHG86" s="629"/>
      <c r="BHH86" s="629"/>
      <c r="BHI86" s="629"/>
      <c r="BHJ86" s="629"/>
      <c r="BHK86" s="629"/>
      <c r="BHL86" s="629"/>
      <c r="BHM86" s="629"/>
      <c r="BHN86" s="629"/>
      <c r="BHO86" s="629"/>
      <c r="BHP86" s="629"/>
      <c r="BHQ86" s="629"/>
      <c r="BHR86" s="629"/>
      <c r="BHS86" s="629"/>
      <c r="BHT86" s="629"/>
      <c r="BHU86" s="629"/>
      <c r="BHV86" s="629"/>
      <c r="BHW86" s="629"/>
      <c r="BHX86" s="629"/>
      <c r="BHY86" s="629"/>
      <c r="BHZ86" s="629"/>
      <c r="BIA86" s="629"/>
      <c r="BIB86" s="629"/>
      <c r="BIC86" s="629"/>
      <c r="BID86" s="629"/>
      <c r="BIE86" s="629"/>
      <c r="BIF86" s="629"/>
      <c r="BIG86" s="629"/>
      <c r="BIH86" s="629"/>
      <c r="BII86" s="629"/>
      <c r="BIJ86" s="629"/>
      <c r="BIK86" s="629"/>
      <c r="BIL86" s="629"/>
      <c r="BIM86" s="629"/>
      <c r="BIN86" s="629"/>
      <c r="BIO86" s="629"/>
      <c r="BIP86" s="629"/>
      <c r="BIQ86" s="629"/>
      <c r="BIR86" s="629"/>
      <c r="BIS86" s="629"/>
      <c r="BIT86" s="629"/>
      <c r="BIU86" s="629"/>
      <c r="BIV86" s="629"/>
      <c r="BIW86" s="629"/>
      <c r="BIX86" s="629"/>
      <c r="BIY86" s="629"/>
      <c r="BIZ86" s="629"/>
      <c r="BJA86" s="629"/>
      <c r="BJB86" s="629"/>
      <c r="BJC86" s="629"/>
      <c r="BJD86" s="629"/>
      <c r="BJE86" s="629"/>
      <c r="BJF86" s="629"/>
      <c r="BJG86" s="629"/>
      <c r="BJH86" s="629"/>
      <c r="BJI86" s="629"/>
      <c r="BJJ86" s="629"/>
      <c r="BJK86" s="629"/>
      <c r="BJL86" s="629"/>
      <c r="BJM86" s="629"/>
      <c r="BJN86" s="629"/>
      <c r="BJO86" s="629"/>
      <c r="BJP86" s="629"/>
      <c r="BJQ86" s="629"/>
      <c r="BJR86" s="629"/>
      <c r="BJS86" s="629"/>
      <c r="BJT86" s="629"/>
      <c r="BJU86" s="629"/>
      <c r="BJV86" s="629"/>
      <c r="BJW86" s="629"/>
      <c r="BJX86" s="629"/>
      <c r="BJY86" s="629"/>
      <c r="BJZ86" s="629"/>
      <c r="BKA86" s="629"/>
      <c r="BKB86" s="629"/>
      <c r="BKC86" s="629"/>
      <c r="BKD86" s="629"/>
      <c r="BKE86" s="629"/>
      <c r="BKF86" s="629"/>
      <c r="BKG86" s="629"/>
      <c r="BKH86" s="629"/>
      <c r="BKI86" s="629"/>
      <c r="BKJ86" s="629"/>
      <c r="BKK86" s="629"/>
      <c r="BKL86" s="629"/>
      <c r="BKM86" s="629"/>
      <c r="BKN86" s="629"/>
      <c r="BKO86" s="629"/>
      <c r="BKP86" s="629"/>
      <c r="BKQ86" s="629"/>
      <c r="BKR86" s="629"/>
      <c r="BKS86" s="629"/>
      <c r="BKT86" s="629"/>
      <c r="BKU86" s="629"/>
      <c r="BKV86" s="629"/>
      <c r="BKW86" s="629"/>
      <c r="BKX86" s="629"/>
      <c r="BKY86" s="629"/>
      <c r="BKZ86" s="629"/>
      <c r="BLA86" s="629"/>
      <c r="BLB86" s="629"/>
      <c r="BLC86" s="629"/>
      <c r="BLD86" s="629"/>
      <c r="BLE86" s="629"/>
      <c r="BLF86" s="629"/>
      <c r="BLG86" s="629"/>
      <c r="BLH86" s="629"/>
      <c r="BLI86" s="629"/>
      <c r="BLJ86" s="629"/>
      <c r="BLK86" s="629"/>
      <c r="BLL86" s="629"/>
      <c r="BLM86" s="629"/>
      <c r="BLN86" s="629"/>
      <c r="BLO86" s="629"/>
      <c r="BLP86" s="629"/>
      <c r="BLQ86" s="629"/>
      <c r="BLR86" s="629"/>
      <c r="BLS86" s="629"/>
      <c r="BLT86" s="629"/>
      <c r="BLU86" s="629"/>
      <c r="BLV86" s="629"/>
      <c r="BLW86" s="629"/>
      <c r="BLX86" s="629"/>
      <c r="BLY86" s="629"/>
      <c r="BLZ86" s="629"/>
      <c r="BMA86" s="629"/>
      <c r="BMB86" s="629"/>
      <c r="BMC86" s="629"/>
      <c r="BMD86" s="629"/>
      <c r="BME86" s="629"/>
      <c r="BMF86" s="629"/>
      <c r="BMG86" s="629"/>
      <c r="BMH86" s="629"/>
      <c r="BMI86" s="629"/>
      <c r="BMJ86" s="629"/>
      <c r="BMK86" s="629"/>
      <c r="BML86" s="629"/>
      <c r="BMM86" s="629"/>
      <c r="BMN86" s="629"/>
      <c r="BMO86" s="629"/>
      <c r="BMP86" s="629"/>
      <c r="BMQ86" s="629"/>
      <c r="BMR86" s="629"/>
      <c r="BMS86" s="629"/>
      <c r="BMT86" s="629"/>
      <c r="BMU86" s="629"/>
      <c r="BMV86" s="629"/>
      <c r="BMW86" s="629"/>
      <c r="BMX86" s="629"/>
      <c r="BMY86" s="629"/>
      <c r="BMZ86" s="629"/>
      <c r="BNA86" s="629"/>
      <c r="BNB86" s="629"/>
      <c r="BNC86" s="629"/>
      <c r="BND86" s="629"/>
      <c r="BNE86" s="629"/>
      <c r="BNF86" s="629"/>
      <c r="BNG86" s="629"/>
      <c r="BNH86" s="629"/>
      <c r="BNI86" s="629"/>
      <c r="BNJ86" s="629"/>
      <c r="BNK86" s="629"/>
      <c r="BNL86" s="629"/>
      <c r="BNM86" s="629"/>
      <c r="BNN86" s="629"/>
      <c r="BNO86" s="629"/>
      <c r="BNP86" s="629"/>
      <c r="BNQ86" s="629"/>
      <c r="BNR86" s="629"/>
      <c r="BNS86" s="629"/>
      <c r="BNT86" s="629"/>
      <c r="BNU86" s="629"/>
      <c r="BNV86" s="629"/>
      <c r="BNW86" s="629"/>
      <c r="BNX86" s="629"/>
      <c r="BNY86" s="629"/>
      <c r="BNZ86" s="629"/>
      <c r="BOA86" s="629"/>
      <c r="BOB86" s="629"/>
      <c r="BOC86" s="629"/>
      <c r="BOD86" s="629"/>
      <c r="BOE86" s="629"/>
      <c r="BOF86" s="629"/>
      <c r="BOG86" s="629"/>
      <c r="BOH86" s="629"/>
      <c r="BOI86" s="629"/>
      <c r="BOJ86" s="629"/>
      <c r="BOK86" s="629"/>
      <c r="BOL86" s="629"/>
      <c r="BOM86" s="629"/>
      <c r="BON86" s="629"/>
      <c r="BOO86" s="629"/>
      <c r="BOP86" s="629"/>
      <c r="BOQ86" s="629"/>
      <c r="BOR86" s="629"/>
      <c r="BOS86" s="629"/>
      <c r="BOT86" s="629"/>
      <c r="BOU86" s="629"/>
      <c r="BOV86" s="629"/>
      <c r="BOW86" s="629"/>
      <c r="BOX86" s="629"/>
      <c r="BOY86" s="629"/>
      <c r="BOZ86" s="629"/>
      <c r="BPA86" s="629"/>
      <c r="BPB86" s="629"/>
      <c r="BPC86" s="629"/>
      <c r="BPD86" s="629"/>
      <c r="BPE86" s="629"/>
      <c r="BPF86" s="629"/>
      <c r="BPG86" s="629"/>
      <c r="BPH86" s="629"/>
      <c r="BPI86" s="629"/>
      <c r="BPJ86" s="629"/>
      <c r="BPK86" s="629"/>
      <c r="BPL86" s="629"/>
      <c r="BPM86" s="629"/>
      <c r="BPN86" s="629"/>
      <c r="BPO86" s="629"/>
      <c r="BPP86" s="629"/>
      <c r="BPQ86" s="629"/>
      <c r="BPR86" s="629"/>
      <c r="BPS86" s="629"/>
      <c r="BPT86" s="629"/>
      <c r="BPU86" s="629"/>
      <c r="BPV86" s="629"/>
      <c r="BPW86" s="629"/>
      <c r="BPX86" s="629"/>
      <c r="BPY86" s="629"/>
      <c r="BPZ86" s="629"/>
      <c r="BQA86" s="629"/>
      <c r="BQB86" s="629"/>
      <c r="BQC86" s="629"/>
      <c r="BQD86" s="629"/>
      <c r="BQE86" s="629"/>
      <c r="BQF86" s="629"/>
      <c r="BQG86" s="629"/>
      <c r="BQH86" s="629"/>
      <c r="BQI86" s="629"/>
      <c r="BQJ86" s="629"/>
      <c r="BQK86" s="629"/>
      <c r="BQL86" s="629"/>
      <c r="BQM86" s="629"/>
      <c r="BQN86" s="629"/>
      <c r="BQO86" s="629"/>
      <c r="BQP86" s="629"/>
      <c r="BQQ86" s="629"/>
      <c r="BQR86" s="629"/>
      <c r="BQS86" s="629"/>
      <c r="BQT86" s="629"/>
      <c r="BQU86" s="629"/>
      <c r="BQV86" s="629"/>
      <c r="BQW86" s="629"/>
      <c r="BQX86" s="629"/>
      <c r="BQY86" s="629"/>
      <c r="BQZ86" s="629"/>
      <c r="BRA86" s="629"/>
      <c r="BRB86" s="629"/>
      <c r="BRC86" s="629"/>
      <c r="BRD86" s="629"/>
      <c r="BRE86" s="629"/>
      <c r="BRF86" s="629"/>
      <c r="BRG86" s="629"/>
      <c r="BRH86" s="629"/>
      <c r="BRI86" s="629"/>
      <c r="BRJ86" s="629"/>
      <c r="BRK86" s="629"/>
      <c r="BRL86" s="629"/>
      <c r="BRM86" s="629"/>
      <c r="BRN86" s="629"/>
      <c r="BRO86" s="629"/>
      <c r="BRP86" s="629"/>
      <c r="BRQ86" s="629"/>
      <c r="BRR86" s="629"/>
      <c r="BRS86" s="629"/>
      <c r="BRT86" s="629"/>
      <c r="BRU86" s="629"/>
      <c r="BRV86" s="629"/>
      <c r="BRW86" s="629"/>
      <c r="BRX86" s="629"/>
      <c r="BRY86" s="629"/>
      <c r="BRZ86" s="629"/>
      <c r="BSA86" s="629"/>
      <c r="BSB86" s="629"/>
      <c r="BSC86" s="629"/>
      <c r="BSD86" s="629"/>
      <c r="BSE86" s="629"/>
      <c r="BSF86" s="629"/>
      <c r="BSG86" s="629"/>
      <c r="BSH86" s="629"/>
      <c r="BSI86" s="629"/>
      <c r="BSJ86" s="629"/>
      <c r="BSK86" s="629"/>
      <c r="BSL86" s="629"/>
      <c r="BSM86" s="629"/>
      <c r="BSN86" s="629"/>
      <c r="BSO86" s="629"/>
      <c r="BSP86" s="629"/>
      <c r="BSQ86" s="629"/>
      <c r="BSR86" s="629"/>
      <c r="BSS86" s="629"/>
      <c r="BST86" s="629"/>
      <c r="BSU86" s="629"/>
      <c r="BSV86" s="629"/>
      <c r="BSW86" s="629"/>
      <c r="BSX86" s="629"/>
      <c r="BSY86" s="629"/>
      <c r="BSZ86" s="629"/>
      <c r="BTA86" s="629"/>
      <c r="BTB86" s="629"/>
      <c r="BTC86" s="629"/>
      <c r="BTD86" s="629"/>
      <c r="BTE86" s="629"/>
      <c r="BTF86" s="629"/>
      <c r="BTG86" s="629"/>
      <c r="BTH86" s="629"/>
      <c r="BTI86" s="629"/>
      <c r="BTJ86" s="629"/>
      <c r="BTK86" s="629"/>
      <c r="BTL86" s="629"/>
      <c r="BTM86" s="629"/>
      <c r="BTN86" s="629"/>
      <c r="BTO86" s="629"/>
      <c r="BTP86" s="629"/>
      <c r="BTQ86" s="629"/>
      <c r="BTR86" s="629"/>
      <c r="BTS86" s="629"/>
      <c r="BTT86" s="629"/>
      <c r="BTU86" s="629"/>
      <c r="BTV86" s="629"/>
      <c r="BTW86" s="629"/>
      <c r="BTX86" s="629"/>
      <c r="BTY86" s="629"/>
      <c r="BTZ86" s="629"/>
      <c r="BUA86" s="629"/>
      <c r="BUB86" s="629"/>
      <c r="BUC86" s="629"/>
      <c r="BUD86" s="629"/>
      <c r="BUE86" s="629"/>
      <c r="BUF86" s="629"/>
      <c r="BUG86" s="629"/>
      <c r="BUH86" s="629"/>
      <c r="BUI86" s="629"/>
      <c r="BUJ86" s="629"/>
      <c r="BUK86" s="629"/>
      <c r="BUL86" s="629"/>
      <c r="BUM86" s="629"/>
      <c r="BUN86" s="629"/>
      <c r="BUO86" s="629"/>
      <c r="BUP86" s="629"/>
      <c r="BUQ86" s="629"/>
      <c r="BUR86" s="629"/>
      <c r="BUS86" s="629"/>
      <c r="BUT86" s="629"/>
      <c r="BUU86" s="629"/>
      <c r="BUV86" s="629"/>
      <c r="BUW86" s="629"/>
      <c r="BUX86" s="629"/>
      <c r="BUY86" s="629"/>
      <c r="BUZ86" s="629"/>
      <c r="BVA86" s="629"/>
      <c r="BVB86" s="629"/>
      <c r="BVC86" s="629"/>
      <c r="BVD86" s="629"/>
      <c r="BVE86" s="629"/>
      <c r="BVF86" s="629"/>
      <c r="BVG86" s="629"/>
      <c r="BVH86" s="629"/>
      <c r="BVI86" s="629"/>
      <c r="BVJ86" s="629"/>
      <c r="BVK86" s="629"/>
      <c r="BVL86" s="629"/>
      <c r="BVM86" s="629"/>
      <c r="BVN86" s="629"/>
      <c r="BVO86" s="629"/>
      <c r="BVP86" s="629"/>
      <c r="BVQ86" s="629"/>
      <c r="BVR86" s="629"/>
      <c r="BVS86" s="629"/>
      <c r="BVT86" s="629"/>
      <c r="BVU86" s="629"/>
      <c r="BVV86" s="629"/>
      <c r="BVW86" s="629"/>
      <c r="BVX86" s="629"/>
      <c r="BVY86" s="629"/>
      <c r="BVZ86" s="629"/>
      <c r="BWA86" s="629"/>
      <c r="BWB86" s="629"/>
      <c r="BWC86" s="629"/>
      <c r="BWD86" s="629"/>
      <c r="BWE86" s="629"/>
      <c r="BWF86" s="629"/>
      <c r="BWG86" s="629"/>
      <c r="BWH86" s="629"/>
      <c r="BWI86" s="629"/>
      <c r="BWJ86" s="629"/>
      <c r="BWK86" s="629"/>
      <c r="BWL86" s="629"/>
      <c r="BWM86" s="629"/>
      <c r="BWN86" s="629"/>
      <c r="BWO86" s="629"/>
      <c r="BWP86" s="629"/>
      <c r="BWQ86" s="629"/>
      <c r="BWR86" s="629"/>
      <c r="BWS86" s="629"/>
      <c r="BWT86" s="629"/>
      <c r="BWU86" s="629"/>
      <c r="BWV86" s="629"/>
      <c r="BWW86" s="629"/>
      <c r="BWX86" s="629"/>
      <c r="BWY86" s="629"/>
      <c r="BWZ86" s="629"/>
      <c r="BXA86" s="629"/>
      <c r="BXB86" s="629"/>
      <c r="BXC86" s="629"/>
      <c r="BXD86" s="629"/>
      <c r="BXE86" s="629"/>
      <c r="BXF86" s="629"/>
      <c r="BXG86" s="629"/>
      <c r="BXH86" s="629"/>
      <c r="BXI86" s="629"/>
      <c r="BXJ86" s="629"/>
      <c r="BXK86" s="629"/>
      <c r="BXL86" s="629"/>
      <c r="BXM86" s="629"/>
      <c r="BXN86" s="629"/>
      <c r="BXO86" s="629"/>
      <c r="BXP86" s="629"/>
      <c r="BXQ86" s="629"/>
      <c r="BXR86" s="629"/>
      <c r="BXS86" s="629"/>
      <c r="BXT86" s="629"/>
      <c r="BXU86" s="629"/>
      <c r="BXV86" s="629"/>
      <c r="BXW86" s="629"/>
      <c r="BXX86" s="629"/>
      <c r="BXY86" s="629"/>
      <c r="BXZ86" s="629"/>
      <c r="BYA86" s="629"/>
      <c r="BYB86" s="629"/>
      <c r="BYC86" s="629"/>
      <c r="BYD86" s="629"/>
      <c r="BYE86" s="629"/>
      <c r="BYF86" s="629"/>
      <c r="BYG86" s="629"/>
      <c r="BYH86" s="629"/>
      <c r="BYI86" s="629"/>
      <c r="BYJ86" s="629"/>
      <c r="BYK86" s="629"/>
      <c r="BYL86" s="629"/>
      <c r="BYM86" s="629"/>
      <c r="BYN86" s="629"/>
      <c r="BYO86" s="629"/>
      <c r="BYP86" s="629"/>
      <c r="BYQ86" s="629"/>
      <c r="BYR86" s="629"/>
      <c r="BYS86" s="629"/>
      <c r="BYT86" s="629"/>
      <c r="BYU86" s="629"/>
      <c r="BYV86" s="629"/>
      <c r="BYW86" s="629"/>
      <c r="BYX86" s="629"/>
      <c r="BYY86" s="629"/>
      <c r="BYZ86" s="629"/>
      <c r="BZA86" s="629"/>
      <c r="BZB86" s="629"/>
      <c r="BZC86" s="629"/>
      <c r="BZD86" s="629"/>
      <c r="BZE86" s="629"/>
      <c r="BZF86" s="629"/>
      <c r="BZG86" s="629"/>
      <c r="BZH86" s="629"/>
      <c r="BZI86" s="629"/>
      <c r="BZJ86" s="629"/>
      <c r="BZK86" s="629"/>
      <c r="BZL86" s="629"/>
      <c r="BZM86" s="629"/>
      <c r="BZN86" s="629"/>
      <c r="BZO86" s="629"/>
      <c r="BZP86" s="629"/>
      <c r="BZQ86" s="629"/>
      <c r="BZR86" s="629"/>
      <c r="BZS86" s="629"/>
      <c r="BZT86" s="629"/>
      <c r="BZU86" s="629"/>
      <c r="BZV86" s="629"/>
      <c r="BZW86" s="629"/>
      <c r="BZX86" s="629"/>
      <c r="BZY86" s="629"/>
      <c r="BZZ86" s="629"/>
      <c r="CAA86" s="629"/>
      <c r="CAB86" s="629"/>
      <c r="CAC86" s="629"/>
      <c r="CAD86" s="629"/>
      <c r="CAE86" s="629"/>
      <c r="CAF86" s="629"/>
      <c r="CAG86" s="629"/>
      <c r="CAH86" s="629"/>
      <c r="CAI86" s="629"/>
      <c r="CAJ86" s="629"/>
      <c r="CAK86" s="629"/>
      <c r="CAL86" s="629"/>
      <c r="CAM86" s="629"/>
      <c r="CAN86" s="629"/>
      <c r="CAO86" s="629"/>
      <c r="CAP86" s="629"/>
      <c r="CAQ86" s="629"/>
      <c r="CAR86" s="629"/>
      <c r="CAS86" s="629"/>
      <c r="CAT86" s="629"/>
      <c r="CAU86" s="629"/>
      <c r="CAV86" s="629"/>
      <c r="CAW86" s="629"/>
      <c r="CAX86" s="629"/>
      <c r="CAY86" s="629"/>
      <c r="CAZ86" s="629"/>
      <c r="CBA86" s="629"/>
      <c r="CBB86" s="629"/>
      <c r="CBC86" s="629"/>
      <c r="CBD86" s="629"/>
      <c r="CBE86" s="629"/>
      <c r="CBF86" s="629"/>
      <c r="CBG86" s="629"/>
      <c r="CBH86" s="629"/>
      <c r="CBI86" s="629"/>
      <c r="CBJ86" s="629"/>
      <c r="CBK86" s="629"/>
      <c r="CBL86" s="629"/>
      <c r="CBM86" s="629"/>
      <c r="CBN86" s="629"/>
      <c r="CBO86" s="629"/>
      <c r="CBP86" s="629"/>
      <c r="CBQ86" s="629"/>
      <c r="CBR86" s="629"/>
      <c r="CBS86" s="629"/>
      <c r="CBT86" s="629"/>
      <c r="CBU86" s="629"/>
      <c r="CBV86" s="629"/>
      <c r="CBW86" s="629"/>
      <c r="CBX86" s="629"/>
      <c r="CBY86" s="629"/>
      <c r="CBZ86" s="629"/>
      <c r="CCA86" s="629"/>
      <c r="CCB86" s="629"/>
      <c r="CCC86" s="629"/>
      <c r="CCD86" s="629"/>
      <c r="CCE86" s="629"/>
      <c r="CCF86" s="629"/>
      <c r="CCG86" s="629"/>
      <c r="CCH86" s="629"/>
      <c r="CCI86" s="629"/>
      <c r="CCJ86" s="629"/>
      <c r="CCK86" s="629"/>
      <c r="CCL86" s="629"/>
      <c r="CCM86" s="629"/>
      <c r="CCN86" s="629"/>
      <c r="CCO86" s="629"/>
      <c r="CCP86" s="629"/>
      <c r="CCQ86" s="629"/>
      <c r="CCR86" s="629"/>
      <c r="CCS86" s="629"/>
      <c r="CCT86" s="629"/>
      <c r="CCU86" s="629"/>
      <c r="CCV86" s="629"/>
      <c r="CCW86" s="629"/>
      <c r="CCX86" s="629"/>
      <c r="CCY86" s="629"/>
      <c r="CCZ86" s="629"/>
      <c r="CDA86" s="629"/>
      <c r="CDB86" s="629"/>
      <c r="CDC86" s="629"/>
      <c r="CDD86" s="629"/>
      <c r="CDE86" s="629"/>
      <c r="CDF86" s="629"/>
      <c r="CDG86" s="629"/>
      <c r="CDH86" s="629"/>
      <c r="CDI86" s="629"/>
      <c r="CDJ86" s="629"/>
      <c r="CDK86" s="629"/>
      <c r="CDL86" s="629"/>
      <c r="CDM86" s="629"/>
      <c r="CDN86" s="629"/>
      <c r="CDO86" s="629"/>
      <c r="CDP86" s="629"/>
      <c r="CDQ86" s="629"/>
      <c r="CDR86" s="629"/>
      <c r="CDS86" s="629"/>
      <c r="CDT86" s="629"/>
      <c r="CDU86" s="629"/>
      <c r="CDV86" s="629"/>
      <c r="CDW86" s="629"/>
      <c r="CDX86" s="629"/>
      <c r="CDY86" s="629"/>
      <c r="CDZ86" s="629"/>
      <c r="CEA86" s="629"/>
      <c r="CEB86" s="629"/>
      <c r="CEC86" s="629"/>
      <c r="CED86" s="629"/>
      <c r="CEE86" s="629"/>
      <c r="CEF86" s="629"/>
      <c r="CEG86" s="629"/>
      <c r="CEH86" s="629"/>
      <c r="CEI86" s="629"/>
      <c r="CEJ86" s="629"/>
      <c r="CEK86" s="629"/>
      <c r="CEL86" s="629"/>
      <c r="CEM86" s="629"/>
      <c r="CEN86" s="629"/>
      <c r="CEO86" s="629"/>
      <c r="CEP86" s="629"/>
      <c r="CEQ86" s="629"/>
      <c r="CER86" s="629"/>
      <c r="CES86" s="629"/>
      <c r="CET86" s="629"/>
      <c r="CEU86" s="629"/>
      <c r="CEV86" s="629"/>
      <c r="CEW86" s="629"/>
      <c r="CEX86" s="629"/>
      <c r="CEY86" s="629"/>
      <c r="CEZ86" s="629"/>
      <c r="CFA86" s="629"/>
      <c r="CFB86" s="629"/>
      <c r="CFC86" s="629"/>
      <c r="CFD86" s="629"/>
      <c r="CFE86" s="629"/>
      <c r="CFF86" s="629"/>
      <c r="CFG86" s="629"/>
      <c r="CFH86" s="629"/>
      <c r="CFI86" s="629"/>
      <c r="CFJ86" s="629"/>
      <c r="CFK86" s="629"/>
      <c r="CFL86" s="629"/>
      <c r="CFM86" s="629"/>
      <c r="CFN86" s="629"/>
      <c r="CFO86" s="629"/>
      <c r="CFP86" s="629"/>
      <c r="CFQ86" s="629"/>
      <c r="CFR86" s="629"/>
      <c r="CFS86" s="629"/>
      <c r="CFT86" s="629"/>
      <c r="CFU86" s="629"/>
      <c r="CFV86" s="629"/>
      <c r="CFW86" s="629"/>
      <c r="CFX86" s="629"/>
      <c r="CFY86" s="629"/>
      <c r="CFZ86" s="629"/>
      <c r="CGA86" s="629"/>
      <c r="CGB86" s="629"/>
      <c r="CGC86" s="629"/>
      <c r="CGD86" s="629"/>
      <c r="CGE86" s="629"/>
      <c r="CGF86" s="629"/>
      <c r="CGG86" s="629"/>
      <c r="CGH86" s="629"/>
      <c r="CGI86" s="629"/>
      <c r="CGJ86" s="629"/>
      <c r="CGK86" s="629"/>
      <c r="CGL86" s="629"/>
      <c r="CGM86" s="629"/>
      <c r="CGN86" s="629"/>
      <c r="CGO86" s="629"/>
      <c r="CGP86" s="629"/>
      <c r="CGQ86" s="629"/>
      <c r="CGR86" s="629"/>
      <c r="CGS86" s="629"/>
      <c r="CGT86" s="629"/>
      <c r="CGU86" s="629"/>
      <c r="CGV86" s="629"/>
      <c r="CGW86" s="629"/>
      <c r="CGX86" s="629"/>
      <c r="CGY86" s="629"/>
      <c r="CGZ86" s="629"/>
      <c r="CHA86" s="629"/>
      <c r="CHB86" s="629"/>
      <c r="CHC86" s="629"/>
      <c r="CHD86" s="629"/>
      <c r="CHE86" s="629"/>
      <c r="CHF86" s="629"/>
      <c r="CHG86" s="629"/>
      <c r="CHH86" s="629"/>
      <c r="CHI86" s="629"/>
      <c r="CHJ86" s="629"/>
      <c r="CHK86" s="629"/>
      <c r="CHL86" s="629"/>
      <c r="CHM86" s="629"/>
      <c r="CHN86" s="629"/>
      <c r="CHO86" s="629"/>
      <c r="CHP86" s="629"/>
      <c r="CHQ86" s="629"/>
      <c r="CHR86" s="629"/>
      <c r="CHS86" s="629"/>
      <c r="CHT86" s="629"/>
      <c r="CHU86" s="629"/>
      <c r="CHV86" s="629"/>
      <c r="CHW86" s="629"/>
      <c r="CHX86" s="629"/>
      <c r="CHY86" s="629"/>
      <c r="CHZ86" s="629"/>
      <c r="CIA86" s="629"/>
      <c r="CIB86" s="629"/>
      <c r="CIC86" s="629"/>
      <c r="CID86" s="629"/>
      <c r="CIE86" s="629"/>
      <c r="CIF86" s="629"/>
      <c r="CIG86" s="629"/>
      <c r="CIH86" s="629"/>
      <c r="CII86" s="629"/>
      <c r="CIJ86" s="629"/>
      <c r="CIK86" s="629"/>
      <c r="CIL86" s="629"/>
      <c r="CIM86" s="629"/>
      <c r="CIN86" s="629"/>
      <c r="CIO86" s="629"/>
      <c r="CIP86" s="629"/>
      <c r="CIQ86" s="629"/>
      <c r="CIR86" s="629"/>
      <c r="CIS86" s="629"/>
      <c r="CIT86" s="629"/>
      <c r="CIU86" s="629"/>
      <c r="CIV86" s="629"/>
      <c r="CIW86" s="629"/>
      <c r="CIX86" s="629"/>
      <c r="CIY86" s="629"/>
      <c r="CIZ86" s="629"/>
      <c r="CJA86" s="629"/>
      <c r="CJB86" s="629"/>
      <c r="CJC86" s="629"/>
      <c r="CJD86" s="629"/>
      <c r="CJE86" s="629"/>
      <c r="CJF86" s="629"/>
      <c r="CJG86" s="629"/>
      <c r="CJH86" s="629"/>
      <c r="CJI86" s="629"/>
      <c r="CJJ86" s="629"/>
      <c r="CJK86" s="629"/>
      <c r="CJL86" s="629"/>
      <c r="CJM86" s="629"/>
      <c r="CJN86" s="629"/>
      <c r="CJO86" s="629"/>
      <c r="CJP86" s="629"/>
      <c r="CJQ86" s="629"/>
      <c r="CJR86" s="629"/>
      <c r="CJS86" s="629"/>
      <c r="CJT86" s="629"/>
      <c r="CJU86" s="629"/>
      <c r="CJV86" s="629"/>
      <c r="CJW86" s="629"/>
      <c r="CJX86" s="629"/>
      <c r="CJY86" s="629"/>
      <c r="CJZ86" s="629"/>
      <c r="CKA86" s="629"/>
      <c r="CKB86" s="629"/>
      <c r="CKC86" s="629"/>
      <c r="CKD86" s="629"/>
      <c r="CKE86" s="629"/>
      <c r="CKF86" s="629"/>
      <c r="CKG86" s="629"/>
      <c r="CKH86" s="629"/>
      <c r="CKI86" s="629"/>
      <c r="CKJ86" s="629"/>
      <c r="CKK86" s="629"/>
      <c r="CKL86" s="629"/>
      <c r="CKM86" s="629"/>
      <c r="CKN86" s="629"/>
      <c r="CKO86" s="629"/>
      <c r="CKP86" s="629"/>
      <c r="CKQ86" s="629"/>
      <c r="CKR86" s="629"/>
      <c r="CKS86" s="629"/>
      <c r="CKT86" s="629"/>
      <c r="CKU86" s="629"/>
      <c r="CKV86" s="629"/>
      <c r="CKW86" s="629"/>
      <c r="CKX86" s="629"/>
      <c r="CKY86" s="629"/>
      <c r="CKZ86" s="629"/>
      <c r="CLA86" s="629"/>
      <c r="CLB86" s="629"/>
      <c r="CLC86" s="629"/>
      <c r="CLD86" s="629"/>
      <c r="CLE86" s="629"/>
      <c r="CLF86" s="629"/>
      <c r="CLG86" s="629"/>
      <c r="CLH86" s="629"/>
      <c r="CLI86" s="629"/>
      <c r="CLJ86" s="629"/>
      <c r="CLK86" s="629"/>
      <c r="CLL86" s="629"/>
      <c r="CLM86" s="629"/>
      <c r="CLN86" s="629"/>
      <c r="CLO86" s="629"/>
      <c r="CLP86" s="629"/>
      <c r="CLQ86" s="629"/>
      <c r="CLR86" s="629"/>
      <c r="CLS86" s="629"/>
      <c r="CLT86" s="629"/>
      <c r="CLU86" s="629"/>
      <c r="CLV86" s="629"/>
      <c r="CLW86" s="629"/>
      <c r="CLX86" s="629"/>
      <c r="CLY86" s="629"/>
      <c r="CLZ86" s="629"/>
      <c r="CMA86" s="629"/>
      <c r="CMB86" s="629"/>
      <c r="CMC86" s="629"/>
      <c r="CMD86" s="629"/>
      <c r="CME86" s="629"/>
      <c r="CMF86" s="629"/>
      <c r="CMG86" s="629"/>
      <c r="CMH86" s="629"/>
      <c r="CMI86" s="629"/>
      <c r="CMJ86" s="629"/>
      <c r="CMK86" s="629"/>
      <c r="CML86" s="629"/>
      <c r="CMM86" s="629"/>
      <c r="CMN86" s="629"/>
      <c r="CMO86" s="629"/>
      <c r="CMP86" s="629"/>
      <c r="CMQ86" s="629"/>
      <c r="CMR86" s="629"/>
      <c r="CMS86" s="629"/>
      <c r="CMT86" s="629"/>
      <c r="CMU86" s="629"/>
      <c r="CMV86" s="629"/>
      <c r="CMW86" s="629"/>
      <c r="CMX86" s="629"/>
      <c r="CMY86" s="629"/>
      <c r="CMZ86" s="629"/>
      <c r="CNA86" s="629"/>
      <c r="CNB86" s="629"/>
      <c r="CNC86" s="629"/>
      <c r="CND86" s="629"/>
      <c r="CNE86" s="629"/>
      <c r="CNF86" s="629"/>
      <c r="CNG86" s="629"/>
      <c r="CNH86" s="629"/>
      <c r="CNI86" s="629"/>
      <c r="CNJ86" s="629"/>
      <c r="CNK86" s="629"/>
      <c r="CNL86" s="629"/>
      <c r="CNM86" s="629"/>
      <c r="CNN86" s="629"/>
      <c r="CNO86" s="629"/>
      <c r="CNP86" s="629"/>
      <c r="CNQ86" s="629"/>
      <c r="CNR86" s="629"/>
      <c r="CNS86" s="629"/>
      <c r="CNT86" s="629"/>
      <c r="CNU86" s="629"/>
      <c r="CNV86" s="629"/>
      <c r="CNW86" s="629"/>
      <c r="CNX86" s="629"/>
      <c r="CNY86" s="629"/>
      <c r="CNZ86" s="629"/>
      <c r="COA86" s="629"/>
      <c r="COB86" s="629"/>
      <c r="COC86" s="629"/>
      <c r="COD86" s="629"/>
      <c r="COE86" s="629"/>
      <c r="COF86" s="629"/>
      <c r="COG86" s="629"/>
      <c r="COH86" s="629"/>
      <c r="COI86" s="629"/>
      <c r="COJ86" s="629"/>
      <c r="COK86" s="629"/>
      <c r="COL86" s="629"/>
      <c r="COM86" s="629"/>
      <c r="CON86" s="629"/>
      <c r="COO86" s="629"/>
      <c r="COP86" s="629"/>
      <c r="COQ86" s="629"/>
      <c r="COR86" s="629"/>
      <c r="COS86" s="629"/>
      <c r="COT86" s="629"/>
      <c r="COU86" s="629"/>
      <c r="COV86" s="629"/>
      <c r="COW86" s="629"/>
      <c r="COX86" s="629"/>
      <c r="COY86" s="629"/>
      <c r="COZ86" s="629"/>
      <c r="CPA86" s="629"/>
      <c r="CPB86" s="629"/>
      <c r="CPC86" s="629"/>
      <c r="CPD86" s="629"/>
      <c r="CPE86" s="629"/>
      <c r="CPF86" s="629"/>
      <c r="CPG86" s="629"/>
      <c r="CPH86" s="629"/>
      <c r="CPI86" s="629"/>
      <c r="CPJ86" s="629"/>
      <c r="CPK86" s="629"/>
      <c r="CPL86" s="629"/>
      <c r="CPM86" s="629"/>
      <c r="CPN86" s="629"/>
      <c r="CPO86" s="629"/>
      <c r="CPP86" s="629"/>
      <c r="CPQ86" s="629"/>
      <c r="CPR86" s="629"/>
      <c r="CPS86" s="629"/>
      <c r="CPT86" s="629"/>
      <c r="CPU86" s="629"/>
      <c r="CPV86" s="629"/>
      <c r="CPW86" s="629"/>
      <c r="CPX86" s="629"/>
      <c r="CPY86" s="629"/>
      <c r="CPZ86" s="629"/>
      <c r="CQA86" s="629"/>
      <c r="CQB86" s="629"/>
      <c r="CQC86" s="629"/>
      <c r="CQD86" s="629"/>
      <c r="CQE86" s="629"/>
      <c r="CQF86" s="629"/>
      <c r="CQG86" s="629"/>
      <c r="CQH86" s="629"/>
      <c r="CQI86" s="629"/>
      <c r="CQJ86" s="629"/>
      <c r="CQK86" s="629"/>
      <c r="CQL86" s="629"/>
      <c r="CQM86" s="629"/>
      <c r="CQN86" s="629"/>
      <c r="CQO86" s="629"/>
      <c r="CQP86" s="629"/>
      <c r="CQQ86" s="629"/>
      <c r="CQR86" s="629"/>
      <c r="CQS86" s="629"/>
      <c r="CQT86" s="629"/>
      <c r="CQU86" s="629"/>
      <c r="CQV86" s="629"/>
      <c r="CQW86" s="629"/>
      <c r="CQX86" s="629"/>
      <c r="CQY86" s="629"/>
      <c r="CQZ86" s="629"/>
      <c r="CRA86" s="629"/>
      <c r="CRB86" s="629"/>
      <c r="CRC86" s="629"/>
      <c r="CRD86" s="629"/>
      <c r="CRE86" s="629"/>
      <c r="CRF86" s="629"/>
      <c r="CRG86" s="629"/>
      <c r="CRH86" s="629"/>
      <c r="CRI86" s="629"/>
      <c r="CRJ86" s="629"/>
      <c r="CRK86" s="629"/>
      <c r="CRL86" s="629"/>
      <c r="CRM86" s="629"/>
      <c r="CRN86" s="629"/>
      <c r="CRO86" s="629"/>
      <c r="CRP86" s="629"/>
      <c r="CRQ86" s="629"/>
      <c r="CRR86" s="629"/>
      <c r="CRS86" s="629"/>
      <c r="CRT86" s="629"/>
      <c r="CRU86" s="629"/>
      <c r="CRV86" s="629"/>
      <c r="CRW86" s="629"/>
      <c r="CRX86" s="629"/>
      <c r="CRY86" s="629"/>
      <c r="CRZ86" s="629"/>
      <c r="CSA86" s="629"/>
      <c r="CSB86" s="629"/>
      <c r="CSC86" s="629"/>
      <c r="CSD86" s="629"/>
      <c r="CSE86" s="629"/>
      <c r="CSF86" s="629"/>
      <c r="CSG86" s="629"/>
      <c r="CSH86" s="629"/>
      <c r="CSI86" s="629"/>
      <c r="CSJ86" s="629"/>
      <c r="CSK86" s="629"/>
      <c r="CSL86" s="629"/>
      <c r="CSM86" s="629"/>
      <c r="CSN86" s="629"/>
      <c r="CSO86" s="629"/>
      <c r="CSP86" s="629"/>
      <c r="CSQ86" s="629"/>
      <c r="CSR86" s="629"/>
      <c r="CSS86" s="629"/>
      <c r="CST86" s="629"/>
      <c r="CSU86" s="629"/>
      <c r="CSV86" s="629"/>
      <c r="CSW86" s="629"/>
      <c r="CSX86" s="629"/>
      <c r="CSY86" s="629"/>
      <c r="CSZ86" s="629"/>
      <c r="CTA86" s="629"/>
      <c r="CTB86" s="629"/>
      <c r="CTC86" s="629"/>
      <c r="CTD86" s="629"/>
      <c r="CTE86" s="629"/>
      <c r="CTF86" s="629"/>
      <c r="CTG86" s="629"/>
      <c r="CTH86" s="629"/>
      <c r="CTI86" s="629"/>
      <c r="CTJ86" s="629"/>
      <c r="CTK86" s="629"/>
      <c r="CTL86" s="629"/>
      <c r="CTM86" s="629"/>
      <c r="CTN86" s="629"/>
      <c r="CTO86" s="629"/>
      <c r="CTP86" s="629"/>
      <c r="CTQ86" s="629"/>
      <c r="CTR86" s="629"/>
      <c r="CTS86" s="629"/>
      <c r="CTT86" s="629"/>
      <c r="CTU86" s="629"/>
      <c r="CTV86" s="629"/>
      <c r="CTW86" s="629"/>
      <c r="CTX86" s="629"/>
      <c r="CTY86" s="629"/>
      <c r="CTZ86" s="629"/>
      <c r="CUA86" s="629"/>
      <c r="CUB86" s="629"/>
      <c r="CUC86" s="629"/>
      <c r="CUD86" s="629"/>
      <c r="CUE86" s="629"/>
      <c r="CUF86" s="629"/>
      <c r="CUG86" s="629"/>
      <c r="CUH86" s="629"/>
      <c r="CUI86" s="629"/>
      <c r="CUJ86" s="629"/>
      <c r="CUK86" s="629"/>
      <c r="CUL86" s="629"/>
      <c r="CUM86" s="629"/>
      <c r="CUN86" s="629"/>
      <c r="CUO86" s="629"/>
      <c r="CUP86" s="629"/>
      <c r="CUQ86" s="629"/>
      <c r="CUR86" s="629"/>
      <c r="CUS86" s="629"/>
      <c r="CUT86" s="629"/>
      <c r="CUU86" s="629"/>
      <c r="CUV86" s="629"/>
      <c r="CUW86" s="629"/>
      <c r="CUX86" s="629"/>
      <c r="CUY86" s="629"/>
      <c r="CUZ86" s="629"/>
      <c r="CVA86" s="629"/>
      <c r="CVB86" s="629"/>
      <c r="CVC86" s="629"/>
      <c r="CVD86" s="629"/>
      <c r="CVE86" s="629"/>
      <c r="CVF86" s="629"/>
      <c r="CVG86" s="629"/>
      <c r="CVH86" s="629"/>
      <c r="CVI86" s="629"/>
      <c r="CVJ86" s="629"/>
      <c r="CVK86" s="629"/>
      <c r="CVL86" s="629"/>
      <c r="CVM86" s="629"/>
      <c r="CVN86" s="629"/>
      <c r="CVO86" s="629"/>
      <c r="CVP86" s="629"/>
      <c r="CVQ86" s="629"/>
      <c r="CVR86" s="629"/>
      <c r="CVS86" s="629"/>
      <c r="CVT86" s="629"/>
      <c r="CVU86" s="629"/>
      <c r="CVV86" s="629"/>
      <c r="CVW86" s="629"/>
      <c r="CVX86" s="629"/>
      <c r="CVY86" s="629"/>
      <c r="CVZ86" s="629"/>
      <c r="CWA86" s="629"/>
      <c r="CWB86" s="629"/>
      <c r="CWC86" s="629"/>
      <c r="CWD86" s="629"/>
      <c r="CWE86" s="629"/>
      <c r="CWF86" s="629"/>
      <c r="CWG86" s="629"/>
      <c r="CWH86" s="629"/>
      <c r="CWI86" s="629"/>
      <c r="CWJ86" s="629"/>
      <c r="CWK86" s="629"/>
      <c r="CWL86" s="629"/>
      <c r="CWM86" s="629"/>
      <c r="CWN86" s="629"/>
      <c r="CWO86" s="629"/>
      <c r="CWP86" s="629"/>
      <c r="CWQ86" s="629"/>
      <c r="CWR86" s="629"/>
      <c r="CWS86" s="629"/>
      <c r="CWT86" s="629"/>
      <c r="CWU86" s="629"/>
      <c r="CWV86" s="629"/>
      <c r="CWW86" s="629"/>
      <c r="CWX86" s="629"/>
      <c r="CWY86" s="629"/>
      <c r="CWZ86" s="629"/>
      <c r="CXA86" s="629"/>
      <c r="CXB86" s="629"/>
      <c r="CXC86" s="629"/>
      <c r="CXD86" s="629"/>
      <c r="CXE86" s="629"/>
      <c r="CXF86" s="629"/>
      <c r="CXG86" s="629"/>
      <c r="CXH86" s="629"/>
      <c r="CXI86" s="629"/>
      <c r="CXJ86" s="629"/>
      <c r="CXK86" s="629"/>
      <c r="CXL86" s="629"/>
      <c r="CXM86" s="629"/>
      <c r="CXN86" s="629"/>
      <c r="CXO86" s="629"/>
      <c r="CXP86" s="629"/>
      <c r="CXQ86" s="629"/>
      <c r="CXR86" s="629"/>
      <c r="CXS86" s="629"/>
      <c r="CXT86" s="629"/>
      <c r="CXU86" s="629"/>
      <c r="CXV86" s="629"/>
      <c r="CXW86" s="629"/>
      <c r="CXX86" s="629"/>
      <c r="CXY86" s="629"/>
      <c r="CXZ86" s="629"/>
      <c r="CYA86" s="629"/>
      <c r="CYB86" s="629"/>
      <c r="CYC86" s="629"/>
      <c r="CYD86" s="629"/>
      <c r="CYE86" s="629"/>
      <c r="CYF86" s="629"/>
      <c r="CYG86" s="629"/>
      <c r="CYH86" s="629"/>
      <c r="CYI86" s="629"/>
      <c r="CYJ86" s="629"/>
      <c r="CYK86" s="629"/>
      <c r="CYL86" s="629"/>
      <c r="CYM86" s="629"/>
      <c r="CYN86" s="629"/>
      <c r="CYO86" s="629"/>
      <c r="CYP86" s="629"/>
      <c r="CYQ86" s="629"/>
      <c r="CYR86" s="629"/>
      <c r="CYS86" s="629"/>
      <c r="CYT86" s="629"/>
      <c r="CYU86" s="629"/>
      <c r="CYV86" s="629"/>
      <c r="CYW86" s="629"/>
      <c r="CYX86" s="629"/>
      <c r="CYY86" s="629"/>
      <c r="CYZ86" s="629"/>
      <c r="CZA86" s="629"/>
      <c r="CZB86" s="629"/>
      <c r="CZC86" s="629"/>
      <c r="CZD86" s="629"/>
      <c r="CZE86" s="629"/>
      <c r="CZF86" s="629"/>
      <c r="CZG86" s="629"/>
      <c r="CZH86" s="629"/>
      <c r="CZI86" s="629"/>
      <c r="CZJ86" s="629"/>
      <c r="CZK86" s="629"/>
      <c r="CZL86" s="629"/>
      <c r="CZM86" s="629"/>
      <c r="CZN86" s="629"/>
      <c r="CZO86" s="629"/>
      <c r="CZP86" s="629"/>
      <c r="CZQ86" s="629"/>
      <c r="CZR86" s="629"/>
      <c r="CZS86" s="629"/>
      <c r="CZT86" s="629"/>
      <c r="CZU86" s="629"/>
      <c r="CZV86" s="629"/>
      <c r="CZW86" s="629"/>
      <c r="CZX86" s="629"/>
      <c r="CZY86" s="629"/>
      <c r="CZZ86" s="629"/>
      <c r="DAA86" s="629"/>
      <c r="DAB86" s="629"/>
      <c r="DAC86" s="629"/>
      <c r="DAD86" s="629"/>
      <c r="DAE86" s="629"/>
      <c r="DAF86" s="629"/>
      <c r="DAG86" s="629"/>
      <c r="DAH86" s="629"/>
      <c r="DAI86" s="629"/>
      <c r="DAJ86" s="629"/>
      <c r="DAK86" s="629"/>
      <c r="DAL86" s="629"/>
      <c r="DAM86" s="629"/>
      <c r="DAN86" s="629"/>
      <c r="DAO86" s="629"/>
      <c r="DAP86" s="629"/>
      <c r="DAQ86" s="629"/>
      <c r="DAR86" s="629"/>
      <c r="DAS86" s="629"/>
      <c r="DAT86" s="629"/>
      <c r="DAU86" s="629"/>
      <c r="DAV86" s="629"/>
      <c r="DAW86" s="629"/>
      <c r="DAX86" s="629"/>
      <c r="DAY86" s="629"/>
      <c r="DAZ86" s="629"/>
      <c r="DBA86" s="629"/>
      <c r="DBB86" s="629"/>
      <c r="DBC86" s="629"/>
      <c r="DBD86" s="629"/>
      <c r="DBE86" s="629"/>
      <c r="DBF86" s="629"/>
      <c r="DBG86" s="629"/>
      <c r="DBH86" s="629"/>
      <c r="DBI86" s="629"/>
      <c r="DBJ86" s="629"/>
      <c r="DBK86" s="629"/>
      <c r="DBL86" s="629"/>
      <c r="DBM86" s="629"/>
      <c r="DBN86" s="629"/>
      <c r="DBO86" s="629"/>
      <c r="DBP86" s="629"/>
      <c r="DBQ86" s="629"/>
      <c r="DBR86" s="629"/>
      <c r="DBS86" s="629"/>
      <c r="DBT86" s="629"/>
      <c r="DBU86" s="629"/>
      <c r="DBV86" s="629"/>
      <c r="DBW86" s="629"/>
      <c r="DBX86" s="629"/>
      <c r="DBY86" s="629"/>
      <c r="DBZ86" s="629"/>
      <c r="DCA86" s="629"/>
      <c r="DCB86" s="629"/>
      <c r="DCC86" s="629"/>
      <c r="DCD86" s="629"/>
      <c r="DCE86" s="629"/>
      <c r="DCF86" s="629"/>
      <c r="DCG86" s="629"/>
      <c r="DCH86" s="629"/>
      <c r="DCI86" s="629"/>
      <c r="DCJ86" s="629"/>
      <c r="DCK86" s="629"/>
      <c r="DCL86" s="629"/>
      <c r="DCM86" s="629"/>
      <c r="DCN86" s="629"/>
      <c r="DCO86" s="629"/>
      <c r="DCP86" s="629"/>
      <c r="DCQ86" s="629"/>
      <c r="DCR86" s="629"/>
      <c r="DCS86" s="629"/>
      <c r="DCT86" s="629"/>
      <c r="DCU86" s="629"/>
      <c r="DCV86" s="629"/>
      <c r="DCW86" s="629"/>
      <c r="DCX86" s="629"/>
      <c r="DCY86" s="629"/>
      <c r="DCZ86" s="629"/>
      <c r="DDA86" s="629"/>
      <c r="DDB86" s="629"/>
      <c r="DDC86" s="629"/>
      <c r="DDD86" s="629"/>
      <c r="DDE86" s="629"/>
      <c r="DDF86" s="629"/>
      <c r="DDG86" s="629"/>
      <c r="DDH86" s="629"/>
      <c r="DDI86" s="629"/>
      <c r="DDJ86" s="629"/>
      <c r="DDK86" s="629"/>
      <c r="DDL86" s="629"/>
      <c r="DDM86" s="629"/>
      <c r="DDN86" s="629"/>
      <c r="DDO86" s="629"/>
      <c r="DDP86" s="629"/>
      <c r="DDQ86" s="629"/>
      <c r="DDR86" s="629"/>
      <c r="DDS86" s="629"/>
      <c r="DDT86" s="629"/>
      <c r="DDU86" s="629"/>
      <c r="DDV86" s="629"/>
      <c r="DDW86" s="629"/>
      <c r="DDX86" s="629"/>
      <c r="DDY86" s="629"/>
      <c r="DDZ86" s="629"/>
      <c r="DEA86" s="629"/>
      <c r="DEB86" s="629"/>
      <c r="DEC86" s="629"/>
      <c r="DED86" s="629"/>
      <c r="DEE86" s="629"/>
      <c r="DEF86" s="629"/>
      <c r="DEG86" s="629"/>
      <c r="DEH86" s="629"/>
      <c r="DEI86" s="629"/>
      <c r="DEJ86" s="629"/>
      <c r="DEK86" s="629"/>
      <c r="DEL86" s="629"/>
      <c r="DEM86" s="629"/>
      <c r="DEN86" s="629"/>
      <c r="DEO86" s="629"/>
      <c r="DEP86" s="629"/>
      <c r="DEQ86" s="629"/>
      <c r="DER86" s="629"/>
      <c r="DES86" s="629"/>
      <c r="DET86" s="629"/>
      <c r="DEU86" s="629"/>
      <c r="DEV86" s="629"/>
      <c r="DEW86" s="629"/>
      <c r="DEX86" s="629"/>
      <c r="DEY86" s="629"/>
      <c r="DEZ86" s="629"/>
      <c r="DFA86" s="629"/>
      <c r="DFB86" s="629"/>
      <c r="DFC86" s="629"/>
      <c r="DFD86" s="629"/>
      <c r="DFE86" s="629"/>
      <c r="DFF86" s="629"/>
      <c r="DFG86" s="629"/>
      <c r="DFH86" s="629"/>
      <c r="DFI86" s="629"/>
      <c r="DFJ86" s="629"/>
      <c r="DFK86" s="629"/>
      <c r="DFL86" s="629"/>
      <c r="DFM86" s="629"/>
      <c r="DFN86" s="629"/>
      <c r="DFO86" s="629"/>
      <c r="DFP86" s="629"/>
      <c r="DFQ86" s="629"/>
      <c r="DFR86" s="629"/>
      <c r="DFS86" s="629"/>
      <c r="DFT86" s="629"/>
      <c r="DFU86" s="629"/>
      <c r="DFV86" s="629"/>
      <c r="DFW86" s="629"/>
      <c r="DFX86" s="629"/>
      <c r="DFY86" s="629"/>
      <c r="DFZ86" s="629"/>
      <c r="DGA86" s="629"/>
      <c r="DGB86" s="629"/>
      <c r="DGC86" s="629"/>
      <c r="DGD86" s="629"/>
      <c r="DGE86" s="629"/>
      <c r="DGF86" s="629"/>
      <c r="DGG86" s="629"/>
      <c r="DGH86" s="629"/>
      <c r="DGI86" s="629"/>
      <c r="DGJ86" s="629"/>
      <c r="DGK86" s="629"/>
      <c r="DGL86" s="629"/>
      <c r="DGM86" s="629"/>
      <c r="DGN86" s="629"/>
      <c r="DGO86" s="629"/>
      <c r="DGP86" s="629"/>
      <c r="DGQ86" s="629"/>
      <c r="DGR86" s="629"/>
      <c r="DGS86" s="629"/>
      <c r="DGT86" s="629"/>
      <c r="DGU86" s="629"/>
      <c r="DGV86" s="629"/>
      <c r="DGW86" s="629"/>
      <c r="DGX86" s="629"/>
      <c r="DGY86" s="629"/>
      <c r="DGZ86" s="629"/>
      <c r="DHA86" s="629"/>
      <c r="DHB86" s="629"/>
      <c r="DHC86" s="629"/>
      <c r="DHD86" s="629"/>
      <c r="DHE86" s="629"/>
      <c r="DHF86" s="629"/>
      <c r="DHG86" s="629"/>
      <c r="DHH86" s="629"/>
      <c r="DHI86" s="629"/>
      <c r="DHJ86" s="629"/>
      <c r="DHK86" s="629"/>
      <c r="DHL86" s="629"/>
      <c r="DHM86" s="629"/>
      <c r="DHN86" s="629"/>
      <c r="DHO86" s="629"/>
      <c r="DHP86" s="629"/>
      <c r="DHQ86" s="629"/>
      <c r="DHR86" s="629"/>
      <c r="DHS86" s="629"/>
      <c r="DHT86" s="629"/>
      <c r="DHU86" s="629"/>
      <c r="DHV86" s="629"/>
      <c r="DHW86" s="629"/>
      <c r="DHX86" s="629"/>
      <c r="DHY86" s="629"/>
      <c r="DHZ86" s="629"/>
      <c r="DIA86" s="629"/>
      <c r="DIB86" s="629"/>
      <c r="DIC86" s="629"/>
      <c r="DID86" s="629"/>
      <c r="DIE86" s="629"/>
      <c r="DIF86" s="629"/>
      <c r="DIG86" s="629"/>
      <c r="DIH86" s="629"/>
      <c r="DII86" s="629"/>
      <c r="DIJ86" s="629"/>
      <c r="DIK86" s="629"/>
      <c r="DIL86" s="629"/>
      <c r="DIM86" s="629"/>
      <c r="DIN86" s="629"/>
      <c r="DIO86" s="629"/>
      <c r="DIP86" s="629"/>
      <c r="DIQ86" s="629"/>
      <c r="DIR86" s="629"/>
      <c r="DIS86" s="629"/>
      <c r="DIT86" s="629"/>
      <c r="DIU86" s="629"/>
      <c r="DIV86" s="629"/>
      <c r="DIW86" s="629"/>
      <c r="DIX86" s="629"/>
      <c r="DIY86" s="629"/>
      <c r="DIZ86" s="629"/>
      <c r="DJA86" s="629"/>
      <c r="DJB86" s="629"/>
      <c r="DJC86" s="629"/>
      <c r="DJD86" s="629"/>
      <c r="DJE86" s="629"/>
      <c r="DJF86" s="629"/>
      <c r="DJG86" s="629"/>
      <c r="DJH86" s="629"/>
      <c r="DJI86" s="629"/>
      <c r="DJJ86" s="629"/>
      <c r="DJK86" s="629"/>
      <c r="DJL86" s="629"/>
      <c r="DJM86" s="629"/>
      <c r="DJN86" s="629"/>
      <c r="DJO86" s="629"/>
      <c r="DJP86" s="629"/>
      <c r="DJQ86" s="629"/>
      <c r="DJR86" s="629"/>
      <c r="DJS86" s="629"/>
      <c r="DJT86" s="629"/>
      <c r="DJU86" s="629"/>
      <c r="DJV86" s="629"/>
      <c r="DJW86" s="629"/>
      <c r="DJX86" s="629"/>
      <c r="DJY86" s="629"/>
      <c r="DJZ86" s="629"/>
      <c r="DKA86" s="629"/>
      <c r="DKB86" s="629"/>
      <c r="DKC86" s="629"/>
      <c r="DKD86" s="629"/>
      <c r="DKE86" s="629"/>
      <c r="DKF86" s="629"/>
      <c r="DKG86" s="629"/>
      <c r="DKH86" s="629"/>
      <c r="DKI86" s="629"/>
      <c r="DKJ86" s="629"/>
      <c r="DKK86" s="629"/>
      <c r="DKL86" s="629"/>
      <c r="DKM86" s="629"/>
      <c r="DKN86" s="629"/>
      <c r="DKO86" s="629"/>
      <c r="DKP86" s="629"/>
      <c r="DKQ86" s="629"/>
      <c r="DKR86" s="629"/>
      <c r="DKS86" s="629"/>
      <c r="DKT86" s="629"/>
      <c r="DKU86" s="629"/>
      <c r="DKV86" s="629"/>
      <c r="DKW86" s="629"/>
      <c r="DKX86" s="629"/>
      <c r="DKY86" s="629"/>
      <c r="DKZ86" s="629"/>
      <c r="DLA86" s="629"/>
      <c r="DLB86" s="629"/>
      <c r="DLC86" s="629"/>
      <c r="DLD86" s="629"/>
      <c r="DLE86" s="629"/>
      <c r="DLF86" s="629"/>
      <c r="DLG86" s="629"/>
      <c r="DLH86" s="629"/>
      <c r="DLI86" s="629"/>
      <c r="DLJ86" s="629"/>
      <c r="DLK86" s="629"/>
      <c r="DLL86" s="629"/>
      <c r="DLM86" s="629"/>
      <c r="DLN86" s="629"/>
      <c r="DLO86" s="629"/>
      <c r="DLP86" s="629"/>
      <c r="DLQ86" s="629"/>
      <c r="DLR86" s="629"/>
      <c r="DLS86" s="629"/>
      <c r="DLT86" s="629"/>
      <c r="DLU86" s="629"/>
      <c r="DLV86" s="629"/>
      <c r="DLW86" s="629"/>
      <c r="DLX86" s="629"/>
      <c r="DLY86" s="629"/>
      <c r="DLZ86" s="629"/>
      <c r="DMA86" s="629"/>
      <c r="DMB86" s="629"/>
      <c r="DMC86" s="629"/>
      <c r="DMD86" s="629"/>
      <c r="DME86" s="629"/>
      <c r="DMF86" s="629"/>
      <c r="DMG86" s="629"/>
      <c r="DMH86" s="629"/>
      <c r="DMI86" s="629"/>
      <c r="DMJ86" s="629"/>
      <c r="DMK86" s="629"/>
      <c r="DML86" s="629"/>
      <c r="DMM86" s="629"/>
      <c r="DMN86" s="629"/>
      <c r="DMO86" s="629"/>
      <c r="DMP86" s="629"/>
      <c r="DMQ86" s="629"/>
      <c r="DMR86" s="629"/>
      <c r="DMS86" s="629"/>
      <c r="DMT86" s="629"/>
      <c r="DMU86" s="629"/>
      <c r="DMV86" s="629"/>
      <c r="DMW86" s="629"/>
      <c r="DMX86" s="629"/>
      <c r="DMY86" s="629"/>
      <c r="DMZ86" s="629"/>
      <c r="DNA86" s="629"/>
      <c r="DNB86" s="629"/>
      <c r="DNC86" s="629"/>
      <c r="DND86" s="629"/>
      <c r="DNE86" s="629"/>
      <c r="DNF86" s="629"/>
      <c r="DNG86" s="629"/>
      <c r="DNH86" s="629"/>
      <c r="DNI86" s="629"/>
      <c r="DNJ86" s="629"/>
      <c r="DNK86" s="629"/>
      <c r="DNL86" s="629"/>
      <c r="DNM86" s="629"/>
      <c r="DNN86" s="629"/>
      <c r="DNO86" s="629"/>
      <c r="DNP86" s="629"/>
      <c r="DNQ86" s="629"/>
      <c r="DNR86" s="629"/>
      <c r="DNS86" s="629"/>
      <c r="DNT86" s="629"/>
      <c r="DNU86" s="629"/>
      <c r="DNV86" s="629"/>
      <c r="DNW86" s="629"/>
      <c r="DNX86" s="629"/>
      <c r="DNY86" s="629"/>
      <c r="DNZ86" s="629"/>
      <c r="DOA86" s="629"/>
      <c r="DOB86" s="629"/>
      <c r="DOC86" s="629"/>
      <c r="DOD86" s="629"/>
      <c r="DOE86" s="629"/>
      <c r="DOF86" s="629"/>
      <c r="DOG86" s="629"/>
      <c r="DOH86" s="629"/>
      <c r="DOI86" s="629"/>
      <c r="DOJ86" s="629"/>
      <c r="DOK86" s="629"/>
      <c r="DOL86" s="629"/>
      <c r="DOM86" s="629"/>
      <c r="DON86" s="629"/>
      <c r="DOO86" s="629"/>
      <c r="DOP86" s="629"/>
      <c r="DOQ86" s="629"/>
      <c r="DOR86" s="629"/>
      <c r="DOS86" s="629"/>
      <c r="DOT86" s="629"/>
      <c r="DOU86" s="629"/>
      <c r="DOV86" s="629"/>
      <c r="DOW86" s="629"/>
      <c r="DOX86" s="629"/>
      <c r="DOY86" s="629"/>
      <c r="DOZ86" s="629"/>
      <c r="DPA86" s="629"/>
      <c r="DPB86" s="629"/>
      <c r="DPC86" s="629"/>
      <c r="DPD86" s="629"/>
      <c r="DPE86" s="629"/>
      <c r="DPF86" s="629"/>
      <c r="DPG86" s="629"/>
      <c r="DPH86" s="629"/>
      <c r="DPI86" s="629"/>
      <c r="DPJ86" s="629"/>
      <c r="DPK86" s="629"/>
      <c r="DPL86" s="629"/>
      <c r="DPM86" s="629"/>
      <c r="DPN86" s="629"/>
      <c r="DPO86" s="629"/>
      <c r="DPP86" s="629"/>
      <c r="DPQ86" s="629"/>
      <c r="DPR86" s="629"/>
      <c r="DPS86" s="629"/>
      <c r="DPT86" s="629"/>
      <c r="DPU86" s="629"/>
      <c r="DPV86" s="629"/>
      <c r="DPW86" s="629"/>
      <c r="DPX86" s="629"/>
      <c r="DPY86" s="629"/>
      <c r="DPZ86" s="629"/>
      <c r="DQA86" s="629"/>
      <c r="DQB86" s="629"/>
      <c r="DQC86" s="629"/>
      <c r="DQD86" s="629"/>
      <c r="DQE86" s="629"/>
      <c r="DQF86" s="629"/>
      <c r="DQG86" s="629"/>
      <c r="DQH86" s="629"/>
      <c r="DQI86" s="629"/>
      <c r="DQJ86" s="629"/>
      <c r="DQK86" s="629"/>
      <c r="DQL86" s="629"/>
      <c r="DQM86" s="629"/>
      <c r="DQN86" s="629"/>
      <c r="DQO86" s="629"/>
      <c r="DQP86" s="629"/>
      <c r="DQQ86" s="629"/>
      <c r="DQR86" s="629"/>
      <c r="DQS86" s="629"/>
      <c r="DQT86" s="629"/>
      <c r="DQU86" s="629"/>
      <c r="DQV86" s="629"/>
      <c r="DQW86" s="629"/>
      <c r="DQX86" s="629"/>
      <c r="DQY86" s="629"/>
      <c r="DQZ86" s="629"/>
      <c r="DRA86" s="629"/>
      <c r="DRB86" s="629"/>
      <c r="DRC86" s="629"/>
      <c r="DRD86" s="629"/>
      <c r="DRE86" s="629"/>
      <c r="DRF86" s="629"/>
      <c r="DRG86" s="629"/>
      <c r="DRH86" s="629"/>
      <c r="DRI86" s="629"/>
      <c r="DRJ86" s="629"/>
      <c r="DRK86" s="629"/>
      <c r="DRL86" s="629"/>
      <c r="DRM86" s="629"/>
      <c r="DRN86" s="629"/>
      <c r="DRO86" s="629"/>
      <c r="DRP86" s="629"/>
      <c r="DRQ86" s="629"/>
      <c r="DRR86" s="629"/>
      <c r="DRS86" s="629"/>
      <c r="DRT86" s="629"/>
      <c r="DRU86" s="629"/>
      <c r="DRV86" s="629"/>
      <c r="DRW86" s="629"/>
      <c r="DRX86" s="629"/>
      <c r="DRY86" s="629"/>
      <c r="DRZ86" s="629"/>
      <c r="DSA86" s="629"/>
      <c r="DSB86" s="629"/>
      <c r="DSC86" s="629"/>
      <c r="DSD86" s="629"/>
      <c r="DSE86" s="629"/>
      <c r="DSF86" s="629"/>
      <c r="DSG86" s="629"/>
      <c r="DSH86" s="629"/>
      <c r="DSI86" s="629"/>
      <c r="DSJ86" s="629"/>
      <c r="DSK86" s="629"/>
      <c r="DSL86" s="629"/>
      <c r="DSM86" s="629"/>
      <c r="DSN86" s="629"/>
      <c r="DSO86" s="629"/>
      <c r="DSP86" s="629"/>
      <c r="DSQ86" s="629"/>
      <c r="DSR86" s="629"/>
      <c r="DSS86" s="629"/>
      <c r="DST86" s="629"/>
      <c r="DSU86" s="629"/>
      <c r="DSV86" s="629"/>
      <c r="DSW86" s="629"/>
      <c r="DSX86" s="629"/>
      <c r="DSY86" s="629"/>
      <c r="DSZ86" s="629"/>
      <c r="DTA86" s="629"/>
      <c r="DTB86" s="629"/>
      <c r="DTC86" s="629"/>
      <c r="DTD86" s="629"/>
      <c r="DTE86" s="629"/>
      <c r="DTF86" s="629"/>
      <c r="DTG86" s="629"/>
      <c r="DTH86" s="629"/>
      <c r="DTI86" s="629"/>
      <c r="DTJ86" s="629"/>
      <c r="DTK86" s="629"/>
      <c r="DTL86" s="629"/>
      <c r="DTM86" s="629"/>
      <c r="DTN86" s="629"/>
      <c r="DTO86" s="629"/>
      <c r="DTP86" s="629"/>
      <c r="DTQ86" s="629"/>
      <c r="DTR86" s="629"/>
      <c r="DTS86" s="629"/>
      <c r="DTT86" s="629"/>
      <c r="DTU86" s="629"/>
      <c r="DTV86" s="629"/>
      <c r="DTW86" s="629"/>
      <c r="DTX86" s="629"/>
      <c r="DTY86" s="629"/>
      <c r="DTZ86" s="629"/>
      <c r="DUA86" s="629"/>
      <c r="DUB86" s="629"/>
      <c r="DUC86" s="629"/>
      <c r="DUD86" s="629"/>
      <c r="DUE86" s="629"/>
      <c r="DUF86" s="629"/>
      <c r="DUG86" s="629"/>
      <c r="DUH86" s="629"/>
      <c r="DUI86" s="629"/>
      <c r="DUJ86" s="629"/>
      <c r="DUK86" s="629"/>
      <c r="DUL86" s="629"/>
      <c r="DUM86" s="629"/>
      <c r="DUN86" s="629"/>
      <c r="DUO86" s="629"/>
      <c r="DUP86" s="629"/>
      <c r="DUQ86" s="629"/>
      <c r="DUR86" s="629"/>
      <c r="DUS86" s="629"/>
      <c r="DUT86" s="629"/>
      <c r="DUU86" s="629"/>
      <c r="DUV86" s="629"/>
      <c r="DUW86" s="629"/>
      <c r="DUX86" s="629"/>
      <c r="DUY86" s="629"/>
      <c r="DUZ86" s="629"/>
      <c r="DVA86" s="629"/>
      <c r="DVB86" s="629"/>
      <c r="DVC86" s="629"/>
      <c r="DVD86" s="629"/>
      <c r="DVE86" s="629"/>
      <c r="DVF86" s="629"/>
      <c r="DVG86" s="629"/>
      <c r="DVH86" s="629"/>
      <c r="DVI86" s="629"/>
      <c r="DVJ86" s="629"/>
      <c r="DVK86" s="629"/>
      <c r="DVL86" s="629"/>
      <c r="DVM86" s="629"/>
      <c r="DVN86" s="629"/>
      <c r="DVO86" s="629"/>
      <c r="DVP86" s="629"/>
      <c r="DVQ86" s="629"/>
      <c r="DVR86" s="629"/>
      <c r="DVS86" s="629"/>
      <c r="DVT86" s="629"/>
      <c r="DVU86" s="629"/>
      <c r="DVV86" s="629"/>
      <c r="DVW86" s="629"/>
      <c r="DVX86" s="629"/>
      <c r="DVY86" s="629"/>
      <c r="DVZ86" s="629"/>
      <c r="DWA86" s="629"/>
      <c r="DWB86" s="629"/>
      <c r="DWC86" s="629"/>
      <c r="DWD86" s="629"/>
      <c r="DWE86" s="629"/>
      <c r="DWF86" s="629"/>
      <c r="DWG86" s="629"/>
      <c r="DWH86" s="629"/>
      <c r="DWI86" s="629"/>
      <c r="DWJ86" s="629"/>
      <c r="DWK86" s="629"/>
      <c r="DWL86" s="629"/>
      <c r="DWM86" s="629"/>
      <c r="DWN86" s="629"/>
      <c r="DWO86" s="629"/>
      <c r="DWP86" s="629"/>
      <c r="DWQ86" s="629"/>
      <c r="DWR86" s="629"/>
      <c r="DWS86" s="629"/>
      <c r="DWT86" s="629"/>
      <c r="DWU86" s="629"/>
      <c r="DWV86" s="629"/>
      <c r="DWW86" s="629"/>
      <c r="DWX86" s="629"/>
      <c r="DWY86" s="629"/>
      <c r="DWZ86" s="629"/>
      <c r="DXA86" s="629"/>
      <c r="DXB86" s="629"/>
      <c r="DXC86" s="629"/>
      <c r="DXD86" s="629"/>
      <c r="DXE86" s="629"/>
      <c r="DXF86" s="629"/>
      <c r="DXG86" s="629"/>
      <c r="DXH86" s="629"/>
      <c r="DXI86" s="629"/>
      <c r="DXJ86" s="629"/>
      <c r="DXK86" s="629"/>
      <c r="DXL86" s="629"/>
      <c r="DXM86" s="629"/>
      <c r="DXN86" s="629"/>
      <c r="DXO86" s="629"/>
      <c r="DXP86" s="629"/>
      <c r="DXQ86" s="629"/>
      <c r="DXR86" s="629"/>
      <c r="DXS86" s="629"/>
      <c r="DXT86" s="629"/>
      <c r="DXU86" s="629"/>
      <c r="DXV86" s="629"/>
      <c r="DXW86" s="629"/>
      <c r="DXX86" s="629"/>
      <c r="DXY86" s="629"/>
      <c r="DXZ86" s="629"/>
      <c r="DYA86" s="629"/>
      <c r="DYB86" s="629"/>
      <c r="DYC86" s="629"/>
      <c r="DYD86" s="629"/>
      <c r="DYE86" s="629"/>
      <c r="DYF86" s="629"/>
      <c r="DYG86" s="629"/>
      <c r="DYH86" s="629"/>
      <c r="DYI86" s="629"/>
      <c r="DYJ86" s="629"/>
      <c r="DYK86" s="629"/>
      <c r="DYL86" s="629"/>
      <c r="DYM86" s="629"/>
      <c r="DYN86" s="629"/>
      <c r="DYO86" s="629"/>
      <c r="DYP86" s="629"/>
      <c r="DYQ86" s="629"/>
      <c r="DYR86" s="629"/>
      <c r="DYS86" s="629"/>
      <c r="DYT86" s="629"/>
      <c r="DYU86" s="629"/>
      <c r="DYV86" s="629"/>
      <c r="DYW86" s="629"/>
      <c r="DYX86" s="629"/>
      <c r="DYY86" s="629"/>
      <c r="DYZ86" s="629"/>
      <c r="DZA86" s="629"/>
      <c r="DZB86" s="629"/>
      <c r="DZC86" s="629"/>
      <c r="DZD86" s="629"/>
      <c r="DZE86" s="629"/>
      <c r="DZF86" s="629"/>
      <c r="DZG86" s="629"/>
      <c r="DZH86" s="629"/>
      <c r="DZI86" s="629"/>
      <c r="DZJ86" s="629"/>
      <c r="DZK86" s="629"/>
      <c r="DZL86" s="629"/>
      <c r="DZM86" s="629"/>
      <c r="DZN86" s="629"/>
      <c r="DZO86" s="629"/>
      <c r="DZP86" s="629"/>
      <c r="DZQ86" s="629"/>
      <c r="DZR86" s="629"/>
      <c r="DZS86" s="629"/>
      <c r="DZT86" s="629"/>
      <c r="DZU86" s="629"/>
      <c r="DZV86" s="629"/>
      <c r="DZW86" s="629"/>
      <c r="DZX86" s="629"/>
      <c r="DZY86" s="629"/>
      <c r="DZZ86" s="629"/>
      <c r="EAA86" s="629"/>
      <c r="EAB86" s="629"/>
      <c r="EAC86" s="629"/>
      <c r="EAD86" s="629"/>
      <c r="EAE86" s="629"/>
      <c r="EAF86" s="629"/>
      <c r="EAG86" s="629"/>
      <c r="EAH86" s="629"/>
      <c r="EAI86" s="629"/>
      <c r="EAJ86" s="629"/>
      <c r="EAK86" s="629"/>
      <c r="EAL86" s="629"/>
      <c r="EAM86" s="629"/>
      <c r="EAN86" s="629"/>
      <c r="EAO86" s="629"/>
      <c r="EAP86" s="629"/>
      <c r="EAQ86" s="629"/>
      <c r="EAR86" s="629"/>
      <c r="EAS86" s="629"/>
      <c r="EAT86" s="629"/>
      <c r="EAU86" s="629"/>
      <c r="EAV86" s="629"/>
      <c r="EAW86" s="629"/>
      <c r="EAX86" s="629"/>
      <c r="EAY86" s="629"/>
      <c r="EAZ86" s="629"/>
      <c r="EBA86" s="629"/>
      <c r="EBB86" s="629"/>
      <c r="EBC86" s="629"/>
      <c r="EBD86" s="629"/>
      <c r="EBE86" s="629"/>
      <c r="EBF86" s="629"/>
      <c r="EBG86" s="629"/>
      <c r="EBH86" s="629"/>
      <c r="EBI86" s="629"/>
      <c r="EBJ86" s="629"/>
      <c r="EBK86" s="629"/>
      <c r="EBL86" s="629"/>
      <c r="EBM86" s="629"/>
      <c r="EBN86" s="629"/>
      <c r="EBO86" s="629"/>
      <c r="EBP86" s="629"/>
      <c r="EBQ86" s="629"/>
      <c r="EBR86" s="629"/>
      <c r="EBS86" s="629"/>
      <c r="EBT86" s="629"/>
      <c r="EBU86" s="629"/>
      <c r="EBV86" s="629"/>
      <c r="EBW86" s="629"/>
      <c r="EBX86" s="629"/>
      <c r="EBY86" s="629"/>
      <c r="EBZ86" s="629"/>
      <c r="ECA86" s="629"/>
      <c r="ECB86" s="629"/>
      <c r="ECC86" s="629"/>
      <c r="ECD86" s="629"/>
      <c r="ECE86" s="629"/>
      <c r="ECF86" s="629"/>
      <c r="ECG86" s="629"/>
      <c r="ECH86" s="629"/>
      <c r="ECI86" s="629"/>
      <c r="ECJ86" s="629"/>
      <c r="ECK86" s="629"/>
      <c r="ECL86" s="629"/>
      <c r="ECM86" s="629"/>
      <c r="ECN86" s="629"/>
      <c r="ECO86" s="629"/>
      <c r="ECP86" s="629"/>
      <c r="ECQ86" s="629"/>
      <c r="ECR86" s="629"/>
      <c r="ECS86" s="629"/>
      <c r="ECT86" s="629"/>
      <c r="ECU86" s="629"/>
      <c r="ECV86" s="629"/>
      <c r="ECW86" s="629"/>
      <c r="ECX86" s="629"/>
      <c r="ECY86" s="629"/>
      <c r="ECZ86" s="629"/>
      <c r="EDA86" s="629"/>
      <c r="EDB86" s="629"/>
      <c r="EDC86" s="629"/>
      <c r="EDD86" s="629"/>
      <c r="EDE86" s="629"/>
      <c r="EDF86" s="629"/>
      <c r="EDG86" s="629"/>
      <c r="EDH86" s="629"/>
      <c r="EDI86" s="629"/>
      <c r="EDJ86" s="629"/>
      <c r="EDK86" s="629"/>
      <c r="EDL86" s="629"/>
      <c r="EDM86" s="629"/>
      <c r="EDN86" s="629"/>
      <c r="EDO86" s="629"/>
      <c r="EDP86" s="629"/>
      <c r="EDQ86" s="629"/>
      <c r="EDR86" s="629"/>
      <c r="EDS86" s="629"/>
      <c r="EDT86" s="629"/>
      <c r="EDU86" s="629"/>
      <c r="EDV86" s="629"/>
      <c r="EDW86" s="629"/>
      <c r="EDX86" s="629"/>
      <c r="EDY86" s="629"/>
      <c r="EDZ86" s="629"/>
      <c r="EEA86" s="629"/>
      <c r="EEB86" s="629"/>
      <c r="EEC86" s="629"/>
      <c r="EED86" s="629"/>
      <c r="EEE86" s="629"/>
      <c r="EEF86" s="629"/>
      <c r="EEG86" s="629"/>
      <c r="EEH86" s="629"/>
      <c r="EEI86" s="629"/>
      <c r="EEJ86" s="629"/>
      <c r="EEK86" s="629"/>
      <c r="EEL86" s="629"/>
      <c r="EEM86" s="629"/>
      <c r="EEN86" s="629"/>
      <c r="EEO86" s="629"/>
      <c r="EEP86" s="629"/>
      <c r="EEQ86" s="629"/>
      <c r="EER86" s="629"/>
      <c r="EES86" s="629"/>
      <c r="EET86" s="629"/>
      <c r="EEU86" s="629"/>
      <c r="EEV86" s="629"/>
      <c r="EEW86" s="629"/>
      <c r="EEX86" s="629"/>
      <c r="EEY86" s="629"/>
      <c r="EEZ86" s="629"/>
      <c r="EFA86" s="629"/>
      <c r="EFB86" s="629"/>
      <c r="EFC86" s="629"/>
      <c r="EFD86" s="629"/>
      <c r="EFE86" s="629"/>
      <c r="EFF86" s="629"/>
      <c r="EFG86" s="629"/>
      <c r="EFH86" s="629"/>
      <c r="EFI86" s="629"/>
      <c r="EFJ86" s="629"/>
      <c r="EFK86" s="629"/>
      <c r="EFL86" s="629"/>
      <c r="EFM86" s="629"/>
      <c r="EFN86" s="629"/>
      <c r="EFO86" s="629"/>
      <c r="EFP86" s="629"/>
      <c r="EFQ86" s="629"/>
      <c r="EFR86" s="629"/>
      <c r="EFS86" s="629"/>
      <c r="EFT86" s="629"/>
      <c r="EFU86" s="629"/>
      <c r="EFV86" s="629"/>
      <c r="EFW86" s="629"/>
      <c r="EFX86" s="629"/>
      <c r="EFY86" s="629"/>
      <c r="EFZ86" s="629"/>
      <c r="EGA86" s="629"/>
      <c r="EGB86" s="629"/>
      <c r="EGC86" s="629"/>
      <c r="EGD86" s="629"/>
      <c r="EGE86" s="629"/>
      <c r="EGF86" s="629"/>
      <c r="EGG86" s="629"/>
      <c r="EGH86" s="629"/>
      <c r="EGI86" s="629"/>
      <c r="EGJ86" s="629"/>
      <c r="EGK86" s="629"/>
      <c r="EGL86" s="629"/>
      <c r="EGM86" s="629"/>
      <c r="EGN86" s="629"/>
      <c r="EGO86" s="629"/>
      <c r="EGP86" s="629"/>
      <c r="EGQ86" s="629"/>
      <c r="EGR86" s="629"/>
      <c r="EGS86" s="629"/>
      <c r="EGT86" s="629"/>
      <c r="EGU86" s="629"/>
      <c r="EGV86" s="629"/>
      <c r="EGW86" s="629"/>
      <c r="EGX86" s="629"/>
      <c r="EGY86" s="629"/>
      <c r="EGZ86" s="629"/>
      <c r="EHA86" s="629"/>
      <c r="EHB86" s="629"/>
      <c r="EHC86" s="629"/>
      <c r="EHD86" s="629"/>
      <c r="EHE86" s="629"/>
      <c r="EHF86" s="629"/>
      <c r="EHG86" s="629"/>
      <c r="EHH86" s="629"/>
      <c r="EHI86" s="629"/>
      <c r="EHJ86" s="629"/>
      <c r="EHK86" s="629"/>
      <c r="EHL86" s="629"/>
      <c r="EHM86" s="629"/>
      <c r="EHN86" s="629"/>
      <c r="EHO86" s="629"/>
      <c r="EHP86" s="629"/>
      <c r="EHQ86" s="629"/>
      <c r="EHR86" s="629"/>
      <c r="EHS86" s="629"/>
      <c r="EHT86" s="629"/>
      <c r="EHU86" s="629"/>
      <c r="EHV86" s="629"/>
      <c r="EHW86" s="629"/>
      <c r="EHX86" s="629"/>
      <c r="EHY86" s="629"/>
      <c r="EHZ86" s="629"/>
      <c r="EIA86" s="629"/>
      <c r="EIB86" s="629"/>
      <c r="EIC86" s="629"/>
      <c r="EID86" s="629"/>
      <c r="EIE86" s="629"/>
      <c r="EIF86" s="629"/>
      <c r="EIG86" s="629"/>
      <c r="EIH86" s="629"/>
      <c r="EII86" s="629"/>
      <c r="EIJ86" s="629"/>
      <c r="EIK86" s="629"/>
      <c r="EIL86" s="629"/>
      <c r="EIM86" s="629"/>
      <c r="EIN86" s="629"/>
      <c r="EIO86" s="629"/>
      <c r="EIP86" s="629"/>
      <c r="EIQ86" s="629"/>
      <c r="EIR86" s="629"/>
      <c r="EIS86" s="629"/>
      <c r="EIT86" s="629"/>
      <c r="EIU86" s="629"/>
      <c r="EIV86" s="629"/>
      <c r="EIW86" s="629"/>
      <c r="EIX86" s="629"/>
      <c r="EIY86" s="629"/>
      <c r="EIZ86" s="629"/>
      <c r="EJA86" s="629"/>
      <c r="EJB86" s="629"/>
      <c r="EJC86" s="629"/>
      <c r="EJD86" s="629"/>
      <c r="EJE86" s="629"/>
      <c r="EJF86" s="629"/>
      <c r="EJG86" s="629"/>
      <c r="EJH86" s="629"/>
      <c r="EJI86" s="629"/>
      <c r="EJJ86" s="629"/>
      <c r="EJK86" s="629"/>
      <c r="EJL86" s="629"/>
      <c r="EJM86" s="629"/>
      <c r="EJN86" s="629"/>
      <c r="EJO86" s="629"/>
      <c r="EJP86" s="629"/>
      <c r="EJQ86" s="629"/>
      <c r="EJR86" s="629"/>
      <c r="EJS86" s="629"/>
      <c r="EJT86" s="629"/>
      <c r="EJU86" s="629"/>
      <c r="EJV86" s="629"/>
      <c r="EJW86" s="629"/>
      <c r="EJX86" s="629"/>
      <c r="EJY86" s="629"/>
      <c r="EJZ86" s="629"/>
      <c r="EKA86" s="629"/>
      <c r="EKB86" s="629"/>
      <c r="EKC86" s="629"/>
      <c r="EKD86" s="629"/>
      <c r="EKE86" s="629"/>
      <c r="EKF86" s="629"/>
      <c r="EKG86" s="629"/>
      <c r="EKH86" s="629"/>
      <c r="EKI86" s="629"/>
      <c r="EKJ86" s="629"/>
      <c r="EKK86" s="629"/>
      <c r="EKL86" s="629"/>
      <c r="EKM86" s="629"/>
      <c r="EKN86" s="629"/>
      <c r="EKO86" s="629"/>
      <c r="EKP86" s="629"/>
      <c r="EKQ86" s="629"/>
      <c r="EKR86" s="629"/>
      <c r="EKS86" s="629"/>
      <c r="EKT86" s="629"/>
      <c r="EKU86" s="629"/>
      <c r="EKV86" s="629"/>
      <c r="EKW86" s="629"/>
      <c r="EKX86" s="629"/>
      <c r="EKY86" s="629"/>
      <c r="EKZ86" s="629"/>
      <c r="ELA86" s="629"/>
      <c r="ELB86" s="629"/>
      <c r="ELC86" s="629"/>
      <c r="ELD86" s="629"/>
      <c r="ELE86" s="629"/>
      <c r="ELF86" s="629"/>
      <c r="ELG86" s="629"/>
      <c r="ELH86" s="629"/>
      <c r="ELI86" s="629"/>
      <c r="ELJ86" s="629"/>
      <c r="ELK86" s="629"/>
      <c r="ELL86" s="629"/>
      <c r="ELM86" s="629"/>
      <c r="ELN86" s="629"/>
      <c r="ELO86" s="629"/>
      <c r="ELP86" s="629"/>
      <c r="ELQ86" s="629"/>
      <c r="ELR86" s="629"/>
      <c r="ELS86" s="629"/>
      <c r="ELT86" s="629"/>
      <c r="ELU86" s="629"/>
      <c r="ELV86" s="629"/>
      <c r="ELW86" s="629"/>
      <c r="ELX86" s="629"/>
      <c r="ELY86" s="629"/>
      <c r="ELZ86" s="629"/>
      <c r="EMA86" s="629"/>
      <c r="EMB86" s="629"/>
      <c r="EMC86" s="629"/>
      <c r="EMD86" s="629"/>
      <c r="EME86" s="629"/>
      <c r="EMF86" s="629"/>
      <c r="EMG86" s="629"/>
      <c r="EMH86" s="629"/>
      <c r="EMI86" s="629"/>
      <c r="EMJ86" s="629"/>
      <c r="EMK86" s="629"/>
      <c r="EML86" s="629"/>
      <c r="EMM86" s="629"/>
      <c r="EMN86" s="629"/>
      <c r="EMO86" s="629"/>
      <c r="EMP86" s="629"/>
      <c r="EMQ86" s="629"/>
      <c r="EMR86" s="629"/>
      <c r="EMS86" s="629"/>
      <c r="EMT86" s="629"/>
      <c r="EMU86" s="629"/>
      <c r="EMV86" s="629"/>
      <c r="EMW86" s="629"/>
      <c r="EMX86" s="629"/>
      <c r="EMY86" s="629"/>
      <c r="EMZ86" s="629"/>
      <c r="ENA86" s="629"/>
      <c r="ENB86" s="629"/>
      <c r="ENC86" s="629"/>
      <c r="END86" s="629"/>
      <c r="ENE86" s="629"/>
      <c r="ENF86" s="629"/>
      <c r="ENG86" s="629"/>
      <c r="ENH86" s="629"/>
      <c r="ENI86" s="629"/>
      <c r="ENJ86" s="629"/>
      <c r="ENK86" s="629"/>
      <c r="ENL86" s="629"/>
      <c r="ENM86" s="629"/>
      <c r="ENN86" s="629"/>
      <c r="ENO86" s="629"/>
      <c r="ENP86" s="629"/>
      <c r="ENQ86" s="629"/>
      <c r="ENR86" s="629"/>
      <c r="ENS86" s="629"/>
      <c r="ENT86" s="629"/>
      <c r="ENU86" s="629"/>
      <c r="ENV86" s="629"/>
      <c r="ENW86" s="629"/>
      <c r="ENX86" s="629"/>
      <c r="ENY86" s="629"/>
      <c r="ENZ86" s="629"/>
      <c r="EOA86" s="629"/>
      <c r="EOB86" s="629"/>
      <c r="EOC86" s="629"/>
      <c r="EOD86" s="629"/>
      <c r="EOE86" s="629"/>
      <c r="EOF86" s="629"/>
      <c r="EOG86" s="629"/>
      <c r="EOH86" s="629"/>
      <c r="EOI86" s="629"/>
      <c r="EOJ86" s="629"/>
      <c r="EOK86" s="629"/>
      <c r="EOL86" s="629"/>
      <c r="EOM86" s="629"/>
      <c r="EON86" s="629"/>
      <c r="EOO86" s="629"/>
      <c r="EOP86" s="629"/>
      <c r="EOQ86" s="629"/>
      <c r="EOR86" s="629"/>
      <c r="EOS86" s="629"/>
      <c r="EOT86" s="629"/>
      <c r="EOU86" s="629"/>
      <c r="EOV86" s="629"/>
      <c r="EOW86" s="629"/>
      <c r="EOX86" s="629"/>
      <c r="EOY86" s="629"/>
      <c r="EOZ86" s="629"/>
      <c r="EPA86" s="629"/>
      <c r="EPB86" s="629"/>
      <c r="EPC86" s="629"/>
      <c r="EPD86" s="629"/>
      <c r="EPE86" s="629"/>
      <c r="EPF86" s="629"/>
      <c r="EPG86" s="629"/>
      <c r="EPH86" s="629"/>
      <c r="EPI86" s="629"/>
      <c r="EPJ86" s="629"/>
      <c r="EPK86" s="629"/>
      <c r="EPL86" s="629"/>
      <c r="EPM86" s="629"/>
      <c r="EPN86" s="629"/>
      <c r="EPO86" s="629"/>
      <c r="EPP86" s="629"/>
      <c r="EPQ86" s="629"/>
      <c r="EPR86" s="629"/>
      <c r="EPS86" s="629"/>
      <c r="EPT86" s="629"/>
      <c r="EPU86" s="629"/>
      <c r="EPV86" s="629"/>
      <c r="EPW86" s="629"/>
      <c r="EPX86" s="629"/>
      <c r="EPY86" s="629"/>
      <c r="EPZ86" s="629"/>
      <c r="EQA86" s="629"/>
      <c r="EQB86" s="629"/>
      <c r="EQC86" s="629"/>
      <c r="EQD86" s="629"/>
      <c r="EQE86" s="629"/>
      <c r="EQF86" s="629"/>
      <c r="EQG86" s="629"/>
      <c r="EQH86" s="629"/>
      <c r="EQI86" s="629"/>
      <c r="EQJ86" s="629"/>
      <c r="EQK86" s="629"/>
      <c r="EQL86" s="629"/>
      <c r="EQM86" s="629"/>
      <c r="EQN86" s="629"/>
      <c r="EQO86" s="629"/>
      <c r="EQP86" s="629"/>
      <c r="EQQ86" s="629"/>
      <c r="EQR86" s="629"/>
      <c r="EQS86" s="629"/>
      <c r="EQT86" s="629"/>
      <c r="EQU86" s="629"/>
      <c r="EQV86" s="629"/>
      <c r="EQW86" s="629"/>
      <c r="EQX86" s="629"/>
      <c r="EQY86" s="629"/>
      <c r="EQZ86" s="629"/>
      <c r="ERA86" s="629"/>
      <c r="ERB86" s="629"/>
      <c r="ERC86" s="629"/>
      <c r="ERD86" s="629"/>
      <c r="ERE86" s="629"/>
      <c r="ERF86" s="629"/>
      <c r="ERG86" s="629"/>
      <c r="ERH86" s="629"/>
      <c r="ERI86" s="629"/>
      <c r="ERJ86" s="629"/>
      <c r="ERK86" s="629"/>
      <c r="ERL86" s="629"/>
      <c r="ERM86" s="629"/>
      <c r="ERN86" s="629"/>
      <c r="ERO86" s="629"/>
      <c r="ERP86" s="629"/>
      <c r="ERQ86" s="629"/>
      <c r="ERR86" s="629"/>
      <c r="ERS86" s="629"/>
      <c r="ERT86" s="629"/>
      <c r="ERU86" s="629"/>
      <c r="ERV86" s="629"/>
      <c r="ERW86" s="629"/>
      <c r="ERX86" s="629"/>
      <c r="ERY86" s="629"/>
      <c r="ERZ86" s="629"/>
      <c r="ESA86" s="629"/>
      <c r="ESB86" s="629"/>
      <c r="ESC86" s="629"/>
      <c r="ESD86" s="629"/>
      <c r="ESE86" s="629"/>
      <c r="ESF86" s="629"/>
      <c r="ESG86" s="629"/>
      <c r="ESH86" s="629"/>
      <c r="ESI86" s="629"/>
      <c r="ESJ86" s="629"/>
      <c r="ESK86" s="629"/>
      <c r="ESL86" s="629"/>
      <c r="ESM86" s="629"/>
      <c r="ESN86" s="629"/>
      <c r="ESO86" s="629"/>
      <c r="ESP86" s="629"/>
      <c r="ESQ86" s="629"/>
      <c r="ESR86" s="629"/>
      <c r="ESS86" s="629"/>
      <c r="EST86" s="629"/>
      <c r="ESU86" s="629"/>
      <c r="ESV86" s="629"/>
      <c r="ESW86" s="629"/>
      <c r="ESX86" s="629"/>
      <c r="ESY86" s="629"/>
      <c r="ESZ86" s="629"/>
      <c r="ETA86" s="629"/>
      <c r="ETB86" s="629"/>
      <c r="ETC86" s="629"/>
      <c r="ETD86" s="629"/>
      <c r="ETE86" s="629"/>
      <c r="ETF86" s="629"/>
      <c r="ETG86" s="629"/>
      <c r="ETH86" s="629"/>
      <c r="ETI86" s="629"/>
      <c r="ETJ86" s="629"/>
      <c r="ETK86" s="629"/>
      <c r="ETL86" s="629"/>
      <c r="ETM86" s="629"/>
      <c r="ETN86" s="629"/>
      <c r="ETO86" s="629"/>
      <c r="ETP86" s="629"/>
      <c r="ETQ86" s="629"/>
      <c r="ETR86" s="629"/>
      <c r="ETS86" s="629"/>
      <c r="ETT86" s="629"/>
      <c r="ETU86" s="629"/>
      <c r="ETV86" s="629"/>
      <c r="ETW86" s="629"/>
      <c r="ETX86" s="629"/>
      <c r="ETY86" s="629"/>
      <c r="ETZ86" s="629"/>
      <c r="EUA86" s="629"/>
      <c r="EUB86" s="629"/>
      <c r="EUC86" s="629"/>
      <c r="EUD86" s="629"/>
      <c r="EUE86" s="629"/>
      <c r="EUF86" s="629"/>
      <c r="EUG86" s="629"/>
      <c r="EUH86" s="629"/>
      <c r="EUI86" s="629"/>
      <c r="EUJ86" s="629"/>
      <c r="EUK86" s="629"/>
      <c r="EUL86" s="629"/>
      <c r="EUM86" s="629"/>
      <c r="EUN86" s="629"/>
      <c r="EUO86" s="629"/>
      <c r="EUP86" s="629"/>
      <c r="EUQ86" s="629"/>
      <c r="EUR86" s="629"/>
      <c r="EUS86" s="629"/>
      <c r="EUT86" s="629"/>
      <c r="EUU86" s="629"/>
      <c r="EUV86" s="629"/>
      <c r="EUW86" s="629"/>
      <c r="EUX86" s="629"/>
      <c r="EUY86" s="629"/>
      <c r="EUZ86" s="629"/>
      <c r="EVA86" s="629"/>
      <c r="EVB86" s="629"/>
      <c r="EVC86" s="629"/>
      <c r="EVD86" s="629"/>
      <c r="EVE86" s="629"/>
      <c r="EVF86" s="629"/>
      <c r="EVG86" s="629"/>
      <c r="EVH86" s="629"/>
      <c r="EVI86" s="629"/>
      <c r="EVJ86" s="629"/>
      <c r="EVK86" s="629"/>
      <c r="EVL86" s="629"/>
      <c r="EVM86" s="629"/>
      <c r="EVN86" s="629"/>
      <c r="EVO86" s="629"/>
      <c r="EVP86" s="629"/>
      <c r="EVQ86" s="629"/>
      <c r="EVR86" s="629"/>
      <c r="EVS86" s="629"/>
      <c r="EVT86" s="629"/>
      <c r="EVU86" s="629"/>
      <c r="EVV86" s="629"/>
      <c r="EVW86" s="629"/>
      <c r="EVX86" s="629"/>
      <c r="EVY86" s="629"/>
      <c r="EVZ86" s="629"/>
      <c r="EWA86" s="629"/>
      <c r="EWB86" s="629"/>
      <c r="EWC86" s="629"/>
      <c r="EWD86" s="629"/>
      <c r="EWE86" s="629"/>
      <c r="EWF86" s="629"/>
      <c r="EWG86" s="629"/>
      <c r="EWH86" s="629"/>
      <c r="EWI86" s="629"/>
      <c r="EWJ86" s="629"/>
      <c r="EWK86" s="629"/>
      <c r="EWL86" s="629"/>
      <c r="EWM86" s="629"/>
      <c r="EWN86" s="629"/>
      <c r="EWO86" s="629"/>
      <c r="EWP86" s="629"/>
      <c r="EWQ86" s="629"/>
      <c r="EWR86" s="629"/>
      <c r="EWS86" s="629"/>
      <c r="EWT86" s="629"/>
      <c r="EWU86" s="629"/>
      <c r="EWV86" s="629"/>
      <c r="EWW86" s="629"/>
      <c r="EWX86" s="629"/>
      <c r="EWY86" s="629"/>
      <c r="EWZ86" s="629"/>
      <c r="EXA86" s="629"/>
      <c r="EXB86" s="629"/>
      <c r="EXC86" s="629"/>
      <c r="EXD86" s="629"/>
      <c r="EXE86" s="629"/>
      <c r="EXF86" s="629"/>
      <c r="EXG86" s="629"/>
      <c r="EXH86" s="629"/>
      <c r="EXI86" s="629"/>
      <c r="EXJ86" s="629"/>
      <c r="EXK86" s="629"/>
      <c r="EXL86" s="629"/>
      <c r="EXM86" s="629"/>
      <c r="EXN86" s="629"/>
      <c r="EXO86" s="629"/>
      <c r="EXP86" s="629"/>
      <c r="EXQ86" s="629"/>
      <c r="EXR86" s="629"/>
      <c r="EXS86" s="629"/>
      <c r="EXT86" s="629"/>
      <c r="EXU86" s="629"/>
      <c r="EXV86" s="629"/>
      <c r="EXW86" s="629"/>
      <c r="EXX86" s="629"/>
      <c r="EXY86" s="629"/>
      <c r="EXZ86" s="629"/>
      <c r="EYA86" s="629"/>
      <c r="EYB86" s="629"/>
      <c r="EYC86" s="629"/>
      <c r="EYD86" s="629"/>
      <c r="EYE86" s="629"/>
      <c r="EYF86" s="629"/>
      <c r="EYG86" s="629"/>
      <c r="EYH86" s="629"/>
      <c r="EYI86" s="629"/>
      <c r="EYJ86" s="629"/>
      <c r="EYK86" s="629"/>
      <c r="EYL86" s="629"/>
      <c r="EYM86" s="629"/>
      <c r="EYN86" s="629"/>
      <c r="EYO86" s="629"/>
      <c r="EYP86" s="629"/>
      <c r="EYQ86" s="629"/>
      <c r="EYR86" s="629"/>
      <c r="EYS86" s="629"/>
      <c r="EYT86" s="629"/>
      <c r="EYU86" s="629"/>
      <c r="EYV86" s="629"/>
      <c r="EYW86" s="629"/>
      <c r="EYX86" s="629"/>
      <c r="EYY86" s="629"/>
      <c r="EYZ86" s="629"/>
      <c r="EZA86" s="629"/>
      <c r="EZB86" s="629"/>
      <c r="EZC86" s="629"/>
      <c r="EZD86" s="629"/>
      <c r="EZE86" s="629"/>
      <c r="EZF86" s="629"/>
      <c r="EZG86" s="629"/>
      <c r="EZH86" s="629"/>
      <c r="EZI86" s="629"/>
      <c r="EZJ86" s="629"/>
      <c r="EZK86" s="629"/>
      <c r="EZL86" s="629"/>
      <c r="EZM86" s="629"/>
      <c r="EZN86" s="629"/>
      <c r="EZO86" s="629"/>
      <c r="EZP86" s="629"/>
      <c r="EZQ86" s="629"/>
      <c r="EZR86" s="629"/>
      <c r="EZS86" s="629"/>
      <c r="EZT86" s="629"/>
      <c r="EZU86" s="629"/>
      <c r="EZV86" s="629"/>
      <c r="EZW86" s="629"/>
      <c r="EZX86" s="629"/>
      <c r="EZY86" s="629"/>
      <c r="EZZ86" s="629"/>
      <c r="FAA86" s="629"/>
      <c r="FAB86" s="629"/>
      <c r="FAC86" s="629"/>
      <c r="FAD86" s="629"/>
      <c r="FAE86" s="629"/>
      <c r="FAF86" s="629"/>
      <c r="FAG86" s="629"/>
      <c r="FAH86" s="629"/>
      <c r="FAI86" s="629"/>
      <c r="FAJ86" s="629"/>
      <c r="FAK86" s="629"/>
      <c r="FAL86" s="629"/>
      <c r="FAM86" s="629"/>
      <c r="FAN86" s="629"/>
      <c r="FAO86" s="629"/>
      <c r="FAP86" s="629"/>
      <c r="FAQ86" s="629"/>
      <c r="FAR86" s="629"/>
      <c r="FAS86" s="629"/>
      <c r="FAT86" s="629"/>
      <c r="FAU86" s="629"/>
      <c r="FAV86" s="629"/>
      <c r="FAW86" s="629"/>
      <c r="FAX86" s="629"/>
      <c r="FAY86" s="629"/>
      <c r="FAZ86" s="629"/>
      <c r="FBA86" s="629"/>
      <c r="FBB86" s="629"/>
      <c r="FBC86" s="629"/>
      <c r="FBD86" s="629"/>
      <c r="FBE86" s="629"/>
      <c r="FBF86" s="629"/>
      <c r="FBG86" s="629"/>
      <c r="FBH86" s="629"/>
      <c r="FBI86" s="629"/>
      <c r="FBJ86" s="629"/>
      <c r="FBK86" s="629"/>
      <c r="FBL86" s="629"/>
      <c r="FBM86" s="629"/>
      <c r="FBN86" s="629"/>
      <c r="FBO86" s="629"/>
      <c r="FBP86" s="629"/>
      <c r="FBQ86" s="629"/>
      <c r="FBR86" s="629"/>
      <c r="FBS86" s="629"/>
      <c r="FBT86" s="629"/>
      <c r="FBU86" s="629"/>
      <c r="FBV86" s="629"/>
      <c r="FBW86" s="629"/>
      <c r="FBX86" s="629"/>
      <c r="FBY86" s="629"/>
      <c r="FBZ86" s="629"/>
      <c r="FCA86" s="629"/>
      <c r="FCB86" s="629"/>
      <c r="FCC86" s="629"/>
      <c r="FCD86" s="629"/>
      <c r="FCE86" s="629"/>
      <c r="FCF86" s="629"/>
      <c r="FCG86" s="629"/>
      <c r="FCH86" s="629"/>
      <c r="FCI86" s="629"/>
      <c r="FCJ86" s="629"/>
      <c r="FCK86" s="629"/>
      <c r="FCL86" s="629"/>
      <c r="FCM86" s="629"/>
      <c r="FCN86" s="629"/>
      <c r="FCO86" s="629"/>
      <c r="FCP86" s="629"/>
      <c r="FCQ86" s="629"/>
      <c r="FCR86" s="629"/>
      <c r="FCS86" s="629"/>
      <c r="FCT86" s="629"/>
      <c r="FCU86" s="629"/>
      <c r="FCV86" s="629"/>
      <c r="FCW86" s="629"/>
      <c r="FCX86" s="629"/>
      <c r="FCY86" s="629"/>
      <c r="FCZ86" s="629"/>
      <c r="FDA86" s="629"/>
      <c r="FDB86" s="629"/>
      <c r="FDC86" s="629"/>
      <c r="FDD86" s="629"/>
      <c r="FDE86" s="629"/>
      <c r="FDF86" s="629"/>
      <c r="FDG86" s="629"/>
      <c r="FDH86" s="629"/>
      <c r="FDI86" s="629"/>
      <c r="FDJ86" s="629"/>
      <c r="FDK86" s="629"/>
      <c r="FDL86" s="629"/>
      <c r="FDM86" s="629"/>
      <c r="FDN86" s="629"/>
      <c r="FDO86" s="629"/>
      <c r="FDP86" s="629"/>
      <c r="FDQ86" s="629"/>
      <c r="FDR86" s="629"/>
      <c r="FDS86" s="629"/>
      <c r="FDT86" s="629"/>
      <c r="FDU86" s="629"/>
      <c r="FDV86" s="629"/>
      <c r="FDW86" s="629"/>
      <c r="FDX86" s="629"/>
      <c r="FDY86" s="629"/>
      <c r="FDZ86" s="629"/>
      <c r="FEA86" s="629"/>
      <c r="FEB86" s="629"/>
      <c r="FEC86" s="629"/>
      <c r="FED86" s="629"/>
      <c r="FEE86" s="629"/>
      <c r="FEF86" s="629"/>
      <c r="FEG86" s="629"/>
      <c r="FEH86" s="629"/>
      <c r="FEI86" s="629"/>
      <c r="FEJ86" s="629"/>
      <c r="FEK86" s="629"/>
      <c r="FEL86" s="629"/>
      <c r="FEM86" s="629"/>
      <c r="FEN86" s="629"/>
      <c r="FEO86" s="629"/>
      <c r="FEP86" s="629"/>
      <c r="FEQ86" s="629"/>
      <c r="FER86" s="629"/>
      <c r="FES86" s="629"/>
      <c r="FET86" s="629"/>
      <c r="FEU86" s="629"/>
      <c r="FEV86" s="629"/>
      <c r="FEW86" s="629"/>
      <c r="FEX86" s="629"/>
      <c r="FEY86" s="629"/>
      <c r="FEZ86" s="629"/>
      <c r="FFA86" s="629"/>
      <c r="FFB86" s="629"/>
      <c r="FFC86" s="629"/>
      <c r="FFD86" s="629"/>
      <c r="FFE86" s="629"/>
      <c r="FFF86" s="629"/>
      <c r="FFG86" s="629"/>
      <c r="FFH86" s="629"/>
      <c r="FFI86" s="629"/>
      <c r="FFJ86" s="629"/>
      <c r="FFK86" s="629"/>
      <c r="FFL86" s="629"/>
      <c r="FFM86" s="629"/>
      <c r="FFN86" s="629"/>
      <c r="FFO86" s="629"/>
      <c r="FFP86" s="629"/>
      <c r="FFQ86" s="629"/>
      <c r="FFR86" s="629"/>
      <c r="FFS86" s="629"/>
      <c r="FFT86" s="629"/>
      <c r="FFU86" s="629"/>
      <c r="FFV86" s="629"/>
      <c r="FFW86" s="629"/>
      <c r="FFX86" s="629"/>
      <c r="FFY86" s="629"/>
      <c r="FFZ86" s="629"/>
      <c r="FGA86" s="629"/>
      <c r="FGB86" s="629"/>
      <c r="FGC86" s="629"/>
      <c r="FGD86" s="629"/>
      <c r="FGE86" s="629"/>
      <c r="FGF86" s="629"/>
      <c r="FGG86" s="629"/>
      <c r="FGH86" s="629"/>
      <c r="FGI86" s="629"/>
      <c r="FGJ86" s="629"/>
      <c r="FGK86" s="629"/>
      <c r="FGL86" s="629"/>
      <c r="FGM86" s="629"/>
      <c r="FGN86" s="629"/>
      <c r="FGO86" s="629"/>
      <c r="FGP86" s="629"/>
      <c r="FGQ86" s="629"/>
      <c r="FGR86" s="629"/>
      <c r="FGS86" s="629"/>
      <c r="FGT86" s="629"/>
      <c r="FGU86" s="629"/>
      <c r="FGV86" s="629"/>
      <c r="FGW86" s="629"/>
      <c r="FGX86" s="629"/>
      <c r="FGY86" s="629"/>
      <c r="FGZ86" s="629"/>
      <c r="FHA86" s="629"/>
      <c r="FHB86" s="629"/>
      <c r="FHC86" s="629"/>
      <c r="FHD86" s="629"/>
      <c r="FHE86" s="629"/>
      <c r="FHF86" s="629"/>
      <c r="FHG86" s="629"/>
      <c r="FHH86" s="629"/>
      <c r="FHI86" s="629"/>
      <c r="FHJ86" s="629"/>
      <c r="FHK86" s="629"/>
      <c r="FHL86" s="629"/>
      <c r="FHM86" s="629"/>
      <c r="FHN86" s="629"/>
      <c r="FHO86" s="629"/>
      <c r="FHP86" s="629"/>
      <c r="FHQ86" s="629"/>
      <c r="FHR86" s="629"/>
      <c r="FHS86" s="629"/>
      <c r="FHT86" s="629"/>
      <c r="FHU86" s="629"/>
      <c r="FHV86" s="629"/>
      <c r="FHW86" s="629"/>
      <c r="FHX86" s="629"/>
      <c r="FHY86" s="629"/>
      <c r="FHZ86" s="629"/>
      <c r="FIA86" s="629"/>
      <c r="FIB86" s="629"/>
      <c r="FIC86" s="629"/>
      <c r="FID86" s="629"/>
      <c r="FIE86" s="629"/>
      <c r="FIF86" s="629"/>
      <c r="FIG86" s="629"/>
      <c r="FIH86" s="629"/>
      <c r="FII86" s="629"/>
      <c r="FIJ86" s="629"/>
      <c r="FIK86" s="629"/>
      <c r="FIL86" s="629"/>
      <c r="FIM86" s="629"/>
      <c r="FIN86" s="629"/>
      <c r="FIO86" s="629"/>
      <c r="FIP86" s="629"/>
      <c r="FIQ86" s="629"/>
      <c r="FIR86" s="629"/>
      <c r="FIS86" s="629"/>
      <c r="FIT86" s="629"/>
      <c r="FIU86" s="629"/>
      <c r="FIV86" s="629"/>
      <c r="FIW86" s="629"/>
      <c r="FIX86" s="629"/>
      <c r="FIY86" s="629"/>
      <c r="FIZ86" s="629"/>
      <c r="FJA86" s="629"/>
      <c r="FJB86" s="629"/>
      <c r="FJC86" s="629"/>
      <c r="FJD86" s="629"/>
      <c r="FJE86" s="629"/>
      <c r="FJF86" s="629"/>
      <c r="FJG86" s="629"/>
      <c r="FJH86" s="629"/>
      <c r="FJI86" s="629"/>
      <c r="FJJ86" s="629"/>
      <c r="FJK86" s="629"/>
      <c r="FJL86" s="629"/>
      <c r="FJM86" s="629"/>
      <c r="FJN86" s="629"/>
      <c r="FJO86" s="629"/>
      <c r="FJP86" s="629"/>
      <c r="FJQ86" s="629"/>
      <c r="FJR86" s="629"/>
      <c r="FJS86" s="629"/>
      <c r="FJT86" s="629"/>
      <c r="FJU86" s="629"/>
      <c r="FJV86" s="629"/>
      <c r="FJW86" s="629"/>
      <c r="FJX86" s="629"/>
      <c r="FJY86" s="629"/>
      <c r="FJZ86" s="629"/>
      <c r="FKA86" s="629"/>
      <c r="FKB86" s="629"/>
      <c r="FKC86" s="629"/>
      <c r="FKD86" s="629"/>
      <c r="FKE86" s="629"/>
      <c r="FKF86" s="629"/>
      <c r="FKG86" s="629"/>
      <c r="FKH86" s="629"/>
      <c r="FKI86" s="629"/>
      <c r="FKJ86" s="629"/>
      <c r="FKK86" s="629"/>
      <c r="FKL86" s="629"/>
      <c r="FKM86" s="629"/>
      <c r="FKN86" s="629"/>
      <c r="FKO86" s="629"/>
      <c r="FKP86" s="629"/>
      <c r="FKQ86" s="629"/>
      <c r="FKR86" s="629"/>
      <c r="FKS86" s="629"/>
      <c r="FKT86" s="629"/>
      <c r="FKU86" s="629"/>
      <c r="FKV86" s="629"/>
      <c r="FKW86" s="629"/>
      <c r="FKX86" s="629"/>
      <c r="FKY86" s="629"/>
      <c r="FKZ86" s="629"/>
      <c r="FLA86" s="629"/>
      <c r="FLB86" s="629"/>
      <c r="FLC86" s="629"/>
      <c r="FLD86" s="629"/>
      <c r="FLE86" s="629"/>
      <c r="FLF86" s="629"/>
      <c r="FLG86" s="629"/>
      <c r="FLH86" s="629"/>
      <c r="FLI86" s="629"/>
      <c r="FLJ86" s="629"/>
      <c r="FLK86" s="629"/>
      <c r="FLL86" s="629"/>
      <c r="FLM86" s="629"/>
      <c r="FLN86" s="629"/>
      <c r="FLO86" s="629"/>
      <c r="FLP86" s="629"/>
      <c r="FLQ86" s="629"/>
      <c r="FLR86" s="629"/>
      <c r="FLS86" s="629"/>
      <c r="FLT86" s="629"/>
      <c r="FLU86" s="629"/>
      <c r="FLV86" s="629"/>
      <c r="FLW86" s="629"/>
      <c r="FLX86" s="629"/>
      <c r="FLY86" s="629"/>
      <c r="FLZ86" s="629"/>
      <c r="FMA86" s="629"/>
      <c r="FMB86" s="629"/>
      <c r="FMC86" s="629"/>
      <c r="FMD86" s="629"/>
      <c r="FME86" s="629"/>
      <c r="FMF86" s="629"/>
      <c r="FMG86" s="629"/>
      <c r="FMH86" s="629"/>
      <c r="FMI86" s="629"/>
      <c r="FMJ86" s="629"/>
      <c r="FMK86" s="629"/>
      <c r="FML86" s="629"/>
      <c r="FMM86" s="629"/>
      <c r="FMN86" s="629"/>
      <c r="FMO86" s="629"/>
      <c r="FMP86" s="629"/>
      <c r="FMQ86" s="629"/>
      <c r="FMR86" s="629"/>
      <c r="FMS86" s="629"/>
      <c r="FMT86" s="629"/>
      <c r="FMU86" s="629"/>
      <c r="FMV86" s="629"/>
      <c r="FMW86" s="629"/>
      <c r="FMX86" s="629"/>
      <c r="FMY86" s="629"/>
      <c r="FMZ86" s="629"/>
      <c r="FNA86" s="629"/>
      <c r="FNB86" s="629"/>
      <c r="FNC86" s="629"/>
      <c r="FND86" s="629"/>
      <c r="FNE86" s="629"/>
      <c r="FNF86" s="629"/>
      <c r="FNG86" s="629"/>
      <c r="FNH86" s="629"/>
      <c r="FNI86" s="629"/>
      <c r="FNJ86" s="629"/>
      <c r="FNK86" s="629"/>
      <c r="FNL86" s="629"/>
      <c r="FNM86" s="629"/>
      <c r="FNN86" s="629"/>
      <c r="FNO86" s="629"/>
      <c r="FNP86" s="629"/>
      <c r="FNQ86" s="629"/>
      <c r="FNR86" s="629"/>
      <c r="FNS86" s="629"/>
      <c r="FNT86" s="629"/>
      <c r="FNU86" s="629"/>
      <c r="FNV86" s="629"/>
      <c r="FNW86" s="629"/>
      <c r="FNX86" s="629"/>
      <c r="FNY86" s="629"/>
      <c r="FNZ86" s="629"/>
      <c r="FOA86" s="629"/>
      <c r="FOB86" s="629"/>
      <c r="FOC86" s="629"/>
      <c r="FOD86" s="629"/>
      <c r="FOE86" s="629"/>
      <c r="FOF86" s="629"/>
      <c r="FOG86" s="629"/>
      <c r="FOH86" s="629"/>
      <c r="FOI86" s="629"/>
      <c r="FOJ86" s="629"/>
      <c r="FOK86" s="629"/>
      <c r="FOL86" s="629"/>
      <c r="FOM86" s="629"/>
      <c r="FON86" s="629"/>
      <c r="FOO86" s="629"/>
      <c r="FOP86" s="629"/>
      <c r="FOQ86" s="629"/>
      <c r="FOR86" s="629"/>
      <c r="FOS86" s="629"/>
      <c r="FOT86" s="629"/>
      <c r="FOU86" s="629"/>
      <c r="FOV86" s="629"/>
      <c r="FOW86" s="629"/>
      <c r="FOX86" s="629"/>
      <c r="FOY86" s="629"/>
      <c r="FOZ86" s="629"/>
      <c r="FPA86" s="629"/>
      <c r="FPB86" s="629"/>
      <c r="FPC86" s="629"/>
      <c r="FPD86" s="629"/>
      <c r="FPE86" s="629"/>
      <c r="FPF86" s="629"/>
      <c r="FPG86" s="629"/>
      <c r="FPH86" s="629"/>
      <c r="FPI86" s="629"/>
      <c r="FPJ86" s="629"/>
      <c r="FPK86" s="629"/>
      <c r="FPL86" s="629"/>
      <c r="FPM86" s="629"/>
      <c r="FPN86" s="629"/>
      <c r="FPO86" s="629"/>
      <c r="FPP86" s="629"/>
      <c r="FPQ86" s="629"/>
      <c r="FPR86" s="629"/>
      <c r="FPS86" s="629"/>
      <c r="FPT86" s="629"/>
      <c r="FPU86" s="629"/>
      <c r="FPV86" s="629"/>
      <c r="FPW86" s="629"/>
      <c r="FPX86" s="629"/>
      <c r="FPY86" s="629"/>
      <c r="FPZ86" s="629"/>
      <c r="FQA86" s="629"/>
      <c r="FQB86" s="629"/>
      <c r="FQC86" s="629"/>
      <c r="FQD86" s="629"/>
      <c r="FQE86" s="629"/>
      <c r="FQF86" s="629"/>
      <c r="FQG86" s="629"/>
      <c r="FQH86" s="629"/>
      <c r="FQI86" s="629"/>
      <c r="FQJ86" s="629"/>
      <c r="FQK86" s="629"/>
      <c r="FQL86" s="629"/>
      <c r="FQM86" s="629"/>
      <c r="FQN86" s="629"/>
      <c r="FQO86" s="629"/>
      <c r="FQP86" s="629"/>
      <c r="FQQ86" s="629"/>
      <c r="FQR86" s="629"/>
      <c r="FQS86" s="629"/>
      <c r="FQT86" s="629"/>
      <c r="FQU86" s="629"/>
      <c r="FQV86" s="629"/>
      <c r="FQW86" s="629"/>
      <c r="FQX86" s="629"/>
      <c r="FQY86" s="629"/>
      <c r="FQZ86" s="629"/>
      <c r="FRA86" s="629"/>
      <c r="FRB86" s="629"/>
      <c r="FRC86" s="629"/>
      <c r="FRD86" s="629"/>
      <c r="FRE86" s="629"/>
      <c r="FRF86" s="629"/>
      <c r="FRG86" s="629"/>
      <c r="FRH86" s="629"/>
      <c r="FRI86" s="629"/>
      <c r="FRJ86" s="629"/>
      <c r="FRK86" s="629"/>
      <c r="FRL86" s="629"/>
      <c r="FRM86" s="629"/>
      <c r="FRN86" s="629"/>
      <c r="FRO86" s="629"/>
      <c r="FRP86" s="629"/>
      <c r="FRQ86" s="629"/>
      <c r="FRR86" s="629"/>
      <c r="FRS86" s="629"/>
      <c r="FRT86" s="629"/>
      <c r="FRU86" s="629"/>
      <c r="FRV86" s="629"/>
      <c r="FRW86" s="629"/>
      <c r="FRX86" s="629"/>
      <c r="FRY86" s="629"/>
      <c r="FRZ86" s="629"/>
      <c r="FSA86" s="629"/>
      <c r="FSB86" s="629"/>
      <c r="FSC86" s="629"/>
      <c r="FSD86" s="629"/>
      <c r="FSE86" s="629"/>
      <c r="FSF86" s="629"/>
      <c r="FSG86" s="629"/>
      <c r="FSH86" s="629"/>
      <c r="FSI86" s="629"/>
      <c r="FSJ86" s="629"/>
      <c r="FSK86" s="629"/>
      <c r="FSL86" s="629"/>
      <c r="FSM86" s="629"/>
      <c r="FSN86" s="629"/>
      <c r="FSO86" s="629"/>
      <c r="FSP86" s="629"/>
      <c r="FSQ86" s="629"/>
      <c r="FSR86" s="629"/>
      <c r="FSS86" s="629"/>
      <c r="FST86" s="629"/>
      <c r="FSU86" s="629"/>
      <c r="FSV86" s="629"/>
      <c r="FSW86" s="629"/>
      <c r="FSX86" s="629"/>
      <c r="FSY86" s="629"/>
      <c r="FSZ86" s="629"/>
      <c r="FTA86" s="629"/>
      <c r="FTB86" s="629"/>
      <c r="FTC86" s="629"/>
      <c r="FTD86" s="629"/>
      <c r="FTE86" s="629"/>
      <c r="FTF86" s="629"/>
      <c r="FTG86" s="629"/>
      <c r="FTH86" s="629"/>
      <c r="FTI86" s="629"/>
      <c r="FTJ86" s="629"/>
      <c r="FTK86" s="629"/>
      <c r="FTL86" s="629"/>
      <c r="FTM86" s="629"/>
      <c r="FTN86" s="629"/>
      <c r="FTO86" s="629"/>
      <c r="FTP86" s="629"/>
      <c r="FTQ86" s="629"/>
      <c r="FTR86" s="629"/>
      <c r="FTS86" s="629"/>
      <c r="FTT86" s="629"/>
      <c r="FTU86" s="629"/>
      <c r="FTV86" s="629"/>
      <c r="FTW86" s="629"/>
      <c r="FTX86" s="629"/>
      <c r="FTY86" s="629"/>
      <c r="FTZ86" s="629"/>
      <c r="FUA86" s="629"/>
      <c r="FUB86" s="629"/>
      <c r="FUC86" s="629"/>
      <c r="FUD86" s="629"/>
      <c r="FUE86" s="629"/>
      <c r="FUF86" s="629"/>
      <c r="FUG86" s="629"/>
      <c r="FUH86" s="629"/>
      <c r="FUI86" s="629"/>
      <c r="FUJ86" s="629"/>
      <c r="FUK86" s="629"/>
      <c r="FUL86" s="629"/>
      <c r="FUM86" s="629"/>
      <c r="FUN86" s="629"/>
      <c r="FUO86" s="629"/>
      <c r="FUP86" s="629"/>
      <c r="FUQ86" s="629"/>
      <c r="FUR86" s="629"/>
      <c r="FUS86" s="629"/>
      <c r="FUT86" s="629"/>
      <c r="FUU86" s="629"/>
      <c r="FUV86" s="629"/>
      <c r="FUW86" s="629"/>
      <c r="FUX86" s="629"/>
      <c r="FUY86" s="629"/>
      <c r="FUZ86" s="629"/>
      <c r="FVA86" s="629"/>
      <c r="FVB86" s="629"/>
      <c r="FVC86" s="629"/>
      <c r="FVD86" s="629"/>
      <c r="FVE86" s="629"/>
      <c r="FVF86" s="629"/>
      <c r="FVG86" s="629"/>
      <c r="FVH86" s="629"/>
      <c r="FVI86" s="629"/>
      <c r="FVJ86" s="629"/>
      <c r="FVK86" s="629"/>
      <c r="FVL86" s="629"/>
      <c r="FVM86" s="629"/>
      <c r="FVN86" s="629"/>
      <c r="FVO86" s="629"/>
      <c r="FVP86" s="629"/>
      <c r="FVQ86" s="629"/>
      <c r="FVR86" s="629"/>
      <c r="FVS86" s="629"/>
      <c r="FVT86" s="629"/>
      <c r="FVU86" s="629"/>
      <c r="FVV86" s="629"/>
      <c r="FVW86" s="629"/>
      <c r="FVX86" s="629"/>
      <c r="FVY86" s="629"/>
      <c r="FVZ86" s="629"/>
      <c r="FWA86" s="629"/>
      <c r="FWB86" s="629"/>
      <c r="FWC86" s="629"/>
      <c r="FWD86" s="629"/>
      <c r="FWE86" s="629"/>
      <c r="FWF86" s="629"/>
      <c r="FWG86" s="629"/>
      <c r="FWH86" s="629"/>
      <c r="FWI86" s="629"/>
      <c r="FWJ86" s="629"/>
      <c r="FWK86" s="629"/>
      <c r="FWL86" s="629"/>
      <c r="FWM86" s="629"/>
      <c r="FWN86" s="629"/>
      <c r="FWO86" s="629"/>
      <c r="FWP86" s="629"/>
      <c r="FWQ86" s="629"/>
      <c r="FWR86" s="629"/>
      <c r="FWS86" s="629"/>
      <c r="FWT86" s="629"/>
      <c r="FWU86" s="629"/>
      <c r="FWV86" s="629"/>
      <c r="FWW86" s="629"/>
      <c r="FWX86" s="629"/>
      <c r="FWY86" s="629"/>
      <c r="FWZ86" s="629"/>
      <c r="FXA86" s="629"/>
      <c r="FXB86" s="629"/>
      <c r="FXC86" s="629"/>
      <c r="FXD86" s="629"/>
      <c r="FXE86" s="629"/>
      <c r="FXF86" s="629"/>
      <c r="FXG86" s="629"/>
      <c r="FXH86" s="629"/>
      <c r="FXI86" s="629"/>
      <c r="FXJ86" s="629"/>
      <c r="FXK86" s="629"/>
      <c r="FXL86" s="629"/>
      <c r="FXM86" s="629"/>
      <c r="FXN86" s="629"/>
      <c r="FXO86" s="629"/>
      <c r="FXP86" s="629"/>
      <c r="FXQ86" s="629"/>
      <c r="FXR86" s="629"/>
      <c r="FXS86" s="629"/>
      <c r="FXT86" s="629"/>
      <c r="FXU86" s="629"/>
      <c r="FXV86" s="629"/>
      <c r="FXW86" s="629"/>
      <c r="FXX86" s="629"/>
      <c r="FXY86" s="629"/>
      <c r="FXZ86" s="629"/>
      <c r="FYA86" s="629"/>
      <c r="FYB86" s="629"/>
      <c r="FYC86" s="629"/>
      <c r="FYD86" s="629"/>
      <c r="FYE86" s="629"/>
      <c r="FYF86" s="629"/>
      <c r="FYG86" s="629"/>
      <c r="FYH86" s="629"/>
      <c r="FYI86" s="629"/>
      <c r="FYJ86" s="629"/>
      <c r="FYK86" s="629"/>
      <c r="FYL86" s="629"/>
      <c r="FYM86" s="629"/>
      <c r="FYN86" s="629"/>
      <c r="FYO86" s="629"/>
      <c r="FYP86" s="629"/>
      <c r="FYQ86" s="629"/>
      <c r="FYR86" s="629"/>
      <c r="FYS86" s="629"/>
      <c r="FYT86" s="629"/>
      <c r="FYU86" s="629"/>
      <c r="FYV86" s="629"/>
      <c r="FYW86" s="629"/>
      <c r="FYX86" s="629"/>
      <c r="FYY86" s="629"/>
      <c r="FYZ86" s="629"/>
      <c r="FZA86" s="629"/>
      <c r="FZB86" s="629"/>
      <c r="FZC86" s="629"/>
      <c r="FZD86" s="629"/>
      <c r="FZE86" s="629"/>
      <c r="FZF86" s="629"/>
      <c r="FZG86" s="629"/>
      <c r="FZH86" s="629"/>
      <c r="FZI86" s="629"/>
      <c r="FZJ86" s="629"/>
      <c r="FZK86" s="629"/>
      <c r="FZL86" s="629"/>
      <c r="FZM86" s="629"/>
      <c r="FZN86" s="629"/>
      <c r="FZO86" s="629"/>
      <c r="FZP86" s="629"/>
      <c r="FZQ86" s="629"/>
      <c r="FZR86" s="629"/>
      <c r="FZS86" s="629"/>
      <c r="FZT86" s="629"/>
      <c r="FZU86" s="629"/>
      <c r="FZV86" s="629"/>
      <c r="FZW86" s="629"/>
      <c r="FZX86" s="629"/>
      <c r="FZY86" s="629"/>
      <c r="FZZ86" s="629"/>
      <c r="GAA86" s="629"/>
      <c r="GAB86" s="629"/>
      <c r="GAC86" s="629"/>
      <c r="GAD86" s="629"/>
      <c r="GAE86" s="629"/>
      <c r="GAF86" s="629"/>
      <c r="GAG86" s="629"/>
      <c r="GAH86" s="629"/>
      <c r="GAI86" s="629"/>
      <c r="GAJ86" s="629"/>
      <c r="GAK86" s="629"/>
      <c r="GAL86" s="629"/>
      <c r="GAM86" s="629"/>
      <c r="GAN86" s="629"/>
      <c r="GAO86" s="629"/>
      <c r="GAP86" s="629"/>
      <c r="GAQ86" s="629"/>
      <c r="GAR86" s="629"/>
      <c r="GAS86" s="629"/>
      <c r="GAT86" s="629"/>
      <c r="GAU86" s="629"/>
      <c r="GAV86" s="629"/>
      <c r="GAW86" s="629"/>
      <c r="GAX86" s="629"/>
      <c r="GAY86" s="629"/>
      <c r="GAZ86" s="629"/>
      <c r="GBA86" s="629"/>
      <c r="GBB86" s="629"/>
      <c r="GBC86" s="629"/>
      <c r="GBD86" s="629"/>
      <c r="GBE86" s="629"/>
      <c r="GBF86" s="629"/>
      <c r="GBG86" s="629"/>
      <c r="GBH86" s="629"/>
      <c r="GBI86" s="629"/>
      <c r="GBJ86" s="629"/>
      <c r="GBK86" s="629"/>
      <c r="GBL86" s="629"/>
      <c r="GBM86" s="629"/>
      <c r="GBN86" s="629"/>
      <c r="GBO86" s="629"/>
      <c r="GBP86" s="629"/>
      <c r="GBQ86" s="629"/>
      <c r="GBR86" s="629"/>
      <c r="GBS86" s="629"/>
      <c r="GBT86" s="629"/>
      <c r="GBU86" s="629"/>
      <c r="GBV86" s="629"/>
      <c r="GBW86" s="629"/>
      <c r="GBX86" s="629"/>
      <c r="GBY86" s="629"/>
      <c r="GBZ86" s="629"/>
      <c r="GCA86" s="629"/>
      <c r="GCB86" s="629"/>
      <c r="GCC86" s="629"/>
      <c r="GCD86" s="629"/>
      <c r="GCE86" s="629"/>
      <c r="GCF86" s="629"/>
      <c r="GCG86" s="629"/>
      <c r="GCH86" s="629"/>
      <c r="GCI86" s="629"/>
      <c r="GCJ86" s="629"/>
      <c r="GCK86" s="629"/>
      <c r="GCL86" s="629"/>
      <c r="GCM86" s="629"/>
      <c r="GCN86" s="629"/>
      <c r="GCO86" s="629"/>
      <c r="GCP86" s="629"/>
      <c r="GCQ86" s="629"/>
      <c r="GCR86" s="629"/>
      <c r="GCS86" s="629"/>
      <c r="GCT86" s="629"/>
      <c r="GCU86" s="629"/>
      <c r="GCV86" s="629"/>
      <c r="GCW86" s="629"/>
      <c r="GCX86" s="629"/>
      <c r="GCY86" s="629"/>
      <c r="GCZ86" s="629"/>
      <c r="GDA86" s="629"/>
      <c r="GDB86" s="629"/>
      <c r="GDC86" s="629"/>
      <c r="GDD86" s="629"/>
      <c r="GDE86" s="629"/>
      <c r="GDF86" s="629"/>
      <c r="GDG86" s="629"/>
      <c r="GDH86" s="629"/>
      <c r="GDI86" s="629"/>
      <c r="GDJ86" s="629"/>
      <c r="GDK86" s="629"/>
      <c r="GDL86" s="629"/>
      <c r="GDM86" s="629"/>
      <c r="GDN86" s="629"/>
      <c r="GDO86" s="629"/>
      <c r="GDP86" s="629"/>
      <c r="GDQ86" s="629"/>
      <c r="GDR86" s="629"/>
      <c r="GDS86" s="629"/>
      <c r="GDT86" s="629"/>
      <c r="GDU86" s="629"/>
      <c r="GDV86" s="629"/>
      <c r="GDW86" s="629"/>
      <c r="GDX86" s="629"/>
      <c r="GDY86" s="629"/>
      <c r="GDZ86" s="629"/>
      <c r="GEA86" s="629"/>
      <c r="GEB86" s="629"/>
      <c r="GEC86" s="629"/>
      <c r="GED86" s="629"/>
      <c r="GEE86" s="629"/>
      <c r="GEF86" s="629"/>
      <c r="GEG86" s="629"/>
      <c r="GEH86" s="629"/>
      <c r="GEI86" s="629"/>
      <c r="GEJ86" s="629"/>
      <c r="GEK86" s="629"/>
      <c r="GEL86" s="629"/>
      <c r="GEM86" s="629"/>
      <c r="GEN86" s="629"/>
      <c r="GEO86" s="629"/>
      <c r="GEP86" s="629"/>
      <c r="GEQ86" s="629"/>
      <c r="GER86" s="629"/>
      <c r="GES86" s="629"/>
      <c r="GET86" s="629"/>
      <c r="GEU86" s="629"/>
      <c r="GEV86" s="629"/>
      <c r="GEW86" s="629"/>
      <c r="GEX86" s="629"/>
      <c r="GEY86" s="629"/>
      <c r="GEZ86" s="629"/>
      <c r="GFA86" s="629"/>
      <c r="GFB86" s="629"/>
      <c r="GFC86" s="629"/>
      <c r="GFD86" s="629"/>
      <c r="GFE86" s="629"/>
      <c r="GFF86" s="629"/>
      <c r="GFG86" s="629"/>
      <c r="GFH86" s="629"/>
      <c r="GFI86" s="629"/>
      <c r="GFJ86" s="629"/>
      <c r="GFK86" s="629"/>
      <c r="GFL86" s="629"/>
      <c r="GFM86" s="629"/>
      <c r="GFN86" s="629"/>
      <c r="GFO86" s="629"/>
      <c r="GFP86" s="629"/>
      <c r="GFQ86" s="629"/>
      <c r="GFR86" s="629"/>
      <c r="GFS86" s="629"/>
      <c r="GFT86" s="629"/>
      <c r="GFU86" s="629"/>
      <c r="GFV86" s="629"/>
      <c r="GFW86" s="629"/>
      <c r="GFX86" s="629"/>
      <c r="GFY86" s="629"/>
      <c r="GFZ86" s="629"/>
      <c r="GGA86" s="629"/>
      <c r="GGB86" s="629"/>
      <c r="GGC86" s="629"/>
      <c r="GGD86" s="629"/>
      <c r="GGE86" s="629"/>
      <c r="GGF86" s="629"/>
      <c r="GGG86" s="629"/>
      <c r="GGH86" s="629"/>
      <c r="GGI86" s="629"/>
      <c r="GGJ86" s="629"/>
      <c r="GGK86" s="629"/>
      <c r="GGL86" s="629"/>
      <c r="GGM86" s="629"/>
      <c r="GGN86" s="629"/>
      <c r="GGO86" s="629"/>
      <c r="GGP86" s="629"/>
      <c r="GGQ86" s="629"/>
      <c r="GGR86" s="629"/>
      <c r="GGS86" s="629"/>
      <c r="GGT86" s="629"/>
      <c r="GGU86" s="629"/>
      <c r="GGV86" s="629"/>
      <c r="GGW86" s="629"/>
      <c r="GGX86" s="629"/>
      <c r="GGY86" s="629"/>
      <c r="GGZ86" s="629"/>
      <c r="GHA86" s="629"/>
      <c r="GHB86" s="629"/>
      <c r="GHC86" s="629"/>
      <c r="GHD86" s="629"/>
      <c r="GHE86" s="629"/>
      <c r="GHF86" s="629"/>
      <c r="GHG86" s="629"/>
      <c r="GHH86" s="629"/>
      <c r="GHI86" s="629"/>
      <c r="GHJ86" s="629"/>
      <c r="GHK86" s="629"/>
      <c r="GHL86" s="629"/>
      <c r="GHM86" s="629"/>
      <c r="GHN86" s="629"/>
      <c r="GHO86" s="629"/>
      <c r="GHP86" s="629"/>
      <c r="GHQ86" s="629"/>
      <c r="GHR86" s="629"/>
      <c r="GHS86" s="629"/>
      <c r="GHT86" s="629"/>
      <c r="GHU86" s="629"/>
      <c r="GHV86" s="629"/>
      <c r="GHW86" s="629"/>
      <c r="GHX86" s="629"/>
      <c r="GHY86" s="629"/>
      <c r="GHZ86" s="629"/>
      <c r="GIA86" s="629"/>
      <c r="GIB86" s="629"/>
      <c r="GIC86" s="629"/>
      <c r="GID86" s="629"/>
      <c r="GIE86" s="629"/>
      <c r="GIF86" s="629"/>
      <c r="GIG86" s="629"/>
      <c r="GIH86" s="629"/>
      <c r="GII86" s="629"/>
      <c r="GIJ86" s="629"/>
      <c r="GIK86" s="629"/>
      <c r="GIL86" s="629"/>
      <c r="GIM86" s="629"/>
      <c r="GIN86" s="629"/>
      <c r="GIO86" s="629"/>
      <c r="GIP86" s="629"/>
      <c r="GIQ86" s="629"/>
      <c r="GIR86" s="629"/>
      <c r="GIS86" s="629"/>
      <c r="GIT86" s="629"/>
      <c r="GIU86" s="629"/>
      <c r="GIV86" s="629"/>
      <c r="GIW86" s="629"/>
      <c r="GIX86" s="629"/>
      <c r="GIY86" s="629"/>
      <c r="GIZ86" s="629"/>
      <c r="GJA86" s="629"/>
      <c r="GJB86" s="629"/>
      <c r="GJC86" s="629"/>
      <c r="GJD86" s="629"/>
      <c r="GJE86" s="629"/>
      <c r="GJF86" s="629"/>
      <c r="GJG86" s="629"/>
      <c r="GJH86" s="629"/>
      <c r="GJI86" s="629"/>
      <c r="GJJ86" s="629"/>
      <c r="GJK86" s="629"/>
      <c r="GJL86" s="629"/>
      <c r="GJM86" s="629"/>
      <c r="GJN86" s="629"/>
      <c r="GJO86" s="629"/>
      <c r="GJP86" s="629"/>
      <c r="GJQ86" s="629"/>
      <c r="GJR86" s="629"/>
      <c r="GJS86" s="629"/>
      <c r="GJT86" s="629"/>
      <c r="GJU86" s="629"/>
      <c r="GJV86" s="629"/>
      <c r="GJW86" s="629"/>
      <c r="GJX86" s="629"/>
      <c r="GJY86" s="629"/>
      <c r="GJZ86" s="629"/>
      <c r="GKA86" s="629"/>
      <c r="GKB86" s="629"/>
      <c r="GKC86" s="629"/>
      <c r="GKD86" s="629"/>
      <c r="GKE86" s="629"/>
      <c r="GKF86" s="629"/>
      <c r="GKG86" s="629"/>
      <c r="GKH86" s="629"/>
      <c r="GKI86" s="629"/>
      <c r="GKJ86" s="629"/>
      <c r="GKK86" s="629"/>
      <c r="GKL86" s="629"/>
      <c r="GKM86" s="629"/>
      <c r="GKN86" s="629"/>
      <c r="GKO86" s="629"/>
      <c r="GKP86" s="629"/>
      <c r="GKQ86" s="629"/>
      <c r="GKR86" s="629"/>
      <c r="GKS86" s="629"/>
      <c r="GKT86" s="629"/>
      <c r="GKU86" s="629"/>
      <c r="GKV86" s="629"/>
      <c r="GKW86" s="629"/>
      <c r="GKX86" s="629"/>
      <c r="GKY86" s="629"/>
      <c r="GKZ86" s="629"/>
      <c r="GLA86" s="629"/>
      <c r="GLB86" s="629"/>
      <c r="GLC86" s="629"/>
      <c r="GLD86" s="629"/>
      <c r="GLE86" s="629"/>
      <c r="GLF86" s="629"/>
      <c r="GLG86" s="629"/>
      <c r="GLH86" s="629"/>
      <c r="GLI86" s="629"/>
      <c r="GLJ86" s="629"/>
      <c r="GLK86" s="629"/>
      <c r="GLL86" s="629"/>
      <c r="GLM86" s="629"/>
      <c r="GLN86" s="629"/>
      <c r="GLO86" s="629"/>
      <c r="GLP86" s="629"/>
      <c r="GLQ86" s="629"/>
      <c r="GLR86" s="629"/>
      <c r="GLS86" s="629"/>
      <c r="GLT86" s="629"/>
      <c r="GLU86" s="629"/>
      <c r="GLV86" s="629"/>
      <c r="GLW86" s="629"/>
      <c r="GLX86" s="629"/>
      <c r="GLY86" s="629"/>
      <c r="GLZ86" s="629"/>
      <c r="GMA86" s="629"/>
      <c r="GMB86" s="629"/>
      <c r="GMC86" s="629"/>
      <c r="GMD86" s="629"/>
      <c r="GME86" s="629"/>
      <c r="GMF86" s="629"/>
      <c r="GMG86" s="629"/>
      <c r="GMH86" s="629"/>
      <c r="GMI86" s="629"/>
      <c r="GMJ86" s="629"/>
      <c r="GMK86" s="629"/>
      <c r="GML86" s="629"/>
      <c r="GMM86" s="629"/>
      <c r="GMN86" s="629"/>
      <c r="GMO86" s="629"/>
      <c r="GMP86" s="629"/>
      <c r="GMQ86" s="629"/>
      <c r="GMR86" s="629"/>
      <c r="GMS86" s="629"/>
      <c r="GMT86" s="629"/>
      <c r="GMU86" s="629"/>
      <c r="GMV86" s="629"/>
      <c r="GMW86" s="629"/>
      <c r="GMX86" s="629"/>
      <c r="GMY86" s="629"/>
      <c r="GMZ86" s="629"/>
      <c r="GNA86" s="629"/>
      <c r="GNB86" s="629"/>
      <c r="GNC86" s="629"/>
      <c r="GND86" s="629"/>
      <c r="GNE86" s="629"/>
      <c r="GNF86" s="629"/>
      <c r="GNG86" s="629"/>
      <c r="GNH86" s="629"/>
      <c r="GNI86" s="629"/>
      <c r="GNJ86" s="629"/>
      <c r="GNK86" s="629"/>
      <c r="GNL86" s="629"/>
      <c r="GNM86" s="629"/>
      <c r="GNN86" s="629"/>
      <c r="GNO86" s="629"/>
      <c r="GNP86" s="629"/>
      <c r="GNQ86" s="629"/>
      <c r="GNR86" s="629"/>
      <c r="GNS86" s="629"/>
      <c r="GNT86" s="629"/>
      <c r="GNU86" s="629"/>
      <c r="GNV86" s="629"/>
      <c r="GNW86" s="629"/>
      <c r="GNX86" s="629"/>
      <c r="GNY86" s="629"/>
      <c r="GNZ86" s="629"/>
      <c r="GOA86" s="629"/>
      <c r="GOB86" s="629"/>
      <c r="GOC86" s="629"/>
      <c r="GOD86" s="629"/>
      <c r="GOE86" s="629"/>
      <c r="GOF86" s="629"/>
      <c r="GOG86" s="629"/>
      <c r="GOH86" s="629"/>
      <c r="GOI86" s="629"/>
      <c r="GOJ86" s="629"/>
      <c r="GOK86" s="629"/>
      <c r="GOL86" s="629"/>
      <c r="GOM86" s="629"/>
      <c r="GON86" s="629"/>
      <c r="GOO86" s="629"/>
      <c r="GOP86" s="629"/>
      <c r="GOQ86" s="629"/>
      <c r="GOR86" s="629"/>
      <c r="GOS86" s="629"/>
      <c r="GOT86" s="629"/>
      <c r="GOU86" s="629"/>
      <c r="GOV86" s="629"/>
      <c r="GOW86" s="629"/>
      <c r="GOX86" s="629"/>
      <c r="GOY86" s="629"/>
      <c r="GOZ86" s="629"/>
      <c r="GPA86" s="629"/>
      <c r="GPB86" s="629"/>
      <c r="GPC86" s="629"/>
      <c r="GPD86" s="629"/>
      <c r="GPE86" s="629"/>
      <c r="GPF86" s="629"/>
      <c r="GPG86" s="629"/>
      <c r="GPH86" s="629"/>
      <c r="GPI86" s="629"/>
      <c r="GPJ86" s="629"/>
      <c r="GPK86" s="629"/>
      <c r="GPL86" s="629"/>
      <c r="GPM86" s="629"/>
      <c r="GPN86" s="629"/>
      <c r="GPO86" s="629"/>
      <c r="GPP86" s="629"/>
      <c r="GPQ86" s="629"/>
      <c r="GPR86" s="629"/>
      <c r="GPS86" s="629"/>
      <c r="GPT86" s="629"/>
      <c r="GPU86" s="629"/>
      <c r="GPV86" s="629"/>
      <c r="GPW86" s="629"/>
      <c r="GPX86" s="629"/>
      <c r="GPY86" s="629"/>
      <c r="GPZ86" s="629"/>
      <c r="GQA86" s="629"/>
      <c r="GQB86" s="629"/>
      <c r="GQC86" s="629"/>
      <c r="GQD86" s="629"/>
      <c r="GQE86" s="629"/>
      <c r="GQF86" s="629"/>
      <c r="GQG86" s="629"/>
      <c r="GQH86" s="629"/>
      <c r="GQI86" s="629"/>
      <c r="GQJ86" s="629"/>
      <c r="GQK86" s="629"/>
      <c r="GQL86" s="629"/>
      <c r="GQM86" s="629"/>
      <c r="GQN86" s="629"/>
      <c r="GQO86" s="629"/>
      <c r="GQP86" s="629"/>
      <c r="GQQ86" s="629"/>
      <c r="GQR86" s="629"/>
      <c r="GQS86" s="629"/>
      <c r="GQT86" s="629"/>
      <c r="GQU86" s="629"/>
      <c r="GQV86" s="629"/>
      <c r="GQW86" s="629"/>
      <c r="GQX86" s="629"/>
      <c r="GQY86" s="629"/>
      <c r="GQZ86" s="629"/>
      <c r="GRA86" s="629"/>
      <c r="GRB86" s="629"/>
      <c r="GRC86" s="629"/>
      <c r="GRD86" s="629"/>
      <c r="GRE86" s="629"/>
      <c r="GRF86" s="629"/>
      <c r="GRG86" s="629"/>
      <c r="GRH86" s="629"/>
      <c r="GRI86" s="629"/>
      <c r="GRJ86" s="629"/>
      <c r="GRK86" s="629"/>
      <c r="GRL86" s="629"/>
      <c r="GRM86" s="629"/>
      <c r="GRN86" s="629"/>
      <c r="GRO86" s="629"/>
      <c r="GRP86" s="629"/>
      <c r="GRQ86" s="629"/>
      <c r="GRR86" s="629"/>
      <c r="GRS86" s="629"/>
      <c r="GRT86" s="629"/>
      <c r="GRU86" s="629"/>
      <c r="GRV86" s="629"/>
      <c r="GRW86" s="629"/>
      <c r="GRX86" s="629"/>
      <c r="GRY86" s="629"/>
      <c r="GRZ86" s="629"/>
      <c r="GSA86" s="629"/>
      <c r="GSB86" s="629"/>
      <c r="GSC86" s="629"/>
      <c r="GSD86" s="629"/>
      <c r="GSE86" s="629"/>
      <c r="GSF86" s="629"/>
      <c r="GSG86" s="629"/>
      <c r="GSH86" s="629"/>
      <c r="GSI86" s="629"/>
      <c r="GSJ86" s="629"/>
      <c r="GSK86" s="629"/>
      <c r="GSL86" s="629"/>
      <c r="GSM86" s="629"/>
      <c r="GSN86" s="629"/>
      <c r="GSO86" s="629"/>
      <c r="GSP86" s="629"/>
      <c r="GSQ86" s="629"/>
      <c r="GSR86" s="629"/>
      <c r="GSS86" s="629"/>
      <c r="GST86" s="629"/>
      <c r="GSU86" s="629"/>
      <c r="GSV86" s="629"/>
      <c r="GSW86" s="629"/>
      <c r="GSX86" s="629"/>
      <c r="GSY86" s="629"/>
      <c r="GSZ86" s="629"/>
      <c r="GTA86" s="629"/>
      <c r="GTB86" s="629"/>
      <c r="GTC86" s="629"/>
      <c r="GTD86" s="629"/>
      <c r="GTE86" s="629"/>
      <c r="GTF86" s="629"/>
      <c r="GTG86" s="629"/>
      <c r="GTH86" s="629"/>
      <c r="GTI86" s="629"/>
      <c r="GTJ86" s="629"/>
      <c r="GTK86" s="629"/>
      <c r="GTL86" s="629"/>
      <c r="GTM86" s="629"/>
      <c r="GTN86" s="629"/>
      <c r="GTO86" s="629"/>
      <c r="GTP86" s="629"/>
      <c r="GTQ86" s="629"/>
      <c r="GTR86" s="629"/>
      <c r="GTS86" s="629"/>
      <c r="GTT86" s="629"/>
      <c r="GTU86" s="629"/>
      <c r="GTV86" s="629"/>
      <c r="GTW86" s="629"/>
      <c r="GTX86" s="629"/>
      <c r="GTY86" s="629"/>
      <c r="GTZ86" s="629"/>
      <c r="GUA86" s="629"/>
      <c r="GUB86" s="629"/>
      <c r="GUC86" s="629"/>
      <c r="GUD86" s="629"/>
      <c r="GUE86" s="629"/>
      <c r="GUF86" s="629"/>
      <c r="GUG86" s="629"/>
      <c r="GUH86" s="629"/>
      <c r="GUI86" s="629"/>
      <c r="GUJ86" s="629"/>
      <c r="GUK86" s="629"/>
      <c r="GUL86" s="629"/>
      <c r="GUM86" s="629"/>
      <c r="GUN86" s="629"/>
      <c r="GUO86" s="629"/>
      <c r="GUP86" s="629"/>
      <c r="GUQ86" s="629"/>
      <c r="GUR86" s="629"/>
      <c r="GUS86" s="629"/>
      <c r="GUT86" s="629"/>
      <c r="GUU86" s="629"/>
      <c r="GUV86" s="629"/>
      <c r="GUW86" s="629"/>
      <c r="GUX86" s="629"/>
      <c r="GUY86" s="629"/>
      <c r="GUZ86" s="629"/>
      <c r="GVA86" s="629"/>
      <c r="GVB86" s="629"/>
      <c r="GVC86" s="629"/>
      <c r="GVD86" s="629"/>
      <c r="GVE86" s="629"/>
      <c r="GVF86" s="629"/>
      <c r="GVG86" s="629"/>
      <c r="GVH86" s="629"/>
      <c r="GVI86" s="629"/>
      <c r="GVJ86" s="629"/>
      <c r="GVK86" s="629"/>
      <c r="GVL86" s="629"/>
      <c r="GVM86" s="629"/>
      <c r="GVN86" s="629"/>
      <c r="GVO86" s="629"/>
      <c r="GVP86" s="629"/>
      <c r="GVQ86" s="629"/>
      <c r="GVR86" s="629"/>
      <c r="GVS86" s="629"/>
      <c r="GVT86" s="629"/>
      <c r="GVU86" s="629"/>
      <c r="GVV86" s="629"/>
      <c r="GVW86" s="629"/>
      <c r="GVX86" s="629"/>
      <c r="GVY86" s="629"/>
      <c r="GVZ86" s="629"/>
      <c r="GWA86" s="629"/>
      <c r="GWB86" s="629"/>
      <c r="GWC86" s="629"/>
      <c r="GWD86" s="629"/>
      <c r="GWE86" s="629"/>
      <c r="GWF86" s="629"/>
      <c r="GWG86" s="629"/>
      <c r="GWH86" s="629"/>
      <c r="GWI86" s="629"/>
      <c r="GWJ86" s="629"/>
      <c r="GWK86" s="629"/>
      <c r="GWL86" s="629"/>
      <c r="GWM86" s="629"/>
      <c r="GWN86" s="629"/>
      <c r="GWO86" s="629"/>
      <c r="GWP86" s="629"/>
      <c r="GWQ86" s="629"/>
      <c r="GWR86" s="629"/>
      <c r="GWS86" s="629"/>
      <c r="GWT86" s="629"/>
      <c r="GWU86" s="629"/>
      <c r="GWV86" s="629"/>
      <c r="GWW86" s="629"/>
      <c r="GWX86" s="629"/>
      <c r="GWY86" s="629"/>
      <c r="GWZ86" s="629"/>
      <c r="GXA86" s="629"/>
      <c r="GXB86" s="629"/>
      <c r="GXC86" s="629"/>
      <c r="GXD86" s="629"/>
      <c r="GXE86" s="629"/>
      <c r="GXF86" s="629"/>
      <c r="GXG86" s="629"/>
      <c r="GXH86" s="629"/>
      <c r="GXI86" s="629"/>
      <c r="GXJ86" s="629"/>
      <c r="GXK86" s="629"/>
      <c r="GXL86" s="629"/>
      <c r="GXM86" s="629"/>
      <c r="GXN86" s="629"/>
      <c r="GXO86" s="629"/>
      <c r="GXP86" s="629"/>
      <c r="GXQ86" s="629"/>
      <c r="GXR86" s="629"/>
      <c r="GXS86" s="629"/>
      <c r="GXT86" s="629"/>
      <c r="GXU86" s="629"/>
      <c r="GXV86" s="629"/>
      <c r="GXW86" s="629"/>
      <c r="GXX86" s="629"/>
      <c r="GXY86" s="629"/>
      <c r="GXZ86" s="629"/>
      <c r="GYA86" s="629"/>
      <c r="GYB86" s="629"/>
      <c r="GYC86" s="629"/>
      <c r="GYD86" s="629"/>
      <c r="GYE86" s="629"/>
      <c r="GYF86" s="629"/>
      <c r="GYG86" s="629"/>
      <c r="GYH86" s="629"/>
      <c r="GYI86" s="629"/>
      <c r="GYJ86" s="629"/>
      <c r="GYK86" s="629"/>
      <c r="GYL86" s="629"/>
      <c r="GYM86" s="629"/>
      <c r="GYN86" s="629"/>
      <c r="GYO86" s="629"/>
      <c r="GYP86" s="629"/>
      <c r="GYQ86" s="629"/>
      <c r="GYR86" s="629"/>
      <c r="GYS86" s="629"/>
      <c r="GYT86" s="629"/>
      <c r="GYU86" s="629"/>
      <c r="GYV86" s="629"/>
      <c r="GYW86" s="629"/>
      <c r="GYX86" s="629"/>
      <c r="GYY86" s="629"/>
      <c r="GYZ86" s="629"/>
      <c r="GZA86" s="629"/>
      <c r="GZB86" s="629"/>
      <c r="GZC86" s="629"/>
      <c r="GZD86" s="629"/>
      <c r="GZE86" s="629"/>
      <c r="GZF86" s="629"/>
      <c r="GZG86" s="629"/>
      <c r="GZH86" s="629"/>
      <c r="GZI86" s="629"/>
      <c r="GZJ86" s="629"/>
      <c r="GZK86" s="629"/>
      <c r="GZL86" s="629"/>
      <c r="GZM86" s="629"/>
      <c r="GZN86" s="629"/>
      <c r="GZO86" s="629"/>
      <c r="GZP86" s="629"/>
      <c r="GZQ86" s="629"/>
      <c r="GZR86" s="629"/>
      <c r="GZS86" s="629"/>
      <c r="GZT86" s="629"/>
      <c r="GZU86" s="629"/>
      <c r="GZV86" s="629"/>
      <c r="GZW86" s="629"/>
      <c r="GZX86" s="629"/>
      <c r="GZY86" s="629"/>
      <c r="GZZ86" s="629"/>
      <c r="HAA86" s="629"/>
      <c r="HAB86" s="629"/>
      <c r="HAC86" s="629"/>
      <c r="HAD86" s="629"/>
      <c r="HAE86" s="629"/>
      <c r="HAF86" s="629"/>
      <c r="HAG86" s="629"/>
      <c r="HAH86" s="629"/>
      <c r="HAI86" s="629"/>
      <c r="HAJ86" s="629"/>
      <c r="HAK86" s="629"/>
      <c r="HAL86" s="629"/>
      <c r="HAM86" s="629"/>
      <c r="HAN86" s="629"/>
      <c r="HAO86" s="629"/>
      <c r="HAP86" s="629"/>
      <c r="HAQ86" s="629"/>
      <c r="HAR86" s="629"/>
      <c r="HAS86" s="629"/>
      <c r="HAT86" s="629"/>
      <c r="HAU86" s="629"/>
      <c r="HAV86" s="629"/>
      <c r="HAW86" s="629"/>
      <c r="HAX86" s="629"/>
      <c r="HAY86" s="629"/>
      <c r="HAZ86" s="629"/>
      <c r="HBA86" s="629"/>
      <c r="HBB86" s="629"/>
      <c r="HBC86" s="629"/>
      <c r="HBD86" s="629"/>
      <c r="HBE86" s="629"/>
      <c r="HBF86" s="629"/>
      <c r="HBG86" s="629"/>
      <c r="HBH86" s="629"/>
      <c r="HBI86" s="629"/>
      <c r="HBJ86" s="629"/>
      <c r="HBK86" s="629"/>
      <c r="HBL86" s="629"/>
      <c r="HBM86" s="629"/>
      <c r="HBN86" s="629"/>
      <c r="HBO86" s="629"/>
      <c r="HBP86" s="629"/>
      <c r="HBQ86" s="629"/>
      <c r="HBR86" s="629"/>
      <c r="HBS86" s="629"/>
      <c r="HBT86" s="629"/>
      <c r="HBU86" s="629"/>
      <c r="HBV86" s="629"/>
      <c r="HBW86" s="629"/>
      <c r="HBX86" s="629"/>
      <c r="HBY86" s="629"/>
      <c r="HBZ86" s="629"/>
      <c r="HCA86" s="629"/>
      <c r="HCB86" s="629"/>
      <c r="HCC86" s="629"/>
      <c r="HCD86" s="629"/>
      <c r="HCE86" s="629"/>
      <c r="HCF86" s="629"/>
      <c r="HCG86" s="629"/>
      <c r="HCH86" s="629"/>
      <c r="HCI86" s="629"/>
      <c r="HCJ86" s="629"/>
      <c r="HCK86" s="629"/>
      <c r="HCL86" s="629"/>
      <c r="HCM86" s="629"/>
      <c r="HCN86" s="629"/>
      <c r="HCO86" s="629"/>
      <c r="HCP86" s="629"/>
      <c r="HCQ86" s="629"/>
      <c r="HCR86" s="629"/>
      <c r="HCS86" s="629"/>
      <c r="HCT86" s="629"/>
      <c r="HCU86" s="629"/>
      <c r="HCV86" s="629"/>
      <c r="HCW86" s="629"/>
      <c r="HCX86" s="629"/>
      <c r="HCY86" s="629"/>
      <c r="HCZ86" s="629"/>
      <c r="HDA86" s="629"/>
      <c r="HDB86" s="629"/>
      <c r="HDC86" s="629"/>
      <c r="HDD86" s="629"/>
      <c r="HDE86" s="629"/>
      <c r="HDF86" s="629"/>
      <c r="HDG86" s="629"/>
      <c r="HDH86" s="629"/>
      <c r="HDI86" s="629"/>
      <c r="HDJ86" s="629"/>
      <c r="HDK86" s="629"/>
      <c r="HDL86" s="629"/>
      <c r="HDM86" s="629"/>
      <c r="HDN86" s="629"/>
      <c r="HDO86" s="629"/>
      <c r="HDP86" s="629"/>
      <c r="HDQ86" s="629"/>
      <c r="HDR86" s="629"/>
      <c r="HDS86" s="629"/>
      <c r="HDT86" s="629"/>
      <c r="HDU86" s="629"/>
      <c r="HDV86" s="629"/>
      <c r="HDW86" s="629"/>
      <c r="HDX86" s="629"/>
      <c r="HDY86" s="629"/>
      <c r="HDZ86" s="629"/>
      <c r="HEA86" s="629"/>
      <c r="HEB86" s="629"/>
      <c r="HEC86" s="629"/>
      <c r="HED86" s="629"/>
      <c r="HEE86" s="629"/>
      <c r="HEF86" s="629"/>
      <c r="HEG86" s="629"/>
      <c r="HEH86" s="629"/>
      <c r="HEI86" s="629"/>
      <c r="HEJ86" s="629"/>
      <c r="HEK86" s="629"/>
      <c r="HEL86" s="629"/>
      <c r="HEM86" s="629"/>
      <c r="HEN86" s="629"/>
      <c r="HEO86" s="629"/>
      <c r="HEP86" s="629"/>
      <c r="HEQ86" s="629"/>
      <c r="HER86" s="629"/>
      <c r="HES86" s="629"/>
      <c r="HET86" s="629"/>
      <c r="HEU86" s="629"/>
      <c r="HEV86" s="629"/>
      <c r="HEW86" s="629"/>
      <c r="HEX86" s="629"/>
      <c r="HEY86" s="629"/>
      <c r="HEZ86" s="629"/>
      <c r="HFA86" s="629"/>
      <c r="HFB86" s="629"/>
      <c r="HFC86" s="629"/>
      <c r="HFD86" s="629"/>
      <c r="HFE86" s="629"/>
      <c r="HFF86" s="629"/>
      <c r="HFG86" s="629"/>
      <c r="HFH86" s="629"/>
      <c r="HFI86" s="629"/>
      <c r="HFJ86" s="629"/>
      <c r="HFK86" s="629"/>
      <c r="HFL86" s="629"/>
      <c r="HFM86" s="629"/>
      <c r="HFN86" s="629"/>
      <c r="HFO86" s="629"/>
      <c r="HFP86" s="629"/>
      <c r="HFQ86" s="629"/>
      <c r="HFR86" s="629"/>
      <c r="HFS86" s="629"/>
      <c r="HFT86" s="629"/>
      <c r="HFU86" s="629"/>
      <c r="HFV86" s="629"/>
      <c r="HFW86" s="629"/>
      <c r="HFX86" s="629"/>
      <c r="HFY86" s="629"/>
      <c r="HFZ86" s="629"/>
      <c r="HGA86" s="629"/>
      <c r="HGB86" s="629"/>
      <c r="HGC86" s="629"/>
      <c r="HGD86" s="629"/>
      <c r="HGE86" s="629"/>
      <c r="HGF86" s="629"/>
      <c r="HGG86" s="629"/>
      <c r="HGH86" s="629"/>
      <c r="HGI86" s="629"/>
      <c r="HGJ86" s="629"/>
      <c r="HGK86" s="629"/>
      <c r="HGL86" s="629"/>
      <c r="HGM86" s="629"/>
      <c r="HGN86" s="629"/>
      <c r="HGO86" s="629"/>
      <c r="HGP86" s="629"/>
      <c r="HGQ86" s="629"/>
      <c r="HGR86" s="629"/>
      <c r="HGS86" s="629"/>
      <c r="HGT86" s="629"/>
      <c r="HGU86" s="629"/>
      <c r="HGV86" s="629"/>
      <c r="HGW86" s="629"/>
      <c r="HGX86" s="629"/>
      <c r="HGY86" s="629"/>
      <c r="HGZ86" s="629"/>
      <c r="HHA86" s="629"/>
      <c r="HHB86" s="629"/>
      <c r="HHC86" s="629"/>
      <c r="HHD86" s="629"/>
      <c r="HHE86" s="629"/>
      <c r="HHF86" s="629"/>
      <c r="HHG86" s="629"/>
      <c r="HHH86" s="629"/>
      <c r="HHI86" s="629"/>
      <c r="HHJ86" s="629"/>
      <c r="HHK86" s="629"/>
      <c r="HHL86" s="629"/>
      <c r="HHM86" s="629"/>
      <c r="HHN86" s="629"/>
      <c r="HHO86" s="629"/>
      <c r="HHP86" s="629"/>
      <c r="HHQ86" s="629"/>
      <c r="HHR86" s="629"/>
      <c r="HHS86" s="629"/>
      <c r="HHT86" s="629"/>
      <c r="HHU86" s="629"/>
      <c r="HHV86" s="629"/>
      <c r="HHW86" s="629"/>
      <c r="HHX86" s="629"/>
      <c r="HHY86" s="629"/>
      <c r="HHZ86" s="629"/>
      <c r="HIA86" s="629"/>
      <c r="HIB86" s="629"/>
      <c r="HIC86" s="629"/>
      <c r="HID86" s="629"/>
      <c r="HIE86" s="629"/>
      <c r="HIF86" s="629"/>
      <c r="HIG86" s="629"/>
      <c r="HIH86" s="629"/>
      <c r="HII86" s="629"/>
      <c r="HIJ86" s="629"/>
      <c r="HIK86" s="629"/>
      <c r="HIL86" s="629"/>
      <c r="HIM86" s="629"/>
      <c r="HIN86" s="629"/>
      <c r="HIO86" s="629"/>
      <c r="HIP86" s="629"/>
      <c r="HIQ86" s="629"/>
      <c r="HIR86" s="629"/>
      <c r="HIS86" s="629"/>
      <c r="HIT86" s="629"/>
      <c r="HIU86" s="629"/>
      <c r="HIV86" s="629"/>
      <c r="HIW86" s="629"/>
      <c r="HIX86" s="629"/>
      <c r="HIY86" s="629"/>
      <c r="HIZ86" s="629"/>
      <c r="HJA86" s="629"/>
      <c r="HJB86" s="629"/>
      <c r="HJC86" s="629"/>
      <c r="HJD86" s="629"/>
      <c r="HJE86" s="629"/>
      <c r="HJF86" s="629"/>
      <c r="HJG86" s="629"/>
      <c r="HJH86" s="629"/>
      <c r="HJI86" s="629"/>
      <c r="HJJ86" s="629"/>
      <c r="HJK86" s="629"/>
      <c r="HJL86" s="629"/>
      <c r="HJM86" s="629"/>
      <c r="HJN86" s="629"/>
      <c r="HJO86" s="629"/>
      <c r="HJP86" s="629"/>
      <c r="HJQ86" s="629"/>
      <c r="HJR86" s="629"/>
      <c r="HJS86" s="629"/>
      <c r="HJT86" s="629"/>
      <c r="HJU86" s="629"/>
      <c r="HJV86" s="629"/>
      <c r="HJW86" s="629"/>
      <c r="HJX86" s="629"/>
      <c r="HJY86" s="629"/>
      <c r="HJZ86" s="629"/>
      <c r="HKA86" s="629"/>
      <c r="HKB86" s="629"/>
      <c r="HKC86" s="629"/>
      <c r="HKD86" s="629"/>
      <c r="HKE86" s="629"/>
      <c r="HKF86" s="629"/>
      <c r="HKG86" s="629"/>
      <c r="HKH86" s="629"/>
      <c r="HKI86" s="629"/>
      <c r="HKJ86" s="629"/>
      <c r="HKK86" s="629"/>
      <c r="HKL86" s="629"/>
      <c r="HKM86" s="629"/>
      <c r="HKN86" s="629"/>
      <c r="HKO86" s="629"/>
      <c r="HKP86" s="629"/>
      <c r="HKQ86" s="629"/>
      <c r="HKR86" s="629"/>
      <c r="HKS86" s="629"/>
      <c r="HKT86" s="629"/>
      <c r="HKU86" s="629"/>
      <c r="HKV86" s="629"/>
      <c r="HKW86" s="629"/>
      <c r="HKX86" s="629"/>
      <c r="HKY86" s="629"/>
      <c r="HKZ86" s="629"/>
      <c r="HLA86" s="629"/>
      <c r="HLB86" s="629"/>
      <c r="HLC86" s="629"/>
      <c r="HLD86" s="629"/>
      <c r="HLE86" s="629"/>
      <c r="HLF86" s="629"/>
      <c r="HLG86" s="629"/>
      <c r="HLH86" s="629"/>
      <c r="HLI86" s="629"/>
      <c r="HLJ86" s="629"/>
      <c r="HLK86" s="629"/>
      <c r="HLL86" s="629"/>
      <c r="HLM86" s="629"/>
      <c r="HLN86" s="629"/>
      <c r="HLO86" s="629"/>
      <c r="HLP86" s="629"/>
      <c r="HLQ86" s="629"/>
      <c r="HLR86" s="629"/>
      <c r="HLS86" s="629"/>
      <c r="HLT86" s="629"/>
      <c r="HLU86" s="629"/>
      <c r="HLV86" s="629"/>
      <c r="HLW86" s="629"/>
      <c r="HLX86" s="629"/>
      <c r="HLY86" s="629"/>
      <c r="HLZ86" s="629"/>
      <c r="HMA86" s="629"/>
      <c r="HMB86" s="629"/>
      <c r="HMC86" s="629"/>
      <c r="HMD86" s="629"/>
      <c r="HME86" s="629"/>
      <c r="HMF86" s="629"/>
      <c r="HMG86" s="629"/>
      <c r="HMH86" s="629"/>
      <c r="HMI86" s="629"/>
      <c r="HMJ86" s="629"/>
      <c r="HMK86" s="629"/>
      <c r="HML86" s="629"/>
      <c r="HMM86" s="629"/>
      <c r="HMN86" s="629"/>
      <c r="HMO86" s="629"/>
      <c r="HMP86" s="629"/>
      <c r="HMQ86" s="629"/>
      <c r="HMR86" s="629"/>
      <c r="HMS86" s="629"/>
      <c r="HMT86" s="629"/>
      <c r="HMU86" s="629"/>
      <c r="HMV86" s="629"/>
      <c r="HMW86" s="629"/>
      <c r="HMX86" s="629"/>
      <c r="HMY86" s="629"/>
      <c r="HMZ86" s="629"/>
      <c r="HNA86" s="629"/>
      <c r="HNB86" s="629"/>
      <c r="HNC86" s="629"/>
      <c r="HND86" s="629"/>
      <c r="HNE86" s="629"/>
      <c r="HNF86" s="629"/>
      <c r="HNG86" s="629"/>
      <c r="HNH86" s="629"/>
      <c r="HNI86" s="629"/>
      <c r="HNJ86" s="629"/>
      <c r="HNK86" s="629"/>
      <c r="HNL86" s="629"/>
      <c r="HNM86" s="629"/>
      <c r="HNN86" s="629"/>
      <c r="HNO86" s="629"/>
      <c r="HNP86" s="629"/>
      <c r="HNQ86" s="629"/>
      <c r="HNR86" s="629"/>
      <c r="HNS86" s="629"/>
      <c r="HNT86" s="629"/>
      <c r="HNU86" s="629"/>
      <c r="HNV86" s="629"/>
      <c r="HNW86" s="629"/>
      <c r="HNX86" s="629"/>
      <c r="HNY86" s="629"/>
      <c r="HNZ86" s="629"/>
      <c r="HOA86" s="629"/>
      <c r="HOB86" s="629"/>
      <c r="HOC86" s="629"/>
      <c r="HOD86" s="629"/>
      <c r="HOE86" s="629"/>
      <c r="HOF86" s="629"/>
      <c r="HOG86" s="629"/>
      <c r="HOH86" s="629"/>
      <c r="HOI86" s="629"/>
      <c r="HOJ86" s="629"/>
      <c r="HOK86" s="629"/>
      <c r="HOL86" s="629"/>
      <c r="HOM86" s="629"/>
      <c r="HON86" s="629"/>
      <c r="HOO86" s="629"/>
      <c r="HOP86" s="629"/>
      <c r="HOQ86" s="629"/>
      <c r="HOR86" s="629"/>
      <c r="HOS86" s="629"/>
      <c r="HOT86" s="629"/>
      <c r="HOU86" s="629"/>
      <c r="HOV86" s="629"/>
      <c r="HOW86" s="629"/>
      <c r="HOX86" s="629"/>
      <c r="HOY86" s="629"/>
      <c r="HOZ86" s="629"/>
      <c r="HPA86" s="629"/>
      <c r="HPB86" s="629"/>
      <c r="HPC86" s="629"/>
      <c r="HPD86" s="629"/>
      <c r="HPE86" s="629"/>
      <c r="HPF86" s="629"/>
      <c r="HPG86" s="629"/>
      <c r="HPH86" s="629"/>
      <c r="HPI86" s="629"/>
      <c r="HPJ86" s="629"/>
      <c r="HPK86" s="629"/>
      <c r="HPL86" s="629"/>
      <c r="HPM86" s="629"/>
      <c r="HPN86" s="629"/>
      <c r="HPO86" s="629"/>
      <c r="HPP86" s="629"/>
      <c r="HPQ86" s="629"/>
      <c r="HPR86" s="629"/>
      <c r="HPS86" s="629"/>
      <c r="HPT86" s="629"/>
      <c r="HPU86" s="629"/>
      <c r="HPV86" s="629"/>
      <c r="HPW86" s="629"/>
      <c r="HPX86" s="629"/>
      <c r="HPY86" s="629"/>
      <c r="HPZ86" s="629"/>
      <c r="HQA86" s="629"/>
      <c r="HQB86" s="629"/>
      <c r="HQC86" s="629"/>
      <c r="HQD86" s="629"/>
      <c r="HQE86" s="629"/>
      <c r="HQF86" s="629"/>
      <c r="HQG86" s="629"/>
      <c r="HQH86" s="629"/>
      <c r="HQI86" s="629"/>
      <c r="HQJ86" s="629"/>
      <c r="HQK86" s="629"/>
      <c r="HQL86" s="629"/>
      <c r="HQM86" s="629"/>
      <c r="HQN86" s="629"/>
      <c r="HQO86" s="629"/>
      <c r="HQP86" s="629"/>
      <c r="HQQ86" s="629"/>
      <c r="HQR86" s="629"/>
      <c r="HQS86" s="629"/>
      <c r="HQT86" s="629"/>
      <c r="HQU86" s="629"/>
      <c r="HQV86" s="629"/>
      <c r="HQW86" s="629"/>
      <c r="HQX86" s="629"/>
      <c r="HQY86" s="629"/>
      <c r="HQZ86" s="629"/>
      <c r="HRA86" s="629"/>
      <c r="HRB86" s="629"/>
      <c r="HRC86" s="629"/>
      <c r="HRD86" s="629"/>
      <c r="HRE86" s="629"/>
      <c r="HRF86" s="629"/>
      <c r="HRG86" s="629"/>
      <c r="HRH86" s="629"/>
      <c r="HRI86" s="629"/>
      <c r="HRJ86" s="629"/>
      <c r="HRK86" s="629"/>
      <c r="HRL86" s="629"/>
      <c r="HRM86" s="629"/>
      <c r="HRN86" s="629"/>
      <c r="HRO86" s="629"/>
      <c r="HRP86" s="629"/>
      <c r="HRQ86" s="629"/>
      <c r="HRR86" s="629"/>
      <c r="HRS86" s="629"/>
      <c r="HRT86" s="629"/>
      <c r="HRU86" s="629"/>
      <c r="HRV86" s="629"/>
      <c r="HRW86" s="629"/>
      <c r="HRX86" s="629"/>
      <c r="HRY86" s="629"/>
      <c r="HRZ86" s="629"/>
      <c r="HSA86" s="629"/>
      <c r="HSB86" s="629"/>
      <c r="HSC86" s="629"/>
      <c r="HSD86" s="629"/>
      <c r="HSE86" s="629"/>
      <c r="HSF86" s="629"/>
      <c r="HSG86" s="629"/>
      <c r="HSH86" s="629"/>
      <c r="HSI86" s="629"/>
      <c r="HSJ86" s="629"/>
      <c r="HSK86" s="629"/>
      <c r="HSL86" s="629"/>
      <c r="HSM86" s="629"/>
      <c r="HSN86" s="629"/>
      <c r="HSO86" s="629"/>
      <c r="HSP86" s="629"/>
      <c r="HSQ86" s="629"/>
      <c r="HSR86" s="629"/>
      <c r="HSS86" s="629"/>
      <c r="HST86" s="629"/>
      <c r="HSU86" s="629"/>
      <c r="HSV86" s="629"/>
      <c r="HSW86" s="629"/>
      <c r="HSX86" s="629"/>
      <c r="HSY86" s="629"/>
      <c r="HSZ86" s="629"/>
      <c r="HTA86" s="629"/>
      <c r="HTB86" s="629"/>
      <c r="HTC86" s="629"/>
      <c r="HTD86" s="629"/>
      <c r="HTE86" s="629"/>
      <c r="HTF86" s="629"/>
      <c r="HTG86" s="629"/>
      <c r="HTH86" s="629"/>
      <c r="HTI86" s="629"/>
      <c r="HTJ86" s="629"/>
      <c r="HTK86" s="629"/>
      <c r="HTL86" s="629"/>
      <c r="HTM86" s="629"/>
      <c r="HTN86" s="629"/>
      <c r="HTO86" s="629"/>
      <c r="HTP86" s="629"/>
      <c r="HTQ86" s="629"/>
      <c r="HTR86" s="629"/>
      <c r="HTS86" s="629"/>
      <c r="HTT86" s="629"/>
      <c r="HTU86" s="629"/>
      <c r="HTV86" s="629"/>
      <c r="HTW86" s="629"/>
      <c r="HTX86" s="629"/>
      <c r="HTY86" s="629"/>
      <c r="HTZ86" s="629"/>
      <c r="HUA86" s="629"/>
      <c r="HUB86" s="629"/>
      <c r="HUC86" s="629"/>
      <c r="HUD86" s="629"/>
      <c r="HUE86" s="629"/>
      <c r="HUF86" s="629"/>
      <c r="HUG86" s="629"/>
      <c r="HUH86" s="629"/>
      <c r="HUI86" s="629"/>
      <c r="HUJ86" s="629"/>
      <c r="HUK86" s="629"/>
      <c r="HUL86" s="629"/>
      <c r="HUM86" s="629"/>
      <c r="HUN86" s="629"/>
      <c r="HUO86" s="629"/>
      <c r="HUP86" s="629"/>
      <c r="HUQ86" s="629"/>
      <c r="HUR86" s="629"/>
      <c r="HUS86" s="629"/>
      <c r="HUT86" s="629"/>
      <c r="HUU86" s="629"/>
      <c r="HUV86" s="629"/>
      <c r="HUW86" s="629"/>
      <c r="HUX86" s="629"/>
      <c r="HUY86" s="629"/>
      <c r="HUZ86" s="629"/>
      <c r="HVA86" s="629"/>
      <c r="HVB86" s="629"/>
      <c r="HVC86" s="629"/>
      <c r="HVD86" s="629"/>
      <c r="HVE86" s="629"/>
      <c r="HVF86" s="629"/>
      <c r="HVG86" s="629"/>
      <c r="HVH86" s="629"/>
      <c r="HVI86" s="629"/>
      <c r="HVJ86" s="629"/>
      <c r="HVK86" s="629"/>
      <c r="HVL86" s="629"/>
      <c r="HVM86" s="629"/>
      <c r="HVN86" s="629"/>
      <c r="HVO86" s="629"/>
      <c r="HVP86" s="629"/>
      <c r="HVQ86" s="629"/>
      <c r="HVR86" s="629"/>
      <c r="HVS86" s="629"/>
      <c r="HVT86" s="629"/>
      <c r="HVU86" s="629"/>
      <c r="HVV86" s="629"/>
      <c r="HVW86" s="629"/>
      <c r="HVX86" s="629"/>
      <c r="HVY86" s="629"/>
      <c r="HVZ86" s="629"/>
      <c r="HWA86" s="629"/>
      <c r="HWB86" s="629"/>
      <c r="HWC86" s="629"/>
      <c r="HWD86" s="629"/>
      <c r="HWE86" s="629"/>
      <c r="HWF86" s="629"/>
      <c r="HWG86" s="629"/>
      <c r="HWH86" s="629"/>
      <c r="HWI86" s="629"/>
      <c r="HWJ86" s="629"/>
      <c r="HWK86" s="629"/>
      <c r="HWL86" s="629"/>
      <c r="HWM86" s="629"/>
      <c r="HWN86" s="629"/>
      <c r="HWO86" s="629"/>
      <c r="HWP86" s="629"/>
      <c r="HWQ86" s="629"/>
      <c r="HWR86" s="629"/>
      <c r="HWS86" s="629"/>
      <c r="HWT86" s="629"/>
      <c r="HWU86" s="629"/>
      <c r="HWV86" s="629"/>
      <c r="HWW86" s="629"/>
      <c r="HWX86" s="629"/>
      <c r="HWY86" s="629"/>
      <c r="HWZ86" s="629"/>
      <c r="HXA86" s="629"/>
      <c r="HXB86" s="629"/>
      <c r="HXC86" s="629"/>
      <c r="HXD86" s="629"/>
      <c r="HXE86" s="629"/>
      <c r="HXF86" s="629"/>
      <c r="HXG86" s="629"/>
      <c r="HXH86" s="629"/>
      <c r="HXI86" s="629"/>
      <c r="HXJ86" s="629"/>
      <c r="HXK86" s="629"/>
      <c r="HXL86" s="629"/>
      <c r="HXM86" s="629"/>
      <c r="HXN86" s="629"/>
      <c r="HXO86" s="629"/>
      <c r="HXP86" s="629"/>
      <c r="HXQ86" s="629"/>
      <c r="HXR86" s="629"/>
      <c r="HXS86" s="629"/>
      <c r="HXT86" s="629"/>
      <c r="HXU86" s="629"/>
      <c r="HXV86" s="629"/>
      <c r="HXW86" s="629"/>
      <c r="HXX86" s="629"/>
      <c r="HXY86" s="629"/>
      <c r="HXZ86" s="629"/>
      <c r="HYA86" s="629"/>
      <c r="HYB86" s="629"/>
      <c r="HYC86" s="629"/>
      <c r="HYD86" s="629"/>
      <c r="HYE86" s="629"/>
      <c r="HYF86" s="629"/>
      <c r="HYG86" s="629"/>
      <c r="HYH86" s="629"/>
      <c r="HYI86" s="629"/>
      <c r="HYJ86" s="629"/>
      <c r="HYK86" s="629"/>
      <c r="HYL86" s="629"/>
      <c r="HYM86" s="629"/>
      <c r="HYN86" s="629"/>
      <c r="HYO86" s="629"/>
      <c r="HYP86" s="629"/>
      <c r="HYQ86" s="629"/>
      <c r="HYR86" s="629"/>
      <c r="HYS86" s="629"/>
      <c r="HYT86" s="629"/>
      <c r="HYU86" s="629"/>
      <c r="HYV86" s="629"/>
      <c r="HYW86" s="629"/>
      <c r="HYX86" s="629"/>
      <c r="HYY86" s="629"/>
      <c r="HYZ86" s="629"/>
      <c r="HZA86" s="629"/>
      <c r="HZB86" s="629"/>
      <c r="HZC86" s="629"/>
      <c r="HZD86" s="629"/>
      <c r="HZE86" s="629"/>
      <c r="HZF86" s="629"/>
      <c r="HZG86" s="629"/>
      <c r="HZH86" s="629"/>
      <c r="HZI86" s="629"/>
      <c r="HZJ86" s="629"/>
      <c r="HZK86" s="629"/>
      <c r="HZL86" s="629"/>
      <c r="HZM86" s="629"/>
      <c r="HZN86" s="629"/>
      <c r="HZO86" s="629"/>
      <c r="HZP86" s="629"/>
      <c r="HZQ86" s="629"/>
      <c r="HZR86" s="629"/>
      <c r="HZS86" s="629"/>
      <c r="HZT86" s="629"/>
      <c r="HZU86" s="629"/>
      <c r="HZV86" s="629"/>
      <c r="HZW86" s="629"/>
      <c r="HZX86" s="629"/>
      <c r="HZY86" s="629"/>
      <c r="HZZ86" s="629"/>
      <c r="IAA86" s="629"/>
      <c r="IAB86" s="629"/>
      <c r="IAC86" s="629"/>
      <c r="IAD86" s="629"/>
      <c r="IAE86" s="629"/>
      <c r="IAF86" s="629"/>
      <c r="IAG86" s="629"/>
      <c r="IAH86" s="629"/>
      <c r="IAI86" s="629"/>
      <c r="IAJ86" s="629"/>
      <c r="IAK86" s="629"/>
      <c r="IAL86" s="629"/>
      <c r="IAM86" s="629"/>
      <c r="IAN86" s="629"/>
      <c r="IAO86" s="629"/>
      <c r="IAP86" s="629"/>
      <c r="IAQ86" s="629"/>
      <c r="IAR86" s="629"/>
      <c r="IAS86" s="629"/>
      <c r="IAT86" s="629"/>
      <c r="IAU86" s="629"/>
      <c r="IAV86" s="629"/>
      <c r="IAW86" s="629"/>
      <c r="IAX86" s="629"/>
      <c r="IAY86" s="629"/>
      <c r="IAZ86" s="629"/>
      <c r="IBA86" s="629"/>
      <c r="IBB86" s="629"/>
      <c r="IBC86" s="629"/>
      <c r="IBD86" s="629"/>
      <c r="IBE86" s="629"/>
      <c r="IBF86" s="629"/>
      <c r="IBG86" s="629"/>
      <c r="IBH86" s="629"/>
      <c r="IBI86" s="629"/>
      <c r="IBJ86" s="629"/>
      <c r="IBK86" s="629"/>
      <c r="IBL86" s="629"/>
      <c r="IBM86" s="629"/>
      <c r="IBN86" s="629"/>
      <c r="IBO86" s="629"/>
      <c r="IBP86" s="629"/>
      <c r="IBQ86" s="629"/>
      <c r="IBR86" s="629"/>
      <c r="IBS86" s="629"/>
      <c r="IBT86" s="629"/>
      <c r="IBU86" s="629"/>
      <c r="IBV86" s="629"/>
      <c r="IBW86" s="629"/>
      <c r="IBX86" s="629"/>
      <c r="IBY86" s="629"/>
      <c r="IBZ86" s="629"/>
      <c r="ICA86" s="629"/>
      <c r="ICB86" s="629"/>
      <c r="ICC86" s="629"/>
      <c r="ICD86" s="629"/>
      <c r="ICE86" s="629"/>
      <c r="ICF86" s="629"/>
      <c r="ICG86" s="629"/>
      <c r="ICH86" s="629"/>
      <c r="ICI86" s="629"/>
      <c r="ICJ86" s="629"/>
      <c r="ICK86" s="629"/>
      <c r="ICL86" s="629"/>
      <c r="ICM86" s="629"/>
      <c r="ICN86" s="629"/>
      <c r="ICO86" s="629"/>
      <c r="ICP86" s="629"/>
      <c r="ICQ86" s="629"/>
      <c r="ICR86" s="629"/>
      <c r="ICS86" s="629"/>
      <c r="ICT86" s="629"/>
      <c r="ICU86" s="629"/>
      <c r="ICV86" s="629"/>
      <c r="ICW86" s="629"/>
      <c r="ICX86" s="629"/>
      <c r="ICY86" s="629"/>
      <c r="ICZ86" s="629"/>
      <c r="IDA86" s="629"/>
      <c r="IDB86" s="629"/>
      <c r="IDC86" s="629"/>
      <c r="IDD86" s="629"/>
      <c r="IDE86" s="629"/>
      <c r="IDF86" s="629"/>
      <c r="IDG86" s="629"/>
      <c r="IDH86" s="629"/>
      <c r="IDI86" s="629"/>
      <c r="IDJ86" s="629"/>
      <c r="IDK86" s="629"/>
      <c r="IDL86" s="629"/>
      <c r="IDM86" s="629"/>
      <c r="IDN86" s="629"/>
      <c r="IDO86" s="629"/>
      <c r="IDP86" s="629"/>
      <c r="IDQ86" s="629"/>
      <c r="IDR86" s="629"/>
      <c r="IDS86" s="629"/>
      <c r="IDT86" s="629"/>
      <c r="IDU86" s="629"/>
      <c r="IDV86" s="629"/>
      <c r="IDW86" s="629"/>
      <c r="IDX86" s="629"/>
      <c r="IDY86" s="629"/>
      <c r="IDZ86" s="629"/>
      <c r="IEA86" s="629"/>
      <c r="IEB86" s="629"/>
      <c r="IEC86" s="629"/>
      <c r="IED86" s="629"/>
      <c r="IEE86" s="629"/>
      <c r="IEF86" s="629"/>
      <c r="IEG86" s="629"/>
      <c r="IEH86" s="629"/>
      <c r="IEI86" s="629"/>
      <c r="IEJ86" s="629"/>
      <c r="IEK86" s="629"/>
      <c r="IEL86" s="629"/>
      <c r="IEM86" s="629"/>
      <c r="IEN86" s="629"/>
      <c r="IEO86" s="629"/>
      <c r="IEP86" s="629"/>
      <c r="IEQ86" s="629"/>
      <c r="IER86" s="629"/>
      <c r="IES86" s="629"/>
      <c r="IET86" s="629"/>
      <c r="IEU86" s="629"/>
      <c r="IEV86" s="629"/>
      <c r="IEW86" s="629"/>
      <c r="IEX86" s="629"/>
      <c r="IEY86" s="629"/>
      <c r="IEZ86" s="629"/>
      <c r="IFA86" s="629"/>
      <c r="IFB86" s="629"/>
      <c r="IFC86" s="629"/>
      <c r="IFD86" s="629"/>
      <c r="IFE86" s="629"/>
      <c r="IFF86" s="629"/>
      <c r="IFG86" s="629"/>
      <c r="IFH86" s="629"/>
      <c r="IFI86" s="629"/>
      <c r="IFJ86" s="629"/>
      <c r="IFK86" s="629"/>
      <c r="IFL86" s="629"/>
      <c r="IFM86" s="629"/>
      <c r="IFN86" s="629"/>
      <c r="IFO86" s="629"/>
      <c r="IFP86" s="629"/>
      <c r="IFQ86" s="629"/>
      <c r="IFR86" s="629"/>
      <c r="IFS86" s="629"/>
      <c r="IFT86" s="629"/>
      <c r="IFU86" s="629"/>
      <c r="IFV86" s="629"/>
      <c r="IFW86" s="629"/>
      <c r="IFX86" s="629"/>
      <c r="IFY86" s="629"/>
      <c r="IFZ86" s="629"/>
      <c r="IGA86" s="629"/>
      <c r="IGB86" s="629"/>
      <c r="IGC86" s="629"/>
      <c r="IGD86" s="629"/>
      <c r="IGE86" s="629"/>
      <c r="IGF86" s="629"/>
      <c r="IGG86" s="629"/>
      <c r="IGH86" s="629"/>
      <c r="IGI86" s="629"/>
      <c r="IGJ86" s="629"/>
      <c r="IGK86" s="629"/>
      <c r="IGL86" s="629"/>
      <c r="IGM86" s="629"/>
      <c r="IGN86" s="629"/>
      <c r="IGO86" s="629"/>
      <c r="IGP86" s="629"/>
      <c r="IGQ86" s="629"/>
      <c r="IGR86" s="629"/>
      <c r="IGS86" s="629"/>
      <c r="IGT86" s="629"/>
      <c r="IGU86" s="629"/>
      <c r="IGV86" s="629"/>
      <c r="IGW86" s="629"/>
      <c r="IGX86" s="629"/>
      <c r="IGY86" s="629"/>
      <c r="IGZ86" s="629"/>
      <c r="IHA86" s="629"/>
      <c r="IHB86" s="629"/>
      <c r="IHC86" s="629"/>
      <c r="IHD86" s="629"/>
      <c r="IHE86" s="629"/>
      <c r="IHF86" s="629"/>
      <c r="IHG86" s="629"/>
      <c r="IHH86" s="629"/>
      <c r="IHI86" s="629"/>
      <c r="IHJ86" s="629"/>
      <c r="IHK86" s="629"/>
      <c r="IHL86" s="629"/>
      <c r="IHM86" s="629"/>
      <c r="IHN86" s="629"/>
      <c r="IHO86" s="629"/>
      <c r="IHP86" s="629"/>
      <c r="IHQ86" s="629"/>
      <c r="IHR86" s="629"/>
      <c r="IHS86" s="629"/>
      <c r="IHT86" s="629"/>
      <c r="IHU86" s="629"/>
      <c r="IHV86" s="629"/>
      <c r="IHW86" s="629"/>
      <c r="IHX86" s="629"/>
      <c r="IHY86" s="629"/>
      <c r="IHZ86" s="629"/>
      <c r="IIA86" s="629"/>
      <c r="IIB86" s="629"/>
      <c r="IIC86" s="629"/>
      <c r="IID86" s="629"/>
      <c r="IIE86" s="629"/>
      <c r="IIF86" s="629"/>
      <c r="IIG86" s="629"/>
      <c r="IIH86" s="629"/>
      <c r="III86" s="629"/>
      <c r="IIJ86" s="629"/>
      <c r="IIK86" s="629"/>
      <c r="IIL86" s="629"/>
      <c r="IIM86" s="629"/>
      <c r="IIN86" s="629"/>
      <c r="IIO86" s="629"/>
      <c r="IIP86" s="629"/>
      <c r="IIQ86" s="629"/>
      <c r="IIR86" s="629"/>
      <c r="IIS86" s="629"/>
      <c r="IIT86" s="629"/>
      <c r="IIU86" s="629"/>
      <c r="IIV86" s="629"/>
      <c r="IIW86" s="629"/>
      <c r="IIX86" s="629"/>
      <c r="IIY86" s="629"/>
      <c r="IIZ86" s="629"/>
      <c r="IJA86" s="629"/>
      <c r="IJB86" s="629"/>
      <c r="IJC86" s="629"/>
      <c r="IJD86" s="629"/>
      <c r="IJE86" s="629"/>
      <c r="IJF86" s="629"/>
      <c r="IJG86" s="629"/>
      <c r="IJH86" s="629"/>
      <c r="IJI86" s="629"/>
      <c r="IJJ86" s="629"/>
      <c r="IJK86" s="629"/>
      <c r="IJL86" s="629"/>
      <c r="IJM86" s="629"/>
      <c r="IJN86" s="629"/>
      <c r="IJO86" s="629"/>
      <c r="IJP86" s="629"/>
      <c r="IJQ86" s="629"/>
      <c r="IJR86" s="629"/>
      <c r="IJS86" s="629"/>
      <c r="IJT86" s="629"/>
      <c r="IJU86" s="629"/>
      <c r="IJV86" s="629"/>
      <c r="IJW86" s="629"/>
      <c r="IJX86" s="629"/>
      <c r="IJY86" s="629"/>
      <c r="IJZ86" s="629"/>
      <c r="IKA86" s="629"/>
      <c r="IKB86" s="629"/>
      <c r="IKC86" s="629"/>
      <c r="IKD86" s="629"/>
      <c r="IKE86" s="629"/>
      <c r="IKF86" s="629"/>
      <c r="IKG86" s="629"/>
      <c r="IKH86" s="629"/>
      <c r="IKI86" s="629"/>
      <c r="IKJ86" s="629"/>
      <c r="IKK86" s="629"/>
      <c r="IKL86" s="629"/>
      <c r="IKM86" s="629"/>
      <c r="IKN86" s="629"/>
      <c r="IKO86" s="629"/>
      <c r="IKP86" s="629"/>
      <c r="IKQ86" s="629"/>
      <c r="IKR86" s="629"/>
      <c r="IKS86" s="629"/>
      <c r="IKT86" s="629"/>
      <c r="IKU86" s="629"/>
      <c r="IKV86" s="629"/>
      <c r="IKW86" s="629"/>
      <c r="IKX86" s="629"/>
      <c r="IKY86" s="629"/>
      <c r="IKZ86" s="629"/>
      <c r="ILA86" s="629"/>
      <c r="ILB86" s="629"/>
      <c r="ILC86" s="629"/>
      <c r="ILD86" s="629"/>
      <c r="ILE86" s="629"/>
      <c r="ILF86" s="629"/>
      <c r="ILG86" s="629"/>
      <c r="ILH86" s="629"/>
      <c r="ILI86" s="629"/>
      <c r="ILJ86" s="629"/>
      <c r="ILK86" s="629"/>
      <c r="ILL86" s="629"/>
      <c r="ILM86" s="629"/>
      <c r="ILN86" s="629"/>
      <c r="ILO86" s="629"/>
      <c r="ILP86" s="629"/>
      <c r="ILQ86" s="629"/>
      <c r="ILR86" s="629"/>
      <c r="ILS86" s="629"/>
      <c r="ILT86" s="629"/>
      <c r="ILU86" s="629"/>
      <c r="ILV86" s="629"/>
      <c r="ILW86" s="629"/>
      <c r="ILX86" s="629"/>
      <c r="ILY86" s="629"/>
      <c r="ILZ86" s="629"/>
      <c r="IMA86" s="629"/>
      <c r="IMB86" s="629"/>
      <c r="IMC86" s="629"/>
      <c r="IMD86" s="629"/>
      <c r="IME86" s="629"/>
      <c r="IMF86" s="629"/>
      <c r="IMG86" s="629"/>
      <c r="IMH86" s="629"/>
      <c r="IMI86" s="629"/>
      <c r="IMJ86" s="629"/>
      <c r="IMK86" s="629"/>
      <c r="IML86" s="629"/>
      <c r="IMM86" s="629"/>
      <c r="IMN86" s="629"/>
      <c r="IMO86" s="629"/>
      <c r="IMP86" s="629"/>
      <c r="IMQ86" s="629"/>
      <c r="IMR86" s="629"/>
      <c r="IMS86" s="629"/>
      <c r="IMT86" s="629"/>
      <c r="IMU86" s="629"/>
      <c r="IMV86" s="629"/>
      <c r="IMW86" s="629"/>
      <c r="IMX86" s="629"/>
      <c r="IMY86" s="629"/>
      <c r="IMZ86" s="629"/>
      <c r="INA86" s="629"/>
      <c r="INB86" s="629"/>
      <c r="INC86" s="629"/>
      <c r="IND86" s="629"/>
      <c r="INE86" s="629"/>
      <c r="INF86" s="629"/>
      <c r="ING86" s="629"/>
      <c r="INH86" s="629"/>
      <c r="INI86" s="629"/>
      <c r="INJ86" s="629"/>
      <c r="INK86" s="629"/>
      <c r="INL86" s="629"/>
      <c r="INM86" s="629"/>
      <c r="INN86" s="629"/>
      <c r="INO86" s="629"/>
      <c r="INP86" s="629"/>
      <c r="INQ86" s="629"/>
      <c r="INR86" s="629"/>
      <c r="INS86" s="629"/>
      <c r="INT86" s="629"/>
      <c r="INU86" s="629"/>
      <c r="INV86" s="629"/>
      <c r="INW86" s="629"/>
      <c r="INX86" s="629"/>
      <c r="INY86" s="629"/>
      <c r="INZ86" s="629"/>
      <c r="IOA86" s="629"/>
      <c r="IOB86" s="629"/>
      <c r="IOC86" s="629"/>
      <c r="IOD86" s="629"/>
      <c r="IOE86" s="629"/>
      <c r="IOF86" s="629"/>
      <c r="IOG86" s="629"/>
      <c r="IOH86" s="629"/>
      <c r="IOI86" s="629"/>
      <c r="IOJ86" s="629"/>
      <c r="IOK86" s="629"/>
      <c r="IOL86" s="629"/>
      <c r="IOM86" s="629"/>
      <c r="ION86" s="629"/>
      <c r="IOO86" s="629"/>
      <c r="IOP86" s="629"/>
      <c r="IOQ86" s="629"/>
      <c r="IOR86" s="629"/>
      <c r="IOS86" s="629"/>
      <c r="IOT86" s="629"/>
      <c r="IOU86" s="629"/>
      <c r="IOV86" s="629"/>
      <c r="IOW86" s="629"/>
      <c r="IOX86" s="629"/>
      <c r="IOY86" s="629"/>
      <c r="IOZ86" s="629"/>
      <c r="IPA86" s="629"/>
      <c r="IPB86" s="629"/>
      <c r="IPC86" s="629"/>
      <c r="IPD86" s="629"/>
      <c r="IPE86" s="629"/>
      <c r="IPF86" s="629"/>
      <c r="IPG86" s="629"/>
      <c r="IPH86" s="629"/>
      <c r="IPI86" s="629"/>
      <c r="IPJ86" s="629"/>
      <c r="IPK86" s="629"/>
      <c r="IPL86" s="629"/>
      <c r="IPM86" s="629"/>
      <c r="IPN86" s="629"/>
      <c r="IPO86" s="629"/>
      <c r="IPP86" s="629"/>
      <c r="IPQ86" s="629"/>
      <c r="IPR86" s="629"/>
      <c r="IPS86" s="629"/>
      <c r="IPT86" s="629"/>
      <c r="IPU86" s="629"/>
      <c r="IPV86" s="629"/>
      <c r="IPW86" s="629"/>
      <c r="IPX86" s="629"/>
      <c r="IPY86" s="629"/>
      <c r="IPZ86" s="629"/>
      <c r="IQA86" s="629"/>
      <c r="IQB86" s="629"/>
      <c r="IQC86" s="629"/>
      <c r="IQD86" s="629"/>
      <c r="IQE86" s="629"/>
      <c r="IQF86" s="629"/>
      <c r="IQG86" s="629"/>
      <c r="IQH86" s="629"/>
      <c r="IQI86" s="629"/>
      <c r="IQJ86" s="629"/>
      <c r="IQK86" s="629"/>
      <c r="IQL86" s="629"/>
      <c r="IQM86" s="629"/>
      <c r="IQN86" s="629"/>
      <c r="IQO86" s="629"/>
      <c r="IQP86" s="629"/>
      <c r="IQQ86" s="629"/>
      <c r="IQR86" s="629"/>
      <c r="IQS86" s="629"/>
      <c r="IQT86" s="629"/>
      <c r="IQU86" s="629"/>
      <c r="IQV86" s="629"/>
      <c r="IQW86" s="629"/>
      <c r="IQX86" s="629"/>
      <c r="IQY86" s="629"/>
      <c r="IQZ86" s="629"/>
      <c r="IRA86" s="629"/>
      <c r="IRB86" s="629"/>
      <c r="IRC86" s="629"/>
      <c r="IRD86" s="629"/>
      <c r="IRE86" s="629"/>
      <c r="IRF86" s="629"/>
      <c r="IRG86" s="629"/>
      <c r="IRH86" s="629"/>
      <c r="IRI86" s="629"/>
      <c r="IRJ86" s="629"/>
      <c r="IRK86" s="629"/>
      <c r="IRL86" s="629"/>
      <c r="IRM86" s="629"/>
      <c r="IRN86" s="629"/>
      <c r="IRO86" s="629"/>
      <c r="IRP86" s="629"/>
      <c r="IRQ86" s="629"/>
      <c r="IRR86" s="629"/>
      <c r="IRS86" s="629"/>
      <c r="IRT86" s="629"/>
      <c r="IRU86" s="629"/>
      <c r="IRV86" s="629"/>
      <c r="IRW86" s="629"/>
      <c r="IRX86" s="629"/>
      <c r="IRY86" s="629"/>
      <c r="IRZ86" s="629"/>
      <c r="ISA86" s="629"/>
      <c r="ISB86" s="629"/>
      <c r="ISC86" s="629"/>
      <c r="ISD86" s="629"/>
      <c r="ISE86" s="629"/>
      <c r="ISF86" s="629"/>
      <c r="ISG86" s="629"/>
      <c r="ISH86" s="629"/>
      <c r="ISI86" s="629"/>
      <c r="ISJ86" s="629"/>
      <c r="ISK86" s="629"/>
      <c r="ISL86" s="629"/>
      <c r="ISM86" s="629"/>
      <c r="ISN86" s="629"/>
      <c r="ISO86" s="629"/>
      <c r="ISP86" s="629"/>
      <c r="ISQ86" s="629"/>
      <c r="ISR86" s="629"/>
      <c r="ISS86" s="629"/>
      <c r="IST86" s="629"/>
      <c r="ISU86" s="629"/>
      <c r="ISV86" s="629"/>
      <c r="ISW86" s="629"/>
      <c r="ISX86" s="629"/>
      <c r="ISY86" s="629"/>
      <c r="ISZ86" s="629"/>
      <c r="ITA86" s="629"/>
      <c r="ITB86" s="629"/>
      <c r="ITC86" s="629"/>
      <c r="ITD86" s="629"/>
      <c r="ITE86" s="629"/>
      <c r="ITF86" s="629"/>
      <c r="ITG86" s="629"/>
      <c r="ITH86" s="629"/>
      <c r="ITI86" s="629"/>
      <c r="ITJ86" s="629"/>
      <c r="ITK86" s="629"/>
      <c r="ITL86" s="629"/>
      <c r="ITM86" s="629"/>
      <c r="ITN86" s="629"/>
      <c r="ITO86" s="629"/>
      <c r="ITP86" s="629"/>
      <c r="ITQ86" s="629"/>
      <c r="ITR86" s="629"/>
      <c r="ITS86" s="629"/>
      <c r="ITT86" s="629"/>
      <c r="ITU86" s="629"/>
      <c r="ITV86" s="629"/>
      <c r="ITW86" s="629"/>
      <c r="ITX86" s="629"/>
      <c r="ITY86" s="629"/>
      <c r="ITZ86" s="629"/>
      <c r="IUA86" s="629"/>
      <c r="IUB86" s="629"/>
      <c r="IUC86" s="629"/>
      <c r="IUD86" s="629"/>
      <c r="IUE86" s="629"/>
      <c r="IUF86" s="629"/>
      <c r="IUG86" s="629"/>
      <c r="IUH86" s="629"/>
      <c r="IUI86" s="629"/>
      <c r="IUJ86" s="629"/>
      <c r="IUK86" s="629"/>
      <c r="IUL86" s="629"/>
      <c r="IUM86" s="629"/>
      <c r="IUN86" s="629"/>
      <c r="IUO86" s="629"/>
      <c r="IUP86" s="629"/>
      <c r="IUQ86" s="629"/>
      <c r="IUR86" s="629"/>
      <c r="IUS86" s="629"/>
      <c r="IUT86" s="629"/>
      <c r="IUU86" s="629"/>
      <c r="IUV86" s="629"/>
      <c r="IUW86" s="629"/>
      <c r="IUX86" s="629"/>
      <c r="IUY86" s="629"/>
      <c r="IUZ86" s="629"/>
      <c r="IVA86" s="629"/>
      <c r="IVB86" s="629"/>
      <c r="IVC86" s="629"/>
      <c r="IVD86" s="629"/>
      <c r="IVE86" s="629"/>
      <c r="IVF86" s="629"/>
      <c r="IVG86" s="629"/>
      <c r="IVH86" s="629"/>
      <c r="IVI86" s="629"/>
      <c r="IVJ86" s="629"/>
      <c r="IVK86" s="629"/>
      <c r="IVL86" s="629"/>
      <c r="IVM86" s="629"/>
      <c r="IVN86" s="629"/>
      <c r="IVO86" s="629"/>
      <c r="IVP86" s="629"/>
      <c r="IVQ86" s="629"/>
      <c r="IVR86" s="629"/>
      <c r="IVS86" s="629"/>
      <c r="IVT86" s="629"/>
      <c r="IVU86" s="629"/>
      <c r="IVV86" s="629"/>
      <c r="IVW86" s="629"/>
      <c r="IVX86" s="629"/>
      <c r="IVY86" s="629"/>
      <c r="IVZ86" s="629"/>
      <c r="IWA86" s="629"/>
      <c r="IWB86" s="629"/>
      <c r="IWC86" s="629"/>
      <c r="IWD86" s="629"/>
      <c r="IWE86" s="629"/>
      <c r="IWF86" s="629"/>
      <c r="IWG86" s="629"/>
      <c r="IWH86" s="629"/>
      <c r="IWI86" s="629"/>
      <c r="IWJ86" s="629"/>
      <c r="IWK86" s="629"/>
      <c r="IWL86" s="629"/>
      <c r="IWM86" s="629"/>
      <c r="IWN86" s="629"/>
      <c r="IWO86" s="629"/>
      <c r="IWP86" s="629"/>
      <c r="IWQ86" s="629"/>
      <c r="IWR86" s="629"/>
      <c r="IWS86" s="629"/>
      <c r="IWT86" s="629"/>
      <c r="IWU86" s="629"/>
      <c r="IWV86" s="629"/>
      <c r="IWW86" s="629"/>
      <c r="IWX86" s="629"/>
      <c r="IWY86" s="629"/>
      <c r="IWZ86" s="629"/>
      <c r="IXA86" s="629"/>
      <c r="IXB86" s="629"/>
      <c r="IXC86" s="629"/>
      <c r="IXD86" s="629"/>
      <c r="IXE86" s="629"/>
      <c r="IXF86" s="629"/>
      <c r="IXG86" s="629"/>
      <c r="IXH86" s="629"/>
      <c r="IXI86" s="629"/>
      <c r="IXJ86" s="629"/>
      <c r="IXK86" s="629"/>
      <c r="IXL86" s="629"/>
      <c r="IXM86" s="629"/>
      <c r="IXN86" s="629"/>
      <c r="IXO86" s="629"/>
      <c r="IXP86" s="629"/>
      <c r="IXQ86" s="629"/>
      <c r="IXR86" s="629"/>
      <c r="IXS86" s="629"/>
      <c r="IXT86" s="629"/>
      <c r="IXU86" s="629"/>
      <c r="IXV86" s="629"/>
      <c r="IXW86" s="629"/>
      <c r="IXX86" s="629"/>
      <c r="IXY86" s="629"/>
      <c r="IXZ86" s="629"/>
      <c r="IYA86" s="629"/>
      <c r="IYB86" s="629"/>
      <c r="IYC86" s="629"/>
      <c r="IYD86" s="629"/>
      <c r="IYE86" s="629"/>
      <c r="IYF86" s="629"/>
      <c r="IYG86" s="629"/>
      <c r="IYH86" s="629"/>
      <c r="IYI86" s="629"/>
      <c r="IYJ86" s="629"/>
      <c r="IYK86" s="629"/>
      <c r="IYL86" s="629"/>
      <c r="IYM86" s="629"/>
      <c r="IYN86" s="629"/>
      <c r="IYO86" s="629"/>
      <c r="IYP86" s="629"/>
      <c r="IYQ86" s="629"/>
      <c r="IYR86" s="629"/>
      <c r="IYS86" s="629"/>
      <c r="IYT86" s="629"/>
      <c r="IYU86" s="629"/>
      <c r="IYV86" s="629"/>
      <c r="IYW86" s="629"/>
      <c r="IYX86" s="629"/>
      <c r="IYY86" s="629"/>
      <c r="IYZ86" s="629"/>
      <c r="IZA86" s="629"/>
      <c r="IZB86" s="629"/>
      <c r="IZC86" s="629"/>
      <c r="IZD86" s="629"/>
      <c r="IZE86" s="629"/>
      <c r="IZF86" s="629"/>
      <c r="IZG86" s="629"/>
      <c r="IZH86" s="629"/>
      <c r="IZI86" s="629"/>
      <c r="IZJ86" s="629"/>
      <c r="IZK86" s="629"/>
      <c r="IZL86" s="629"/>
      <c r="IZM86" s="629"/>
      <c r="IZN86" s="629"/>
      <c r="IZO86" s="629"/>
      <c r="IZP86" s="629"/>
      <c r="IZQ86" s="629"/>
      <c r="IZR86" s="629"/>
      <c r="IZS86" s="629"/>
      <c r="IZT86" s="629"/>
      <c r="IZU86" s="629"/>
      <c r="IZV86" s="629"/>
      <c r="IZW86" s="629"/>
      <c r="IZX86" s="629"/>
      <c r="IZY86" s="629"/>
      <c r="IZZ86" s="629"/>
      <c r="JAA86" s="629"/>
      <c r="JAB86" s="629"/>
      <c r="JAC86" s="629"/>
      <c r="JAD86" s="629"/>
      <c r="JAE86" s="629"/>
      <c r="JAF86" s="629"/>
      <c r="JAG86" s="629"/>
      <c r="JAH86" s="629"/>
      <c r="JAI86" s="629"/>
      <c r="JAJ86" s="629"/>
      <c r="JAK86" s="629"/>
      <c r="JAL86" s="629"/>
      <c r="JAM86" s="629"/>
      <c r="JAN86" s="629"/>
      <c r="JAO86" s="629"/>
      <c r="JAP86" s="629"/>
      <c r="JAQ86" s="629"/>
      <c r="JAR86" s="629"/>
      <c r="JAS86" s="629"/>
      <c r="JAT86" s="629"/>
      <c r="JAU86" s="629"/>
      <c r="JAV86" s="629"/>
      <c r="JAW86" s="629"/>
      <c r="JAX86" s="629"/>
      <c r="JAY86" s="629"/>
      <c r="JAZ86" s="629"/>
      <c r="JBA86" s="629"/>
      <c r="JBB86" s="629"/>
      <c r="JBC86" s="629"/>
      <c r="JBD86" s="629"/>
      <c r="JBE86" s="629"/>
      <c r="JBF86" s="629"/>
      <c r="JBG86" s="629"/>
      <c r="JBH86" s="629"/>
      <c r="JBI86" s="629"/>
      <c r="JBJ86" s="629"/>
      <c r="JBK86" s="629"/>
      <c r="JBL86" s="629"/>
      <c r="JBM86" s="629"/>
      <c r="JBN86" s="629"/>
      <c r="JBO86" s="629"/>
      <c r="JBP86" s="629"/>
      <c r="JBQ86" s="629"/>
      <c r="JBR86" s="629"/>
      <c r="JBS86" s="629"/>
      <c r="JBT86" s="629"/>
      <c r="JBU86" s="629"/>
      <c r="JBV86" s="629"/>
      <c r="JBW86" s="629"/>
      <c r="JBX86" s="629"/>
      <c r="JBY86" s="629"/>
      <c r="JBZ86" s="629"/>
      <c r="JCA86" s="629"/>
      <c r="JCB86" s="629"/>
      <c r="JCC86" s="629"/>
      <c r="JCD86" s="629"/>
      <c r="JCE86" s="629"/>
      <c r="JCF86" s="629"/>
      <c r="JCG86" s="629"/>
      <c r="JCH86" s="629"/>
      <c r="JCI86" s="629"/>
      <c r="JCJ86" s="629"/>
      <c r="JCK86" s="629"/>
      <c r="JCL86" s="629"/>
      <c r="JCM86" s="629"/>
      <c r="JCN86" s="629"/>
      <c r="JCO86" s="629"/>
      <c r="JCP86" s="629"/>
      <c r="JCQ86" s="629"/>
      <c r="JCR86" s="629"/>
      <c r="JCS86" s="629"/>
      <c r="JCT86" s="629"/>
      <c r="JCU86" s="629"/>
      <c r="JCV86" s="629"/>
      <c r="JCW86" s="629"/>
      <c r="JCX86" s="629"/>
      <c r="JCY86" s="629"/>
      <c r="JCZ86" s="629"/>
      <c r="JDA86" s="629"/>
      <c r="JDB86" s="629"/>
      <c r="JDC86" s="629"/>
      <c r="JDD86" s="629"/>
      <c r="JDE86" s="629"/>
      <c r="JDF86" s="629"/>
      <c r="JDG86" s="629"/>
      <c r="JDH86" s="629"/>
      <c r="JDI86" s="629"/>
      <c r="JDJ86" s="629"/>
      <c r="JDK86" s="629"/>
      <c r="JDL86" s="629"/>
      <c r="JDM86" s="629"/>
      <c r="JDN86" s="629"/>
      <c r="JDO86" s="629"/>
      <c r="JDP86" s="629"/>
      <c r="JDQ86" s="629"/>
      <c r="JDR86" s="629"/>
      <c r="JDS86" s="629"/>
      <c r="JDT86" s="629"/>
      <c r="JDU86" s="629"/>
      <c r="JDV86" s="629"/>
      <c r="JDW86" s="629"/>
      <c r="JDX86" s="629"/>
      <c r="JDY86" s="629"/>
      <c r="JDZ86" s="629"/>
      <c r="JEA86" s="629"/>
      <c r="JEB86" s="629"/>
      <c r="JEC86" s="629"/>
      <c r="JED86" s="629"/>
      <c r="JEE86" s="629"/>
      <c r="JEF86" s="629"/>
      <c r="JEG86" s="629"/>
      <c r="JEH86" s="629"/>
      <c r="JEI86" s="629"/>
      <c r="JEJ86" s="629"/>
      <c r="JEK86" s="629"/>
      <c r="JEL86" s="629"/>
      <c r="JEM86" s="629"/>
      <c r="JEN86" s="629"/>
      <c r="JEO86" s="629"/>
      <c r="JEP86" s="629"/>
      <c r="JEQ86" s="629"/>
      <c r="JER86" s="629"/>
      <c r="JES86" s="629"/>
      <c r="JET86" s="629"/>
      <c r="JEU86" s="629"/>
      <c r="JEV86" s="629"/>
      <c r="JEW86" s="629"/>
      <c r="JEX86" s="629"/>
      <c r="JEY86" s="629"/>
      <c r="JEZ86" s="629"/>
      <c r="JFA86" s="629"/>
      <c r="JFB86" s="629"/>
      <c r="JFC86" s="629"/>
      <c r="JFD86" s="629"/>
      <c r="JFE86" s="629"/>
      <c r="JFF86" s="629"/>
      <c r="JFG86" s="629"/>
      <c r="JFH86" s="629"/>
      <c r="JFI86" s="629"/>
      <c r="JFJ86" s="629"/>
      <c r="JFK86" s="629"/>
      <c r="JFL86" s="629"/>
      <c r="JFM86" s="629"/>
      <c r="JFN86" s="629"/>
      <c r="JFO86" s="629"/>
      <c r="JFP86" s="629"/>
      <c r="JFQ86" s="629"/>
      <c r="JFR86" s="629"/>
      <c r="JFS86" s="629"/>
      <c r="JFT86" s="629"/>
      <c r="JFU86" s="629"/>
      <c r="JFV86" s="629"/>
      <c r="JFW86" s="629"/>
      <c r="JFX86" s="629"/>
      <c r="JFY86" s="629"/>
      <c r="JFZ86" s="629"/>
      <c r="JGA86" s="629"/>
      <c r="JGB86" s="629"/>
      <c r="JGC86" s="629"/>
      <c r="JGD86" s="629"/>
      <c r="JGE86" s="629"/>
      <c r="JGF86" s="629"/>
      <c r="JGG86" s="629"/>
      <c r="JGH86" s="629"/>
      <c r="JGI86" s="629"/>
      <c r="JGJ86" s="629"/>
      <c r="JGK86" s="629"/>
      <c r="JGL86" s="629"/>
      <c r="JGM86" s="629"/>
      <c r="JGN86" s="629"/>
      <c r="JGO86" s="629"/>
      <c r="JGP86" s="629"/>
      <c r="JGQ86" s="629"/>
      <c r="JGR86" s="629"/>
      <c r="JGS86" s="629"/>
      <c r="JGT86" s="629"/>
      <c r="JGU86" s="629"/>
      <c r="JGV86" s="629"/>
      <c r="JGW86" s="629"/>
      <c r="JGX86" s="629"/>
      <c r="JGY86" s="629"/>
      <c r="JGZ86" s="629"/>
      <c r="JHA86" s="629"/>
      <c r="JHB86" s="629"/>
      <c r="JHC86" s="629"/>
      <c r="JHD86" s="629"/>
      <c r="JHE86" s="629"/>
      <c r="JHF86" s="629"/>
      <c r="JHG86" s="629"/>
      <c r="JHH86" s="629"/>
      <c r="JHI86" s="629"/>
      <c r="JHJ86" s="629"/>
      <c r="JHK86" s="629"/>
      <c r="JHL86" s="629"/>
      <c r="JHM86" s="629"/>
      <c r="JHN86" s="629"/>
      <c r="JHO86" s="629"/>
      <c r="JHP86" s="629"/>
      <c r="JHQ86" s="629"/>
      <c r="JHR86" s="629"/>
      <c r="JHS86" s="629"/>
      <c r="JHT86" s="629"/>
      <c r="JHU86" s="629"/>
      <c r="JHV86" s="629"/>
      <c r="JHW86" s="629"/>
      <c r="JHX86" s="629"/>
      <c r="JHY86" s="629"/>
      <c r="JHZ86" s="629"/>
      <c r="JIA86" s="629"/>
      <c r="JIB86" s="629"/>
      <c r="JIC86" s="629"/>
      <c r="JID86" s="629"/>
      <c r="JIE86" s="629"/>
      <c r="JIF86" s="629"/>
      <c r="JIG86" s="629"/>
      <c r="JIH86" s="629"/>
      <c r="JII86" s="629"/>
      <c r="JIJ86" s="629"/>
      <c r="JIK86" s="629"/>
      <c r="JIL86" s="629"/>
      <c r="JIM86" s="629"/>
      <c r="JIN86" s="629"/>
      <c r="JIO86" s="629"/>
      <c r="JIP86" s="629"/>
      <c r="JIQ86" s="629"/>
      <c r="JIR86" s="629"/>
      <c r="JIS86" s="629"/>
      <c r="JIT86" s="629"/>
      <c r="JIU86" s="629"/>
      <c r="JIV86" s="629"/>
      <c r="JIW86" s="629"/>
      <c r="JIX86" s="629"/>
      <c r="JIY86" s="629"/>
      <c r="JIZ86" s="629"/>
      <c r="JJA86" s="629"/>
      <c r="JJB86" s="629"/>
      <c r="JJC86" s="629"/>
      <c r="JJD86" s="629"/>
      <c r="JJE86" s="629"/>
      <c r="JJF86" s="629"/>
      <c r="JJG86" s="629"/>
      <c r="JJH86" s="629"/>
      <c r="JJI86" s="629"/>
      <c r="JJJ86" s="629"/>
      <c r="JJK86" s="629"/>
      <c r="JJL86" s="629"/>
      <c r="JJM86" s="629"/>
      <c r="JJN86" s="629"/>
      <c r="JJO86" s="629"/>
      <c r="JJP86" s="629"/>
      <c r="JJQ86" s="629"/>
      <c r="JJR86" s="629"/>
      <c r="JJS86" s="629"/>
      <c r="JJT86" s="629"/>
      <c r="JJU86" s="629"/>
      <c r="JJV86" s="629"/>
      <c r="JJW86" s="629"/>
      <c r="JJX86" s="629"/>
      <c r="JJY86" s="629"/>
      <c r="JJZ86" s="629"/>
      <c r="JKA86" s="629"/>
      <c r="JKB86" s="629"/>
      <c r="JKC86" s="629"/>
      <c r="JKD86" s="629"/>
      <c r="JKE86" s="629"/>
      <c r="JKF86" s="629"/>
      <c r="JKG86" s="629"/>
      <c r="JKH86" s="629"/>
      <c r="JKI86" s="629"/>
      <c r="JKJ86" s="629"/>
      <c r="JKK86" s="629"/>
      <c r="JKL86" s="629"/>
      <c r="JKM86" s="629"/>
      <c r="JKN86" s="629"/>
      <c r="JKO86" s="629"/>
      <c r="JKP86" s="629"/>
      <c r="JKQ86" s="629"/>
      <c r="JKR86" s="629"/>
      <c r="JKS86" s="629"/>
      <c r="JKT86" s="629"/>
      <c r="JKU86" s="629"/>
      <c r="JKV86" s="629"/>
      <c r="JKW86" s="629"/>
      <c r="JKX86" s="629"/>
      <c r="JKY86" s="629"/>
      <c r="JKZ86" s="629"/>
      <c r="JLA86" s="629"/>
      <c r="JLB86" s="629"/>
      <c r="JLC86" s="629"/>
      <c r="JLD86" s="629"/>
      <c r="JLE86" s="629"/>
      <c r="JLF86" s="629"/>
      <c r="JLG86" s="629"/>
      <c r="JLH86" s="629"/>
      <c r="JLI86" s="629"/>
      <c r="JLJ86" s="629"/>
      <c r="JLK86" s="629"/>
      <c r="JLL86" s="629"/>
      <c r="JLM86" s="629"/>
      <c r="JLN86" s="629"/>
      <c r="JLO86" s="629"/>
      <c r="JLP86" s="629"/>
      <c r="JLQ86" s="629"/>
      <c r="JLR86" s="629"/>
      <c r="JLS86" s="629"/>
      <c r="JLT86" s="629"/>
      <c r="JLU86" s="629"/>
      <c r="JLV86" s="629"/>
      <c r="JLW86" s="629"/>
      <c r="JLX86" s="629"/>
      <c r="JLY86" s="629"/>
      <c r="JLZ86" s="629"/>
      <c r="JMA86" s="629"/>
      <c r="JMB86" s="629"/>
      <c r="JMC86" s="629"/>
      <c r="JMD86" s="629"/>
      <c r="JME86" s="629"/>
      <c r="JMF86" s="629"/>
      <c r="JMG86" s="629"/>
      <c r="JMH86" s="629"/>
      <c r="JMI86" s="629"/>
      <c r="JMJ86" s="629"/>
      <c r="JMK86" s="629"/>
      <c r="JML86" s="629"/>
      <c r="JMM86" s="629"/>
      <c r="JMN86" s="629"/>
      <c r="JMO86" s="629"/>
      <c r="JMP86" s="629"/>
      <c r="JMQ86" s="629"/>
      <c r="JMR86" s="629"/>
      <c r="JMS86" s="629"/>
      <c r="JMT86" s="629"/>
      <c r="JMU86" s="629"/>
      <c r="JMV86" s="629"/>
      <c r="JMW86" s="629"/>
      <c r="JMX86" s="629"/>
      <c r="JMY86" s="629"/>
      <c r="JMZ86" s="629"/>
      <c r="JNA86" s="629"/>
      <c r="JNB86" s="629"/>
      <c r="JNC86" s="629"/>
      <c r="JND86" s="629"/>
      <c r="JNE86" s="629"/>
      <c r="JNF86" s="629"/>
      <c r="JNG86" s="629"/>
      <c r="JNH86" s="629"/>
      <c r="JNI86" s="629"/>
      <c r="JNJ86" s="629"/>
      <c r="JNK86" s="629"/>
      <c r="JNL86" s="629"/>
      <c r="JNM86" s="629"/>
      <c r="JNN86" s="629"/>
      <c r="JNO86" s="629"/>
      <c r="JNP86" s="629"/>
      <c r="JNQ86" s="629"/>
      <c r="JNR86" s="629"/>
      <c r="JNS86" s="629"/>
      <c r="JNT86" s="629"/>
      <c r="JNU86" s="629"/>
      <c r="JNV86" s="629"/>
      <c r="JNW86" s="629"/>
      <c r="JNX86" s="629"/>
      <c r="JNY86" s="629"/>
      <c r="JNZ86" s="629"/>
      <c r="JOA86" s="629"/>
      <c r="JOB86" s="629"/>
      <c r="JOC86" s="629"/>
      <c r="JOD86" s="629"/>
      <c r="JOE86" s="629"/>
      <c r="JOF86" s="629"/>
      <c r="JOG86" s="629"/>
      <c r="JOH86" s="629"/>
      <c r="JOI86" s="629"/>
      <c r="JOJ86" s="629"/>
      <c r="JOK86" s="629"/>
      <c r="JOL86" s="629"/>
      <c r="JOM86" s="629"/>
      <c r="JON86" s="629"/>
      <c r="JOO86" s="629"/>
      <c r="JOP86" s="629"/>
      <c r="JOQ86" s="629"/>
      <c r="JOR86" s="629"/>
      <c r="JOS86" s="629"/>
      <c r="JOT86" s="629"/>
      <c r="JOU86" s="629"/>
      <c r="JOV86" s="629"/>
      <c r="JOW86" s="629"/>
      <c r="JOX86" s="629"/>
      <c r="JOY86" s="629"/>
      <c r="JOZ86" s="629"/>
      <c r="JPA86" s="629"/>
      <c r="JPB86" s="629"/>
      <c r="JPC86" s="629"/>
      <c r="JPD86" s="629"/>
      <c r="JPE86" s="629"/>
      <c r="JPF86" s="629"/>
      <c r="JPG86" s="629"/>
      <c r="JPH86" s="629"/>
      <c r="JPI86" s="629"/>
      <c r="JPJ86" s="629"/>
      <c r="JPK86" s="629"/>
      <c r="JPL86" s="629"/>
      <c r="JPM86" s="629"/>
      <c r="JPN86" s="629"/>
      <c r="JPO86" s="629"/>
      <c r="JPP86" s="629"/>
      <c r="JPQ86" s="629"/>
      <c r="JPR86" s="629"/>
      <c r="JPS86" s="629"/>
      <c r="JPT86" s="629"/>
      <c r="JPU86" s="629"/>
      <c r="JPV86" s="629"/>
      <c r="JPW86" s="629"/>
      <c r="JPX86" s="629"/>
      <c r="JPY86" s="629"/>
      <c r="JPZ86" s="629"/>
      <c r="JQA86" s="629"/>
      <c r="JQB86" s="629"/>
      <c r="JQC86" s="629"/>
      <c r="JQD86" s="629"/>
      <c r="JQE86" s="629"/>
      <c r="JQF86" s="629"/>
      <c r="JQG86" s="629"/>
      <c r="JQH86" s="629"/>
      <c r="JQI86" s="629"/>
      <c r="JQJ86" s="629"/>
      <c r="JQK86" s="629"/>
      <c r="JQL86" s="629"/>
      <c r="JQM86" s="629"/>
      <c r="JQN86" s="629"/>
      <c r="JQO86" s="629"/>
      <c r="JQP86" s="629"/>
      <c r="JQQ86" s="629"/>
      <c r="JQR86" s="629"/>
      <c r="JQS86" s="629"/>
      <c r="JQT86" s="629"/>
      <c r="JQU86" s="629"/>
      <c r="JQV86" s="629"/>
      <c r="JQW86" s="629"/>
      <c r="JQX86" s="629"/>
      <c r="JQY86" s="629"/>
      <c r="JQZ86" s="629"/>
      <c r="JRA86" s="629"/>
      <c r="JRB86" s="629"/>
      <c r="JRC86" s="629"/>
      <c r="JRD86" s="629"/>
      <c r="JRE86" s="629"/>
      <c r="JRF86" s="629"/>
      <c r="JRG86" s="629"/>
      <c r="JRH86" s="629"/>
      <c r="JRI86" s="629"/>
      <c r="JRJ86" s="629"/>
      <c r="JRK86" s="629"/>
      <c r="JRL86" s="629"/>
      <c r="JRM86" s="629"/>
      <c r="JRN86" s="629"/>
      <c r="JRO86" s="629"/>
      <c r="JRP86" s="629"/>
      <c r="JRQ86" s="629"/>
      <c r="JRR86" s="629"/>
      <c r="JRS86" s="629"/>
      <c r="JRT86" s="629"/>
      <c r="JRU86" s="629"/>
      <c r="JRV86" s="629"/>
      <c r="JRW86" s="629"/>
      <c r="JRX86" s="629"/>
      <c r="JRY86" s="629"/>
      <c r="JRZ86" s="629"/>
      <c r="JSA86" s="629"/>
      <c r="JSB86" s="629"/>
      <c r="JSC86" s="629"/>
      <c r="JSD86" s="629"/>
      <c r="JSE86" s="629"/>
      <c r="JSF86" s="629"/>
      <c r="JSG86" s="629"/>
      <c r="JSH86" s="629"/>
      <c r="JSI86" s="629"/>
      <c r="JSJ86" s="629"/>
      <c r="JSK86" s="629"/>
      <c r="JSL86" s="629"/>
      <c r="JSM86" s="629"/>
      <c r="JSN86" s="629"/>
      <c r="JSO86" s="629"/>
      <c r="JSP86" s="629"/>
      <c r="JSQ86" s="629"/>
      <c r="JSR86" s="629"/>
      <c r="JSS86" s="629"/>
      <c r="JST86" s="629"/>
      <c r="JSU86" s="629"/>
      <c r="JSV86" s="629"/>
      <c r="JSW86" s="629"/>
      <c r="JSX86" s="629"/>
      <c r="JSY86" s="629"/>
      <c r="JSZ86" s="629"/>
      <c r="JTA86" s="629"/>
      <c r="JTB86" s="629"/>
      <c r="JTC86" s="629"/>
      <c r="JTD86" s="629"/>
      <c r="JTE86" s="629"/>
      <c r="JTF86" s="629"/>
      <c r="JTG86" s="629"/>
      <c r="JTH86" s="629"/>
      <c r="JTI86" s="629"/>
      <c r="JTJ86" s="629"/>
      <c r="JTK86" s="629"/>
      <c r="JTL86" s="629"/>
      <c r="JTM86" s="629"/>
      <c r="JTN86" s="629"/>
      <c r="JTO86" s="629"/>
      <c r="JTP86" s="629"/>
      <c r="JTQ86" s="629"/>
      <c r="JTR86" s="629"/>
      <c r="JTS86" s="629"/>
      <c r="JTT86" s="629"/>
      <c r="JTU86" s="629"/>
      <c r="JTV86" s="629"/>
      <c r="JTW86" s="629"/>
      <c r="JTX86" s="629"/>
      <c r="JTY86" s="629"/>
      <c r="JTZ86" s="629"/>
      <c r="JUA86" s="629"/>
      <c r="JUB86" s="629"/>
      <c r="JUC86" s="629"/>
      <c r="JUD86" s="629"/>
      <c r="JUE86" s="629"/>
      <c r="JUF86" s="629"/>
      <c r="JUG86" s="629"/>
      <c r="JUH86" s="629"/>
      <c r="JUI86" s="629"/>
      <c r="JUJ86" s="629"/>
      <c r="JUK86" s="629"/>
      <c r="JUL86" s="629"/>
      <c r="JUM86" s="629"/>
      <c r="JUN86" s="629"/>
      <c r="JUO86" s="629"/>
      <c r="JUP86" s="629"/>
      <c r="JUQ86" s="629"/>
      <c r="JUR86" s="629"/>
      <c r="JUS86" s="629"/>
      <c r="JUT86" s="629"/>
      <c r="JUU86" s="629"/>
      <c r="JUV86" s="629"/>
      <c r="JUW86" s="629"/>
      <c r="JUX86" s="629"/>
      <c r="JUY86" s="629"/>
      <c r="JUZ86" s="629"/>
      <c r="JVA86" s="629"/>
      <c r="JVB86" s="629"/>
      <c r="JVC86" s="629"/>
      <c r="JVD86" s="629"/>
      <c r="JVE86" s="629"/>
      <c r="JVF86" s="629"/>
      <c r="JVG86" s="629"/>
      <c r="JVH86" s="629"/>
      <c r="JVI86" s="629"/>
      <c r="JVJ86" s="629"/>
      <c r="JVK86" s="629"/>
      <c r="JVL86" s="629"/>
      <c r="JVM86" s="629"/>
      <c r="JVN86" s="629"/>
      <c r="JVO86" s="629"/>
      <c r="JVP86" s="629"/>
      <c r="JVQ86" s="629"/>
      <c r="JVR86" s="629"/>
      <c r="JVS86" s="629"/>
      <c r="JVT86" s="629"/>
      <c r="JVU86" s="629"/>
      <c r="JVV86" s="629"/>
      <c r="JVW86" s="629"/>
      <c r="JVX86" s="629"/>
      <c r="JVY86" s="629"/>
      <c r="JVZ86" s="629"/>
      <c r="JWA86" s="629"/>
      <c r="JWB86" s="629"/>
      <c r="JWC86" s="629"/>
      <c r="JWD86" s="629"/>
      <c r="JWE86" s="629"/>
      <c r="JWF86" s="629"/>
      <c r="JWG86" s="629"/>
      <c r="JWH86" s="629"/>
      <c r="JWI86" s="629"/>
      <c r="JWJ86" s="629"/>
      <c r="JWK86" s="629"/>
      <c r="JWL86" s="629"/>
      <c r="JWM86" s="629"/>
      <c r="JWN86" s="629"/>
      <c r="JWO86" s="629"/>
      <c r="JWP86" s="629"/>
      <c r="JWQ86" s="629"/>
      <c r="JWR86" s="629"/>
      <c r="JWS86" s="629"/>
      <c r="JWT86" s="629"/>
      <c r="JWU86" s="629"/>
      <c r="JWV86" s="629"/>
      <c r="JWW86" s="629"/>
      <c r="JWX86" s="629"/>
      <c r="JWY86" s="629"/>
      <c r="JWZ86" s="629"/>
      <c r="JXA86" s="629"/>
      <c r="JXB86" s="629"/>
      <c r="JXC86" s="629"/>
      <c r="JXD86" s="629"/>
      <c r="JXE86" s="629"/>
      <c r="JXF86" s="629"/>
      <c r="JXG86" s="629"/>
      <c r="JXH86" s="629"/>
      <c r="JXI86" s="629"/>
      <c r="JXJ86" s="629"/>
      <c r="JXK86" s="629"/>
      <c r="JXL86" s="629"/>
      <c r="JXM86" s="629"/>
      <c r="JXN86" s="629"/>
      <c r="JXO86" s="629"/>
      <c r="JXP86" s="629"/>
      <c r="JXQ86" s="629"/>
      <c r="JXR86" s="629"/>
      <c r="JXS86" s="629"/>
      <c r="JXT86" s="629"/>
      <c r="JXU86" s="629"/>
      <c r="JXV86" s="629"/>
      <c r="JXW86" s="629"/>
      <c r="JXX86" s="629"/>
      <c r="JXY86" s="629"/>
      <c r="JXZ86" s="629"/>
      <c r="JYA86" s="629"/>
      <c r="JYB86" s="629"/>
      <c r="JYC86" s="629"/>
      <c r="JYD86" s="629"/>
      <c r="JYE86" s="629"/>
      <c r="JYF86" s="629"/>
      <c r="JYG86" s="629"/>
      <c r="JYH86" s="629"/>
      <c r="JYI86" s="629"/>
      <c r="JYJ86" s="629"/>
      <c r="JYK86" s="629"/>
      <c r="JYL86" s="629"/>
      <c r="JYM86" s="629"/>
      <c r="JYN86" s="629"/>
      <c r="JYO86" s="629"/>
      <c r="JYP86" s="629"/>
      <c r="JYQ86" s="629"/>
      <c r="JYR86" s="629"/>
      <c r="JYS86" s="629"/>
      <c r="JYT86" s="629"/>
      <c r="JYU86" s="629"/>
      <c r="JYV86" s="629"/>
      <c r="JYW86" s="629"/>
      <c r="JYX86" s="629"/>
      <c r="JYY86" s="629"/>
      <c r="JYZ86" s="629"/>
      <c r="JZA86" s="629"/>
      <c r="JZB86" s="629"/>
      <c r="JZC86" s="629"/>
      <c r="JZD86" s="629"/>
      <c r="JZE86" s="629"/>
      <c r="JZF86" s="629"/>
      <c r="JZG86" s="629"/>
      <c r="JZH86" s="629"/>
      <c r="JZI86" s="629"/>
      <c r="JZJ86" s="629"/>
      <c r="JZK86" s="629"/>
      <c r="JZL86" s="629"/>
      <c r="JZM86" s="629"/>
      <c r="JZN86" s="629"/>
      <c r="JZO86" s="629"/>
      <c r="JZP86" s="629"/>
      <c r="JZQ86" s="629"/>
      <c r="JZR86" s="629"/>
      <c r="JZS86" s="629"/>
      <c r="JZT86" s="629"/>
      <c r="JZU86" s="629"/>
      <c r="JZV86" s="629"/>
      <c r="JZW86" s="629"/>
      <c r="JZX86" s="629"/>
      <c r="JZY86" s="629"/>
      <c r="JZZ86" s="629"/>
      <c r="KAA86" s="629"/>
      <c r="KAB86" s="629"/>
      <c r="KAC86" s="629"/>
      <c r="KAD86" s="629"/>
      <c r="KAE86" s="629"/>
      <c r="KAF86" s="629"/>
      <c r="KAG86" s="629"/>
      <c r="KAH86" s="629"/>
      <c r="KAI86" s="629"/>
      <c r="KAJ86" s="629"/>
      <c r="KAK86" s="629"/>
      <c r="KAL86" s="629"/>
      <c r="KAM86" s="629"/>
      <c r="KAN86" s="629"/>
      <c r="KAO86" s="629"/>
      <c r="KAP86" s="629"/>
      <c r="KAQ86" s="629"/>
      <c r="KAR86" s="629"/>
      <c r="KAS86" s="629"/>
      <c r="KAT86" s="629"/>
      <c r="KAU86" s="629"/>
      <c r="KAV86" s="629"/>
      <c r="KAW86" s="629"/>
      <c r="KAX86" s="629"/>
      <c r="KAY86" s="629"/>
      <c r="KAZ86" s="629"/>
      <c r="KBA86" s="629"/>
      <c r="KBB86" s="629"/>
      <c r="KBC86" s="629"/>
      <c r="KBD86" s="629"/>
      <c r="KBE86" s="629"/>
      <c r="KBF86" s="629"/>
      <c r="KBG86" s="629"/>
      <c r="KBH86" s="629"/>
      <c r="KBI86" s="629"/>
      <c r="KBJ86" s="629"/>
      <c r="KBK86" s="629"/>
      <c r="KBL86" s="629"/>
      <c r="KBM86" s="629"/>
      <c r="KBN86" s="629"/>
      <c r="KBO86" s="629"/>
      <c r="KBP86" s="629"/>
      <c r="KBQ86" s="629"/>
      <c r="KBR86" s="629"/>
      <c r="KBS86" s="629"/>
      <c r="KBT86" s="629"/>
      <c r="KBU86" s="629"/>
      <c r="KBV86" s="629"/>
      <c r="KBW86" s="629"/>
      <c r="KBX86" s="629"/>
      <c r="KBY86" s="629"/>
      <c r="KBZ86" s="629"/>
      <c r="KCA86" s="629"/>
      <c r="KCB86" s="629"/>
      <c r="KCC86" s="629"/>
      <c r="KCD86" s="629"/>
      <c r="KCE86" s="629"/>
      <c r="KCF86" s="629"/>
      <c r="KCG86" s="629"/>
      <c r="KCH86" s="629"/>
      <c r="KCI86" s="629"/>
      <c r="KCJ86" s="629"/>
      <c r="KCK86" s="629"/>
      <c r="KCL86" s="629"/>
      <c r="KCM86" s="629"/>
      <c r="KCN86" s="629"/>
      <c r="KCO86" s="629"/>
      <c r="KCP86" s="629"/>
      <c r="KCQ86" s="629"/>
      <c r="KCR86" s="629"/>
      <c r="KCS86" s="629"/>
      <c r="KCT86" s="629"/>
      <c r="KCU86" s="629"/>
      <c r="KCV86" s="629"/>
      <c r="KCW86" s="629"/>
      <c r="KCX86" s="629"/>
      <c r="KCY86" s="629"/>
      <c r="KCZ86" s="629"/>
      <c r="KDA86" s="629"/>
      <c r="KDB86" s="629"/>
      <c r="KDC86" s="629"/>
      <c r="KDD86" s="629"/>
      <c r="KDE86" s="629"/>
      <c r="KDF86" s="629"/>
      <c r="KDG86" s="629"/>
      <c r="KDH86" s="629"/>
      <c r="KDI86" s="629"/>
      <c r="KDJ86" s="629"/>
      <c r="KDK86" s="629"/>
      <c r="KDL86" s="629"/>
      <c r="KDM86" s="629"/>
      <c r="KDN86" s="629"/>
      <c r="KDO86" s="629"/>
      <c r="KDP86" s="629"/>
      <c r="KDQ86" s="629"/>
      <c r="KDR86" s="629"/>
      <c r="KDS86" s="629"/>
      <c r="KDT86" s="629"/>
      <c r="KDU86" s="629"/>
      <c r="KDV86" s="629"/>
      <c r="KDW86" s="629"/>
      <c r="KDX86" s="629"/>
      <c r="KDY86" s="629"/>
      <c r="KDZ86" s="629"/>
      <c r="KEA86" s="629"/>
      <c r="KEB86" s="629"/>
      <c r="KEC86" s="629"/>
      <c r="KED86" s="629"/>
      <c r="KEE86" s="629"/>
      <c r="KEF86" s="629"/>
      <c r="KEG86" s="629"/>
      <c r="KEH86" s="629"/>
      <c r="KEI86" s="629"/>
      <c r="KEJ86" s="629"/>
      <c r="KEK86" s="629"/>
      <c r="KEL86" s="629"/>
      <c r="KEM86" s="629"/>
      <c r="KEN86" s="629"/>
      <c r="KEO86" s="629"/>
      <c r="KEP86" s="629"/>
      <c r="KEQ86" s="629"/>
      <c r="KER86" s="629"/>
      <c r="KES86" s="629"/>
      <c r="KET86" s="629"/>
      <c r="KEU86" s="629"/>
      <c r="KEV86" s="629"/>
      <c r="KEW86" s="629"/>
      <c r="KEX86" s="629"/>
      <c r="KEY86" s="629"/>
      <c r="KEZ86" s="629"/>
      <c r="KFA86" s="629"/>
      <c r="KFB86" s="629"/>
      <c r="KFC86" s="629"/>
      <c r="KFD86" s="629"/>
      <c r="KFE86" s="629"/>
      <c r="KFF86" s="629"/>
      <c r="KFG86" s="629"/>
      <c r="KFH86" s="629"/>
      <c r="KFI86" s="629"/>
      <c r="KFJ86" s="629"/>
      <c r="KFK86" s="629"/>
      <c r="KFL86" s="629"/>
      <c r="KFM86" s="629"/>
      <c r="KFN86" s="629"/>
      <c r="KFO86" s="629"/>
      <c r="KFP86" s="629"/>
      <c r="KFQ86" s="629"/>
      <c r="KFR86" s="629"/>
      <c r="KFS86" s="629"/>
      <c r="KFT86" s="629"/>
      <c r="KFU86" s="629"/>
      <c r="KFV86" s="629"/>
      <c r="KFW86" s="629"/>
      <c r="KFX86" s="629"/>
      <c r="KFY86" s="629"/>
      <c r="KFZ86" s="629"/>
      <c r="KGA86" s="629"/>
      <c r="KGB86" s="629"/>
      <c r="KGC86" s="629"/>
      <c r="KGD86" s="629"/>
      <c r="KGE86" s="629"/>
      <c r="KGF86" s="629"/>
      <c r="KGG86" s="629"/>
      <c r="KGH86" s="629"/>
      <c r="KGI86" s="629"/>
      <c r="KGJ86" s="629"/>
      <c r="KGK86" s="629"/>
      <c r="KGL86" s="629"/>
      <c r="KGM86" s="629"/>
      <c r="KGN86" s="629"/>
      <c r="KGO86" s="629"/>
      <c r="KGP86" s="629"/>
      <c r="KGQ86" s="629"/>
      <c r="KGR86" s="629"/>
      <c r="KGS86" s="629"/>
      <c r="KGT86" s="629"/>
      <c r="KGU86" s="629"/>
      <c r="KGV86" s="629"/>
      <c r="KGW86" s="629"/>
      <c r="KGX86" s="629"/>
      <c r="KGY86" s="629"/>
      <c r="KGZ86" s="629"/>
      <c r="KHA86" s="629"/>
      <c r="KHB86" s="629"/>
      <c r="KHC86" s="629"/>
      <c r="KHD86" s="629"/>
      <c r="KHE86" s="629"/>
      <c r="KHF86" s="629"/>
      <c r="KHG86" s="629"/>
      <c r="KHH86" s="629"/>
      <c r="KHI86" s="629"/>
      <c r="KHJ86" s="629"/>
      <c r="KHK86" s="629"/>
      <c r="KHL86" s="629"/>
      <c r="KHM86" s="629"/>
      <c r="KHN86" s="629"/>
      <c r="KHO86" s="629"/>
      <c r="KHP86" s="629"/>
      <c r="KHQ86" s="629"/>
      <c r="KHR86" s="629"/>
      <c r="KHS86" s="629"/>
      <c r="KHT86" s="629"/>
      <c r="KHU86" s="629"/>
      <c r="KHV86" s="629"/>
      <c r="KHW86" s="629"/>
      <c r="KHX86" s="629"/>
      <c r="KHY86" s="629"/>
      <c r="KHZ86" s="629"/>
      <c r="KIA86" s="629"/>
      <c r="KIB86" s="629"/>
      <c r="KIC86" s="629"/>
      <c r="KID86" s="629"/>
      <c r="KIE86" s="629"/>
      <c r="KIF86" s="629"/>
      <c r="KIG86" s="629"/>
      <c r="KIH86" s="629"/>
      <c r="KII86" s="629"/>
      <c r="KIJ86" s="629"/>
      <c r="KIK86" s="629"/>
      <c r="KIL86" s="629"/>
      <c r="KIM86" s="629"/>
      <c r="KIN86" s="629"/>
      <c r="KIO86" s="629"/>
      <c r="KIP86" s="629"/>
      <c r="KIQ86" s="629"/>
      <c r="KIR86" s="629"/>
      <c r="KIS86" s="629"/>
      <c r="KIT86" s="629"/>
      <c r="KIU86" s="629"/>
      <c r="KIV86" s="629"/>
      <c r="KIW86" s="629"/>
      <c r="KIX86" s="629"/>
      <c r="KIY86" s="629"/>
      <c r="KIZ86" s="629"/>
      <c r="KJA86" s="629"/>
      <c r="KJB86" s="629"/>
      <c r="KJC86" s="629"/>
      <c r="KJD86" s="629"/>
      <c r="KJE86" s="629"/>
      <c r="KJF86" s="629"/>
      <c r="KJG86" s="629"/>
      <c r="KJH86" s="629"/>
      <c r="KJI86" s="629"/>
      <c r="KJJ86" s="629"/>
      <c r="KJK86" s="629"/>
      <c r="KJL86" s="629"/>
      <c r="KJM86" s="629"/>
      <c r="KJN86" s="629"/>
      <c r="KJO86" s="629"/>
      <c r="KJP86" s="629"/>
      <c r="KJQ86" s="629"/>
      <c r="KJR86" s="629"/>
      <c r="KJS86" s="629"/>
      <c r="KJT86" s="629"/>
      <c r="KJU86" s="629"/>
      <c r="KJV86" s="629"/>
      <c r="KJW86" s="629"/>
      <c r="KJX86" s="629"/>
      <c r="KJY86" s="629"/>
      <c r="KJZ86" s="629"/>
      <c r="KKA86" s="629"/>
      <c r="KKB86" s="629"/>
      <c r="KKC86" s="629"/>
      <c r="KKD86" s="629"/>
      <c r="KKE86" s="629"/>
      <c r="KKF86" s="629"/>
      <c r="KKG86" s="629"/>
      <c r="KKH86" s="629"/>
      <c r="KKI86" s="629"/>
      <c r="KKJ86" s="629"/>
      <c r="KKK86" s="629"/>
      <c r="KKL86" s="629"/>
      <c r="KKM86" s="629"/>
      <c r="KKN86" s="629"/>
      <c r="KKO86" s="629"/>
      <c r="KKP86" s="629"/>
      <c r="KKQ86" s="629"/>
      <c r="KKR86" s="629"/>
      <c r="KKS86" s="629"/>
      <c r="KKT86" s="629"/>
      <c r="KKU86" s="629"/>
      <c r="KKV86" s="629"/>
      <c r="KKW86" s="629"/>
      <c r="KKX86" s="629"/>
      <c r="KKY86" s="629"/>
      <c r="KKZ86" s="629"/>
      <c r="KLA86" s="629"/>
      <c r="KLB86" s="629"/>
      <c r="KLC86" s="629"/>
      <c r="KLD86" s="629"/>
      <c r="KLE86" s="629"/>
      <c r="KLF86" s="629"/>
      <c r="KLG86" s="629"/>
      <c r="KLH86" s="629"/>
      <c r="KLI86" s="629"/>
      <c r="KLJ86" s="629"/>
      <c r="KLK86" s="629"/>
      <c r="KLL86" s="629"/>
      <c r="KLM86" s="629"/>
      <c r="KLN86" s="629"/>
      <c r="KLO86" s="629"/>
      <c r="KLP86" s="629"/>
      <c r="KLQ86" s="629"/>
      <c r="KLR86" s="629"/>
      <c r="KLS86" s="629"/>
      <c r="KLT86" s="629"/>
      <c r="KLU86" s="629"/>
      <c r="KLV86" s="629"/>
      <c r="KLW86" s="629"/>
      <c r="KLX86" s="629"/>
      <c r="KLY86" s="629"/>
      <c r="KLZ86" s="629"/>
      <c r="KMA86" s="629"/>
      <c r="KMB86" s="629"/>
      <c r="KMC86" s="629"/>
      <c r="KMD86" s="629"/>
      <c r="KME86" s="629"/>
      <c r="KMF86" s="629"/>
      <c r="KMG86" s="629"/>
      <c r="KMH86" s="629"/>
      <c r="KMI86" s="629"/>
      <c r="KMJ86" s="629"/>
      <c r="KMK86" s="629"/>
      <c r="KML86" s="629"/>
      <c r="KMM86" s="629"/>
      <c r="KMN86" s="629"/>
      <c r="KMO86" s="629"/>
      <c r="KMP86" s="629"/>
      <c r="KMQ86" s="629"/>
      <c r="KMR86" s="629"/>
      <c r="KMS86" s="629"/>
      <c r="KMT86" s="629"/>
      <c r="KMU86" s="629"/>
      <c r="KMV86" s="629"/>
      <c r="KMW86" s="629"/>
      <c r="KMX86" s="629"/>
      <c r="KMY86" s="629"/>
      <c r="KMZ86" s="629"/>
      <c r="KNA86" s="629"/>
      <c r="KNB86" s="629"/>
      <c r="KNC86" s="629"/>
      <c r="KND86" s="629"/>
      <c r="KNE86" s="629"/>
      <c r="KNF86" s="629"/>
      <c r="KNG86" s="629"/>
      <c r="KNH86" s="629"/>
      <c r="KNI86" s="629"/>
      <c r="KNJ86" s="629"/>
      <c r="KNK86" s="629"/>
      <c r="KNL86" s="629"/>
      <c r="KNM86" s="629"/>
      <c r="KNN86" s="629"/>
      <c r="KNO86" s="629"/>
      <c r="KNP86" s="629"/>
      <c r="KNQ86" s="629"/>
      <c r="KNR86" s="629"/>
      <c r="KNS86" s="629"/>
      <c r="KNT86" s="629"/>
      <c r="KNU86" s="629"/>
      <c r="KNV86" s="629"/>
      <c r="KNW86" s="629"/>
      <c r="KNX86" s="629"/>
      <c r="KNY86" s="629"/>
      <c r="KNZ86" s="629"/>
      <c r="KOA86" s="629"/>
      <c r="KOB86" s="629"/>
      <c r="KOC86" s="629"/>
      <c r="KOD86" s="629"/>
      <c r="KOE86" s="629"/>
      <c r="KOF86" s="629"/>
      <c r="KOG86" s="629"/>
      <c r="KOH86" s="629"/>
      <c r="KOI86" s="629"/>
      <c r="KOJ86" s="629"/>
      <c r="KOK86" s="629"/>
      <c r="KOL86" s="629"/>
      <c r="KOM86" s="629"/>
      <c r="KON86" s="629"/>
      <c r="KOO86" s="629"/>
      <c r="KOP86" s="629"/>
      <c r="KOQ86" s="629"/>
      <c r="KOR86" s="629"/>
      <c r="KOS86" s="629"/>
      <c r="KOT86" s="629"/>
      <c r="KOU86" s="629"/>
      <c r="KOV86" s="629"/>
      <c r="KOW86" s="629"/>
      <c r="KOX86" s="629"/>
      <c r="KOY86" s="629"/>
      <c r="KOZ86" s="629"/>
      <c r="KPA86" s="629"/>
      <c r="KPB86" s="629"/>
      <c r="KPC86" s="629"/>
      <c r="KPD86" s="629"/>
      <c r="KPE86" s="629"/>
      <c r="KPF86" s="629"/>
      <c r="KPG86" s="629"/>
      <c r="KPH86" s="629"/>
      <c r="KPI86" s="629"/>
      <c r="KPJ86" s="629"/>
      <c r="KPK86" s="629"/>
      <c r="KPL86" s="629"/>
      <c r="KPM86" s="629"/>
      <c r="KPN86" s="629"/>
      <c r="KPO86" s="629"/>
      <c r="KPP86" s="629"/>
      <c r="KPQ86" s="629"/>
      <c r="KPR86" s="629"/>
      <c r="KPS86" s="629"/>
      <c r="KPT86" s="629"/>
      <c r="KPU86" s="629"/>
      <c r="KPV86" s="629"/>
      <c r="KPW86" s="629"/>
      <c r="KPX86" s="629"/>
      <c r="KPY86" s="629"/>
      <c r="KPZ86" s="629"/>
      <c r="KQA86" s="629"/>
      <c r="KQB86" s="629"/>
      <c r="KQC86" s="629"/>
      <c r="KQD86" s="629"/>
      <c r="KQE86" s="629"/>
      <c r="KQF86" s="629"/>
      <c r="KQG86" s="629"/>
      <c r="KQH86" s="629"/>
      <c r="KQI86" s="629"/>
      <c r="KQJ86" s="629"/>
      <c r="KQK86" s="629"/>
      <c r="KQL86" s="629"/>
      <c r="KQM86" s="629"/>
      <c r="KQN86" s="629"/>
      <c r="KQO86" s="629"/>
      <c r="KQP86" s="629"/>
      <c r="KQQ86" s="629"/>
      <c r="KQR86" s="629"/>
      <c r="KQS86" s="629"/>
      <c r="KQT86" s="629"/>
      <c r="KQU86" s="629"/>
      <c r="KQV86" s="629"/>
      <c r="KQW86" s="629"/>
      <c r="KQX86" s="629"/>
      <c r="KQY86" s="629"/>
      <c r="KQZ86" s="629"/>
      <c r="KRA86" s="629"/>
      <c r="KRB86" s="629"/>
      <c r="KRC86" s="629"/>
      <c r="KRD86" s="629"/>
      <c r="KRE86" s="629"/>
      <c r="KRF86" s="629"/>
      <c r="KRG86" s="629"/>
      <c r="KRH86" s="629"/>
      <c r="KRI86" s="629"/>
      <c r="KRJ86" s="629"/>
      <c r="KRK86" s="629"/>
      <c r="KRL86" s="629"/>
      <c r="KRM86" s="629"/>
      <c r="KRN86" s="629"/>
      <c r="KRO86" s="629"/>
      <c r="KRP86" s="629"/>
      <c r="KRQ86" s="629"/>
      <c r="KRR86" s="629"/>
      <c r="KRS86" s="629"/>
      <c r="KRT86" s="629"/>
      <c r="KRU86" s="629"/>
      <c r="KRV86" s="629"/>
      <c r="KRW86" s="629"/>
      <c r="KRX86" s="629"/>
      <c r="KRY86" s="629"/>
      <c r="KRZ86" s="629"/>
      <c r="KSA86" s="629"/>
      <c r="KSB86" s="629"/>
      <c r="KSC86" s="629"/>
      <c r="KSD86" s="629"/>
      <c r="KSE86" s="629"/>
      <c r="KSF86" s="629"/>
      <c r="KSG86" s="629"/>
      <c r="KSH86" s="629"/>
      <c r="KSI86" s="629"/>
      <c r="KSJ86" s="629"/>
      <c r="KSK86" s="629"/>
      <c r="KSL86" s="629"/>
      <c r="KSM86" s="629"/>
      <c r="KSN86" s="629"/>
      <c r="KSO86" s="629"/>
      <c r="KSP86" s="629"/>
      <c r="KSQ86" s="629"/>
      <c r="KSR86" s="629"/>
      <c r="KSS86" s="629"/>
      <c r="KST86" s="629"/>
      <c r="KSU86" s="629"/>
      <c r="KSV86" s="629"/>
      <c r="KSW86" s="629"/>
      <c r="KSX86" s="629"/>
      <c r="KSY86" s="629"/>
      <c r="KSZ86" s="629"/>
      <c r="KTA86" s="629"/>
      <c r="KTB86" s="629"/>
      <c r="KTC86" s="629"/>
      <c r="KTD86" s="629"/>
      <c r="KTE86" s="629"/>
      <c r="KTF86" s="629"/>
      <c r="KTG86" s="629"/>
      <c r="KTH86" s="629"/>
      <c r="KTI86" s="629"/>
      <c r="KTJ86" s="629"/>
      <c r="KTK86" s="629"/>
      <c r="KTL86" s="629"/>
      <c r="KTM86" s="629"/>
      <c r="KTN86" s="629"/>
      <c r="KTO86" s="629"/>
      <c r="KTP86" s="629"/>
      <c r="KTQ86" s="629"/>
      <c r="KTR86" s="629"/>
      <c r="KTS86" s="629"/>
      <c r="KTT86" s="629"/>
      <c r="KTU86" s="629"/>
      <c r="KTV86" s="629"/>
      <c r="KTW86" s="629"/>
      <c r="KTX86" s="629"/>
      <c r="KTY86" s="629"/>
      <c r="KTZ86" s="629"/>
      <c r="KUA86" s="629"/>
      <c r="KUB86" s="629"/>
      <c r="KUC86" s="629"/>
      <c r="KUD86" s="629"/>
      <c r="KUE86" s="629"/>
      <c r="KUF86" s="629"/>
      <c r="KUG86" s="629"/>
      <c r="KUH86" s="629"/>
      <c r="KUI86" s="629"/>
      <c r="KUJ86" s="629"/>
      <c r="KUK86" s="629"/>
      <c r="KUL86" s="629"/>
      <c r="KUM86" s="629"/>
      <c r="KUN86" s="629"/>
      <c r="KUO86" s="629"/>
      <c r="KUP86" s="629"/>
      <c r="KUQ86" s="629"/>
      <c r="KUR86" s="629"/>
      <c r="KUS86" s="629"/>
      <c r="KUT86" s="629"/>
      <c r="KUU86" s="629"/>
      <c r="KUV86" s="629"/>
      <c r="KUW86" s="629"/>
      <c r="KUX86" s="629"/>
      <c r="KUY86" s="629"/>
      <c r="KUZ86" s="629"/>
      <c r="KVA86" s="629"/>
      <c r="KVB86" s="629"/>
      <c r="KVC86" s="629"/>
      <c r="KVD86" s="629"/>
      <c r="KVE86" s="629"/>
      <c r="KVF86" s="629"/>
      <c r="KVG86" s="629"/>
      <c r="KVH86" s="629"/>
      <c r="KVI86" s="629"/>
      <c r="KVJ86" s="629"/>
      <c r="KVK86" s="629"/>
      <c r="KVL86" s="629"/>
      <c r="KVM86" s="629"/>
      <c r="KVN86" s="629"/>
      <c r="KVO86" s="629"/>
      <c r="KVP86" s="629"/>
      <c r="KVQ86" s="629"/>
      <c r="KVR86" s="629"/>
      <c r="KVS86" s="629"/>
      <c r="KVT86" s="629"/>
      <c r="KVU86" s="629"/>
      <c r="KVV86" s="629"/>
      <c r="KVW86" s="629"/>
      <c r="KVX86" s="629"/>
      <c r="KVY86" s="629"/>
      <c r="KVZ86" s="629"/>
      <c r="KWA86" s="629"/>
      <c r="KWB86" s="629"/>
      <c r="KWC86" s="629"/>
      <c r="KWD86" s="629"/>
      <c r="KWE86" s="629"/>
      <c r="KWF86" s="629"/>
      <c r="KWG86" s="629"/>
      <c r="KWH86" s="629"/>
      <c r="KWI86" s="629"/>
      <c r="KWJ86" s="629"/>
      <c r="KWK86" s="629"/>
      <c r="KWL86" s="629"/>
      <c r="KWM86" s="629"/>
      <c r="KWN86" s="629"/>
      <c r="KWO86" s="629"/>
      <c r="KWP86" s="629"/>
      <c r="KWQ86" s="629"/>
      <c r="KWR86" s="629"/>
      <c r="KWS86" s="629"/>
      <c r="KWT86" s="629"/>
      <c r="KWU86" s="629"/>
      <c r="KWV86" s="629"/>
      <c r="KWW86" s="629"/>
      <c r="KWX86" s="629"/>
      <c r="KWY86" s="629"/>
      <c r="KWZ86" s="629"/>
      <c r="KXA86" s="629"/>
      <c r="KXB86" s="629"/>
      <c r="KXC86" s="629"/>
      <c r="KXD86" s="629"/>
      <c r="KXE86" s="629"/>
      <c r="KXF86" s="629"/>
      <c r="KXG86" s="629"/>
      <c r="KXH86" s="629"/>
      <c r="KXI86" s="629"/>
      <c r="KXJ86" s="629"/>
      <c r="KXK86" s="629"/>
      <c r="KXL86" s="629"/>
      <c r="KXM86" s="629"/>
      <c r="KXN86" s="629"/>
      <c r="KXO86" s="629"/>
      <c r="KXP86" s="629"/>
      <c r="KXQ86" s="629"/>
      <c r="KXR86" s="629"/>
      <c r="KXS86" s="629"/>
      <c r="KXT86" s="629"/>
      <c r="KXU86" s="629"/>
      <c r="KXV86" s="629"/>
      <c r="KXW86" s="629"/>
      <c r="KXX86" s="629"/>
      <c r="KXY86" s="629"/>
      <c r="KXZ86" s="629"/>
      <c r="KYA86" s="629"/>
      <c r="KYB86" s="629"/>
      <c r="KYC86" s="629"/>
      <c r="KYD86" s="629"/>
      <c r="KYE86" s="629"/>
      <c r="KYF86" s="629"/>
      <c r="KYG86" s="629"/>
      <c r="KYH86" s="629"/>
      <c r="KYI86" s="629"/>
      <c r="KYJ86" s="629"/>
      <c r="KYK86" s="629"/>
      <c r="KYL86" s="629"/>
      <c r="KYM86" s="629"/>
      <c r="KYN86" s="629"/>
      <c r="KYO86" s="629"/>
      <c r="KYP86" s="629"/>
      <c r="KYQ86" s="629"/>
      <c r="KYR86" s="629"/>
      <c r="KYS86" s="629"/>
      <c r="KYT86" s="629"/>
      <c r="KYU86" s="629"/>
      <c r="KYV86" s="629"/>
      <c r="KYW86" s="629"/>
      <c r="KYX86" s="629"/>
      <c r="KYY86" s="629"/>
      <c r="KYZ86" s="629"/>
      <c r="KZA86" s="629"/>
      <c r="KZB86" s="629"/>
      <c r="KZC86" s="629"/>
      <c r="KZD86" s="629"/>
      <c r="KZE86" s="629"/>
      <c r="KZF86" s="629"/>
      <c r="KZG86" s="629"/>
      <c r="KZH86" s="629"/>
      <c r="KZI86" s="629"/>
      <c r="KZJ86" s="629"/>
      <c r="KZK86" s="629"/>
      <c r="KZL86" s="629"/>
      <c r="KZM86" s="629"/>
      <c r="KZN86" s="629"/>
      <c r="KZO86" s="629"/>
      <c r="KZP86" s="629"/>
      <c r="KZQ86" s="629"/>
      <c r="KZR86" s="629"/>
      <c r="KZS86" s="629"/>
      <c r="KZT86" s="629"/>
      <c r="KZU86" s="629"/>
      <c r="KZV86" s="629"/>
      <c r="KZW86" s="629"/>
      <c r="KZX86" s="629"/>
      <c r="KZY86" s="629"/>
      <c r="KZZ86" s="629"/>
      <c r="LAA86" s="629"/>
      <c r="LAB86" s="629"/>
      <c r="LAC86" s="629"/>
      <c r="LAD86" s="629"/>
      <c r="LAE86" s="629"/>
      <c r="LAF86" s="629"/>
      <c r="LAG86" s="629"/>
      <c r="LAH86" s="629"/>
      <c r="LAI86" s="629"/>
      <c r="LAJ86" s="629"/>
      <c r="LAK86" s="629"/>
      <c r="LAL86" s="629"/>
      <c r="LAM86" s="629"/>
      <c r="LAN86" s="629"/>
      <c r="LAO86" s="629"/>
      <c r="LAP86" s="629"/>
      <c r="LAQ86" s="629"/>
      <c r="LAR86" s="629"/>
      <c r="LAS86" s="629"/>
      <c r="LAT86" s="629"/>
      <c r="LAU86" s="629"/>
      <c r="LAV86" s="629"/>
      <c r="LAW86" s="629"/>
      <c r="LAX86" s="629"/>
      <c r="LAY86" s="629"/>
      <c r="LAZ86" s="629"/>
      <c r="LBA86" s="629"/>
      <c r="LBB86" s="629"/>
      <c r="LBC86" s="629"/>
      <c r="LBD86" s="629"/>
      <c r="LBE86" s="629"/>
      <c r="LBF86" s="629"/>
      <c r="LBG86" s="629"/>
      <c r="LBH86" s="629"/>
      <c r="LBI86" s="629"/>
      <c r="LBJ86" s="629"/>
      <c r="LBK86" s="629"/>
      <c r="LBL86" s="629"/>
      <c r="LBM86" s="629"/>
      <c r="LBN86" s="629"/>
      <c r="LBO86" s="629"/>
      <c r="LBP86" s="629"/>
      <c r="LBQ86" s="629"/>
      <c r="LBR86" s="629"/>
      <c r="LBS86" s="629"/>
      <c r="LBT86" s="629"/>
      <c r="LBU86" s="629"/>
      <c r="LBV86" s="629"/>
      <c r="LBW86" s="629"/>
      <c r="LBX86" s="629"/>
      <c r="LBY86" s="629"/>
      <c r="LBZ86" s="629"/>
      <c r="LCA86" s="629"/>
      <c r="LCB86" s="629"/>
      <c r="LCC86" s="629"/>
      <c r="LCD86" s="629"/>
      <c r="LCE86" s="629"/>
      <c r="LCF86" s="629"/>
      <c r="LCG86" s="629"/>
      <c r="LCH86" s="629"/>
      <c r="LCI86" s="629"/>
      <c r="LCJ86" s="629"/>
      <c r="LCK86" s="629"/>
      <c r="LCL86" s="629"/>
      <c r="LCM86" s="629"/>
      <c r="LCN86" s="629"/>
      <c r="LCO86" s="629"/>
      <c r="LCP86" s="629"/>
      <c r="LCQ86" s="629"/>
      <c r="LCR86" s="629"/>
      <c r="LCS86" s="629"/>
      <c r="LCT86" s="629"/>
      <c r="LCU86" s="629"/>
      <c r="LCV86" s="629"/>
      <c r="LCW86" s="629"/>
      <c r="LCX86" s="629"/>
      <c r="LCY86" s="629"/>
      <c r="LCZ86" s="629"/>
      <c r="LDA86" s="629"/>
      <c r="LDB86" s="629"/>
      <c r="LDC86" s="629"/>
      <c r="LDD86" s="629"/>
      <c r="LDE86" s="629"/>
      <c r="LDF86" s="629"/>
      <c r="LDG86" s="629"/>
      <c r="LDH86" s="629"/>
      <c r="LDI86" s="629"/>
      <c r="LDJ86" s="629"/>
      <c r="LDK86" s="629"/>
      <c r="LDL86" s="629"/>
      <c r="LDM86" s="629"/>
      <c r="LDN86" s="629"/>
      <c r="LDO86" s="629"/>
      <c r="LDP86" s="629"/>
      <c r="LDQ86" s="629"/>
      <c r="LDR86" s="629"/>
      <c r="LDS86" s="629"/>
      <c r="LDT86" s="629"/>
      <c r="LDU86" s="629"/>
      <c r="LDV86" s="629"/>
      <c r="LDW86" s="629"/>
      <c r="LDX86" s="629"/>
      <c r="LDY86" s="629"/>
      <c r="LDZ86" s="629"/>
      <c r="LEA86" s="629"/>
      <c r="LEB86" s="629"/>
      <c r="LEC86" s="629"/>
      <c r="LED86" s="629"/>
      <c r="LEE86" s="629"/>
      <c r="LEF86" s="629"/>
      <c r="LEG86" s="629"/>
      <c r="LEH86" s="629"/>
      <c r="LEI86" s="629"/>
      <c r="LEJ86" s="629"/>
      <c r="LEK86" s="629"/>
      <c r="LEL86" s="629"/>
      <c r="LEM86" s="629"/>
      <c r="LEN86" s="629"/>
      <c r="LEO86" s="629"/>
      <c r="LEP86" s="629"/>
      <c r="LEQ86" s="629"/>
      <c r="LER86" s="629"/>
      <c r="LES86" s="629"/>
      <c r="LET86" s="629"/>
      <c r="LEU86" s="629"/>
      <c r="LEV86" s="629"/>
      <c r="LEW86" s="629"/>
      <c r="LEX86" s="629"/>
      <c r="LEY86" s="629"/>
      <c r="LEZ86" s="629"/>
      <c r="LFA86" s="629"/>
      <c r="LFB86" s="629"/>
      <c r="LFC86" s="629"/>
      <c r="LFD86" s="629"/>
      <c r="LFE86" s="629"/>
      <c r="LFF86" s="629"/>
      <c r="LFG86" s="629"/>
      <c r="LFH86" s="629"/>
      <c r="LFI86" s="629"/>
      <c r="LFJ86" s="629"/>
      <c r="LFK86" s="629"/>
      <c r="LFL86" s="629"/>
      <c r="LFM86" s="629"/>
      <c r="LFN86" s="629"/>
      <c r="LFO86" s="629"/>
      <c r="LFP86" s="629"/>
      <c r="LFQ86" s="629"/>
      <c r="LFR86" s="629"/>
      <c r="LFS86" s="629"/>
      <c r="LFT86" s="629"/>
      <c r="LFU86" s="629"/>
      <c r="LFV86" s="629"/>
      <c r="LFW86" s="629"/>
      <c r="LFX86" s="629"/>
      <c r="LFY86" s="629"/>
      <c r="LFZ86" s="629"/>
      <c r="LGA86" s="629"/>
      <c r="LGB86" s="629"/>
      <c r="LGC86" s="629"/>
      <c r="LGD86" s="629"/>
      <c r="LGE86" s="629"/>
      <c r="LGF86" s="629"/>
      <c r="LGG86" s="629"/>
      <c r="LGH86" s="629"/>
      <c r="LGI86" s="629"/>
      <c r="LGJ86" s="629"/>
      <c r="LGK86" s="629"/>
      <c r="LGL86" s="629"/>
      <c r="LGM86" s="629"/>
      <c r="LGN86" s="629"/>
      <c r="LGO86" s="629"/>
      <c r="LGP86" s="629"/>
      <c r="LGQ86" s="629"/>
      <c r="LGR86" s="629"/>
      <c r="LGS86" s="629"/>
      <c r="LGT86" s="629"/>
      <c r="LGU86" s="629"/>
      <c r="LGV86" s="629"/>
      <c r="LGW86" s="629"/>
      <c r="LGX86" s="629"/>
      <c r="LGY86" s="629"/>
      <c r="LGZ86" s="629"/>
      <c r="LHA86" s="629"/>
      <c r="LHB86" s="629"/>
      <c r="LHC86" s="629"/>
      <c r="LHD86" s="629"/>
      <c r="LHE86" s="629"/>
      <c r="LHF86" s="629"/>
      <c r="LHG86" s="629"/>
      <c r="LHH86" s="629"/>
      <c r="LHI86" s="629"/>
      <c r="LHJ86" s="629"/>
      <c r="LHK86" s="629"/>
      <c r="LHL86" s="629"/>
      <c r="LHM86" s="629"/>
      <c r="LHN86" s="629"/>
      <c r="LHO86" s="629"/>
      <c r="LHP86" s="629"/>
      <c r="LHQ86" s="629"/>
      <c r="LHR86" s="629"/>
      <c r="LHS86" s="629"/>
      <c r="LHT86" s="629"/>
      <c r="LHU86" s="629"/>
      <c r="LHV86" s="629"/>
      <c r="LHW86" s="629"/>
      <c r="LHX86" s="629"/>
      <c r="LHY86" s="629"/>
      <c r="LHZ86" s="629"/>
      <c r="LIA86" s="629"/>
      <c r="LIB86" s="629"/>
      <c r="LIC86" s="629"/>
      <c r="LID86" s="629"/>
      <c r="LIE86" s="629"/>
      <c r="LIF86" s="629"/>
      <c r="LIG86" s="629"/>
      <c r="LIH86" s="629"/>
      <c r="LII86" s="629"/>
      <c r="LIJ86" s="629"/>
      <c r="LIK86" s="629"/>
      <c r="LIL86" s="629"/>
      <c r="LIM86" s="629"/>
      <c r="LIN86" s="629"/>
      <c r="LIO86" s="629"/>
      <c r="LIP86" s="629"/>
      <c r="LIQ86" s="629"/>
      <c r="LIR86" s="629"/>
      <c r="LIS86" s="629"/>
      <c r="LIT86" s="629"/>
      <c r="LIU86" s="629"/>
      <c r="LIV86" s="629"/>
      <c r="LIW86" s="629"/>
      <c r="LIX86" s="629"/>
      <c r="LIY86" s="629"/>
      <c r="LIZ86" s="629"/>
      <c r="LJA86" s="629"/>
      <c r="LJB86" s="629"/>
      <c r="LJC86" s="629"/>
      <c r="LJD86" s="629"/>
      <c r="LJE86" s="629"/>
      <c r="LJF86" s="629"/>
      <c r="LJG86" s="629"/>
      <c r="LJH86" s="629"/>
      <c r="LJI86" s="629"/>
      <c r="LJJ86" s="629"/>
      <c r="LJK86" s="629"/>
      <c r="LJL86" s="629"/>
      <c r="LJM86" s="629"/>
      <c r="LJN86" s="629"/>
      <c r="LJO86" s="629"/>
      <c r="LJP86" s="629"/>
      <c r="LJQ86" s="629"/>
      <c r="LJR86" s="629"/>
      <c r="LJS86" s="629"/>
      <c r="LJT86" s="629"/>
      <c r="LJU86" s="629"/>
      <c r="LJV86" s="629"/>
      <c r="LJW86" s="629"/>
      <c r="LJX86" s="629"/>
      <c r="LJY86" s="629"/>
      <c r="LJZ86" s="629"/>
      <c r="LKA86" s="629"/>
      <c r="LKB86" s="629"/>
      <c r="LKC86" s="629"/>
      <c r="LKD86" s="629"/>
      <c r="LKE86" s="629"/>
      <c r="LKF86" s="629"/>
      <c r="LKG86" s="629"/>
      <c r="LKH86" s="629"/>
      <c r="LKI86" s="629"/>
      <c r="LKJ86" s="629"/>
      <c r="LKK86" s="629"/>
      <c r="LKL86" s="629"/>
      <c r="LKM86" s="629"/>
      <c r="LKN86" s="629"/>
      <c r="LKO86" s="629"/>
      <c r="LKP86" s="629"/>
      <c r="LKQ86" s="629"/>
      <c r="LKR86" s="629"/>
      <c r="LKS86" s="629"/>
      <c r="LKT86" s="629"/>
      <c r="LKU86" s="629"/>
      <c r="LKV86" s="629"/>
      <c r="LKW86" s="629"/>
      <c r="LKX86" s="629"/>
      <c r="LKY86" s="629"/>
      <c r="LKZ86" s="629"/>
      <c r="LLA86" s="629"/>
      <c r="LLB86" s="629"/>
      <c r="LLC86" s="629"/>
      <c r="LLD86" s="629"/>
      <c r="LLE86" s="629"/>
      <c r="LLF86" s="629"/>
      <c r="LLG86" s="629"/>
      <c r="LLH86" s="629"/>
      <c r="LLI86" s="629"/>
      <c r="LLJ86" s="629"/>
      <c r="LLK86" s="629"/>
      <c r="LLL86" s="629"/>
      <c r="LLM86" s="629"/>
      <c r="LLN86" s="629"/>
      <c r="LLO86" s="629"/>
      <c r="LLP86" s="629"/>
      <c r="LLQ86" s="629"/>
      <c r="LLR86" s="629"/>
      <c r="LLS86" s="629"/>
      <c r="LLT86" s="629"/>
      <c r="LLU86" s="629"/>
      <c r="LLV86" s="629"/>
      <c r="LLW86" s="629"/>
      <c r="LLX86" s="629"/>
      <c r="LLY86" s="629"/>
      <c r="LLZ86" s="629"/>
      <c r="LMA86" s="629"/>
      <c r="LMB86" s="629"/>
      <c r="LMC86" s="629"/>
      <c r="LMD86" s="629"/>
      <c r="LME86" s="629"/>
      <c r="LMF86" s="629"/>
      <c r="LMG86" s="629"/>
      <c r="LMH86" s="629"/>
      <c r="LMI86" s="629"/>
      <c r="LMJ86" s="629"/>
      <c r="LMK86" s="629"/>
      <c r="LML86" s="629"/>
      <c r="LMM86" s="629"/>
      <c r="LMN86" s="629"/>
      <c r="LMO86" s="629"/>
      <c r="LMP86" s="629"/>
      <c r="LMQ86" s="629"/>
      <c r="LMR86" s="629"/>
      <c r="LMS86" s="629"/>
      <c r="LMT86" s="629"/>
      <c r="LMU86" s="629"/>
      <c r="LMV86" s="629"/>
      <c r="LMW86" s="629"/>
      <c r="LMX86" s="629"/>
      <c r="LMY86" s="629"/>
      <c r="LMZ86" s="629"/>
      <c r="LNA86" s="629"/>
      <c r="LNB86" s="629"/>
      <c r="LNC86" s="629"/>
      <c r="LND86" s="629"/>
      <c r="LNE86" s="629"/>
      <c r="LNF86" s="629"/>
      <c r="LNG86" s="629"/>
      <c r="LNH86" s="629"/>
      <c r="LNI86" s="629"/>
      <c r="LNJ86" s="629"/>
      <c r="LNK86" s="629"/>
      <c r="LNL86" s="629"/>
      <c r="LNM86" s="629"/>
      <c r="LNN86" s="629"/>
      <c r="LNO86" s="629"/>
      <c r="LNP86" s="629"/>
      <c r="LNQ86" s="629"/>
      <c r="LNR86" s="629"/>
      <c r="LNS86" s="629"/>
      <c r="LNT86" s="629"/>
      <c r="LNU86" s="629"/>
      <c r="LNV86" s="629"/>
      <c r="LNW86" s="629"/>
      <c r="LNX86" s="629"/>
      <c r="LNY86" s="629"/>
      <c r="LNZ86" s="629"/>
      <c r="LOA86" s="629"/>
      <c r="LOB86" s="629"/>
      <c r="LOC86" s="629"/>
      <c r="LOD86" s="629"/>
      <c r="LOE86" s="629"/>
      <c r="LOF86" s="629"/>
      <c r="LOG86" s="629"/>
      <c r="LOH86" s="629"/>
      <c r="LOI86" s="629"/>
      <c r="LOJ86" s="629"/>
      <c r="LOK86" s="629"/>
      <c r="LOL86" s="629"/>
      <c r="LOM86" s="629"/>
      <c r="LON86" s="629"/>
      <c r="LOO86" s="629"/>
      <c r="LOP86" s="629"/>
      <c r="LOQ86" s="629"/>
      <c r="LOR86" s="629"/>
      <c r="LOS86" s="629"/>
      <c r="LOT86" s="629"/>
      <c r="LOU86" s="629"/>
      <c r="LOV86" s="629"/>
      <c r="LOW86" s="629"/>
      <c r="LOX86" s="629"/>
      <c r="LOY86" s="629"/>
      <c r="LOZ86" s="629"/>
      <c r="LPA86" s="629"/>
      <c r="LPB86" s="629"/>
      <c r="LPC86" s="629"/>
      <c r="LPD86" s="629"/>
      <c r="LPE86" s="629"/>
      <c r="LPF86" s="629"/>
      <c r="LPG86" s="629"/>
      <c r="LPH86" s="629"/>
      <c r="LPI86" s="629"/>
      <c r="LPJ86" s="629"/>
      <c r="LPK86" s="629"/>
      <c r="LPL86" s="629"/>
      <c r="LPM86" s="629"/>
      <c r="LPN86" s="629"/>
      <c r="LPO86" s="629"/>
      <c r="LPP86" s="629"/>
      <c r="LPQ86" s="629"/>
      <c r="LPR86" s="629"/>
      <c r="LPS86" s="629"/>
      <c r="LPT86" s="629"/>
      <c r="LPU86" s="629"/>
      <c r="LPV86" s="629"/>
      <c r="LPW86" s="629"/>
      <c r="LPX86" s="629"/>
      <c r="LPY86" s="629"/>
      <c r="LPZ86" s="629"/>
      <c r="LQA86" s="629"/>
      <c r="LQB86" s="629"/>
      <c r="LQC86" s="629"/>
      <c r="LQD86" s="629"/>
      <c r="LQE86" s="629"/>
      <c r="LQF86" s="629"/>
      <c r="LQG86" s="629"/>
      <c r="LQH86" s="629"/>
      <c r="LQI86" s="629"/>
      <c r="LQJ86" s="629"/>
      <c r="LQK86" s="629"/>
      <c r="LQL86" s="629"/>
      <c r="LQM86" s="629"/>
      <c r="LQN86" s="629"/>
      <c r="LQO86" s="629"/>
      <c r="LQP86" s="629"/>
      <c r="LQQ86" s="629"/>
      <c r="LQR86" s="629"/>
      <c r="LQS86" s="629"/>
      <c r="LQT86" s="629"/>
      <c r="LQU86" s="629"/>
      <c r="LQV86" s="629"/>
      <c r="LQW86" s="629"/>
      <c r="LQX86" s="629"/>
      <c r="LQY86" s="629"/>
      <c r="LQZ86" s="629"/>
      <c r="LRA86" s="629"/>
      <c r="LRB86" s="629"/>
      <c r="LRC86" s="629"/>
      <c r="LRD86" s="629"/>
      <c r="LRE86" s="629"/>
      <c r="LRF86" s="629"/>
      <c r="LRG86" s="629"/>
      <c r="LRH86" s="629"/>
      <c r="LRI86" s="629"/>
      <c r="LRJ86" s="629"/>
      <c r="LRK86" s="629"/>
      <c r="LRL86" s="629"/>
      <c r="LRM86" s="629"/>
      <c r="LRN86" s="629"/>
      <c r="LRO86" s="629"/>
      <c r="LRP86" s="629"/>
      <c r="LRQ86" s="629"/>
      <c r="LRR86" s="629"/>
      <c r="LRS86" s="629"/>
      <c r="LRT86" s="629"/>
      <c r="LRU86" s="629"/>
      <c r="LRV86" s="629"/>
      <c r="LRW86" s="629"/>
      <c r="LRX86" s="629"/>
      <c r="LRY86" s="629"/>
      <c r="LRZ86" s="629"/>
      <c r="LSA86" s="629"/>
      <c r="LSB86" s="629"/>
      <c r="LSC86" s="629"/>
      <c r="LSD86" s="629"/>
      <c r="LSE86" s="629"/>
      <c r="LSF86" s="629"/>
      <c r="LSG86" s="629"/>
      <c r="LSH86" s="629"/>
      <c r="LSI86" s="629"/>
      <c r="LSJ86" s="629"/>
      <c r="LSK86" s="629"/>
      <c r="LSL86" s="629"/>
      <c r="LSM86" s="629"/>
      <c r="LSN86" s="629"/>
      <c r="LSO86" s="629"/>
      <c r="LSP86" s="629"/>
      <c r="LSQ86" s="629"/>
      <c r="LSR86" s="629"/>
      <c r="LSS86" s="629"/>
      <c r="LST86" s="629"/>
      <c r="LSU86" s="629"/>
      <c r="LSV86" s="629"/>
      <c r="LSW86" s="629"/>
      <c r="LSX86" s="629"/>
      <c r="LSY86" s="629"/>
      <c r="LSZ86" s="629"/>
      <c r="LTA86" s="629"/>
      <c r="LTB86" s="629"/>
      <c r="LTC86" s="629"/>
      <c r="LTD86" s="629"/>
      <c r="LTE86" s="629"/>
      <c r="LTF86" s="629"/>
      <c r="LTG86" s="629"/>
      <c r="LTH86" s="629"/>
      <c r="LTI86" s="629"/>
      <c r="LTJ86" s="629"/>
      <c r="LTK86" s="629"/>
      <c r="LTL86" s="629"/>
      <c r="LTM86" s="629"/>
      <c r="LTN86" s="629"/>
      <c r="LTO86" s="629"/>
      <c r="LTP86" s="629"/>
      <c r="LTQ86" s="629"/>
      <c r="LTR86" s="629"/>
      <c r="LTS86" s="629"/>
      <c r="LTT86" s="629"/>
      <c r="LTU86" s="629"/>
      <c r="LTV86" s="629"/>
      <c r="LTW86" s="629"/>
      <c r="LTX86" s="629"/>
      <c r="LTY86" s="629"/>
      <c r="LTZ86" s="629"/>
      <c r="LUA86" s="629"/>
      <c r="LUB86" s="629"/>
      <c r="LUC86" s="629"/>
      <c r="LUD86" s="629"/>
      <c r="LUE86" s="629"/>
      <c r="LUF86" s="629"/>
      <c r="LUG86" s="629"/>
      <c r="LUH86" s="629"/>
      <c r="LUI86" s="629"/>
      <c r="LUJ86" s="629"/>
      <c r="LUK86" s="629"/>
      <c r="LUL86" s="629"/>
      <c r="LUM86" s="629"/>
      <c r="LUN86" s="629"/>
      <c r="LUO86" s="629"/>
      <c r="LUP86" s="629"/>
      <c r="LUQ86" s="629"/>
      <c r="LUR86" s="629"/>
      <c r="LUS86" s="629"/>
      <c r="LUT86" s="629"/>
      <c r="LUU86" s="629"/>
      <c r="LUV86" s="629"/>
      <c r="LUW86" s="629"/>
      <c r="LUX86" s="629"/>
      <c r="LUY86" s="629"/>
      <c r="LUZ86" s="629"/>
      <c r="LVA86" s="629"/>
      <c r="LVB86" s="629"/>
      <c r="LVC86" s="629"/>
      <c r="LVD86" s="629"/>
      <c r="LVE86" s="629"/>
      <c r="LVF86" s="629"/>
      <c r="LVG86" s="629"/>
      <c r="LVH86" s="629"/>
      <c r="LVI86" s="629"/>
      <c r="LVJ86" s="629"/>
      <c r="LVK86" s="629"/>
      <c r="LVL86" s="629"/>
      <c r="LVM86" s="629"/>
      <c r="LVN86" s="629"/>
      <c r="LVO86" s="629"/>
      <c r="LVP86" s="629"/>
      <c r="LVQ86" s="629"/>
      <c r="LVR86" s="629"/>
      <c r="LVS86" s="629"/>
      <c r="LVT86" s="629"/>
      <c r="LVU86" s="629"/>
      <c r="LVV86" s="629"/>
      <c r="LVW86" s="629"/>
      <c r="LVX86" s="629"/>
      <c r="LVY86" s="629"/>
      <c r="LVZ86" s="629"/>
      <c r="LWA86" s="629"/>
      <c r="LWB86" s="629"/>
      <c r="LWC86" s="629"/>
      <c r="LWD86" s="629"/>
      <c r="LWE86" s="629"/>
      <c r="LWF86" s="629"/>
      <c r="LWG86" s="629"/>
      <c r="LWH86" s="629"/>
      <c r="LWI86" s="629"/>
      <c r="LWJ86" s="629"/>
      <c r="LWK86" s="629"/>
      <c r="LWL86" s="629"/>
      <c r="LWM86" s="629"/>
      <c r="LWN86" s="629"/>
      <c r="LWO86" s="629"/>
      <c r="LWP86" s="629"/>
      <c r="LWQ86" s="629"/>
      <c r="LWR86" s="629"/>
      <c r="LWS86" s="629"/>
      <c r="LWT86" s="629"/>
      <c r="LWU86" s="629"/>
      <c r="LWV86" s="629"/>
      <c r="LWW86" s="629"/>
      <c r="LWX86" s="629"/>
      <c r="LWY86" s="629"/>
      <c r="LWZ86" s="629"/>
      <c r="LXA86" s="629"/>
      <c r="LXB86" s="629"/>
      <c r="LXC86" s="629"/>
      <c r="LXD86" s="629"/>
      <c r="LXE86" s="629"/>
      <c r="LXF86" s="629"/>
      <c r="LXG86" s="629"/>
      <c r="LXH86" s="629"/>
      <c r="LXI86" s="629"/>
      <c r="LXJ86" s="629"/>
      <c r="LXK86" s="629"/>
      <c r="LXL86" s="629"/>
      <c r="LXM86" s="629"/>
      <c r="LXN86" s="629"/>
      <c r="LXO86" s="629"/>
      <c r="LXP86" s="629"/>
      <c r="LXQ86" s="629"/>
      <c r="LXR86" s="629"/>
      <c r="LXS86" s="629"/>
      <c r="LXT86" s="629"/>
      <c r="LXU86" s="629"/>
      <c r="LXV86" s="629"/>
      <c r="LXW86" s="629"/>
      <c r="LXX86" s="629"/>
      <c r="LXY86" s="629"/>
      <c r="LXZ86" s="629"/>
      <c r="LYA86" s="629"/>
      <c r="LYB86" s="629"/>
      <c r="LYC86" s="629"/>
      <c r="LYD86" s="629"/>
      <c r="LYE86" s="629"/>
      <c r="LYF86" s="629"/>
      <c r="LYG86" s="629"/>
      <c r="LYH86" s="629"/>
      <c r="LYI86" s="629"/>
      <c r="LYJ86" s="629"/>
      <c r="LYK86" s="629"/>
      <c r="LYL86" s="629"/>
      <c r="LYM86" s="629"/>
      <c r="LYN86" s="629"/>
      <c r="LYO86" s="629"/>
      <c r="LYP86" s="629"/>
      <c r="LYQ86" s="629"/>
      <c r="LYR86" s="629"/>
      <c r="LYS86" s="629"/>
      <c r="LYT86" s="629"/>
      <c r="LYU86" s="629"/>
      <c r="LYV86" s="629"/>
      <c r="LYW86" s="629"/>
      <c r="LYX86" s="629"/>
      <c r="LYY86" s="629"/>
      <c r="LYZ86" s="629"/>
      <c r="LZA86" s="629"/>
      <c r="LZB86" s="629"/>
      <c r="LZC86" s="629"/>
      <c r="LZD86" s="629"/>
      <c r="LZE86" s="629"/>
      <c r="LZF86" s="629"/>
      <c r="LZG86" s="629"/>
      <c r="LZH86" s="629"/>
      <c r="LZI86" s="629"/>
      <c r="LZJ86" s="629"/>
      <c r="LZK86" s="629"/>
      <c r="LZL86" s="629"/>
      <c r="LZM86" s="629"/>
      <c r="LZN86" s="629"/>
      <c r="LZO86" s="629"/>
      <c r="LZP86" s="629"/>
      <c r="LZQ86" s="629"/>
      <c r="LZR86" s="629"/>
      <c r="LZS86" s="629"/>
      <c r="LZT86" s="629"/>
      <c r="LZU86" s="629"/>
      <c r="LZV86" s="629"/>
      <c r="LZW86" s="629"/>
      <c r="LZX86" s="629"/>
      <c r="LZY86" s="629"/>
      <c r="LZZ86" s="629"/>
      <c r="MAA86" s="629"/>
      <c r="MAB86" s="629"/>
      <c r="MAC86" s="629"/>
      <c r="MAD86" s="629"/>
      <c r="MAE86" s="629"/>
      <c r="MAF86" s="629"/>
      <c r="MAG86" s="629"/>
      <c r="MAH86" s="629"/>
      <c r="MAI86" s="629"/>
      <c r="MAJ86" s="629"/>
      <c r="MAK86" s="629"/>
      <c r="MAL86" s="629"/>
      <c r="MAM86" s="629"/>
      <c r="MAN86" s="629"/>
      <c r="MAO86" s="629"/>
      <c r="MAP86" s="629"/>
      <c r="MAQ86" s="629"/>
      <c r="MAR86" s="629"/>
      <c r="MAS86" s="629"/>
      <c r="MAT86" s="629"/>
      <c r="MAU86" s="629"/>
      <c r="MAV86" s="629"/>
      <c r="MAW86" s="629"/>
      <c r="MAX86" s="629"/>
      <c r="MAY86" s="629"/>
      <c r="MAZ86" s="629"/>
      <c r="MBA86" s="629"/>
      <c r="MBB86" s="629"/>
      <c r="MBC86" s="629"/>
      <c r="MBD86" s="629"/>
      <c r="MBE86" s="629"/>
      <c r="MBF86" s="629"/>
      <c r="MBG86" s="629"/>
      <c r="MBH86" s="629"/>
      <c r="MBI86" s="629"/>
      <c r="MBJ86" s="629"/>
      <c r="MBK86" s="629"/>
      <c r="MBL86" s="629"/>
      <c r="MBM86" s="629"/>
      <c r="MBN86" s="629"/>
      <c r="MBO86" s="629"/>
      <c r="MBP86" s="629"/>
      <c r="MBQ86" s="629"/>
      <c r="MBR86" s="629"/>
      <c r="MBS86" s="629"/>
      <c r="MBT86" s="629"/>
      <c r="MBU86" s="629"/>
      <c r="MBV86" s="629"/>
      <c r="MBW86" s="629"/>
      <c r="MBX86" s="629"/>
      <c r="MBY86" s="629"/>
      <c r="MBZ86" s="629"/>
      <c r="MCA86" s="629"/>
      <c r="MCB86" s="629"/>
      <c r="MCC86" s="629"/>
      <c r="MCD86" s="629"/>
      <c r="MCE86" s="629"/>
      <c r="MCF86" s="629"/>
      <c r="MCG86" s="629"/>
      <c r="MCH86" s="629"/>
      <c r="MCI86" s="629"/>
      <c r="MCJ86" s="629"/>
      <c r="MCK86" s="629"/>
      <c r="MCL86" s="629"/>
      <c r="MCM86" s="629"/>
      <c r="MCN86" s="629"/>
      <c r="MCO86" s="629"/>
      <c r="MCP86" s="629"/>
      <c r="MCQ86" s="629"/>
      <c r="MCR86" s="629"/>
      <c r="MCS86" s="629"/>
      <c r="MCT86" s="629"/>
      <c r="MCU86" s="629"/>
      <c r="MCV86" s="629"/>
      <c r="MCW86" s="629"/>
      <c r="MCX86" s="629"/>
      <c r="MCY86" s="629"/>
      <c r="MCZ86" s="629"/>
      <c r="MDA86" s="629"/>
      <c r="MDB86" s="629"/>
      <c r="MDC86" s="629"/>
      <c r="MDD86" s="629"/>
      <c r="MDE86" s="629"/>
      <c r="MDF86" s="629"/>
      <c r="MDG86" s="629"/>
      <c r="MDH86" s="629"/>
      <c r="MDI86" s="629"/>
      <c r="MDJ86" s="629"/>
      <c r="MDK86" s="629"/>
      <c r="MDL86" s="629"/>
      <c r="MDM86" s="629"/>
      <c r="MDN86" s="629"/>
      <c r="MDO86" s="629"/>
      <c r="MDP86" s="629"/>
      <c r="MDQ86" s="629"/>
      <c r="MDR86" s="629"/>
      <c r="MDS86" s="629"/>
      <c r="MDT86" s="629"/>
      <c r="MDU86" s="629"/>
      <c r="MDV86" s="629"/>
      <c r="MDW86" s="629"/>
      <c r="MDX86" s="629"/>
      <c r="MDY86" s="629"/>
      <c r="MDZ86" s="629"/>
      <c r="MEA86" s="629"/>
      <c r="MEB86" s="629"/>
      <c r="MEC86" s="629"/>
      <c r="MED86" s="629"/>
      <c r="MEE86" s="629"/>
      <c r="MEF86" s="629"/>
      <c r="MEG86" s="629"/>
      <c r="MEH86" s="629"/>
      <c r="MEI86" s="629"/>
      <c r="MEJ86" s="629"/>
      <c r="MEK86" s="629"/>
      <c r="MEL86" s="629"/>
      <c r="MEM86" s="629"/>
      <c r="MEN86" s="629"/>
      <c r="MEO86" s="629"/>
      <c r="MEP86" s="629"/>
      <c r="MEQ86" s="629"/>
      <c r="MER86" s="629"/>
      <c r="MES86" s="629"/>
      <c r="MET86" s="629"/>
      <c r="MEU86" s="629"/>
      <c r="MEV86" s="629"/>
      <c r="MEW86" s="629"/>
      <c r="MEX86" s="629"/>
      <c r="MEY86" s="629"/>
      <c r="MEZ86" s="629"/>
      <c r="MFA86" s="629"/>
      <c r="MFB86" s="629"/>
      <c r="MFC86" s="629"/>
      <c r="MFD86" s="629"/>
      <c r="MFE86" s="629"/>
      <c r="MFF86" s="629"/>
      <c r="MFG86" s="629"/>
      <c r="MFH86" s="629"/>
      <c r="MFI86" s="629"/>
      <c r="MFJ86" s="629"/>
      <c r="MFK86" s="629"/>
      <c r="MFL86" s="629"/>
      <c r="MFM86" s="629"/>
      <c r="MFN86" s="629"/>
      <c r="MFO86" s="629"/>
      <c r="MFP86" s="629"/>
      <c r="MFQ86" s="629"/>
      <c r="MFR86" s="629"/>
      <c r="MFS86" s="629"/>
      <c r="MFT86" s="629"/>
      <c r="MFU86" s="629"/>
      <c r="MFV86" s="629"/>
      <c r="MFW86" s="629"/>
      <c r="MFX86" s="629"/>
      <c r="MFY86" s="629"/>
      <c r="MFZ86" s="629"/>
      <c r="MGA86" s="629"/>
      <c r="MGB86" s="629"/>
      <c r="MGC86" s="629"/>
      <c r="MGD86" s="629"/>
      <c r="MGE86" s="629"/>
      <c r="MGF86" s="629"/>
      <c r="MGG86" s="629"/>
      <c r="MGH86" s="629"/>
      <c r="MGI86" s="629"/>
      <c r="MGJ86" s="629"/>
      <c r="MGK86" s="629"/>
      <c r="MGL86" s="629"/>
      <c r="MGM86" s="629"/>
      <c r="MGN86" s="629"/>
      <c r="MGO86" s="629"/>
      <c r="MGP86" s="629"/>
      <c r="MGQ86" s="629"/>
      <c r="MGR86" s="629"/>
      <c r="MGS86" s="629"/>
      <c r="MGT86" s="629"/>
      <c r="MGU86" s="629"/>
      <c r="MGV86" s="629"/>
      <c r="MGW86" s="629"/>
      <c r="MGX86" s="629"/>
      <c r="MGY86" s="629"/>
      <c r="MGZ86" s="629"/>
      <c r="MHA86" s="629"/>
      <c r="MHB86" s="629"/>
      <c r="MHC86" s="629"/>
      <c r="MHD86" s="629"/>
      <c r="MHE86" s="629"/>
      <c r="MHF86" s="629"/>
      <c r="MHG86" s="629"/>
      <c r="MHH86" s="629"/>
      <c r="MHI86" s="629"/>
      <c r="MHJ86" s="629"/>
      <c r="MHK86" s="629"/>
      <c r="MHL86" s="629"/>
      <c r="MHM86" s="629"/>
      <c r="MHN86" s="629"/>
      <c r="MHO86" s="629"/>
      <c r="MHP86" s="629"/>
      <c r="MHQ86" s="629"/>
      <c r="MHR86" s="629"/>
      <c r="MHS86" s="629"/>
      <c r="MHT86" s="629"/>
      <c r="MHU86" s="629"/>
      <c r="MHV86" s="629"/>
      <c r="MHW86" s="629"/>
      <c r="MHX86" s="629"/>
      <c r="MHY86" s="629"/>
      <c r="MHZ86" s="629"/>
      <c r="MIA86" s="629"/>
      <c r="MIB86" s="629"/>
      <c r="MIC86" s="629"/>
      <c r="MID86" s="629"/>
      <c r="MIE86" s="629"/>
      <c r="MIF86" s="629"/>
      <c r="MIG86" s="629"/>
      <c r="MIH86" s="629"/>
      <c r="MII86" s="629"/>
      <c r="MIJ86" s="629"/>
      <c r="MIK86" s="629"/>
      <c r="MIL86" s="629"/>
      <c r="MIM86" s="629"/>
      <c r="MIN86" s="629"/>
      <c r="MIO86" s="629"/>
      <c r="MIP86" s="629"/>
      <c r="MIQ86" s="629"/>
      <c r="MIR86" s="629"/>
      <c r="MIS86" s="629"/>
      <c r="MIT86" s="629"/>
      <c r="MIU86" s="629"/>
      <c r="MIV86" s="629"/>
      <c r="MIW86" s="629"/>
      <c r="MIX86" s="629"/>
      <c r="MIY86" s="629"/>
      <c r="MIZ86" s="629"/>
      <c r="MJA86" s="629"/>
      <c r="MJB86" s="629"/>
      <c r="MJC86" s="629"/>
      <c r="MJD86" s="629"/>
      <c r="MJE86" s="629"/>
      <c r="MJF86" s="629"/>
      <c r="MJG86" s="629"/>
      <c r="MJH86" s="629"/>
      <c r="MJI86" s="629"/>
      <c r="MJJ86" s="629"/>
      <c r="MJK86" s="629"/>
      <c r="MJL86" s="629"/>
      <c r="MJM86" s="629"/>
      <c r="MJN86" s="629"/>
      <c r="MJO86" s="629"/>
      <c r="MJP86" s="629"/>
      <c r="MJQ86" s="629"/>
      <c r="MJR86" s="629"/>
      <c r="MJS86" s="629"/>
      <c r="MJT86" s="629"/>
      <c r="MJU86" s="629"/>
      <c r="MJV86" s="629"/>
      <c r="MJW86" s="629"/>
      <c r="MJX86" s="629"/>
      <c r="MJY86" s="629"/>
      <c r="MJZ86" s="629"/>
      <c r="MKA86" s="629"/>
      <c r="MKB86" s="629"/>
      <c r="MKC86" s="629"/>
      <c r="MKD86" s="629"/>
      <c r="MKE86" s="629"/>
      <c r="MKF86" s="629"/>
      <c r="MKG86" s="629"/>
      <c r="MKH86" s="629"/>
      <c r="MKI86" s="629"/>
      <c r="MKJ86" s="629"/>
      <c r="MKK86" s="629"/>
      <c r="MKL86" s="629"/>
      <c r="MKM86" s="629"/>
      <c r="MKN86" s="629"/>
      <c r="MKO86" s="629"/>
      <c r="MKP86" s="629"/>
      <c r="MKQ86" s="629"/>
      <c r="MKR86" s="629"/>
      <c r="MKS86" s="629"/>
      <c r="MKT86" s="629"/>
      <c r="MKU86" s="629"/>
      <c r="MKV86" s="629"/>
      <c r="MKW86" s="629"/>
      <c r="MKX86" s="629"/>
      <c r="MKY86" s="629"/>
      <c r="MKZ86" s="629"/>
      <c r="MLA86" s="629"/>
      <c r="MLB86" s="629"/>
      <c r="MLC86" s="629"/>
      <c r="MLD86" s="629"/>
      <c r="MLE86" s="629"/>
      <c r="MLF86" s="629"/>
      <c r="MLG86" s="629"/>
      <c r="MLH86" s="629"/>
      <c r="MLI86" s="629"/>
      <c r="MLJ86" s="629"/>
      <c r="MLK86" s="629"/>
      <c r="MLL86" s="629"/>
      <c r="MLM86" s="629"/>
      <c r="MLN86" s="629"/>
      <c r="MLO86" s="629"/>
      <c r="MLP86" s="629"/>
      <c r="MLQ86" s="629"/>
      <c r="MLR86" s="629"/>
      <c r="MLS86" s="629"/>
      <c r="MLT86" s="629"/>
      <c r="MLU86" s="629"/>
      <c r="MLV86" s="629"/>
      <c r="MLW86" s="629"/>
      <c r="MLX86" s="629"/>
      <c r="MLY86" s="629"/>
      <c r="MLZ86" s="629"/>
      <c r="MMA86" s="629"/>
      <c r="MMB86" s="629"/>
      <c r="MMC86" s="629"/>
      <c r="MMD86" s="629"/>
      <c r="MME86" s="629"/>
      <c r="MMF86" s="629"/>
      <c r="MMG86" s="629"/>
      <c r="MMH86" s="629"/>
      <c r="MMI86" s="629"/>
      <c r="MMJ86" s="629"/>
      <c r="MMK86" s="629"/>
      <c r="MML86" s="629"/>
      <c r="MMM86" s="629"/>
      <c r="MMN86" s="629"/>
      <c r="MMO86" s="629"/>
      <c r="MMP86" s="629"/>
      <c r="MMQ86" s="629"/>
      <c r="MMR86" s="629"/>
      <c r="MMS86" s="629"/>
      <c r="MMT86" s="629"/>
      <c r="MMU86" s="629"/>
      <c r="MMV86" s="629"/>
      <c r="MMW86" s="629"/>
      <c r="MMX86" s="629"/>
      <c r="MMY86" s="629"/>
      <c r="MMZ86" s="629"/>
      <c r="MNA86" s="629"/>
      <c r="MNB86" s="629"/>
      <c r="MNC86" s="629"/>
      <c r="MND86" s="629"/>
      <c r="MNE86" s="629"/>
      <c r="MNF86" s="629"/>
      <c r="MNG86" s="629"/>
      <c r="MNH86" s="629"/>
      <c r="MNI86" s="629"/>
      <c r="MNJ86" s="629"/>
      <c r="MNK86" s="629"/>
      <c r="MNL86" s="629"/>
      <c r="MNM86" s="629"/>
      <c r="MNN86" s="629"/>
      <c r="MNO86" s="629"/>
      <c r="MNP86" s="629"/>
      <c r="MNQ86" s="629"/>
      <c r="MNR86" s="629"/>
      <c r="MNS86" s="629"/>
      <c r="MNT86" s="629"/>
      <c r="MNU86" s="629"/>
      <c r="MNV86" s="629"/>
      <c r="MNW86" s="629"/>
      <c r="MNX86" s="629"/>
      <c r="MNY86" s="629"/>
      <c r="MNZ86" s="629"/>
      <c r="MOA86" s="629"/>
      <c r="MOB86" s="629"/>
      <c r="MOC86" s="629"/>
      <c r="MOD86" s="629"/>
      <c r="MOE86" s="629"/>
      <c r="MOF86" s="629"/>
      <c r="MOG86" s="629"/>
      <c r="MOH86" s="629"/>
      <c r="MOI86" s="629"/>
      <c r="MOJ86" s="629"/>
      <c r="MOK86" s="629"/>
      <c r="MOL86" s="629"/>
      <c r="MOM86" s="629"/>
      <c r="MON86" s="629"/>
      <c r="MOO86" s="629"/>
      <c r="MOP86" s="629"/>
      <c r="MOQ86" s="629"/>
      <c r="MOR86" s="629"/>
      <c r="MOS86" s="629"/>
      <c r="MOT86" s="629"/>
      <c r="MOU86" s="629"/>
      <c r="MOV86" s="629"/>
      <c r="MOW86" s="629"/>
      <c r="MOX86" s="629"/>
      <c r="MOY86" s="629"/>
      <c r="MOZ86" s="629"/>
      <c r="MPA86" s="629"/>
      <c r="MPB86" s="629"/>
      <c r="MPC86" s="629"/>
      <c r="MPD86" s="629"/>
      <c r="MPE86" s="629"/>
      <c r="MPF86" s="629"/>
      <c r="MPG86" s="629"/>
      <c r="MPH86" s="629"/>
      <c r="MPI86" s="629"/>
      <c r="MPJ86" s="629"/>
      <c r="MPK86" s="629"/>
      <c r="MPL86" s="629"/>
      <c r="MPM86" s="629"/>
      <c r="MPN86" s="629"/>
      <c r="MPO86" s="629"/>
      <c r="MPP86" s="629"/>
      <c r="MPQ86" s="629"/>
      <c r="MPR86" s="629"/>
      <c r="MPS86" s="629"/>
      <c r="MPT86" s="629"/>
      <c r="MPU86" s="629"/>
      <c r="MPV86" s="629"/>
      <c r="MPW86" s="629"/>
      <c r="MPX86" s="629"/>
      <c r="MPY86" s="629"/>
      <c r="MPZ86" s="629"/>
      <c r="MQA86" s="629"/>
      <c r="MQB86" s="629"/>
      <c r="MQC86" s="629"/>
      <c r="MQD86" s="629"/>
      <c r="MQE86" s="629"/>
      <c r="MQF86" s="629"/>
      <c r="MQG86" s="629"/>
      <c r="MQH86" s="629"/>
      <c r="MQI86" s="629"/>
      <c r="MQJ86" s="629"/>
      <c r="MQK86" s="629"/>
      <c r="MQL86" s="629"/>
      <c r="MQM86" s="629"/>
      <c r="MQN86" s="629"/>
      <c r="MQO86" s="629"/>
      <c r="MQP86" s="629"/>
      <c r="MQQ86" s="629"/>
      <c r="MQR86" s="629"/>
      <c r="MQS86" s="629"/>
      <c r="MQT86" s="629"/>
      <c r="MQU86" s="629"/>
      <c r="MQV86" s="629"/>
      <c r="MQW86" s="629"/>
      <c r="MQX86" s="629"/>
      <c r="MQY86" s="629"/>
      <c r="MQZ86" s="629"/>
      <c r="MRA86" s="629"/>
      <c r="MRB86" s="629"/>
      <c r="MRC86" s="629"/>
      <c r="MRD86" s="629"/>
      <c r="MRE86" s="629"/>
      <c r="MRF86" s="629"/>
      <c r="MRG86" s="629"/>
      <c r="MRH86" s="629"/>
      <c r="MRI86" s="629"/>
      <c r="MRJ86" s="629"/>
      <c r="MRK86" s="629"/>
      <c r="MRL86" s="629"/>
      <c r="MRM86" s="629"/>
      <c r="MRN86" s="629"/>
      <c r="MRO86" s="629"/>
      <c r="MRP86" s="629"/>
      <c r="MRQ86" s="629"/>
      <c r="MRR86" s="629"/>
      <c r="MRS86" s="629"/>
      <c r="MRT86" s="629"/>
      <c r="MRU86" s="629"/>
      <c r="MRV86" s="629"/>
      <c r="MRW86" s="629"/>
      <c r="MRX86" s="629"/>
      <c r="MRY86" s="629"/>
      <c r="MRZ86" s="629"/>
      <c r="MSA86" s="629"/>
      <c r="MSB86" s="629"/>
      <c r="MSC86" s="629"/>
      <c r="MSD86" s="629"/>
      <c r="MSE86" s="629"/>
      <c r="MSF86" s="629"/>
      <c r="MSG86" s="629"/>
      <c r="MSH86" s="629"/>
      <c r="MSI86" s="629"/>
      <c r="MSJ86" s="629"/>
      <c r="MSK86" s="629"/>
      <c r="MSL86" s="629"/>
      <c r="MSM86" s="629"/>
      <c r="MSN86" s="629"/>
      <c r="MSO86" s="629"/>
      <c r="MSP86" s="629"/>
      <c r="MSQ86" s="629"/>
      <c r="MSR86" s="629"/>
      <c r="MSS86" s="629"/>
      <c r="MST86" s="629"/>
      <c r="MSU86" s="629"/>
      <c r="MSV86" s="629"/>
      <c r="MSW86" s="629"/>
      <c r="MSX86" s="629"/>
      <c r="MSY86" s="629"/>
      <c r="MSZ86" s="629"/>
      <c r="MTA86" s="629"/>
      <c r="MTB86" s="629"/>
      <c r="MTC86" s="629"/>
      <c r="MTD86" s="629"/>
      <c r="MTE86" s="629"/>
      <c r="MTF86" s="629"/>
      <c r="MTG86" s="629"/>
      <c r="MTH86" s="629"/>
      <c r="MTI86" s="629"/>
      <c r="MTJ86" s="629"/>
      <c r="MTK86" s="629"/>
      <c r="MTL86" s="629"/>
      <c r="MTM86" s="629"/>
      <c r="MTN86" s="629"/>
      <c r="MTO86" s="629"/>
      <c r="MTP86" s="629"/>
      <c r="MTQ86" s="629"/>
      <c r="MTR86" s="629"/>
      <c r="MTS86" s="629"/>
      <c r="MTT86" s="629"/>
      <c r="MTU86" s="629"/>
      <c r="MTV86" s="629"/>
      <c r="MTW86" s="629"/>
      <c r="MTX86" s="629"/>
      <c r="MTY86" s="629"/>
      <c r="MTZ86" s="629"/>
      <c r="MUA86" s="629"/>
      <c r="MUB86" s="629"/>
      <c r="MUC86" s="629"/>
      <c r="MUD86" s="629"/>
      <c r="MUE86" s="629"/>
      <c r="MUF86" s="629"/>
      <c r="MUG86" s="629"/>
      <c r="MUH86" s="629"/>
      <c r="MUI86" s="629"/>
      <c r="MUJ86" s="629"/>
      <c r="MUK86" s="629"/>
      <c r="MUL86" s="629"/>
      <c r="MUM86" s="629"/>
      <c r="MUN86" s="629"/>
      <c r="MUO86" s="629"/>
      <c r="MUP86" s="629"/>
      <c r="MUQ86" s="629"/>
      <c r="MUR86" s="629"/>
      <c r="MUS86" s="629"/>
      <c r="MUT86" s="629"/>
      <c r="MUU86" s="629"/>
      <c r="MUV86" s="629"/>
      <c r="MUW86" s="629"/>
      <c r="MUX86" s="629"/>
      <c r="MUY86" s="629"/>
      <c r="MUZ86" s="629"/>
      <c r="MVA86" s="629"/>
      <c r="MVB86" s="629"/>
      <c r="MVC86" s="629"/>
      <c r="MVD86" s="629"/>
      <c r="MVE86" s="629"/>
      <c r="MVF86" s="629"/>
      <c r="MVG86" s="629"/>
      <c r="MVH86" s="629"/>
      <c r="MVI86" s="629"/>
      <c r="MVJ86" s="629"/>
      <c r="MVK86" s="629"/>
      <c r="MVL86" s="629"/>
      <c r="MVM86" s="629"/>
      <c r="MVN86" s="629"/>
      <c r="MVO86" s="629"/>
      <c r="MVP86" s="629"/>
      <c r="MVQ86" s="629"/>
      <c r="MVR86" s="629"/>
      <c r="MVS86" s="629"/>
      <c r="MVT86" s="629"/>
      <c r="MVU86" s="629"/>
      <c r="MVV86" s="629"/>
      <c r="MVW86" s="629"/>
      <c r="MVX86" s="629"/>
      <c r="MVY86" s="629"/>
      <c r="MVZ86" s="629"/>
      <c r="MWA86" s="629"/>
      <c r="MWB86" s="629"/>
      <c r="MWC86" s="629"/>
      <c r="MWD86" s="629"/>
      <c r="MWE86" s="629"/>
      <c r="MWF86" s="629"/>
      <c r="MWG86" s="629"/>
      <c r="MWH86" s="629"/>
      <c r="MWI86" s="629"/>
      <c r="MWJ86" s="629"/>
      <c r="MWK86" s="629"/>
      <c r="MWL86" s="629"/>
      <c r="MWM86" s="629"/>
      <c r="MWN86" s="629"/>
      <c r="MWO86" s="629"/>
      <c r="MWP86" s="629"/>
      <c r="MWQ86" s="629"/>
      <c r="MWR86" s="629"/>
      <c r="MWS86" s="629"/>
      <c r="MWT86" s="629"/>
      <c r="MWU86" s="629"/>
      <c r="MWV86" s="629"/>
      <c r="MWW86" s="629"/>
      <c r="MWX86" s="629"/>
      <c r="MWY86" s="629"/>
      <c r="MWZ86" s="629"/>
      <c r="MXA86" s="629"/>
      <c r="MXB86" s="629"/>
      <c r="MXC86" s="629"/>
      <c r="MXD86" s="629"/>
      <c r="MXE86" s="629"/>
      <c r="MXF86" s="629"/>
      <c r="MXG86" s="629"/>
      <c r="MXH86" s="629"/>
      <c r="MXI86" s="629"/>
      <c r="MXJ86" s="629"/>
      <c r="MXK86" s="629"/>
      <c r="MXL86" s="629"/>
      <c r="MXM86" s="629"/>
      <c r="MXN86" s="629"/>
      <c r="MXO86" s="629"/>
      <c r="MXP86" s="629"/>
      <c r="MXQ86" s="629"/>
      <c r="MXR86" s="629"/>
      <c r="MXS86" s="629"/>
      <c r="MXT86" s="629"/>
      <c r="MXU86" s="629"/>
      <c r="MXV86" s="629"/>
      <c r="MXW86" s="629"/>
      <c r="MXX86" s="629"/>
      <c r="MXY86" s="629"/>
      <c r="MXZ86" s="629"/>
      <c r="MYA86" s="629"/>
      <c r="MYB86" s="629"/>
      <c r="MYC86" s="629"/>
      <c r="MYD86" s="629"/>
      <c r="MYE86" s="629"/>
      <c r="MYF86" s="629"/>
      <c r="MYG86" s="629"/>
      <c r="MYH86" s="629"/>
      <c r="MYI86" s="629"/>
      <c r="MYJ86" s="629"/>
      <c r="MYK86" s="629"/>
      <c r="MYL86" s="629"/>
      <c r="MYM86" s="629"/>
      <c r="MYN86" s="629"/>
      <c r="MYO86" s="629"/>
      <c r="MYP86" s="629"/>
      <c r="MYQ86" s="629"/>
      <c r="MYR86" s="629"/>
      <c r="MYS86" s="629"/>
      <c r="MYT86" s="629"/>
      <c r="MYU86" s="629"/>
      <c r="MYV86" s="629"/>
      <c r="MYW86" s="629"/>
      <c r="MYX86" s="629"/>
      <c r="MYY86" s="629"/>
      <c r="MYZ86" s="629"/>
      <c r="MZA86" s="629"/>
      <c r="MZB86" s="629"/>
      <c r="MZC86" s="629"/>
      <c r="MZD86" s="629"/>
      <c r="MZE86" s="629"/>
      <c r="MZF86" s="629"/>
      <c r="MZG86" s="629"/>
      <c r="MZH86" s="629"/>
      <c r="MZI86" s="629"/>
      <c r="MZJ86" s="629"/>
      <c r="MZK86" s="629"/>
      <c r="MZL86" s="629"/>
      <c r="MZM86" s="629"/>
      <c r="MZN86" s="629"/>
      <c r="MZO86" s="629"/>
      <c r="MZP86" s="629"/>
      <c r="MZQ86" s="629"/>
      <c r="MZR86" s="629"/>
      <c r="MZS86" s="629"/>
      <c r="MZT86" s="629"/>
      <c r="MZU86" s="629"/>
      <c r="MZV86" s="629"/>
      <c r="MZW86" s="629"/>
      <c r="MZX86" s="629"/>
      <c r="MZY86" s="629"/>
      <c r="MZZ86" s="629"/>
      <c r="NAA86" s="629"/>
      <c r="NAB86" s="629"/>
      <c r="NAC86" s="629"/>
      <c r="NAD86" s="629"/>
      <c r="NAE86" s="629"/>
      <c r="NAF86" s="629"/>
      <c r="NAG86" s="629"/>
      <c r="NAH86" s="629"/>
      <c r="NAI86" s="629"/>
      <c r="NAJ86" s="629"/>
      <c r="NAK86" s="629"/>
      <c r="NAL86" s="629"/>
      <c r="NAM86" s="629"/>
      <c r="NAN86" s="629"/>
      <c r="NAO86" s="629"/>
      <c r="NAP86" s="629"/>
      <c r="NAQ86" s="629"/>
      <c r="NAR86" s="629"/>
      <c r="NAS86" s="629"/>
      <c r="NAT86" s="629"/>
      <c r="NAU86" s="629"/>
      <c r="NAV86" s="629"/>
      <c r="NAW86" s="629"/>
      <c r="NAX86" s="629"/>
      <c r="NAY86" s="629"/>
      <c r="NAZ86" s="629"/>
      <c r="NBA86" s="629"/>
      <c r="NBB86" s="629"/>
      <c r="NBC86" s="629"/>
      <c r="NBD86" s="629"/>
      <c r="NBE86" s="629"/>
      <c r="NBF86" s="629"/>
      <c r="NBG86" s="629"/>
      <c r="NBH86" s="629"/>
      <c r="NBI86" s="629"/>
      <c r="NBJ86" s="629"/>
      <c r="NBK86" s="629"/>
      <c r="NBL86" s="629"/>
      <c r="NBM86" s="629"/>
      <c r="NBN86" s="629"/>
      <c r="NBO86" s="629"/>
      <c r="NBP86" s="629"/>
      <c r="NBQ86" s="629"/>
      <c r="NBR86" s="629"/>
      <c r="NBS86" s="629"/>
      <c r="NBT86" s="629"/>
      <c r="NBU86" s="629"/>
      <c r="NBV86" s="629"/>
      <c r="NBW86" s="629"/>
      <c r="NBX86" s="629"/>
      <c r="NBY86" s="629"/>
      <c r="NBZ86" s="629"/>
      <c r="NCA86" s="629"/>
      <c r="NCB86" s="629"/>
      <c r="NCC86" s="629"/>
      <c r="NCD86" s="629"/>
      <c r="NCE86" s="629"/>
      <c r="NCF86" s="629"/>
      <c r="NCG86" s="629"/>
      <c r="NCH86" s="629"/>
      <c r="NCI86" s="629"/>
      <c r="NCJ86" s="629"/>
      <c r="NCK86" s="629"/>
      <c r="NCL86" s="629"/>
      <c r="NCM86" s="629"/>
      <c r="NCN86" s="629"/>
      <c r="NCO86" s="629"/>
      <c r="NCP86" s="629"/>
      <c r="NCQ86" s="629"/>
      <c r="NCR86" s="629"/>
      <c r="NCS86" s="629"/>
      <c r="NCT86" s="629"/>
      <c r="NCU86" s="629"/>
      <c r="NCV86" s="629"/>
      <c r="NCW86" s="629"/>
      <c r="NCX86" s="629"/>
      <c r="NCY86" s="629"/>
      <c r="NCZ86" s="629"/>
      <c r="NDA86" s="629"/>
      <c r="NDB86" s="629"/>
      <c r="NDC86" s="629"/>
      <c r="NDD86" s="629"/>
      <c r="NDE86" s="629"/>
      <c r="NDF86" s="629"/>
      <c r="NDG86" s="629"/>
      <c r="NDH86" s="629"/>
      <c r="NDI86" s="629"/>
      <c r="NDJ86" s="629"/>
      <c r="NDK86" s="629"/>
      <c r="NDL86" s="629"/>
      <c r="NDM86" s="629"/>
      <c r="NDN86" s="629"/>
      <c r="NDO86" s="629"/>
      <c r="NDP86" s="629"/>
      <c r="NDQ86" s="629"/>
      <c r="NDR86" s="629"/>
      <c r="NDS86" s="629"/>
      <c r="NDT86" s="629"/>
      <c r="NDU86" s="629"/>
      <c r="NDV86" s="629"/>
      <c r="NDW86" s="629"/>
      <c r="NDX86" s="629"/>
      <c r="NDY86" s="629"/>
      <c r="NDZ86" s="629"/>
      <c r="NEA86" s="629"/>
      <c r="NEB86" s="629"/>
      <c r="NEC86" s="629"/>
      <c r="NED86" s="629"/>
      <c r="NEE86" s="629"/>
      <c r="NEF86" s="629"/>
      <c r="NEG86" s="629"/>
      <c r="NEH86" s="629"/>
      <c r="NEI86" s="629"/>
      <c r="NEJ86" s="629"/>
      <c r="NEK86" s="629"/>
      <c r="NEL86" s="629"/>
      <c r="NEM86" s="629"/>
      <c r="NEN86" s="629"/>
      <c r="NEO86" s="629"/>
      <c r="NEP86" s="629"/>
      <c r="NEQ86" s="629"/>
      <c r="NER86" s="629"/>
      <c r="NES86" s="629"/>
      <c r="NET86" s="629"/>
      <c r="NEU86" s="629"/>
      <c r="NEV86" s="629"/>
      <c r="NEW86" s="629"/>
      <c r="NEX86" s="629"/>
      <c r="NEY86" s="629"/>
      <c r="NEZ86" s="629"/>
      <c r="NFA86" s="629"/>
      <c r="NFB86" s="629"/>
      <c r="NFC86" s="629"/>
      <c r="NFD86" s="629"/>
      <c r="NFE86" s="629"/>
      <c r="NFF86" s="629"/>
      <c r="NFG86" s="629"/>
      <c r="NFH86" s="629"/>
      <c r="NFI86" s="629"/>
      <c r="NFJ86" s="629"/>
      <c r="NFK86" s="629"/>
      <c r="NFL86" s="629"/>
      <c r="NFM86" s="629"/>
      <c r="NFN86" s="629"/>
      <c r="NFO86" s="629"/>
      <c r="NFP86" s="629"/>
      <c r="NFQ86" s="629"/>
      <c r="NFR86" s="629"/>
      <c r="NFS86" s="629"/>
      <c r="NFT86" s="629"/>
      <c r="NFU86" s="629"/>
      <c r="NFV86" s="629"/>
      <c r="NFW86" s="629"/>
      <c r="NFX86" s="629"/>
      <c r="NFY86" s="629"/>
      <c r="NFZ86" s="629"/>
      <c r="NGA86" s="629"/>
      <c r="NGB86" s="629"/>
      <c r="NGC86" s="629"/>
      <c r="NGD86" s="629"/>
      <c r="NGE86" s="629"/>
      <c r="NGF86" s="629"/>
      <c r="NGG86" s="629"/>
      <c r="NGH86" s="629"/>
      <c r="NGI86" s="629"/>
      <c r="NGJ86" s="629"/>
      <c r="NGK86" s="629"/>
      <c r="NGL86" s="629"/>
      <c r="NGM86" s="629"/>
      <c r="NGN86" s="629"/>
      <c r="NGO86" s="629"/>
      <c r="NGP86" s="629"/>
      <c r="NGQ86" s="629"/>
      <c r="NGR86" s="629"/>
      <c r="NGS86" s="629"/>
      <c r="NGT86" s="629"/>
      <c r="NGU86" s="629"/>
      <c r="NGV86" s="629"/>
      <c r="NGW86" s="629"/>
      <c r="NGX86" s="629"/>
      <c r="NGY86" s="629"/>
      <c r="NGZ86" s="629"/>
      <c r="NHA86" s="629"/>
      <c r="NHB86" s="629"/>
      <c r="NHC86" s="629"/>
      <c r="NHD86" s="629"/>
      <c r="NHE86" s="629"/>
      <c r="NHF86" s="629"/>
      <c r="NHG86" s="629"/>
      <c r="NHH86" s="629"/>
      <c r="NHI86" s="629"/>
      <c r="NHJ86" s="629"/>
      <c r="NHK86" s="629"/>
      <c r="NHL86" s="629"/>
      <c r="NHM86" s="629"/>
      <c r="NHN86" s="629"/>
      <c r="NHO86" s="629"/>
      <c r="NHP86" s="629"/>
      <c r="NHQ86" s="629"/>
      <c r="NHR86" s="629"/>
      <c r="NHS86" s="629"/>
      <c r="NHT86" s="629"/>
      <c r="NHU86" s="629"/>
      <c r="NHV86" s="629"/>
      <c r="NHW86" s="629"/>
      <c r="NHX86" s="629"/>
      <c r="NHY86" s="629"/>
      <c r="NHZ86" s="629"/>
      <c r="NIA86" s="629"/>
      <c r="NIB86" s="629"/>
      <c r="NIC86" s="629"/>
      <c r="NID86" s="629"/>
      <c r="NIE86" s="629"/>
      <c r="NIF86" s="629"/>
      <c r="NIG86" s="629"/>
      <c r="NIH86" s="629"/>
      <c r="NII86" s="629"/>
      <c r="NIJ86" s="629"/>
      <c r="NIK86" s="629"/>
      <c r="NIL86" s="629"/>
      <c r="NIM86" s="629"/>
      <c r="NIN86" s="629"/>
      <c r="NIO86" s="629"/>
      <c r="NIP86" s="629"/>
      <c r="NIQ86" s="629"/>
      <c r="NIR86" s="629"/>
      <c r="NIS86" s="629"/>
      <c r="NIT86" s="629"/>
      <c r="NIU86" s="629"/>
      <c r="NIV86" s="629"/>
      <c r="NIW86" s="629"/>
      <c r="NIX86" s="629"/>
      <c r="NIY86" s="629"/>
      <c r="NIZ86" s="629"/>
      <c r="NJA86" s="629"/>
      <c r="NJB86" s="629"/>
      <c r="NJC86" s="629"/>
      <c r="NJD86" s="629"/>
      <c r="NJE86" s="629"/>
      <c r="NJF86" s="629"/>
      <c r="NJG86" s="629"/>
      <c r="NJH86" s="629"/>
      <c r="NJI86" s="629"/>
      <c r="NJJ86" s="629"/>
      <c r="NJK86" s="629"/>
      <c r="NJL86" s="629"/>
      <c r="NJM86" s="629"/>
      <c r="NJN86" s="629"/>
      <c r="NJO86" s="629"/>
      <c r="NJP86" s="629"/>
      <c r="NJQ86" s="629"/>
      <c r="NJR86" s="629"/>
      <c r="NJS86" s="629"/>
      <c r="NJT86" s="629"/>
      <c r="NJU86" s="629"/>
      <c r="NJV86" s="629"/>
      <c r="NJW86" s="629"/>
      <c r="NJX86" s="629"/>
      <c r="NJY86" s="629"/>
      <c r="NJZ86" s="629"/>
      <c r="NKA86" s="629"/>
      <c r="NKB86" s="629"/>
      <c r="NKC86" s="629"/>
      <c r="NKD86" s="629"/>
      <c r="NKE86" s="629"/>
      <c r="NKF86" s="629"/>
      <c r="NKG86" s="629"/>
      <c r="NKH86" s="629"/>
      <c r="NKI86" s="629"/>
      <c r="NKJ86" s="629"/>
      <c r="NKK86" s="629"/>
      <c r="NKL86" s="629"/>
      <c r="NKM86" s="629"/>
      <c r="NKN86" s="629"/>
      <c r="NKO86" s="629"/>
      <c r="NKP86" s="629"/>
      <c r="NKQ86" s="629"/>
      <c r="NKR86" s="629"/>
      <c r="NKS86" s="629"/>
      <c r="NKT86" s="629"/>
      <c r="NKU86" s="629"/>
      <c r="NKV86" s="629"/>
      <c r="NKW86" s="629"/>
      <c r="NKX86" s="629"/>
      <c r="NKY86" s="629"/>
      <c r="NKZ86" s="629"/>
      <c r="NLA86" s="629"/>
      <c r="NLB86" s="629"/>
      <c r="NLC86" s="629"/>
      <c r="NLD86" s="629"/>
      <c r="NLE86" s="629"/>
      <c r="NLF86" s="629"/>
      <c r="NLG86" s="629"/>
      <c r="NLH86" s="629"/>
      <c r="NLI86" s="629"/>
      <c r="NLJ86" s="629"/>
      <c r="NLK86" s="629"/>
      <c r="NLL86" s="629"/>
      <c r="NLM86" s="629"/>
      <c r="NLN86" s="629"/>
      <c r="NLO86" s="629"/>
      <c r="NLP86" s="629"/>
      <c r="NLQ86" s="629"/>
      <c r="NLR86" s="629"/>
      <c r="NLS86" s="629"/>
      <c r="NLT86" s="629"/>
      <c r="NLU86" s="629"/>
      <c r="NLV86" s="629"/>
      <c r="NLW86" s="629"/>
      <c r="NLX86" s="629"/>
      <c r="NLY86" s="629"/>
      <c r="NLZ86" s="629"/>
      <c r="NMA86" s="629"/>
      <c r="NMB86" s="629"/>
      <c r="NMC86" s="629"/>
      <c r="NMD86" s="629"/>
      <c r="NME86" s="629"/>
      <c r="NMF86" s="629"/>
      <c r="NMG86" s="629"/>
      <c r="NMH86" s="629"/>
      <c r="NMI86" s="629"/>
      <c r="NMJ86" s="629"/>
      <c r="NMK86" s="629"/>
      <c r="NML86" s="629"/>
      <c r="NMM86" s="629"/>
      <c r="NMN86" s="629"/>
      <c r="NMO86" s="629"/>
      <c r="NMP86" s="629"/>
      <c r="NMQ86" s="629"/>
      <c r="NMR86" s="629"/>
      <c r="NMS86" s="629"/>
      <c r="NMT86" s="629"/>
      <c r="NMU86" s="629"/>
      <c r="NMV86" s="629"/>
      <c r="NMW86" s="629"/>
      <c r="NMX86" s="629"/>
      <c r="NMY86" s="629"/>
      <c r="NMZ86" s="629"/>
      <c r="NNA86" s="629"/>
      <c r="NNB86" s="629"/>
      <c r="NNC86" s="629"/>
      <c r="NND86" s="629"/>
      <c r="NNE86" s="629"/>
      <c r="NNF86" s="629"/>
      <c r="NNG86" s="629"/>
      <c r="NNH86" s="629"/>
      <c r="NNI86" s="629"/>
      <c r="NNJ86" s="629"/>
      <c r="NNK86" s="629"/>
      <c r="NNL86" s="629"/>
      <c r="NNM86" s="629"/>
      <c r="NNN86" s="629"/>
      <c r="NNO86" s="629"/>
      <c r="NNP86" s="629"/>
      <c r="NNQ86" s="629"/>
      <c r="NNR86" s="629"/>
      <c r="NNS86" s="629"/>
      <c r="NNT86" s="629"/>
      <c r="NNU86" s="629"/>
      <c r="NNV86" s="629"/>
      <c r="NNW86" s="629"/>
      <c r="NNX86" s="629"/>
      <c r="NNY86" s="629"/>
      <c r="NNZ86" s="629"/>
      <c r="NOA86" s="629"/>
      <c r="NOB86" s="629"/>
      <c r="NOC86" s="629"/>
      <c r="NOD86" s="629"/>
      <c r="NOE86" s="629"/>
      <c r="NOF86" s="629"/>
      <c r="NOG86" s="629"/>
      <c r="NOH86" s="629"/>
      <c r="NOI86" s="629"/>
      <c r="NOJ86" s="629"/>
      <c r="NOK86" s="629"/>
      <c r="NOL86" s="629"/>
      <c r="NOM86" s="629"/>
      <c r="NON86" s="629"/>
      <c r="NOO86" s="629"/>
      <c r="NOP86" s="629"/>
      <c r="NOQ86" s="629"/>
      <c r="NOR86" s="629"/>
      <c r="NOS86" s="629"/>
      <c r="NOT86" s="629"/>
      <c r="NOU86" s="629"/>
      <c r="NOV86" s="629"/>
      <c r="NOW86" s="629"/>
      <c r="NOX86" s="629"/>
      <c r="NOY86" s="629"/>
      <c r="NOZ86" s="629"/>
      <c r="NPA86" s="629"/>
      <c r="NPB86" s="629"/>
      <c r="NPC86" s="629"/>
      <c r="NPD86" s="629"/>
      <c r="NPE86" s="629"/>
      <c r="NPF86" s="629"/>
      <c r="NPG86" s="629"/>
      <c r="NPH86" s="629"/>
      <c r="NPI86" s="629"/>
      <c r="NPJ86" s="629"/>
      <c r="NPK86" s="629"/>
      <c r="NPL86" s="629"/>
      <c r="NPM86" s="629"/>
      <c r="NPN86" s="629"/>
      <c r="NPO86" s="629"/>
      <c r="NPP86" s="629"/>
      <c r="NPQ86" s="629"/>
      <c r="NPR86" s="629"/>
      <c r="NPS86" s="629"/>
      <c r="NPT86" s="629"/>
      <c r="NPU86" s="629"/>
      <c r="NPV86" s="629"/>
      <c r="NPW86" s="629"/>
      <c r="NPX86" s="629"/>
      <c r="NPY86" s="629"/>
      <c r="NPZ86" s="629"/>
      <c r="NQA86" s="629"/>
      <c r="NQB86" s="629"/>
      <c r="NQC86" s="629"/>
      <c r="NQD86" s="629"/>
      <c r="NQE86" s="629"/>
      <c r="NQF86" s="629"/>
      <c r="NQG86" s="629"/>
      <c r="NQH86" s="629"/>
      <c r="NQI86" s="629"/>
      <c r="NQJ86" s="629"/>
      <c r="NQK86" s="629"/>
      <c r="NQL86" s="629"/>
      <c r="NQM86" s="629"/>
      <c r="NQN86" s="629"/>
      <c r="NQO86" s="629"/>
      <c r="NQP86" s="629"/>
      <c r="NQQ86" s="629"/>
      <c r="NQR86" s="629"/>
      <c r="NQS86" s="629"/>
      <c r="NQT86" s="629"/>
      <c r="NQU86" s="629"/>
      <c r="NQV86" s="629"/>
      <c r="NQW86" s="629"/>
      <c r="NQX86" s="629"/>
      <c r="NQY86" s="629"/>
      <c r="NQZ86" s="629"/>
      <c r="NRA86" s="629"/>
      <c r="NRB86" s="629"/>
      <c r="NRC86" s="629"/>
      <c r="NRD86" s="629"/>
      <c r="NRE86" s="629"/>
      <c r="NRF86" s="629"/>
      <c r="NRG86" s="629"/>
      <c r="NRH86" s="629"/>
      <c r="NRI86" s="629"/>
      <c r="NRJ86" s="629"/>
      <c r="NRK86" s="629"/>
      <c r="NRL86" s="629"/>
      <c r="NRM86" s="629"/>
      <c r="NRN86" s="629"/>
      <c r="NRO86" s="629"/>
      <c r="NRP86" s="629"/>
      <c r="NRQ86" s="629"/>
      <c r="NRR86" s="629"/>
      <c r="NRS86" s="629"/>
      <c r="NRT86" s="629"/>
      <c r="NRU86" s="629"/>
      <c r="NRV86" s="629"/>
      <c r="NRW86" s="629"/>
      <c r="NRX86" s="629"/>
      <c r="NRY86" s="629"/>
      <c r="NRZ86" s="629"/>
      <c r="NSA86" s="629"/>
      <c r="NSB86" s="629"/>
      <c r="NSC86" s="629"/>
      <c r="NSD86" s="629"/>
      <c r="NSE86" s="629"/>
      <c r="NSF86" s="629"/>
      <c r="NSG86" s="629"/>
      <c r="NSH86" s="629"/>
      <c r="NSI86" s="629"/>
      <c r="NSJ86" s="629"/>
      <c r="NSK86" s="629"/>
      <c r="NSL86" s="629"/>
      <c r="NSM86" s="629"/>
      <c r="NSN86" s="629"/>
      <c r="NSO86" s="629"/>
      <c r="NSP86" s="629"/>
      <c r="NSQ86" s="629"/>
      <c r="NSR86" s="629"/>
      <c r="NSS86" s="629"/>
      <c r="NST86" s="629"/>
      <c r="NSU86" s="629"/>
      <c r="NSV86" s="629"/>
      <c r="NSW86" s="629"/>
      <c r="NSX86" s="629"/>
      <c r="NSY86" s="629"/>
      <c r="NSZ86" s="629"/>
      <c r="NTA86" s="629"/>
      <c r="NTB86" s="629"/>
      <c r="NTC86" s="629"/>
      <c r="NTD86" s="629"/>
      <c r="NTE86" s="629"/>
      <c r="NTF86" s="629"/>
      <c r="NTG86" s="629"/>
      <c r="NTH86" s="629"/>
      <c r="NTI86" s="629"/>
      <c r="NTJ86" s="629"/>
      <c r="NTK86" s="629"/>
      <c r="NTL86" s="629"/>
      <c r="NTM86" s="629"/>
      <c r="NTN86" s="629"/>
      <c r="NTO86" s="629"/>
      <c r="NTP86" s="629"/>
      <c r="NTQ86" s="629"/>
      <c r="NTR86" s="629"/>
      <c r="NTS86" s="629"/>
      <c r="NTT86" s="629"/>
      <c r="NTU86" s="629"/>
      <c r="NTV86" s="629"/>
      <c r="NTW86" s="629"/>
      <c r="NTX86" s="629"/>
      <c r="NTY86" s="629"/>
      <c r="NTZ86" s="629"/>
      <c r="NUA86" s="629"/>
      <c r="NUB86" s="629"/>
      <c r="NUC86" s="629"/>
      <c r="NUD86" s="629"/>
      <c r="NUE86" s="629"/>
      <c r="NUF86" s="629"/>
      <c r="NUG86" s="629"/>
      <c r="NUH86" s="629"/>
      <c r="NUI86" s="629"/>
      <c r="NUJ86" s="629"/>
      <c r="NUK86" s="629"/>
      <c r="NUL86" s="629"/>
      <c r="NUM86" s="629"/>
      <c r="NUN86" s="629"/>
      <c r="NUO86" s="629"/>
      <c r="NUP86" s="629"/>
      <c r="NUQ86" s="629"/>
      <c r="NUR86" s="629"/>
      <c r="NUS86" s="629"/>
      <c r="NUT86" s="629"/>
      <c r="NUU86" s="629"/>
      <c r="NUV86" s="629"/>
      <c r="NUW86" s="629"/>
      <c r="NUX86" s="629"/>
      <c r="NUY86" s="629"/>
      <c r="NUZ86" s="629"/>
      <c r="NVA86" s="629"/>
      <c r="NVB86" s="629"/>
      <c r="NVC86" s="629"/>
      <c r="NVD86" s="629"/>
      <c r="NVE86" s="629"/>
      <c r="NVF86" s="629"/>
      <c r="NVG86" s="629"/>
      <c r="NVH86" s="629"/>
      <c r="NVI86" s="629"/>
      <c r="NVJ86" s="629"/>
      <c r="NVK86" s="629"/>
      <c r="NVL86" s="629"/>
      <c r="NVM86" s="629"/>
      <c r="NVN86" s="629"/>
      <c r="NVO86" s="629"/>
      <c r="NVP86" s="629"/>
      <c r="NVQ86" s="629"/>
      <c r="NVR86" s="629"/>
      <c r="NVS86" s="629"/>
      <c r="NVT86" s="629"/>
      <c r="NVU86" s="629"/>
      <c r="NVV86" s="629"/>
      <c r="NVW86" s="629"/>
      <c r="NVX86" s="629"/>
      <c r="NVY86" s="629"/>
      <c r="NVZ86" s="629"/>
      <c r="NWA86" s="629"/>
      <c r="NWB86" s="629"/>
      <c r="NWC86" s="629"/>
      <c r="NWD86" s="629"/>
      <c r="NWE86" s="629"/>
      <c r="NWF86" s="629"/>
      <c r="NWG86" s="629"/>
      <c r="NWH86" s="629"/>
      <c r="NWI86" s="629"/>
      <c r="NWJ86" s="629"/>
      <c r="NWK86" s="629"/>
      <c r="NWL86" s="629"/>
      <c r="NWM86" s="629"/>
      <c r="NWN86" s="629"/>
      <c r="NWO86" s="629"/>
      <c r="NWP86" s="629"/>
      <c r="NWQ86" s="629"/>
      <c r="NWR86" s="629"/>
      <c r="NWS86" s="629"/>
      <c r="NWT86" s="629"/>
      <c r="NWU86" s="629"/>
      <c r="NWV86" s="629"/>
      <c r="NWW86" s="629"/>
      <c r="NWX86" s="629"/>
      <c r="NWY86" s="629"/>
      <c r="NWZ86" s="629"/>
      <c r="NXA86" s="629"/>
      <c r="NXB86" s="629"/>
      <c r="NXC86" s="629"/>
      <c r="NXD86" s="629"/>
      <c r="NXE86" s="629"/>
      <c r="NXF86" s="629"/>
      <c r="NXG86" s="629"/>
      <c r="NXH86" s="629"/>
      <c r="NXI86" s="629"/>
      <c r="NXJ86" s="629"/>
      <c r="NXK86" s="629"/>
      <c r="NXL86" s="629"/>
      <c r="NXM86" s="629"/>
      <c r="NXN86" s="629"/>
      <c r="NXO86" s="629"/>
      <c r="NXP86" s="629"/>
      <c r="NXQ86" s="629"/>
      <c r="NXR86" s="629"/>
      <c r="NXS86" s="629"/>
      <c r="NXT86" s="629"/>
      <c r="NXU86" s="629"/>
      <c r="NXV86" s="629"/>
      <c r="NXW86" s="629"/>
      <c r="NXX86" s="629"/>
      <c r="NXY86" s="629"/>
      <c r="NXZ86" s="629"/>
      <c r="NYA86" s="629"/>
      <c r="NYB86" s="629"/>
      <c r="NYC86" s="629"/>
      <c r="NYD86" s="629"/>
      <c r="NYE86" s="629"/>
      <c r="NYF86" s="629"/>
      <c r="NYG86" s="629"/>
      <c r="NYH86" s="629"/>
      <c r="NYI86" s="629"/>
      <c r="NYJ86" s="629"/>
      <c r="NYK86" s="629"/>
      <c r="NYL86" s="629"/>
      <c r="NYM86" s="629"/>
      <c r="NYN86" s="629"/>
      <c r="NYO86" s="629"/>
      <c r="NYP86" s="629"/>
      <c r="NYQ86" s="629"/>
      <c r="NYR86" s="629"/>
      <c r="NYS86" s="629"/>
      <c r="NYT86" s="629"/>
      <c r="NYU86" s="629"/>
      <c r="NYV86" s="629"/>
      <c r="NYW86" s="629"/>
      <c r="NYX86" s="629"/>
      <c r="NYY86" s="629"/>
      <c r="NYZ86" s="629"/>
      <c r="NZA86" s="629"/>
      <c r="NZB86" s="629"/>
      <c r="NZC86" s="629"/>
      <c r="NZD86" s="629"/>
      <c r="NZE86" s="629"/>
      <c r="NZF86" s="629"/>
      <c r="NZG86" s="629"/>
      <c r="NZH86" s="629"/>
      <c r="NZI86" s="629"/>
      <c r="NZJ86" s="629"/>
      <c r="NZK86" s="629"/>
      <c r="NZL86" s="629"/>
      <c r="NZM86" s="629"/>
      <c r="NZN86" s="629"/>
      <c r="NZO86" s="629"/>
      <c r="NZP86" s="629"/>
      <c r="NZQ86" s="629"/>
      <c r="NZR86" s="629"/>
      <c r="NZS86" s="629"/>
      <c r="NZT86" s="629"/>
      <c r="NZU86" s="629"/>
      <c r="NZV86" s="629"/>
      <c r="NZW86" s="629"/>
      <c r="NZX86" s="629"/>
      <c r="NZY86" s="629"/>
      <c r="NZZ86" s="629"/>
      <c r="OAA86" s="629"/>
      <c r="OAB86" s="629"/>
      <c r="OAC86" s="629"/>
      <c r="OAD86" s="629"/>
      <c r="OAE86" s="629"/>
      <c r="OAF86" s="629"/>
      <c r="OAG86" s="629"/>
      <c r="OAH86" s="629"/>
      <c r="OAI86" s="629"/>
      <c r="OAJ86" s="629"/>
      <c r="OAK86" s="629"/>
      <c r="OAL86" s="629"/>
      <c r="OAM86" s="629"/>
      <c r="OAN86" s="629"/>
      <c r="OAO86" s="629"/>
      <c r="OAP86" s="629"/>
      <c r="OAQ86" s="629"/>
      <c r="OAR86" s="629"/>
      <c r="OAS86" s="629"/>
      <c r="OAT86" s="629"/>
      <c r="OAU86" s="629"/>
      <c r="OAV86" s="629"/>
      <c r="OAW86" s="629"/>
      <c r="OAX86" s="629"/>
      <c r="OAY86" s="629"/>
      <c r="OAZ86" s="629"/>
      <c r="OBA86" s="629"/>
      <c r="OBB86" s="629"/>
      <c r="OBC86" s="629"/>
      <c r="OBD86" s="629"/>
      <c r="OBE86" s="629"/>
      <c r="OBF86" s="629"/>
      <c r="OBG86" s="629"/>
      <c r="OBH86" s="629"/>
      <c r="OBI86" s="629"/>
      <c r="OBJ86" s="629"/>
      <c r="OBK86" s="629"/>
      <c r="OBL86" s="629"/>
      <c r="OBM86" s="629"/>
      <c r="OBN86" s="629"/>
      <c r="OBO86" s="629"/>
      <c r="OBP86" s="629"/>
      <c r="OBQ86" s="629"/>
      <c r="OBR86" s="629"/>
      <c r="OBS86" s="629"/>
      <c r="OBT86" s="629"/>
      <c r="OBU86" s="629"/>
      <c r="OBV86" s="629"/>
      <c r="OBW86" s="629"/>
      <c r="OBX86" s="629"/>
      <c r="OBY86" s="629"/>
      <c r="OBZ86" s="629"/>
      <c r="OCA86" s="629"/>
      <c r="OCB86" s="629"/>
      <c r="OCC86" s="629"/>
      <c r="OCD86" s="629"/>
      <c r="OCE86" s="629"/>
      <c r="OCF86" s="629"/>
      <c r="OCG86" s="629"/>
      <c r="OCH86" s="629"/>
      <c r="OCI86" s="629"/>
      <c r="OCJ86" s="629"/>
      <c r="OCK86" s="629"/>
      <c r="OCL86" s="629"/>
      <c r="OCM86" s="629"/>
      <c r="OCN86" s="629"/>
      <c r="OCO86" s="629"/>
      <c r="OCP86" s="629"/>
      <c r="OCQ86" s="629"/>
      <c r="OCR86" s="629"/>
      <c r="OCS86" s="629"/>
      <c r="OCT86" s="629"/>
      <c r="OCU86" s="629"/>
      <c r="OCV86" s="629"/>
      <c r="OCW86" s="629"/>
      <c r="OCX86" s="629"/>
      <c r="OCY86" s="629"/>
      <c r="OCZ86" s="629"/>
      <c r="ODA86" s="629"/>
      <c r="ODB86" s="629"/>
      <c r="ODC86" s="629"/>
      <c r="ODD86" s="629"/>
      <c r="ODE86" s="629"/>
      <c r="ODF86" s="629"/>
      <c r="ODG86" s="629"/>
      <c r="ODH86" s="629"/>
      <c r="ODI86" s="629"/>
      <c r="ODJ86" s="629"/>
      <c r="ODK86" s="629"/>
      <c r="ODL86" s="629"/>
      <c r="ODM86" s="629"/>
      <c r="ODN86" s="629"/>
      <c r="ODO86" s="629"/>
      <c r="ODP86" s="629"/>
      <c r="ODQ86" s="629"/>
      <c r="ODR86" s="629"/>
      <c r="ODS86" s="629"/>
      <c r="ODT86" s="629"/>
      <c r="ODU86" s="629"/>
      <c r="ODV86" s="629"/>
      <c r="ODW86" s="629"/>
      <c r="ODX86" s="629"/>
      <c r="ODY86" s="629"/>
      <c r="ODZ86" s="629"/>
      <c r="OEA86" s="629"/>
      <c r="OEB86" s="629"/>
      <c r="OEC86" s="629"/>
      <c r="OED86" s="629"/>
      <c r="OEE86" s="629"/>
      <c r="OEF86" s="629"/>
      <c r="OEG86" s="629"/>
      <c r="OEH86" s="629"/>
      <c r="OEI86" s="629"/>
      <c r="OEJ86" s="629"/>
      <c r="OEK86" s="629"/>
      <c r="OEL86" s="629"/>
      <c r="OEM86" s="629"/>
      <c r="OEN86" s="629"/>
      <c r="OEO86" s="629"/>
      <c r="OEP86" s="629"/>
      <c r="OEQ86" s="629"/>
      <c r="OER86" s="629"/>
      <c r="OES86" s="629"/>
      <c r="OET86" s="629"/>
      <c r="OEU86" s="629"/>
      <c r="OEV86" s="629"/>
      <c r="OEW86" s="629"/>
      <c r="OEX86" s="629"/>
      <c r="OEY86" s="629"/>
      <c r="OEZ86" s="629"/>
      <c r="OFA86" s="629"/>
      <c r="OFB86" s="629"/>
      <c r="OFC86" s="629"/>
      <c r="OFD86" s="629"/>
      <c r="OFE86" s="629"/>
      <c r="OFF86" s="629"/>
      <c r="OFG86" s="629"/>
      <c r="OFH86" s="629"/>
      <c r="OFI86" s="629"/>
      <c r="OFJ86" s="629"/>
      <c r="OFK86" s="629"/>
      <c r="OFL86" s="629"/>
      <c r="OFM86" s="629"/>
      <c r="OFN86" s="629"/>
      <c r="OFO86" s="629"/>
      <c r="OFP86" s="629"/>
      <c r="OFQ86" s="629"/>
      <c r="OFR86" s="629"/>
      <c r="OFS86" s="629"/>
      <c r="OFT86" s="629"/>
      <c r="OFU86" s="629"/>
      <c r="OFV86" s="629"/>
      <c r="OFW86" s="629"/>
      <c r="OFX86" s="629"/>
      <c r="OFY86" s="629"/>
      <c r="OFZ86" s="629"/>
      <c r="OGA86" s="629"/>
      <c r="OGB86" s="629"/>
      <c r="OGC86" s="629"/>
      <c r="OGD86" s="629"/>
      <c r="OGE86" s="629"/>
      <c r="OGF86" s="629"/>
      <c r="OGG86" s="629"/>
      <c r="OGH86" s="629"/>
      <c r="OGI86" s="629"/>
      <c r="OGJ86" s="629"/>
      <c r="OGK86" s="629"/>
      <c r="OGL86" s="629"/>
      <c r="OGM86" s="629"/>
      <c r="OGN86" s="629"/>
      <c r="OGO86" s="629"/>
      <c r="OGP86" s="629"/>
      <c r="OGQ86" s="629"/>
      <c r="OGR86" s="629"/>
      <c r="OGS86" s="629"/>
      <c r="OGT86" s="629"/>
      <c r="OGU86" s="629"/>
      <c r="OGV86" s="629"/>
      <c r="OGW86" s="629"/>
      <c r="OGX86" s="629"/>
      <c r="OGY86" s="629"/>
      <c r="OGZ86" s="629"/>
      <c r="OHA86" s="629"/>
      <c r="OHB86" s="629"/>
      <c r="OHC86" s="629"/>
      <c r="OHD86" s="629"/>
      <c r="OHE86" s="629"/>
      <c r="OHF86" s="629"/>
      <c r="OHG86" s="629"/>
      <c r="OHH86" s="629"/>
      <c r="OHI86" s="629"/>
      <c r="OHJ86" s="629"/>
      <c r="OHK86" s="629"/>
      <c r="OHL86" s="629"/>
      <c r="OHM86" s="629"/>
      <c r="OHN86" s="629"/>
      <c r="OHO86" s="629"/>
      <c r="OHP86" s="629"/>
      <c r="OHQ86" s="629"/>
      <c r="OHR86" s="629"/>
      <c r="OHS86" s="629"/>
      <c r="OHT86" s="629"/>
      <c r="OHU86" s="629"/>
      <c r="OHV86" s="629"/>
      <c r="OHW86" s="629"/>
      <c r="OHX86" s="629"/>
      <c r="OHY86" s="629"/>
      <c r="OHZ86" s="629"/>
      <c r="OIA86" s="629"/>
      <c r="OIB86" s="629"/>
      <c r="OIC86" s="629"/>
      <c r="OID86" s="629"/>
      <c r="OIE86" s="629"/>
      <c r="OIF86" s="629"/>
      <c r="OIG86" s="629"/>
      <c r="OIH86" s="629"/>
      <c r="OII86" s="629"/>
      <c r="OIJ86" s="629"/>
      <c r="OIK86" s="629"/>
      <c r="OIL86" s="629"/>
      <c r="OIM86" s="629"/>
      <c r="OIN86" s="629"/>
      <c r="OIO86" s="629"/>
      <c r="OIP86" s="629"/>
      <c r="OIQ86" s="629"/>
      <c r="OIR86" s="629"/>
      <c r="OIS86" s="629"/>
      <c r="OIT86" s="629"/>
      <c r="OIU86" s="629"/>
      <c r="OIV86" s="629"/>
      <c r="OIW86" s="629"/>
      <c r="OIX86" s="629"/>
      <c r="OIY86" s="629"/>
      <c r="OIZ86" s="629"/>
      <c r="OJA86" s="629"/>
      <c r="OJB86" s="629"/>
      <c r="OJC86" s="629"/>
      <c r="OJD86" s="629"/>
      <c r="OJE86" s="629"/>
      <c r="OJF86" s="629"/>
      <c r="OJG86" s="629"/>
      <c r="OJH86" s="629"/>
      <c r="OJI86" s="629"/>
      <c r="OJJ86" s="629"/>
      <c r="OJK86" s="629"/>
      <c r="OJL86" s="629"/>
      <c r="OJM86" s="629"/>
      <c r="OJN86" s="629"/>
      <c r="OJO86" s="629"/>
      <c r="OJP86" s="629"/>
      <c r="OJQ86" s="629"/>
      <c r="OJR86" s="629"/>
      <c r="OJS86" s="629"/>
      <c r="OJT86" s="629"/>
      <c r="OJU86" s="629"/>
      <c r="OJV86" s="629"/>
      <c r="OJW86" s="629"/>
      <c r="OJX86" s="629"/>
      <c r="OJY86" s="629"/>
      <c r="OJZ86" s="629"/>
      <c r="OKA86" s="629"/>
      <c r="OKB86" s="629"/>
      <c r="OKC86" s="629"/>
      <c r="OKD86" s="629"/>
      <c r="OKE86" s="629"/>
      <c r="OKF86" s="629"/>
      <c r="OKG86" s="629"/>
      <c r="OKH86" s="629"/>
      <c r="OKI86" s="629"/>
      <c r="OKJ86" s="629"/>
      <c r="OKK86" s="629"/>
      <c r="OKL86" s="629"/>
      <c r="OKM86" s="629"/>
      <c r="OKN86" s="629"/>
      <c r="OKO86" s="629"/>
      <c r="OKP86" s="629"/>
      <c r="OKQ86" s="629"/>
      <c r="OKR86" s="629"/>
      <c r="OKS86" s="629"/>
      <c r="OKT86" s="629"/>
      <c r="OKU86" s="629"/>
      <c r="OKV86" s="629"/>
      <c r="OKW86" s="629"/>
      <c r="OKX86" s="629"/>
      <c r="OKY86" s="629"/>
      <c r="OKZ86" s="629"/>
      <c r="OLA86" s="629"/>
      <c r="OLB86" s="629"/>
      <c r="OLC86" s="629"/>
      <c r="OLD86" s="629"/>
      <c r="OLE86" s="629"/>
      <c r="OLF86" s="629"/>
      <c r="OLG86" s="629"/>
      <c r="OLH86" s="629"/>
      <c r="OLI86" s="629"/>
      <c r="OLJ86" s="629"/>
      <c r="OLK86" s="629"/>
      <c r="OLL86" s="629"/>
      <c r="OLM86" s="629"/>
      <c r="OLN86" s="629"/>
      <c r="OLO86" s="629"/>
      <c r="OLP86" s="629"/>
      <c r="OLQ86" s="629"/>
      <c r="OLR86" s="629"/>
      <c r="OLS86" s="629"/>
      <c r="OLT86" s="629"/>
      <c r="OLU86" s="629"/>
      <c r="OLV86" s="629"/>
      <c r="OLW86" s="629"/>
      <c r="OLX86" s="629"/>
      <c r="OLY86" s="629"/>
      <c r="OLZ86" s="629"/>
      <c r="OMA86" s="629"/>
      <c r="OMB86" s="629"/>
      <c r="OMC86" s="629"/>
      <c r="OMD86" s="629"/>
      <c r="OME86" s="629"/>
      <c r="OMF86" s="629"/>
      <c r="OMG86" s="629"/>
      <c r="OMH86" s="629"/>
      <c r="OMI86" s="629"/>
      <c r="OMJ86" s="629"/>
      <c r="OMK86" s="629"/>
      <c r="OML86" s="629"/>
      <c r="OMM86" s="629"/>
      <c r="OMN86" s="629"/>
      <c r="OMO86" s="629"/>
      <c r="OMP86" s="629"/>
      <c r="OMQ86" s="629"/>
      <c r="OMR86" s="629"/>
      <c r="OMS86" s="629"/>
      <c r="OMT86" s="629"/>
      <c r="OMU86" s="629"/>
      <c r="OMV86" s="629"/>
      <c r="OMW86" s="629"/>
      <c r="OMX86" s="629"/>
      <c r="OMY86" s="629"/>
      <c r="OMZ86" s="629"/>
      <c r="ONA86" s="629"/>
      <c r="ONB86" s="629"/>
      <c r="ONC86" s="629"/>
      <c r="OND86" s="629"/>
      <c r="ONE86" s="629"/>
      <c r="ONF86" s="629"/>
      <c r="ONG86" s="629"/>
      <c r="ONH86" s="629"/>
      <c r="ONI86" s="629"/>
      <c r="ONJ86" s="629"/>
      <c r="ONK86" s="629"/>
      <c r="ONL86" s="629"/>
      <c r="ONM86" s="629"/>
      <c r="ONN86" s="629"/>
      <c r="ONO86" s="629"/>
      <c r="ONP86" s="629"/>
      <c r="ONQ86" s="629"/>
      <c r="ONR86" s="629"/>
      <c r="ONS86" s="629"/>
      <c r="ONT86" s="629"/>
      <c r="ONU86" s="629"/>
      <c r="ONV86" s="629"/>
      <c r="ONW86" s="629"/>
      <c r="ONX86" s="629"/>
      <c r="ONY86" s="629"/>
      <c r="ONZ86" s="629"/>
      <c r="OOA86" s="629"/>
      <c r="OOB86" s="629"/>
      <c r="OOC86" s="629"/>
      <c r="OOD86" s="629"/>
      <c r="OOE86" s="629"/>
      <c r="OOF86" s="629"/>
      <c r="OOG86" s="629"/>
      <c r="OOH86" s="629"/>
      <c r="OOI86" s="629"/>
      <c r="OOJ86" s="629"/>
      <c r="OOK86" s="629"/>
      <c r="OOL86" s="629"/>
      <c r="OOM86" s="629"/>
      <c r="OON86" s="629"/>
      <c r="OOO86" s="629"/>
      <c r="OOP86" s="629"/>
      <c r="OOQ86" s="629"/>
      <c r="OOR86" s="629"/>
      <c r="OOS86" s="629"/>
      <c r="OOT86" s="629"/>
      <c r="OOU86" s="629"/>
      <c r="OOV86" s="629"/>
      <c r="OOW86" s="629"/>
      <c r="OOX86" s="629"/>
      <c r="OOY86" s="629"/>
      <c r="OOZ86" s="629"/>
      <c r="OPA86" s="629"/>
      <c r="OPB86" s="629"/>
      <c r="OPC86" s="629"/>
      <c r="OPD86" s="629"/>
      <c r="OPE86" s="629"/>
      <c r="OPF86" s="629"/>
      <c r="OPG86" s="629"/>
      <c r="OPH86" s="629"/>
      <c r="OPI86" s="629"/>
      <c r="OPJ86" s="629"/>
      <c r="OPK86" s="629"/>
      <c r="OPL86" s="629"/>
      <c r="OPM86" s="629"/>
      <c r="OPN86" s="629"/>
      <c r="OPO86" s="629"/>
      <c r="OPP86" s="629"/>
      <c r="OPQ86" s="629"/>
      <c r="OPR86" s="629"/>
      <c r="OPS86" s="629"/>
      <c r="OPT86" s="629"/>
      <c r="OPU86" s="629"/>
      <c r="OPV86" s="629"/>
      <c r="OPW86" s="629"/>
      <c r="OPX86" s="629"/>
      <c r="OPY86" s="629"/>
      <c r="OPZ86" s="629"/>
      <c r="OQA86" s="629"/>
      <c r="OQB86" s="629"/>
      <c r="OQC86" s="629"/>
      <c r="OQD86" s="629"/>
      <c r="OQE86" s="629"/>
      <c r="OQF86" s="629"/>
      <c r="OQG86" s="629"/>
      <c r="OQH86" s="629"/>
      <c r="OQI86" s="629"/>
      <c r="OQJ86" s="629"/>
      <c r="OQK86" s="629"/>
      <c r="OQL86" s="629"/>
      <c r="OQM86" s="629"/>
      <c r="OQN86" s="629"/>
      <c r="OQO86" s="629"/>
      <c r="OQP86" s="629"/>
      <c r="OQQ86" s="629"/>
      <c r="OQR86" s="629"/>
      <c r="OQS86" s="629"/>
      <c r="OQT86" s="629"/>
      <c r="OQU86" s="629"/>
      <c r="OQV86" s="629"/>
      <c r="OQW86" s="629"/>
      <c r="OQX86" s="629"/>
      <c r="OQY86" s="629"/>
      <c r="OQZ86" s="629"/>
      <c r="ORA86" s="629"/>
      <c r="ORB86" s="629"/>
      <c r="ORC86" s="629"/>
      <c r="ORD86" s="629"/>
      <c r="ORE86" s="629"/>
      <c r="ORF86" s="629"/>
      <c r="ORG86" s="629"/>
      <c r="ORH86" s="629"/>
      <c r="ORI86" s="629"/>
      <c r="ORJ86" s="629"/>
      <c r="ORK86" s="629"/>
      <c r="ORL86" s="629"/>
      <c r="ORM86" s="629"/>
      <c r="ORN86" s="629"/>
      <c r="ORO86" s="629"/>
      <c r="ORP86" s="629"/>
      <c r="ORQ86" s="629"/>
      <c r="ORR86" s="629"/>
      <c r="ORS86" s="629"/>
      <c r="ORT86" s="629"/>
      <c r="ORU86" s="629"/>
      <c r="ORV86" s="629"/>
      <c r="ORW86" s="629"/>
      <c r="ORX86" s="629"/>
      <c r="ORY86" s="629"/>
      <c r="ORZ86" s="629"/>
      <c r="OSA86" s="629"/>
      <c r="OSB86" s="629"/>
      <c r="OSC86" s="629"/>
      <c r="OSD86" s="629"/>
      <c r="OSE86" s="629"/>
      <c r="OSF86" s="629"/>
      <c r="OSG86" s="629"/>
      <c r="OSH86" s="629"/>
      <c r="OSI86" s="629"/>
      <c r="OSJ86" s="629"/>
      <c r="OSK86" s="629"/>
      <c r="OSL86" s="629"/>
      <c r="OSM86" s="629"/>
      <c r="OSN86" s="629"/>
      <c r="OSO86" s="629"/>
      <c r="OSP86" s="629"/>
      <c r="OSQ86" s="629"/>
      <c r="OSR86" s="629"/>
      <c r="OSS86" s="629"/>
      <c r="OST86" s="629"/>
      <c r="OSU86" s="629"/>
      <c r="OSV86" s="629"/>
      <c r="OSW86" s="629"/>
      <c r="OSX86" s="629"/>
      <c r="OSY86" s="629"/>
      <c r="OSZ86" s="629"/>
      <c r="OTA86" s="629"/>
      <c r="OTB86" s="629"/>
      <c r="OTC86" s="629"/>
      <c r="OTD86" s="629"/>
      <c r="OTE86" s="629"/>
      <c r="OTF86" s="629"/>
      <c r="OTG86" s="629"/>
      <c r="OTH86" s="629"/>
      <c r="OTI86" s="629"/>
      <c r="OTJ86" s="629"/>
      <c r="OTK86" s="629"/>
      <c r="OTL86" s="629"/>
      <c r="OTM86" s="629"/>
      <c r="OTN86" s="629"/>
      <c r="OTO86" s="629"/>
      <c r="OTP86" s="629"/>
      <c r="OTQ86" s="629"/>
      <c r="OTR86" s="629"/>
      <c r="OTS86" s="629"/>
      <c r="OTT86" s="629"/>
      <c r="OTU86" s="629"/>
      <c r="OTV86" s="629"/>
      <c r="OTW86" s="629"/>
      <c r="OTX86" s="629"/>
      <c r="OTY86" s="629"/>
      <c r="OTZ86" s="629"/>
      <c r="OUA86" s="629"/>
      <c r="OUB86" s="629"/>
      <c r="OUC86" s="629"/>
      <c r="OUD86" s="629"/>
      <c r="OUE86" s="629"/>
      <c r="OUF86" s="629"/>
      <c r="OUG86" s="629"/>
      <c r="OUH86" s="629"/>
      <c r="OUI86" s="629"/>
      <c r="OUJ86" s="629"/>
      <c r="OUK86" s="629"/>
      <c r="OUL86" s="629"/>
      <c r="OUM86" s="629"/>
      <c r="OUN86" s="629"/>
      <c r="OUO86" s="629"/>
      <c r="OUP86" s="629"/>
      <c r="OUQ86" s="629"/>
      <c r="OUR86" s="629"/>
      <c r="OUS86" s="629"/>
      <c r="OUT86" s="629"/>
      <c r="OUU86" s="629"/>
      <c r="OUV86" s="629"/>
      <c r="OUW86" s="629"/>
      <c r="OUX86" s="629"/>
      <c r="OUY86" s="629"/>
      <c r="OUZ86" s="629"/>
      <c r="OVA86" s="629"/>
      <c r="OVB86" s="629"/>
      <c r="OVC86" s="629"/>
      <c r="OVD86" s="629"/>
      <c r="OVE86" s="629"/>
      <c r="OVF86" s="629"/>
      <c r="OVG86" s="629"/>
      <c r="OVH86" s="629"/>
      <c r="OVI86" s="629"/>
      <c r="OVJ86" s="629"/>
      <c r="OVK86" s="629"/>
      <c r="OVL86" s="629"/>
      <c r="OVM86" s="629"/>
      <c r="OVN86" s="629"/>
      <c r="OVO86" s="629"/>
      <c r="OVP86" s="629"/>
      <c r="OVQ86" s="629"/>
      <c r="OVR86" s="629"/>
      <c r="OVS86" s="629"/>
      <c r="OVT86" s="629"/>
      <c r="OVU86" s="629"/>
      <c r="OVV86" s="629"/>
      <c r="OVW86" s="629"/>
      <c r="OVX86" s="629"/>
      <c r="OVY86" s="629"/>
      <c r="OVZ86" s="629"/>
      <c r="OWA86" s="629"/>
      <c r="OWB86" s="629"/>
      <c r="OWC86" s="629"/>
      <c r="OWD86" s="629"/>
      <c r="OWE86" s="629"/>
      <c r="OWF86" s="629"/>
      <c r="OWG86" s="629"/>
      <c r="OWH86" s="629"/>
      <c r="OWI86" s="629"/>
      <c r="OWJ86" s="629"/>
      <c r="OWK86" s="629"/>
      <c r="OWL86" s="629"/>
      <c r="OWM86" s="629"/>
      <c r="OWN86" s="629"/>
      <c r="OWO86" s="629"/>
      <c r="OWP86" s="629"/>
      <c r="OWQ86" s="629"/>
      <c r="OWR86" s="629"/>
      <c r="OWS86" s="629"/>
      <c r="OWT86" s="629"/>
      <c r="OWU86" s="629"/>
      <c r="OWV86" s="629"/>
      <c r="OWW86" s="629"/>
      <c r="OWX86" s="629"/>
      <c r="OWY86" s="629"/>
      <c r="OWZ86" s="629"/>
      <c r="OXA86" s="629"/>
      <c r="OXB86" s="629"/>
      <c r="OXC86" s="629"/>
      <c r="OXD86" s="629"/>
      <c r="OXE86" s="629"/>
      <c r="OXF86" s="629"/>
      <c r="OXG86" s="629"/>
      <c r="OXH86" s="629"/>
      <c r="OXI86" s="629"/>
      <c r="OXJ86" s="629"/>
      <c r="OXK86" s="629"/>
      <c r="OXL86" s="629"/>
      <c r="OXM86" s="629"/>
      <c r="OXN86" s="629"/>
      <c r="OXO86" s="629"/>
      <c r="OXP86" s="629"/>
      <c r="OXQ86" s="629"/>
      <c r="OXR86" s="629"/>
      <c r="OXS86" s="629"/>
      <c r="OXT86" s="629"/>
      <c r="OXU86" s="629"/>
      <c r="OXV86" s="629"/>
      <c r="OXW86" s="629"/>
      <c r="OXX86" s="629"/>
      <c r="OXY86" s="629"/>
      <c r="OXZ86" s="629"/>
      <c r="OYA86" s="629"/>
      <c r="OYB86" s="629"/>
      <c r="OYC86" s="629"/>
      <c r="OYD86" s="629"/>
      <c r="OYE86" s="629"/>
      <c r="OYF86" s="629"/>
      <c r="OYG86" s="629"/>
      <c r="OYH86" s="629"/>
      <c r="OYI86" s="629"/>
      <c r="OYJ86" s="629"/>
      <c r="OYK86" s="629"/>
      <c r="OYL86" s="629"/>
      <c r="OYM86" s="629"/>
      <c r="OYN86" s="629"/>
      <c r="OYO86" s="629"/>
      <c r="OYP86" s="629"/>
      <c r="OYQ86" s="629"/>
      <c r="OYR86" s="629"/>
      <c r="OYS86" s="629"/>
      <c r="OYT86" s="629"/>
      <c r="OYU86" s="629"/>
      <c r="OYV86" s="629"/>
      <c r="OYW86" s="629"/>
      <c r="OYX86" s="629"/>
      <c r="OYY86" s="629"/>
      <c r="OYZ86" s="629"/>
      <c r="OZA86" s="629"/>
      <c r="OZB86" s="629"/>
      <c r="OZC86" s="629"/>
      <c r="OZD86" s="629"/>
      <c r="OZE86" s="629"/>
      <c r="OZF86" s="629"/>
      <c r="OZG86" s="629"/>
      <c r="OZH86" s="629"/>
      <c r="OZI86" s="629"/>
      <c r="OZJ86" s="629"/>
      <c r="OZK86" s="629"/>
      <c r="OZL86" s="629"/>
      <c r="OZM86" s="629"/>
      <c r="OZN86" s="629"/>
      <c r="OZO86" s="629"/>
      <c r="OZP86" s="629"/>
      <c r="OZQ86" s="629"/>
      <c r="OZR86" s="629"/>
      <c r="OZS86" s="629"/>
      <c r="OZT86" s="629"/>
      <c r="OZU86" s="629"/>
      <c r="OZV86" s="629"/>
      <c r="OZW86" s="629"/>
      <c r="OZX86" s="629"/>
      <c r="OZY86" s="629"/>
      <c r="OZZ86" s="629"/>
      <c r="PAA86" s="629"/>
      <c r="PAB86" s="629"/>
      <c r="PAC86" s="629"/>
      <c r="PAD86" s="629"/>
      <c r="PAE86" s="629"/>
      <c r="PAF86" s="629"/>
      <c r="PAG86" s="629"/>
      <c r="PAH86" s="629"/>
      <c r="PAI86" s="629"/>
      <c r="PAJ86" s="629"/>
      <c r="PAK86" s="629"/>
      <c r="PAL86" s="629"/>
      <c r="PAM86" s="629"/>
      <c r="PAN86" s="629"/>
      <c r="PAO86" s="629"/>
      <c r="PAP86" s="629"/>
      <c r="PAQ86" s="629"/>
      <c r="PAR86" s="629"/>
      <c r="PAS86" s="629"/>
      <c r="PAT86" s="629"/>
      <c r="PAU86" s="629"/>
      <c r="PAV86" s="629"/>
      <c r="PAW86" s="629"/>
      <c r="PAX86" s="629"/>
      <c r="PAY86" s="629"/>
      <c r="PAZ86" s="629"/>
      <c r="PBA86" s="629"/>
      <c r="PBB86" s="629"/>
      <c r="PBC86" s="629"/>
      <c r="PBD86" s="629"/>
      <c r="PBE86" s="629"/>
      <c r="PBF86" s="629"/>
      <c r="PBG86" s="629"/>
      <c r="PBH86" s="629"/>
      <c r="PBI86" s="629"/>
      <c r="PBJ86" s="629"/>
      <c r="PBK86" s="629"/>
      <c r="PBL86" s="629"/>
      <c r="PBM86" s="629"/>
      <c r="PBN86" s="629"/>
      <c r="PBO86" s="629"/>
      <c r="PBP86" s="629"/>
      <c r="PBQ86" s="629"/>
      <c r="PBR86" s="629"/>
      <c r="PBS86" s="629"/>
      <c r="PBT86" s="629"/>
      <c r="PBU86" s="629"/>
      <c r="PBV86" s="629"/>
      <c r="PBW86" s="629"/>
      <c r="PBX86" s="629"/>
      <c r="PBY86" s="629"/>
      <c r="PBZ86" s="629"/>
      <c r="PCA86" s="629"/>
      <c r="PCB86" s="629"/>
      <c r="PCC86" s="629"/>
      <c r="PCD86" s="629"/>
      <c r="PCE86" s="629"/>
      <c r="PCF86" s="629"/>
      <c r="PCG86" s="629"/>
      <c r="PCH86" s="629"/>
      <c r="PCI86" s="629"/>
      <c r="PCJ86" s="629"/>
      <c r="PCK86" s="629"/>
      <c r="PCL86" s="629"/>
      <c r="PCM86" s="629"/>
      <c r="PCN86" s="629"/>
      <c r="PCO86" s="629"/>
      <c r="PCP86" s="629"/>
      <c r="PCQ86" s="629"/>
      <c r="PCR86" s="629"/>
      <c r="PCS86" s="629"/>
      <c r="PCT86" s="629"/>
      <c r="PCU86" s="629"/>
      <c r="PCV86" s="629"/>
      <c r="PCW86" s="629"/>
      <c r="PCX86" s="629"/>
      <c r="PCY86" s="629"/>
      <c r="PCZ86" s="629"/>
      <c r="PDA86" s="629"/>
      <c r="PDB86" s="629"/>
      <c r="PDC86" s="629"/>
      <c r="PDD86" s="629"/>
      <c r="PDE86" s="629"/>
      <c r="PDF86" s="629"/>
      <c r="PDG86" s="629"/>
      <c r="PDH86" s="629"/>
      <c r="PDI86" s="629"/>
      <c r="PDJ86" s="629"/>
      <c r="PDK86" s="629"/>
      <c r="PDL86" s="629"/>
      <c r="PDM86" s="629"/>
      <c r="PDN86" s="629"/>
      <c r="PDO86" s="629"/>
      <c r="PDP86" s="629"/>
      <c r="PDQ86" s="629"/>
      <c r="PDR86" s="629"/>
      <c r="PDS86" s="629"/>
      <c r="PDT86" s="629"/>
      <c r="PDU86" s="629"/>
      <c r="PDV86" s="629"/>
      <c r="PDW86" s="629"/>
      <c r="PDX86" s="629"/>
      <c r="PDY86" s="629"/>
      <c r="PDZ86" s="629"/>
      <c r="PEA86" s="629"/>
      <c r="PEB86" s="629"/>
      <c r="PEC86" s="629"/>
      <c r="PED86" s="629"/>
      <c r="PEE86" s="629"/>
      <c r="PEF86" s="629"/>
      <c r="PEG86" s="629"/>
      <c r="PEH86" s="629"/>
      <c r="PEI86" s="629"/>
      <c r="PEJ86" s="629"/>
      <c r="PEK86" s="629"/>
      <c r="PEL86" s="629"/>
      <c r="PEM86" s="629"/>
      <c r="PEN86" s="629"/>
      <c r="PEO86" s="629"/>
      <c r="PEP86" s="629"/>
      <c r="PEQ86" s="629"/>
      <c r="PER86" s="629"/>
      <c r="PES86" s="629"/>
      <c r="PET86" s="629"/>
      <c r="PEU86" s="629"/>
      <c r="PEV86" s="629"/>
      <c r="PEW86" s="629"/>
      <c r="PEX86" s="629"/>
      <c r="PEY86" s="629"/>
      <c r="PEZ86" s="629"/>
      <c r="PFA86" s="629"/>
      <c r="PFB86" s="629"/>
      <c r="PFC86" s="629"/>
      <c r="PFD86" s="629"/>
      <c r="PFE86" s="629"/>
      <c r="PFF86" s="629"/>
      <c r="PFG86" s="629"/>
      <c r="PFH86" s="629"/>
      <c r="PFI86" s="629"/>
      <c r="PFJ86" s="629"/>
      <c r="PFK86" s="629"/>
      <c r="PFL86" s="629"/>
      <c r="PFM86" s="629"/>
      <c r="PFN86" s="629"/>
      <c r="PFO86" s="629"/>
      <c r="PFP86" s="629"/>
      <c r="PFQ86" s="629"/>
      <c r="PFR86" s="629"/>
      <c r="PFS86" s="629"/>
      <c r="PFT86" s="629"/>
      <c r="PFU86" s="629"/>
      <c r="PFV86" s="629"/>
      <c r="PFW86" s="629"/>
      <c r="PFX86" s="629"/>
      <c r="PFY86" s="629"/>
      <c r="PFZ86" s="629"/>
      <c r="PGA86" s="629"/>
      <c r="PGB86" s="629"/>
      <c r="PGC86" s="629"/>
      <c r="PGD86" s="629"/>
      <c r="PGE86" s="629"/>
      <c r="PGF86" s="629"/>
      <c r="PGG86" s="629"/>
      <c r="PGH86" s="629"/>
      <c r="PGI86" s="629"/>
      <c r="PGJ86" s="629"/>
      <c r="PGK86" s="629"/>
      <c r="PGL86" s="629"/>
      <c r="PGM86" s="629"/>
      <c r="PGN86" s="629"/>
      <c r="PGO86" s="629"/>
      <c r="PGP86" s="629"/>
      <c r="PGQ86" s="629"/>
      <c r="PGR86" s="629"/>
      <c r="PGS86" s="629"/>
      <c r="PGT86" s="629"/>
      <c r="PGU86" s="629"/>
      <c r="PGV86" s="629"/>
      <c r="PGW86" s="629"/>
      <c r="PGX86" s="629"/>
      <c r="PGY86" s="629"/>
      <c r="PGZ86" s="629"/>
      <c r="PHA86" s="629"/>
      <c r="PHB86" s="629"/>
      <c r="PHC86" s="629"/>
      <c r="PHD86" s="629"/>
      <c r="PHE86" s="629"/>
      <c r="PHF86" s="629"/>
      <c r="PHG86" s="629"/>
      <c r="PHH86" s="629"/>
      <c r="PHI86" s="629"/>
      <c r="PHJ86" s="629"/>
      <c r="PHK86" s="629"/>
      <c r="PHL86" s="629"/>
      <c r="PHM86" s="629"/>
      <c r="PHN86" s="629"/>
      <c r="PHO86" s="629"/>
      <c r="PHP86" s="629"/>
      <c r="PHQ86" s="629"/>
      <c r="PHR86" s="629"/>
      <c r="PHS86" s="629"/>
      <c r="PHT86" s="629"/>
      <c r="PHU86" s="629"/>
      <c r="PHV86" s="629"/>
      <c r="PHW86" s="629"/>
      <c r="PHX86" s="629"/>
      <c r="PHY86" s="629"/>
      <c r="PHZ86" s="629"/>
      <c r="PIA86" s="629"/>
      <c r="PIB86" s="629"/>
      <c r="PIC86" s="629"/>
      <c r="PID86" s="629"/>
      <c r="PIE86" s="629"/>
      <c r="PIF86" s="629"/>
      <c r="PIG86" s="629"/>
      <c r="PIH86" s="629"/>
      <c r="PII86" s="629"/>
      <c r="PIJ86" s="629"/>
      <c r="PIK86" s="629"/>
      <c r="PIL86" s="629"/>
      <c r="PIM86" s="629"/>
      <c r="PIN86" s="629"/>
      <c r="PIO86" s="629"/>
      <c r="PIP86" s="629"/>
      <c r="PIQ86" s="629"/>
      <c r="PIR86" s="629"/>
      <c r="PIS86" s="629"/>
      <c r="PIT86" s="629"/>
      <c r="PIU86" s="629"/>
      <c r="PIV86" s="629"/>
      <c r="PIW86" s="629"/>
      <c r="PIX86" s="629"/>
      <c r="PIY86" s="629"/>
      <c r="PIZ86" s="629"/>
      <c r="PJA86" s="629"/>
      <c r="PJB86" s="629"/>
      <c r="PJC86" s="629"/>
      <c r="PJD86" s="629"/>
      <c r="PJE86" s="629"/>
      <c r="PJF86" s="629"/>
      <c r="PJG86" s="629"/>
      <c r="PJH86" s="629"/>
      <c r="PJI86" s="629"/>
      <c r="PJJ86" s="629"/>
      <c r="PJK86" s="629"/>
      <c r="PJL86" s="629"/>
      <c r="PJM86" s="629"/>
      <c r="PJN86" s="629"/>
      <c r="PJO86" s="629"/>
      <c r="PJP86" s="629"/>
      <c r="PJQ86" s="629"/>
      <c r="PJR86" s="629"/>
      <c r="PJS86" s="629"/>
      <c r="PJT86" s="629"/>
      <c r="PJU86" s="629"/>
      <c r="PJV86" s="629"/>
      <c r="PJW86" s="629"/>
      <c r="PJX86" s="629"/>
      <c r="PJY86" s="629"/>
      <c r="PJZ86" s="629"/>
      <c r="PKA86" s="629"/>
      <c r="PKB86" s="629"/>
      <c r="PKC86" s="629"/>
      <c r="PKD86" s="629"/>
      <c r="PKE86" s="629"/>
      <c r="PKF86" s="629"/>
      <c r="PKG86" s="629"/>
      <c r="PKH86" s="629"/>
      <c r="PKI86" s="629"/>
      <c r="PKJ86" s="629"/>
      <c r="PKK86" s="629"/>
      <c r="PKL86" s="629"/>
      <c r="PKM86" s="629"/>
      <c r="PKN86" s="629"/>
      <c r="PKO86" s="629"/>
      <c r="PKP86" s="629"/>
      <c r="PKQ86" s="629"/>
      <c r="PKR86" s="629"/>
      <c r="PKS86" s="629"/>
      <c r="PKT86" s="629"/>
      <c r="PKU86" s="629"/>
      <c r="PKV86" s="629"/>
      <c r="PKW86" s="629"/>
      <c r="PKX86" s="629"/>
      <c r="PKY86" s="629"/>
      <c r="PKZ86" s="629"/>
      <c r="PLA86" s="629"/>
      <c r="PLB86" s="629"/>
      <c r="PLC86" s="629"/>
      <c r="PLD86" s="629"/>
      <c r="PLE86" s="629"/>
      <c r="PLF86" s="629"/>
      <c r="PLG86" s="629"/>
      <c r="PLH86" s="629"/>
      <c r="PLI86" s="629"/>
      <c r="PLJ86" s="629"/>
      <c r="PLK86" s="629"/>
      <c r="PLL86" s="629"/>
      <c r="PLM86" s="629"/>
      <c r="PLN86" s="629"/>
      <c r="PLO86" s="629"/>
      <c r="PLP86" s="629"/>
      <c r="PLQ86" s="629"/>
      <c r="PLR86" s="629"/>
      <c r="PLS86" s="629"/>
      <c r="PLT86" s="629"/>
      <c r="PLU86" s="629"/>
      <c r="PLV86" s="629"/>
      <c r="PLW86" s="629"/>
      <c r="PLX86" s="629"/>
      <c r="PLY86" s="629"/>
      <c r="PLZ86" s="629"/>
      <c r="PMA86" s="629"/>
      <c r="PMB86" s="629"/>
      <c r="PMC86" s="629"/>
      <c r="PMD86" s="629"/>
      <c r="PME86" s="629"/>
      <c r="PMF86" s="629"/>
      <c r="PMG86" s="629"/>
      <c r="PMH86" s="629"/>
      <c r="PMI86" s="629"/>
      <c r="PMJ86" s="629"/>
      <c r="PMK86" s="629"/>
      <c r="PML86" s="629"/>
      <c r="PMM86" s="629"/>
      <c r="PMN86" s="629"/>
      <c r="PMO86" s="629"/>
      <c r="PMP86" s="629"/>
      <c r="PMQ86" s="629"/>
      <c r="PMR86" s="629"/>
      <c r="PMS86" s="629"/>
      <c r="PMT86" s="629"/>
      <c r="PMU86" s="629"/>
      <c r="PMV86" s="629"/>
      <c r="PMW86" s="629"/>
      <c r="PMX86" s="629"/>
      <c r="PMY86" s="629"/>
      <c r="PMZ86" s="629"/>
      <c r="PNA86" s="629"/>
      <c r="PNB86" s="629"/>
      <c r="PNC86" s="629"/>
      <c r="PND86" s="629"/>
      <c r="PNE86" s="629"/>
      <c r="PNF86" s="629"/>
      <c r="PNG86" s="629"/>
      <c r="PNH86" s="629"/>
      <c r="PNI86" s="629"/>
      <c r="PNJ86" s="629"/>
      <c r="PNK86" s="629"/>
      <c r="PNL86" s="629"/>
      <c r="PNM86" s="629"/>
      <c r="PNN86" s="629"/>
      <c r="PNO86" s="629"/>
      <c r="PNP86" s="629"/>
      <c r="PNQ86" s="629"/>
      <c r="PNR86" s="629"/>
      <c r="PNS86" s="629"/>
      <c r="PNT86" s="629"/>
      <c r="PNU86" s="629"/>
      <c r="PNV86" s="629"/>
      <c r="PNW86" s="629"/>
      <c r="PNX86" s="629"/>
      <c r="PNY86" s="629"/>
      <c r="PNZ86" s="629"/>
      <c r="POA86" s="629"/>
      <c r="POB86" s="629"/>
      <c r="POC86" s="629"/>
      <c r="POD86" s="629"/>
      <c r="POE86" s="629"/>
      <c r="POF86" s="629"/>
      <c r="POG86" s="629"/>
      <c r="POH86" s="629"/>
      <c r="POI86" s="629"/>
      <c r="POJ86" s="629"/>
      <c r="POK86" s="629"/>
      <c r="POL86" s="629"/>
      <c r="POM86" s="629"/>
      <c r="PON86" s="629"/>
      <c r="POO86" s="629"/>
      <c r="POP86" s="629"/>
      <c r="POQ86" s="629"/>
      <c r="POR86" s="629"/>
      <c r="POS86" s="629"/>
      <c r="POT86" s="629"/>
      <c r="POU86" s="629"/>
      <c r="POV86" s="629"/>
      <c r="POW86" s="629"/>
      <c r="POX86" s="629"/>
      <c r="POY86" s="629"/>
      <c r="POZ86" s="629"/>
      <c r="PPA86" s="629"/>
      <c r="PPB86" s="629"/>
      <c r="PPC86" s="629"/>
      <c r="PPD86" s="629"/>
      <c r="PPE86" s="629"/>
      <c r="PPF86" s="629"/>
      <c r="PPG86" s="629"/>
      <c r="PPH86" s="629"/>
      <c r="PPI86" s="629"/>
      <c r="PPJ86" s="629"/>
      <c r="PPK86" s="629"/>
      <c r="PPL86" s="629"/>
      <c r="PPM86" s="629"/>
      <c r="PPN86" s="629"/>
      <c r="PPO86" s="629"/>
      <c r="PPP86" s="629"/>
      <c r="PPQ86" s="629"/>
      <c r="PPR86" s="629"/>
      <c r="PPS86" s="629"/>
      <c r="PPT86" s="629"/>
      <c r="PPU86" s="629"/>
      <c r="PPV86" s="629"/>
      <c r="PPW86" s="629"/>
      <c r="PPX86" s="629"/>
      <c r="PPY86" s="629"/>
      <c r="PPZ86" s="629"/>
      <c r="PQA86" s="629"/>
      <c r="PQB86" s="629"/>
      <c r="PQC86" s="629"/>
      <c r="PQD86" s="629"/>
      <c r="PQE86" s="629"/>
      <c r="PQF86" s="629"/>
      <c r="PQG86" s="629"/>
      <c r="PQH86" s="629"/>
      <c r="PQI86" s="629"/>
      <c r="PQJ86" s="629"/>
      <c r="PQK86" s="629"/>
      <c r="PQL86" s="629"/>
      <c r="PQM86" s="629"/>
      <c r="PQN86" s="629"/>
      <c r="PQO86" s="629"/>
      <c r="PQP86" s="629"/>
      <c r="PQQ86" s="629"/>
      <c r="PQR86" s="629"/>
      <c r="PQS86" s="629"/>
      <c r="PQT86" s="629"/>
      <c r="PQU86" s="629"/>
      <c r="PQV86" s="629"/>
      <c r="PQW86" s="629"/>
      <c r="PQX86" s="629"/>
      <c r="PQY86" s="629"/>
      <c r="PQZ86" s="629"/>
      <c r="PRA86" s="629"/>
      <c r="PRB86" s="629"/>
      <c r="PRC86" s="629"/>
      <c r="PRD86" s="629"/>
      <c r="PRE86" s="629"/>
      <c r="PRF86" s="629"/>
      <c r="PRG86" s="629"/>
      <c r="PRH86" s="629"/>
      <c r="PRI86" s="629"/>
      <c r="PRJ86" s="629"/>
      <c r="PRK86" s="629"/>
      <c r="PRL86" s="629"/>
      <c r="PRM86" s="629"/>
      <c r="PRN86" s="629"/>
      <c r="PRO86" s="629"/>
      <c r="PRP86" s="629"/>
      <c r="PRQ86" s="629"/>
      <c r="PRR86" s="629"/>
      <c r="PRS86" s="629"/>
      <c r="PRT86" s="629"/>
      <c r="PRU86" s="629"/>
      <c r="PRV86" s="629"/>
      <c r="PRW86" s="629"/>
      <c r="PRX86" s="629"/>
      <c r="PRY86" s="629"/>
      <c r="PRZ86" s="629"/>
      <c r="PSA86" s="629"/>
      <c r="PSB86" s="629"/>
      <c r="PSC86" s="629"/>
      <c r="PSD86" s="629"/>
      <c r="PSE86" s="629"/>
      <c r="PSF86" s="629"/>
      <c r="PSG86" s="629"/>
      <c r="PSH86" s="629"/>
      <c r="PSI86" s="629"/>
      <c r="PSJ86" s="629"/>
      <c r="PSK86" s="629"/>
      <c r="PSL86" s="629"/>
      <c r="PSM86" s="629"/>
      <c r="PSN86" s="629"/>
      <c r="PSO86" s="629"/>
      <c r="PSP86" s="629"/>
      <c r="PSQ86" s="629"/>
      <c r="PSR86" s="629"/>
      <c r="PSS86" s="629"/>
      <c r="PST86" s="629"/>
      <c r="PSU86" s="629"/>
      <c r="PSV86" s="629"/>
      <c r="PSW86" s="629"/>
      <c r="PSX86" s="629"/>
      <c r="PSY86" s="629"/>
      <c r="PSZ86" s="629"/>
      <c r="PTA86" s="629"/>
      <c r="PTB86" s="629"/>
      <c r="PTC86" s="629"/>
      <c r="PTD86" s="629"/>
      <c r="PTE86" s="629"/>
      <c r="PTF86" s="629"/>
      <c r="PTG86" s="629"/>
      <c r="PTH86" s="629"/>
      <c r="PTI86" s="629"/>
      <c r="PTJ86" s="629"/>
      <c r="PTK86" s="629"/>
      <c r="PTL86" s="629"/>
      <c r="PTM86" s="629"/>
      <c r="PTN86" s="629"/>
      <c r="PTO86" s="629"/>
      <c r="PTP86" s="629"/>
      <c r="PTQ86" s="629"/>
      <c r="PTR86" s="629"/>
      <c r="PTS86" s="629"/>
      <c r="PTT86" s="629"/>
      <c r="PTU86" s="629"/>
      <c r="PTV86" s="629"/>
      <c r="PTW86" s="629"/>
      <c r="PTX86" s="629"/>
      <c r="PTY86" s="629"/>
      <c r="PTZ86" s="629"/>
      <c r="PUA86" s="629"/>
      <c r="PUB86" s="629"/>
      <c r="PUC86" s="629"/>
      <c r="PUD86" s="629"/>
      <c r="PUE86" s="629"/>
      <c r="PUF86" s="629"/>
      <c r="PUG86" s="629"/>
      <c r="PUH86" s="629"/>
      <c r="PUI86" s="629"/>
      <c r="PUJ86" s="629"/>
      <c r="PUK86" s="629"/>
      <c r="PUL86" s="629"/>
      <c r="PUM86" s="629"/>
      <c r="PUN86" s="629"/>
      <c r="PUO86" s="629"/>
      <c r="PUP86" s="629"/>
      <c r="PUQ86" s="629"/>
      <c r="PUR86" s="629"/>
      <c r="PUS86" s="629"/>
      <c r="PUT86" s="629"/>
      <c r="PUU86" s="629"/>
      <c r="PUV86" s="629"/>
      <c r="PUW86" s="629"/>
      <c r="PUX86" s="629"/>
      <c r="PUY86" s="629"/>
      <c r="PUZ86" s="629"/>
      <c r="PVA86" s="629"/>
      <c r="PVB86" s="629"/>
      <c r="PVC86" s="629"/>
      <c r="PVD86" s="629"/>
      <c r="PVE86" s="629"/>
      <c r="PVF86" s="629"/>
      <c r="PVG86" s="629"/>
      <c r="PVH86" s="629"/>
      <c r="PVI86" s="629"/>
      <c r="PVJ86" s="629"/>
      <c r="PVK86" s="629"/>
      <c r="PVL86" s="629"/>
      <c r="PVM86" s="629"/>
      <c r="PVN86" s="629"/>
      <c r="PVO86" s="629"/>
      <c r="PVP86" s="629"/>
      <c r="PVQ86" s="629"/>
      <c r="PVR86" s="629"/>
      <c r="PVS86" s="629"/>
      <c r="PVT86" s="629"/>
      <c r="PVU86" s="629"/>
      <c r="PVV86" s="629"/>
      <c r="PVW86" s="629"/>
      <c r="PVX86" s="629"/>
      <c r="PVY86" s="629"/>
      <c r="PVZ86" s="629"/>
      <c r="PWA86" s="629"/>
      <c r="PWB86" s="629"/>
      <c r="PWC86" s="629"/>
      <c r="PWD86" s="629"/>
      <c r="PWE86" s="629"/>
      <c r="PWF86" s="629"/>
      <c r="PWG86" s="629"/>
      <c r="PWH86" s="629"/>
      <c r="PWI86" s="629"/>
      <c r="PWJ86" s="629"/>
      <c r="PWK86" s="629"/>
      <c r="PWL86" s="629"/>
      <c r="PWM86" s="629"/>
      <c r="PWN86" s="629"/>
      <c r="PWO86" s="629"/>
      <c r="PWP86" s="629"/>
      <c r="PWQ86" s="629"/>
      <c r="PWR86" s="629"/>
      <c r="PWS86" s="629"/>
      <c r="PWT86" s="629"/>
      <c r="PWU86" s="629"/>
      <c r="PWV86" s="629"/>
      <c r="PWW86" s="629"/>
      <c r="PWX86" s="629"/>
      <c r="PWY86" s="629"/>
      <c r="PWZ86" s="629"/>
      <c r="PXA86" s="629"/>
      <c r="PXB86" s="629"/>
      <c r="PXC86" s="629"/>
      <c r="PXD86" s="629"/>
      <c r="PXE86" s="629"/>
      <c r="PXF86" s="629"/>
      <c r="PXG86" s="629"/>
      <c r="PXH86" s="629"/>
      <c r="PXI86" s="629"/>
      <c r="PXJ86" s="629"/>
      <c r="PXK86" s="629"/>
      <c r="PXL86" s="629"/>
      <c r="PXM86" s="629"/>
      <c r="PXN86" s="629"/>
      <c r="PXO86" s="629"/>
      <c r="PXP86" s="629"/>
      <c r="PXQ86" s="629"/>
      <c r="PXR86" s="629"/>
      <c r="PXS86" s="629"/>
      <c r="PXT86" s="629"/>
      <c r="PXU86" s="629"/>
      <c r="PXV86" s="629"/>
      <c r="PXW86" s="629"/>
      <c r="PXX86" s="629"/>
      <c r="PXY86" s="629"/>
      <c r="PXZ86" s="629"/>
      <c r="PYA86" s="629"/>
      <c r="PYB86" s="629"/>
      <c r="PYC86" s="629"/>
      <c r="PYD86" s="629"/>
      <c r="PYE86" s="629"/>
      <c r="PYF86" s="629"/>
      <c r="PYG86" s="629"/>
      <c r="PYH86" s="629"/>
      <c r="PYI86" s="629"/>
      <c r="PYJ86" s="629"/>
      <c r="PYK86" s="629"/>
      <c r="PYL86" s="629"/>
      <c r="PYM86" s="629"/>
      <c r="PYN86" s="629"/>
      <c r="PYO86" s="629"/>
      <c r="PYP86" s="629"/>
      <c r="PYQ86" s="629"/>
      <c r="PYR86" s="629"/>
      <c r="PYS86" s="629"/>
      <c r="PYT86" s="629"/>
      <c r="PYU86" s="629"/>
      <c r="PYV86" s="629"/>
      <c r="PYW86" s="629"/>
      <c r="PYX86" s="629"/>
      <c r="PYY86" s="629"/>
      <c r="PYZ86" s="629"/>
      <c r="PZA86" s="629"/>
      <c r="PZB86" s="629"/>
      <c r="PZC86" s="629"/>
      <c r="PZD86" s="629"/>
      <c r="PZE86" s="629"/>
      <c r="PZF86" s="629"/>
      <c r="PZG86" s="629"/>
      <c r="PZH86" s="629"/>
      <c r="PZI86" s="629"/>
      <c r="PZJ86" s="629"/>
      <c r="PZK86" s="629"/>
      <c r="PZL86" s="629"/>
      <c r="PZM86" s="629"/>
      <c r="PZN86" s="629"/>
      <c r="PZO86" s="629"/>
      <c r="PZP86" s="629"/>
      <c r="PZQ86" s="629"/>
      <c r="PZR86" s="629"/>
      <c r="PZS86" s="629"/>
      <c r="PZT86" s="629"/>
      <c r="PZU86" s="629"/>
      <c r="PZV86" s="629"/>
      <c r="PZW86" s="629"/>
      <c r="PZX86" s="629"/>
      <c r="PZY86" s="629"/>
      <c r="PZZ86" s="629"/>
      <c r="QAA86" s="629"/>
      <c r="QAB86" s="629"/>
      <c r="QAC86" s="629"/>
      <c r="QAD86" s="629"/>
      <c r="QAE86" s="629"/>
      <c r="QAF86" s="629"/>
      <c r="QAG86" s="629"/>
      <c r="QAH86" s="629"/>
      <c r="QAI86" s="629"/>
      <c r="QAJ86" s="629"/>
      <c r="QAK86" s="629"/>
      <c r="QAL86" s="629"/>
      <c r="QAM86" s="629"/>
      <c r="QAN86" s="629"/>
      <c r="QAO86" s="629"/>
      <c r="QAP86" s="629"/>
      <c r="QAQ86" s="629"/>
      <c r="QAR86" s="629"/>
      <c r="QAS86" s="629"/>
      <c r="QAT86" s="629"/>
      <c r="QAU86" s="629"/>
      <c r="QAV86" s="629"/>
      <c r="QAW86" s="629"/>
      <c r="QAX86" s="629"/>
      <c r="QAY86" s="629"/>
      <c r="QAZ86" s="629"/>
      <c r="QBA86" s="629"/>
      <c r="QBB86" s="629"/>
      <c r="QBC86" s="629"/>
      <c r="QBD86" s="629"/>
      <c r="QBE86" s="629"/>
      <c r="QBF86" s="629"/>
      <c r="QBG86" s="629"/>
      <c r="QBH86" s="629"/>
      <c r="QBI86" s="629"/>
      <c r="QBJ86" s="629"/>
      <c r="QBK86" s="629"/>
      <c r="QBL86" s="629"/>
      <c r="QBM86" s="629"/>
      <c r="QBN86" s="629"/>
      <c r="QBO86" s="629"/>
      <c r="QBP86" s="629"/>
      <c r="QBQ86" s="629"/>
      <c r="QBR86" s="629"/>
      <c r="QBS86" s="629"/>
      <c r="QBT86" s="629"/>
      <c r="QBU86" s="629"/>
      <c r="QBV86" s="629"/>
      <c r="QBW86" s="629"/>
      <c r="QBX86" s="629"/>
      <c r="QBY86" s="629"/>
      <c r="QBZ86" s="629"/>
      <c r="QCA86" s="629"/>
      <c r="QCB86" s="629"/>
      <c r="QCC86" s="629"/>
      <c r="QCD86" s="629"/>
      <c r="QCE86" s="629"/>
      <c r="QCF86" s="629"/>
      <c r="QCG86" s="629"/>
      <c r="QCH86" s="629"/>
      <c r="QCI86" s="629"/>
      <c r="QCJ86" s="629"/>
      <c r="QCK86" s="629"/>
      <c r="QCL86" s="629"/>
      <c r="QCM86" s="629"/>
      <c r="QCN86" s="629"/>
      <c r="QCO86" s="629"/>
      <c r="QCP86" s="629"/>
      <c r="QCQ86" s="629"/>
      <c r="QCR86" s="629"/>
      <c r="QCS86" s="629"/>
      <c r="QCT86" s="629"/>
      <c r="QCU86" s="629"/>
      <c r="QCV86" s="629"/>
      <c r="QCW86" s="629"/>
      <c r="QCX86" s="629"/>
      <c r="QCY86" s="629"/>
      <c r="QCZ86" s="629"/>
      <c r="QDA86" s="629"/>
      <c r="QDB86" s="629"/>
      <c r="QDC86" s="629"/>
      <c r="QDD86" s="629"/>
      <c r="QDE86" s="629"/>
      <c r="QDF86" s="629"/>
      <c r="QDG86" s="629"/>
      <c r="QDH86" s="629"/>
      <c r="QDI86" s="629"/>
      <c r="QDJ86" s="629"/>
      <c r="QDK86" s="629"/>
      <c r="QDL86" s="629"/>
      <c r="QDM86" s="629"/>
      <c r="QDN86" s="629"/>
      <c r="QDO86" s="629"/>
      <c r="QDP86" s="629"/>
      <c r="QDQ86" s="629"/>
      <c r="QDR86" s="629"/>
      <c r="QDS86" s="629"/>
      <c r="QDT86" s="629"/>
      <c r="QDU86" s="629"/>
      <c r="QDV86" s="629"/>
      <c r="QDW86" s="629"/>
      <c r="QDX86" s="629"/>
      <c r="QDY86" s="629"/>
      <c r="QDZ86" s="629"/>
      <c r="QEA86" s="629"/>
      <c r="QEB86" s="629"/>
      <c r="QEC86" s="629"/>
      <c r="QED86" s="629"/>
      <c r="QEE86" s="629"/>
      <c r="QEF86" s="629"/>
      <c r="QEG86" s="629"/>
      <c r="QEH86" s="629"/>
      <c r="QEI86" s="629"/>
      <c r="QEJ86" s="629"/>
      <c r="QEK86" s="629"/>
      <c r="QEL86" s="629"/>
      <c r="QEM86" s="629"/>
      <c r="QEN86" s="629"/>
      <c r="QEO86" s="629"/>
      <c r="QEP86" s="629"/>
      <c r="QEQ86" s="629"/>
      <c r="QER86" s="629"/>
      <c r="QES86" s="629"/>
      <c r="QET86" s="629"/>
      <c r="QEU86" s="629"/>
      <c r="QEV86" s="629"/>
      <c r="QEW86" s="629"/>
      <c r="QEX86" s="629"/>
      <c r="QEY86" s="629"/>
      <c r="QEZ86" s="629"/>
      <c r="QFA86" s="629"/>
      <c r="QFB86" s="629"/>
      <c r="QFC86" s="629"/>
      <c r="QFD86" s="629"/>
      <c r="QFE86" s="629"/>
      <c r="QFF86" s="629"/>
      <c r="QFG86" s="629"/>
      <c r="QFH86" s="629"/>
      <c r="QFI86" s="629"/>
      <c r="QFJ86" s="629"/>
      <c r="QFK86" s="629"/>
      <c r="QFL86" s="629"/>
      <c r="QFM86" s="629"/>
      <c r="QFN86" s="629"/>
      <c r="QFO86" s="629"/>
      <c r="QFP86" s="629"/>
      <c r="QFQ86" s="629"/>
      <c r="QFR86" s="629"/>
      <c r="QFS86" s="629"/>
      <c r="QFT86" s="629"/>
      <c r="QFU86" s="629"/>
      <c r="QFV86" s="629"/>
      <c r="QFW86" s="629"/>
      <c r="QFX86" s="629"/>
      <c r="QFY86" s="629"/>
      <c r="QFZ86" s="629"/>
      <c r="QGA86" s="629"/>
      <c r="QGB86" s="629"/>
      <c r="QGC86" s="629"/>
      <c r="QGD86" s="629"/>
      <c r="QGE86" s="629"/>
      <c r="QGF86" s="629"/>
      <c r="QGG86" s="629"/>
      <c r="QGH86" s="629"/>
      <c r="QGI86" s="629"/>
      <c r="QGJ86" s="629"/>
      <c r="QGK86" s="629"/>
      <c r="QGL86" s="629"/>
      <c r="QGM86" s="629"/>
      <c r="QGN86" s="629"/>
      <c r="QGO86" s="629"/>
      <c r="QGP86" s="629"/>
      <c r="QGQ86" s="629"/>
      <c r="QGR86" s="629"/>
      <c r="QGS86" s="629"/>
      <c r="QGT86" s="629"/>
      <c r="QGU86" s="629"/>
      <c r="QGV86" s="629"/>
      <c r="QGW86" s="629"/>
      <c r="QGX86" s="629"/>
      <c r="QGY86" s="629"/>
      <c r="QGZ86" s="629"/>
      <c r="QHA86" s="629"/>
      <c r="QHB86" s="629"/>
      <c r="QHC86" s="629"/>
      <c r="QHD86" s="629"/>
      <c r="QHE86" s="629"/>
      <c r="QHF86" s="629"/>
      <c r="QHG86" s="629"/>
      <c r="QHH86" s="629"/>
      <c r="QHI86" s="629"/>
      <c r="QHJ86" s="629"/>
      <c r="QHK86" s="629"/>
      <c r="QHL86" s="629"/>
      <c r="QHM86" s="629"/>
      <c r="QHN86" s="629"/>
      <c r="QHO86" s="629"/>
      <c r="QHP86" s="629"/>
      <c r="QHQ86" s="629"/>
      <c r="QHR86" s="629"/>
      <c r="QHS86" s="629"/>
      <c r="QHT86" s="629"/>
      <c r="QHU86" s="629"/>
      <c r="QHV86" s="629"/>
      <c r="QHW86" s="629"/>
      <c r="QHX86" s="629"/>
      <c r="QHY86" s="629"/>
      <c r="QHZ86" s="629"/>
      <c r="QIA86" s="629"/>
      <c r="QIB86" s="629"/>
      <c r="QIC86" s="629"/>
      <c r="QID86" s="629"/>
      <c r="QIE86" s="629"/>
      <c r="QIF86" s="629"/>
      <c r="QIG86" s="629"/>
      <c r="QIH86" s="629"/>
      <c r="QII86" s="629"/>
      <c r="QIJ86" s="629"/>
      <c r="QIK86" s="629"/>
      <c r="QIL86" s="629"/>
      <c r="QIM86" s="629"/>
      <c r="QIN86" s="629"/>
      <c r="QIO86" s="629"/>
      <c r="QIP86" s="629"/>
      <c r="QIQ86" s="629"/>
      <c r="QIR86" s="629"/>
      <c r="QIS86" s="629"/>
      <c r="QIT86" s="629"/>
      <c r="QIU86" s="629"/>
      <c r="QIV86" s="629"/>
      <c r="QIW86" s="629"/>
      <c r="QIX86" s="629"/>
      <c r="QIY86" s="629"/>
      <c r="QIZ86" s="629"/>
      <c r="QJA86" s="629"/>
      <c r="QJB86" s="629"/>
      <c r="QJC86" s="629"/>
      <c r="QJD86" s="629"/>
      <c r="QJE86" s="629"/>
      <c r="QJF86" s="629"/>
      <c r="QJG86" s="629"/>
      <c r="QJH86" s="629"/>
      <c r="QJI86" s="629"/>
      <c r="QJJ86" s="629"/>
      <c r="QJK86" s="629"/>
      <c r="QJL86" s="629"/>
      <c r="QJM86" s="629"/>
      <c r="QJN86" s="629"/>
      <c r="QJO86" s="629"/>
      <c r="QJP86" s="629"/>
      <c r="QJQ86" s="629"/>
      <c r="QJR86" s="629"/>
      <c r="QJS86" s="629"/>
      <c r="QJT86" s="629"/>
      <c r="QJU86" s="629"/>
      <c r="QJV86" s="629"/>
      <c r="QJW86" s="629"/>
      <c r="QJX86" s="629"/>
      <c r="QJY86" s="629"/>
      <c r="QJZ86" s="629"/>
      <c r="QKA86" s="629"/>
      <c r="QKB86" s="629"/>
      <c r="QKC86" s="629"/>
      <c r="QKD86" s="629"/>
      <c r="QKE86" s="629"/>
      <c r="QKF86" s="629"/>
      <c r="QKG86" s="629"/>
      <c r="QKH86" s="629"/>
      <c r="QKI86" s="629"/>
      <c r="QKJ86" s="629"/>
      <c r="QKK86" s="629"/>
      <c r="QKL86" s="629"/>
      <c r="QKM86" s="629"/>
      <c r="QKN86" s="629"/>
      <c r="QKO86" s="629"/>
      <c r="QKP86" s="629"/>
      <c r="QKQ86" s="629"/>
      <c r="QKR86" s="629"/>
      <c r="QKS86" s="629"/>
      <c r="QKT86" s="629"/>
      <c r="QKU86" s="629"/>
      <c r="QKV86" s="629"/>
      <c r="QKW86" s="629"/>
      <c r="QKX86" s="629"/>
      <c r="QKY86" s="629"/>
      <c r="QKZ86" s="629"/>
      <c r="QLA86" s="629"/>
      <c r="QLB86" s="629"/>
      <c r="QLC86" s="629"/>
      <c r="QLD86" s="629"/>
      <c r="QLE86" s="629"/>
      <c r="QLF86" s="629"/>
      <c r="QLG86" s="629"/>
      <c r="QLH86" s="629"/>
      <c r="QLI86" s="629"/>
      <c r="QLJ86" s="629"/>
      <c r="QLK86" s="629"/>
      <c r="QLL86" s="629"/>
      <c r="QLM86" s="629"/>
      <c r="QLN86" s="629"/>
      <c r="QLO86" s="629"/>
      <c r="QLP86" s="629"/>
      <c r="QLQ86" s="629"/>
      <c r="QLR86" s="629"/>
      <c r="QLS86" s="629"/>
      <c r="QLT86" s="629"/>
      <c r="QLU86" s="629"/>
      <c r="QLV86" s="629"/>
      <c r="QLW86" s="629"/>
      <c r="QLX86" s="629"/>
      <c r="QLY86" s="629"/>
      <c r="QLZ86" s="629"/>
      <c r="QMA86" s="629"/>
      <c r="QMB86" s="629"/>
      <c r="QMC86" s="629"/>
      <c r="QMD86" s="629"/>
      <c r="QME86" s="629"/>
      <c r="QMF86" s="629"/>
      <c r="QMG86" s="629"/>
      <c r="QMH86" s="629"/>
      <c r="QMI86" s="629"/>
      <c r="QMJ86" s="629"/>
      <c r="QMK86" s="629"/>
      <c r="QML86" s="629"/>
      <c r="QMM86" s="629"/>
      <c r="QMN86" s="629"/>
      <c r="QMO86" s="629"/>
      <c r="QMP86" s="629"/>
      <c r="QMQ86" s="629"/>
      <c r="QMR86" s="629"/>
      <c r="QMS86" s="629"/>
      <c r="QMT86" s="629"/>
      <c r="QMU86" s="629"/>
      <c r="QMV86" s="629"/>
      <c r="QMW86" s="629"/>
      <c r="QMX86" s="629"/>
      <c r="QMY86" s="629"/>
      <c r="QMZ86" s="629"/>
      <c r="QNA86" s="629"/>
      <c r="QNB86" s="629"/>
      <c r="QNC86" s="629"/>
      <c r="QND86" s="629"/>
      <c r="QNE86" s="629"/>
      <c r="QNF86" s="629"/>
      <c r="QNG86" s="629"/>
      <c r="QNH86" s="629"/>
      <c r="QNI86" s="629"/>
      <c r="QNJ86" s="629"/>
      <c r="QNK86" s="629"/>
      <c r="QNL86" s="629"/>
      <c r="QNM86" s="629"/>
      <c r="QNN86" s="629"/>
      <c r="QNO86" s="629"/>
      <c r="QNP86" s="629"/>
      <c r="QNQ86" s="629"/>
      <c r="QNR86" s="629"/>
      <c r="QNS86" s="629"/>
      <c r="QNT86" s="629"/>
      <c r="QNU86" s="629"/>
      <c r="QNV86" s="629"/>
      <c r="QNW86" s="629"/>
      <c r="QNX86" s="629"/>
      <c r="QNY86" s="629"/>
      <c r="QNZ86" s="629"/>
      <c r="QOA86" s="629"/>
      <c r="QOB86" s="629"/>
      <c r="QOC86" s="629"/>
      <c r="QOD86" s="629"/>
      <c r="QOE86" s="629"/>
      <c r="QOF86" s="629"/>
      <c r="QOG86" s="629"/>
      <c r="QOH86" s="629"/>
      <c r="QOI86" s="629"/>
      <c r="QOJ86" s="629"/>
      <c r="QOK86" s="629"/>
      <c r="QOL86" s="629"/>
      <c r="QOM86" s="629"/>
      <c r="QON86" s="629"/>
      <c r="QOO86" s="629"/>
      <c r="QOP86" s="629"/>
      <c r="QOQ86" s="629"/>
      <c r="QOR86" s="629"/>
      <c r="QOS86" s="629"/>
      <c r="QOT86" s="629"/>
      <c r="QOU86" s="629"/>
      <c r="QOV86" s="629"/>
      <c r="QOW86" s="629"/>
      <c r="QOX86" s="629"/>
      <c r="QOY86" s="629"/>
      <c r="QOZ86" s="629"/>
      <c r="QPA86" s="629"/>
      <c r="QPB86" s="629"/>
      <c r="QPC86" s="629"/>
      <c r="QPD86" s="629"/>
      <c r="QPE86" s="629"/>
      <c r="QPF86" s="629"/>
      <c r="QPG86" s="629"/>
      <c r="QPH86" s="629"/>
      <c r="QPI86" s="629"/>
      <c r="QPJ86" s="629"/>
      <c r="QPK86" s="629"/>
      <c r="QPL86" s="629"/>
      <c r="QPM86" s="629"/>
      <c r="QPN86" s="629"/>
      <c r="QPO86" s="629"/>
      <c r="QPP86" s="629"/>
      <c r="QPQ86" s="629"/>
      <c r="QPR86" s="629"/>
      <c r="QPS86" s="629"/>
      <c r="QPT86" s="629"/>
      <c r="QPU86" s="629"/>
      <c r="QPV86" s="629"/>
      <c r="QPW86" s="629"/>
      <c r="QPX86" s="629"/>
      <c r="QPY86" s="629"/>
      <c r="QPZ86" s="629"/>
      <c r="QQA86" s="629"/>
      <c r="QQB86" s="629"/>
      <c r="QQC86" s="629"/>
      <c r="QQD86" s="629"/>
      <c r="QQE86" s="629"/>
      <c r="QQF86" s="629"/>
      <c r="QQG86" s="629"/>
      <c r="QQH86" s="629"/>
      <c r="QQI86" s="629"/>
      <c r="QQJ86" s="629"/>
      <c r="QQK86" s="629"/>
      <c r="QQL86" s="629"/>
      <c r="QQM86" s="629"/>
      <c r="QQN86" s="629"/>
      <c r="QQO86" s="629"/>
      <c r="QQP86" s="629"/>
      <c r="QQQ86" s="629"/>
      <c r="QQR86" s="629"/>
      <c r="QQS86" s="629"/>
      <c r="QQT86" s="629"/>
      <c r="QQU86" s="629"/>
      <c r="QQV86" s="629"/>
      <c r="QQW86" s="629"/>
      <c r="QQX86" s="629"/>
      <c r="QQY86" s="629"/>
      <c r="QQZ86" s="629"/>
      <c r="QRA86" s="629"/>
      <c r="QRB86" s="629"/>
      <c r="QRC86" s="629"/>
      <c r="QRD86" s="629"/>
      <c r="QRE86" s="629"/>
      <c r="QRF86" s="629"/>
      <c r="QRG86" s="629"/>
      <c r="QRH86" s="629"/>
      <c r="QRI86" s="629"/>
      <c r="QRJ86" s="629"/>
      <c r="QRK86" s="629"/>
      <c r="QRL86" s="629"/>
      <c r="QRM86" s="629"/>
      <c r="QRN86" s="629"/>
      <c r="QRO86" s="629"/>
      <c r="QRP86" s="629"/>
      <c r="QRQ86" s="629"/>
      <c r="QRR86" s="629"/>
      <c r="QRS86" s="629"/>
      <c r="QRT86" s="629"/>
      <c r="QRU86" s="629"/>
      <c r="QRV86" s="629"/>
      <c r="QRW86" s="629"/>
      <c r="QRX86" s="629"/>
      <c r="QRY86" s="629"/>
      <c r="QRZ86" s="629"/>
      <c r="QSA86" s="629"/>
      <c r="QSB86" s="629"/>
      <c r="QSC86" s="629"/>
      <c r="QSD86" s="629"/>
      <c r="QSE86" s="629"/>
      <c r="QSF86" s="629"/>
      <c r="QSG86" s="629"/>
      <c r="QSH86" s="629"/>
      <c r="QSI86" s="629"/>
      <c r="QSJ86" s="629"/>
      <c r="QSK86" s="629"/>
      <c r="QSL86" s="629"/>
      <c r="QSM86" s="629"/>
      <c r="QSN86" s="629"/>
      <c r="QSO86" s="629"/>
      <c r="QSP86" s="629"/>
      <c r="QSQ86" s="629"/>
      <c r="QSR86" s="629"/>
      <c r="QSS86" s="629"/>
      <c r="QST86" s="629"/>
      <c r="QSU86" s="629"/>
      <c r="QSV86" s="629"/>
      <c r="QSW86" s="629"/>
      <c r="QSX86" s="629"/>
      <c r="QSY86" s="629"/>
      <c r="QSZ86" s="629"/>
      <c r="QTA86" s="629"/>
      <c r="QTB86" s="629"/>
      <c r="QTC86" s="629"/>
      <c r="QTD86" s="629"/>
      <c r="QTE86" s="629"/>
      <c r="QTF86" s="629"/>
      <c r="QTG86" s="629"/>
      <c r="QTH86" s="629"/>
      <c r="QTI86" s="629"/>
      <c r="QTJ86" s="629"/>
      <c r="QTK86" s="629"/>
      <c r="QTL86" s="629"/>
      <c r="QTM86" s="629"/>
      <c r="QTN86" s="629"/>
      <c r="QTO86" s="629"/>
      <c r="QTP86" s="629"/>
      <c r="QTQ86" s="629"/>
      <c r="QTR86" s="629"/>
      <c r="QTS86" s="629"/>
      <c r="QTT86" s="629"/>
      <c r="QTU86" s="629"/>
      <c r="QTV86" s="629"/>
      <c r="QTW86" s="629"/>
      <c r="QTX86" s="629"/>
      <c r="QTY86" s="629"/>
      <c r="QTZ86" s="629"/>
      <c r="QUA86" s="629"/>
      <c r="QUB86" s="629"/>
      <c r="QUC86" s="629"/>
      <c r="QUD86" s="629"/>
      <c r="QUE86" s="629"/>
      <c r="QUF86" s="629"/>
      <c r="QUG86" s="629"/>
      <c r="QUH86" s="629"/>
      <c r="QUI86" s="629"/>
      <c r="QUJ86" s="629"/>
      <c r="QUK86" s="629"/>
      <c r="QUL86" s="629"/>
      <c r="QUM86" s="629"/>
      <c r="QUN86" s="629"/>
      <c r="QUO86" s="629"/>
      <c r="QUP86" s="629"/>
      <c r="QUQ86" s="629"/>
      <c r="QUR86" s="629"/>
      <c r="QUS86" s="629"/>
      <c r="QUT86" s="629"/>
      <c r="QUU86" s="629"/>
      <c r="QUV86" s="629"/>
      <c r="QUW86" s="629"/>
      <c r="QUX86" s="629"/>
      <c r="QUY86" s="629"/>
      <c r="QUZ86" s="629"/>
      <c r="QVA86" s="629"/>
      <c r="QVB86" s="629"/>
      <c r="QVC86" s="629"/>
      <c r="QVD86" s="629"/>
      <c r="QVE86" s="629"/>
      <c r="QVF86" s="629"/>
      <c r="QVG86" s="629"/>
      <c r="QVH86" s="629"/>
      <c r="QVI86" s="629"/>
      <c r="QVJ86" s="629"/>
      <c r="QVK86" s="629"/>
      <c r="QVL86" s="629"/>
      <c r="QVM86" s="629"/>
      <c r="QVN86" s="629"/>
      <c r="QVO86" s="629"/>
      <c r="QVP86" s="629"/>
      <c r="QVQ86" s="629"/>
      <c r="QVR86" s="629"/>
      <c r="QVS86" s="629"/>
      <c r="QVT86" s="629"/>
      <c r="QVU86" s="629"/>
      <c r="QVV86" s="629"/>
      <c r="QVW86" s="629"/>
      <c r="QVX86" s="629"/>
      <c r="QVY86" s="629"/>
      <c r="QVZ86" s="629"/>
      <c r="QWA86" s="629"/>
      <c r="QWB86" s="629"/>
      <c r="QWC86" s="629"/>
      <c r="QWD86" s="629"/>
      <c r="QWE86" s="629"/>
      <c r="QWF86" s="629"/>
      <c r="QWG86" s="629"/>
      <c r="QWH86" s="629"/>
      <c r="QWI86" s="629"/>
      <c r="QWJ86" s="629"/>
      <c r="QWK86" s="629"/>
      <c r="QWL86" s="629"/>
      <c r="QWM86" s="629"/>
      <c r="QWN86" s="629"/>
      <c r="QWO86" s="629"/>
      <c r="QWP86" s="629"/>
      <c r="QWQ86" s="629"/>
      <c r="QWR86" s="629"/>
      <c r="QWS86" s="629"/>
      <c r="QWT86" s="629"/>
      <c r="QWU86" s="629"/>
      <c r="QWV86" s="629"/>
      <c r="QWW86" s="629"/>
      <c r="QWX86" s="629"/>
      <c r="QWY86" s="629"/>
      <c r="QWZ86" s="629"/>
      <c r="QXA86" s="629"/>
      <c r="QXB86" s="629"/>
      <c r="QXC86" s="629"/>
      <c r="QXD86" s="629"/>
      <c r="QXE86" s="629"/>
      <c r="QXF86" s="629"/>
      <c r="QXG86" s="629"/>
      <c r="QXH86" s="629"/>
      <c r="QXI86" s="629"/>
      <c r="QXJ86" s="629"/>
      <c r="QXK86" s="629"/>
      <c r="QXL86" s="629"/>
      <c r="QXM86" s="629"/>
      <c r="QXN86" s="629"/>
      <c r="QXO86" s="629"/>
      <c r="QXP86" s="629"/>
      <c r="QXQ86" s="629"/>
      <c r="QXR86" s="629"/>
      <c r="QXS86" s="629"/>
      <c r="QXT86" s="629"/>
      <c r="QXU86" s="629"/>
      <c r="QXV86" s="629"/>
      <c r="QXW86" s="629"/>
      <c r="QXX86" s="629"/>
      <c r="QXY86" s="629"/>
      <c r="QXZ86" s="629"/>
      <c r="QYA86" s="629"/>
      <c r="QYB86" s="629"/>
      <c r="QYC86" s="629"/>
      <c r="QYD86" s="629"/>
      <c r="QYE86" s="629"/>
      <c r="QYF86" s="629"/>
      <c r="QYG86" s="629"/>
      <c r="QYH86" s="629"/>
      <c r="QYI86" s="629"/>
      <c r="QYJ86" s="629"/>
      <c r="QYK86" s="629"/>
      <c r="QYL86" s="629"/>
      <c r="QYM86" s="629"/>
      <c r="QYN86" s="629"/>
      <c r="QYO86" s="629"/>
      <c r="QYP86" s="629"/>
      <c r="QYQ86" s="629"/>
      <c r="QYR86" s="629"/>
      <c r="QYS86" s="629"/>
      <c r="QYT86" s="629"/>
      <c r="QYU86" s="629"/>
      <c r="QYV86" s="629"/>
      <c r="QYW86" s="629"/>
      <c r="QYX86" s="629"/>
      <c r="QYY86" s="629"/>
      <c r="QYZ86" s="629"/>
      <c r="QZA86" s="629"/>
      <c r="QZB86" s="629"/>
      <c r="QZC86" s="629"/>
      <c r="QZD86" s="629"/>
      <c r="QZE86" s="629"/>
      <c r="QZF86" s="629"/>
      <c r="QZG86" s="629"/>
      <c r="QZH86" s="629"/>
      <c r="QZI86" s="629"/>
      <c r="QZJ86" s="629"/>
      <c r="QZK86" s="629"/>
      <c r="QZL86" s="629"/>
      <c r="QZM86" s="629"/>
      <c r="QZN86" s="629"/>
      <c r="QZO86" s="629"/>
      <c r="QZP86" s="629"/>
      <c r="QZQ86" s="629"/>
      <c r="QZR86" s="629"/>
      <c r="QZS86" s="629"/>
      <c r="QZT86" s="629"/>
      <c r="QZU86" s="629"/>
      <c r="QZV86" s="629"/>
      <c r="QZW86" s="629"/>
      <c r="QZX86" s="629"/>
      <c r="QZY86" s="629"/>
      <c r="QZZ86" s="629"/>
      <c r="RAA86" s="629"/>
      <c r="RAB86" s="629"/>
      <c r="RAC86" s="629"/>
      <c r="RAD86" s="629"/>
      <c r="RAE86" s="629"/>
      <c r="RAF86" s="629"/>
      <c r="RAG86" s="629"/>
      <c r="RAH86" s="629"/>
      <c r="RAI86" s="629"/>
      <c r="RAJ86" s="629"/>
      <c r="RAK86" s="629"/>
      <c r="RAL86" s="629"/>
      <c r="RAM86" s="629"/>
      <c r="RAN86" s="629"/>
      <c r="RAO86" s="629"/>
      <c r="RAP86" s="629"/>
      <c r="RAQ86" s="629"/>
      <c r="RAR86" s="629"/>
      <c r="RAS86" s="629"/>
      <c r="RAT86" s="629"/>
      <c r="RAU86" s="629"/>
      <c r="RAV86" s="629"/>
      <c r="RAW86" s="629"/>
      <c r="RAX86" s="629"/>
      <c r="RAY86" s="629"/>
      <c r="RAZ86" s="629"/>
      <c r="RBA86" s="629"/>
      <c r="RBB86" s="629"/>
      <c r="RBC86" s="629"/>
      <c r="RBD86" s="629"/>
      <c r="RBE86" s="629"/>
      <c r="RBF86" s="629"/>
      <c r="RBG86" s="629"/>
      <c r="RBH86" s="629"/>
      <c r="RBI86" s="629"/>
      <c r="RBJ86" s="629"/>
      <c r="RBK86" s="629"/>
      <c r="RBL86" s="629"/>
      <c r="RBM86" s="629"/>
      <c r="RBN86" s="629"/>
      <c r="RBO86" s="629"/>
      <c r="RBP86" s="629"/>
      <c r="RBQ86" s="629"/>
      <c r="RBR86" s="629"/>
      <c r="RBS86" s="629"/>
      <c r="RBT86" s="629"/>
      <c r="RBU86" s="629"/>
      <c r="RBV86" s="629"/>
      <c r="RBW86" s="629"/>
      <c r="RBX86" s="629"/>
      <c r="RBY86" s="629"/>
      <c r="RBZ86" s="629"/>
      <c r="RCA86" s="629"/>
      <c r="RCB86" s="629"/>
      <c r="RCC86" s="629"/>
      <c r="RCD86" s="629"/>
      <c r="RCE86" s="629"/>
      <c r="RCF86" s="629"/>
      <c r="RCG86" s="629"/>
      <c r="RCH86" s="629"/>
      <c r="RCI86" s="629"/>
      <c r="RCJ86" s="629"/>
      <c r="RCK86" s="629"/>
      <c r="RCL86" s="629"/>
      <c r="RCM86" s="629"/>
      <c r="RCN86" s="629"/>
      <c r="RCO86" s="629"/>
      <c r="RCP86" s="629"/>
      <c r="RCQ86" s="629"/>
      <c r="RCR86" s="629"/>
      <c r="RCS86" s="629"/>
      <c r="RCT86" s="629"/>
      <c r="RCU86" s="629"/>
      <c r="RCV86" s="629"/>
      <c r="RCW86" s="629"/>
      <c r="RCX86" s="629"/>
      <c r="RCY86" s="629"/>
      <c r="RCZ86" s="629"/>
      <c r="RDA86" s="629"/>
      <c r="RDB86" s="629"/>
      <c r="RDC86" s="629"/>
      <c r="RDD86" s="629"/>
      <c r="RDE86" s="629"/>
      <c r="RDF86" s="629"/>
      <c r="RDG86" s="629"/>
      <c r="RDH86" s="629"/>
      <c r="RDI86" s="629"/>
      <c r="RDJ86" s="629"/>
      <c r="RDK86" s="629"/>
      <c r="RDL86" s="629"/>
      <c r="RDM86" s="629"/>
      <c r="RDN86" s="629"/>
      <c r="RDO86" s="629"/>
      <c r="RDP86" s="629"/>
      <c r="RDQ86" s="629"/>
      <c r="RDR86" s="629"/>
      <c r="RDS86" s="629"/>
      <c r="RDT86" s="629"/>
      <c r="RDU86" s="629"/>
      <c r="RDV86" s="629"/>
      <c r="RDW86" s="629"/>
      <c r="RDX86" s="629"/>
      <c r="RDY86" s="629"/>
      <c r="RDZ86" s="629"/>
      <c r="REA86" s="629"/>
      <c r="REB86" s="629"/>
      <c r="REC86" s="629"/>
      <c r="RED86" s="629"/>
      <c r="REE86" s="629"/>
      <c r="REF86" s="629"/>
      <c r="REG86" s="629"/>
      <c r="REH86" s="629"/>
      <c r="REI86" s="629"/>
      <c r="REJ86" s="629"/>
      <c r="REK86" s="629"/>
      <c r="REL86" s="629"/>
      <c r="REM86" s="629"/>
      <c r="REN86" s="629"/>
      <c r="REO86" s="629"/>
      <c r="REP86" s="629"/>
      <c r="REQ86" s="629"/>
      <c r="RER86" s="629"/>
      <c r="RES86" s="629"/>
      <c r="RET86" s="629"/>
      <c r="REU86" s="629"/>
      <c r="REV86" s="629"/>
      <c r="REW86" s="629"/>
      <c r="REX86" s="629"/>
      <c r="REY86" s="629"/>
      <c r="REZ86" s="629"/>
      <c r="RFA86" s="629"/>
      <c r="RFB86" s="629"/>
      <c r="RFC86" s="629"/>
      <c r="RFD86" s="629"/>
      <c r="RFE86" s="629"/>
      <c r="RFF86" s="629"/>
      <c r="RFG86" s="629"/>
      <c r="RFH86" s="629"/>
      <c r="RFI86" s="629"/>
      <c r="RFJ86" s="629"/>
      <c r="RFK86" s="629"/>
      <c r="RFL86" s="629"/>
      <c r="RFM86" s="629"/>
      <c r="RFN86" s="629"/>
      <c r="RFO86" s="629"/>
      <c r="RFP86" s="629"/>
      <c r="RFQ86" s="629"/>
      <c r="RFR86" s="629"/>
      <c r="RFS86" s="629"/>
      <c r="RFT86" s="629"/>
      <c r="RFU86" s="629"/>
      <c r="RFV86" s="629"/>
      <c r="RFW86" s="629"/>
      <c r="RFX86" s="629"/>
      <c r="RFY86" s="629"/>
      <c r="RFZ86" s="629"/>
      <c r="RGA86" s="629"/>
      <c r="RGB86" s="629"/>
      <c r="RGC86" s="629"/>
      <c r="RGD86" s="629"/>
      <c r="RGE86" s="629"/>
      <c r="RGF86" s="629"/>
      <c r="RGG86" s="629"/>
      <c r="RGH86" s="629"/>
      <c r="RGI86" s="629"/>
      <c r="RGJ86" s="629"/>
      <c r="RGK86" s="629"/>
      <c r="RGL86" s="629"/>
      <c r="RGM86" s="629"/>
      <c r="RGN86" s="629"/>
      <c r="RGO86" s="629"/>
      <c r="RGP86" s="629"/>
      <c r="RGQ86" s="629"/>
      <c r="RGR86" s="629"/>
      <c r="RGS86" s="629"/>
      <c r="RGT86" s="629"/>
      <c r="RGU86" s="629"/>
      <c r="RGV86" s="629"/>
      <c r="RGW86" s="629"/>
      <c r="RGX86" s="629"/>
      <c r="RGY86" s="629"/>
      <c r="RGZ86" s="629"/>
      <c r="RHA86" s="629"/>
      <c r="RHB86" s="629"/>
      <c r="RHC86" s="629"/>
      <c r="RHD86" s="629"/>
      <c r="RHE86" s="629"/>
      <c r="RHF86" s="629"/>
      <c r="RHG86" s="629"/>
      <c r="RHH86" s="629"/>
      <c r="RHI86" s="629"/>
      <c r="RHJ86" s="629"/>
      <c r="RHK86" s="629"/>
      <c r="RHL86" s="629"/>
      <c r="RHM86" s="629"/>
      <c r="RHN86" s="629"/>
      <c r="RHO86" s="629"/>
      <c r="RHP86" s="629"/>
      <c r="RHQ86" s="629"/>
      <c r="RHR86" s="629"/>
      <c r="RHS86" s="629"/>
      <c r="RHT86" s="629"/>
      <c r="RHU86" s="629"/>
      <c r="RHV86" s="629"/>
      <c r="RHW86" s="629"/>
      <c r="RHX86" s="629"/>
      <c r="RHY86" s="629"/>
      <c r="RHZ86" s="629"/>
      <c r="RIA86" s="629"/>
      <c r="RIB86" s="629"/>
      <c r="RIC86" s="629"/>
      <c r="RID86" s="629"/>
      <c r="RIE86" s="629"/>
      <c r="RIF86" s="629"/>
      <c r="RIG86" s="629"/>
      <c r="RIH86" s="629"/>
      <c r="RII86" s="629"/>
      <c r="RIJ86" s="629"/>
      <c r="RIK86" s="629"/>
      <c r="RIL86" s="629"/>
      <c r="RIM86" s="629"/>
      <c r="RIN86" s="629"/>
      <c r="RIO86" s="629"/>
      <c r="RIP86" s="629"/>
      <c r="RIQ86" s="629"/>
      <c r="RIR86" s="629"/>
      <c r="RIS86" s="629"/>
      <c r="RIT86" s="629"/>
      <c r="RIU86" s="629"/>
      <c r="RIV86" s="629"/>
      <c r="RIW86" s="629"/>
      <c r="RIX86" s="629"/>
      <c r="RIY86" s="629"/>
      <c r="RIZ86" s="629"/>
      <c r="RJA86" s="629"/>
      <c r="RJB86" s="629"/>
      <c r="RJC86" s="629"/>
      <c r="RJD86" s="629"/>
      <c r="RJE86" s="629"/>
      <c r="RJF86" s="629"/>
      <c r="RJG86" s="629"/>
      <c r="RJH86" s="629"/>
      <c r="RJI86" s="629"/>
      <c r="RJJ86" s="629"/>
      <c r="RJK86" s="629"/>
      <c r="RJL86" s="629"/>
      <c r="RJM86" s="629"/>
      <c r="RJN86" s="629"/>
      <c r="RJO86" s="629"/>
      <c r="RJP86" s="629"/>
      <c r="RJQ86" s="629"/>
      <c r="RJR86" s="629"/>
      <c r="RJS86" s="629"/>
      <c r="RJT86" s="629"/>
      <c r="RJU86" s="629"/>
      <c r="RJV86" s="629"/>
      <c r="RJW86" s="629"/>
      <c r="RJX86" s="629"/>
      <c r="RJY86" s="629"/>
      <c r="RJZ86" s="629"/>
      <c r="RKA86" s="629"/>
      <c r="RKB86" s="629"/>
      <c r="RKC86" s="629"/>
      <c r="RKD86" s="629"/>
      <c r="RKE86" s="629"/>
      <c r="RKF86" s="629"/>
      <c r="RKG86" s="629"/>
      <c r="RKH86" s="629"/>
      <c r="RKI86" s="629"/>
      <c r="RKJ86" s="629"/>
      <c r="RKK86" s="629"/>
      <c r="RKL86" s="629"/>
      <c r="RKM86" s="629"/>
      <c r="RKN86" s="629"/>
      <c r="RKO86" s="629"/>
      <c r="RKP86" s="629"/>
      <c r="RKQ86" s="629"/>
      <c r="RKR86" s="629"/>
      <c r="RKS86" s="629"/>
      <c r="RKT86" s="629"/>
      <c r="RKU86" s="629"/>
      <c r="RKV86" s="629"/>
      <c r="RKW86" s="629"/>
      <c r="RKX86" s="629"/>
      <c r="RKY86" s="629"/>
      <c r="RKZ86" s="629"/>
      <c r="RLA86" s="629"/>
      <c r="RLB86" s="629"/>
      <c r="RLC86" s="629"/>
      <c r="RLD86" s="629"/>
      <c r="RLE86" s="629"/>
      <c r="RLF86" s="629"/>
      <c r="RLG86" s="629"/>
      <c r="RLH86" s="629"/>
      <c r="RLI86" s="629"/>
      <c r="RLJ86" s="629"/>
      <c r="RLK86" s="629"/>
      <c r="RLL86" s="629"/>
      <c r="RLM86" s="629"/>
      <c r="RLN86" s="629"/>
      <c r="RLO86" s="629"/>
      <c r="RLP86" s="629"/>
      <c r="RLQ86" s="629"/>
      <c r="RLR86" s="629"/>
      <c r="RLS86" s="629"/>
      <c r="RLT86" s="629"/>
      <c r="RLU86" s="629"/>
      <c r="RLV86" s="629"/>
      <c r="RLW86" s="629"/>
      <c r="RLX86" s="629"/>
      <c r="RLY86" s="629"/>
      <c r="RLZ86" s="629"/>
      <c r="RMA86" s="629"/>
      <c r="RMB86" s="629"/>
      <c r="RMC86" s="629"/>
      <c r="RMD86" s="629"/>
      <c r="RME86" s="629"/>
      <c r="RMF86" s="629"/>
      <c r="RMG86" s="629"/>
      <c r="RMH86" s="629"/>
      <c r="RMI86" s="629"/>
      <c r="RMJ86" s="629"/>
      <c r="RMK86" s="629"/>
      <c r="RML86" s="629"/>
      <c r="RMM86" s="629"/>
      <c r="RMN86" s="629"/>
      <c r="RMO86" s="629"/>
      <c r="RMP86" s="629"/>
      <c r="RMQ86" s="629"/>
      <c r="RMR86" s="629"/>
      <c r="RMS86" s="629"/>
      <c r="RMT86" s="629"/>
      <c r="RMU86" s="629"/>
      <c r="RMV86" s="629"/>
      <c r="RMW86" s="629"/>
      <c r="RMX86" s="629"/>
      <c r="RMY86" s="629"/>
      <c r="RMZ86" s="629"/>
      <c r="RNA86" s="629"/>
      <c r="RNB86" s="629"/>
      <c r="RNC86" s="629"/>
      <c r="RND86" s="629"/>
      <c r="RNE86" s="629"/>
      <c r="RNF86" s="629"/>
      <c r="RNG86" s="629"/>
      <c r="RNH86" s="629"/>
      <c r="RNI86" s="629"/>
      <c r="RNJ86" s="629"/>
      <c r="RNK86" s="629"/>
      <c r="RNL86" s="629"/>
      <c r="RNM86" s="629"/>
      <c r="RNN86" s="629"/>
      <c r="RNO86" s="629"/>
      <c r="RNP86" s="629"/>
      <c r="RNQ86" s="629"/>
      <c r="RNR86" s="629"/>
      <c r="RNS86" s="629"/>
      <c r="RNT86" s="629"/>
      <c r="RNU86" s="629"/>
      <c r="RNV86" s="629"/>
      <c r="RNW86" s="629"/>
      <c r="RNX86" s="629"/>
      <c r="RNY86" s="629"/>
      <c r="RNZ86" s="629"/>
      <c r="ROA86" s="629"/>
      <c r="ROB86" s="629"/>
      <c r="ROC86" s="629"/>
      <c r="ROD86" s="629"/>
      <c r="ROE86" s="629"/>
      <c r="ROF86" s="629"/>
      <c r="ROG86" s="629"/>
      <c r="ROH86" s="629"/>
      <c r="ROI86" s="629"/>
      <c r="ROJ86" s="629"/>
      <c r="ROK86" s="629"/>
      <c r="ROL86" s="629"/>
      <c r="ROM86" s="629"/>
      <c r="RON86" s="629"/>
      <c r="ROO86" s="629"/>
      <c r="ROP86" s="629"/>
      <c r="ROQ86" s="629"/>
      <c r="ROR86" s="629"/>
      <c r="ROS86" s="629"/>
      <c r="ROT86" s="629"/>
      <c r="ROU86" s="629"/>
      <c r="ROV86" s="629"/>
      <c r="ROW86" s="629"/>
      <c r="ROX86" s="629"/>
      <c r="ROY86" s="629"/>
      <c r="ROZ86" s="629"/>
      <c r="RPA86" s="629"/>
      <c r="RPB86" s="629"/>
      <c r="RPC86" s="629"/>
      <c r="RPD86" s="629"/>
      <c r="RPE86" s="629"/>
      <c r="RPF86" s="629"/>
      <c r="RPG86" s="629"/>
      <c r="RPH86" s="629"/>
      <c r="RPI86" s="629"/>
      <c r="RPJ86" s="629"/>
      <c r="RPK86" s="629"/>
      <c r="RPL86" s="629"/>
      <c r="RPM86" s="629"/>
      <c r="RPN86" s="629"/>
      <c r="RPO86" s="629"/>
      <c r="RPP86" s="629"/>
      <c r="RPQ86" s="629"/>
      <c r="RPR86" s="629"/>
      <c r="RPS86" s="629"/>
      <c r="RPT86" s="629"/>
      <c r="RPU86" s="629"/>
      <c r="RPV86" s="629"/>
      <c r="RPW86" s="629"/>
      <c r="RPX86" s="629"/>
      <c r="RPY86" s="629"/>
      <c r="RPZ86" s="629"/>
      <c r="RQA86" s="629"/>
      <c r="RQB86" s="629"/>
      <c r="RQC86" s="629"/>
      <c r="RQD86" s="629"/>
      <c r="RQE86" s="629"/>
      <c r="RQF86" s="629"/>
      <c r="RQG86" s="629"/>
      <c r="RQH86" s="629"/>
      <c r="RQI86" s="629"/>
      <c r="RQJ86" s="629"/>
      <c r="RQK86" s="629"/>
      <c r="RQL86" s="629"/>
      <c r="RQM86" s="629"/>
      <c r="RQN86" s="629"/>
      <c r="RQO86" s="629"/>
      <c r="RQP86" s="629"/>
      <c r="RQQ86" s="629"/>
      <c r="RQR86" s="629"/>
      <c r="RQS86" s="629"/>
      <c r="RQT86" s="629"/>
      <c r="RQU86" s="629"/>
      <c r="RQV86" s="629"/>
      <c r="RQW86" s="629"/>
      <c r="RQX86" s="629"/>
      <c r="RQY86" s="629"/>
      <c r="RQZ86" s="629"/>
      <c r="RRA86" s="629"/>
      <c r="RRB86" s="629"/>
      <c r="RRC86" s="629"/>
      <c r="RRD86" s="629"/>
      <c r="RRE86" s="629"/>
      <c r="RRF86" s="629"/>
      <c r="RRG86" s="629"/>
      <c r="RRH86" s="629"/>
      <c r="RRI86" s="629"/>
      <c r="RRJ86" s="629"/>
      <c r="RRK86" s="629"/>
      <c r="RRL86" s="629"/>
      <c r="RRM86" s="629"/>
      <c r="RRN86" s="629"/>
      <c r="RRO86" s="629"/>
      <c r="RRP86" s="629"/>
      <c r="RRQ86" s="629"/>
      <c r="RRR86" s="629"/>
      <c r="RRS86" s="629"/>
      <c r="RRT86" s="629"/>
      <c r="RRU86" s="629"/>
      <c r="RRV86" s="629"/>
      <c r="RRW86" s="629"/>
      <c r="RRX86" s="629"/>
      <c r="RRY86" s="629"/>
      <c r="RRZ86" s="629"/>
      <c r="RSA86" s="629"/>
      <c r="RSB86" s="629"/>
      <c r="RSC86" s="629"/>
      <c r="RSD86" s="629"/>
      <c r="RSE86" s="629"/>
      <c r="RSF86" s="629"/>
      <c r="RSG86" s="629"/>
      <c r="RSH86" s="629"/>
      <c r="RSI86" s="629"/>
      <c r="RSJ86" s="629"/>
      <c r="RSK86" s="629"/>
      <c r="RSL86" s="629"/>
      <c r="RSM86" s="629"/>
      <c r="RSN86" s="629"/>
      <c r="RSO86" s="629"/>
      <c r="RSP86" s="629"/>
      <c r="RSQ86" s="629"/>
      <c r="RSR86" s="629"/>
      <c r="RSS86" s="629"/>
      <c r="RST86" s="629"/>
      <c r="RSU86" s="629"/>
      <c r="RSV86" s="629"/>
      <c r="RSW86" s="629"/>
      <c r="RSX86" s="629"/>
      <c r="RSY86" s="629"/>
      <c r="RSZ86" s="629"/>
      <c r="RTA86" s="629"/>
      <c r="RTB86" s="629"/>
      <c r="RTC86" s="629"/>
      <c r="RTD86" s="629"/>
      <c r="RTE86" s="629"/>
      <c r="RTF86" s="629"/>
      <c r="RTG86" s="629"/>
      <c r="RTH86" s="629"/>
      <c r="RTI86" s="629"/>
      <c r="RTJ86" s="629"/>
      <c r="RTK86" s="629"/>
      <c r="RTL86" s="629"/>
      <c r="RTM86" s="629"/>
      <c r="RTN86" s="629"/>
      <c r="RTO86" s="629"/>
      <c r="RTP86" s="629"/>
      <c r="RTQ86" s="629"/>
      <c r="RTR86" s="629"/>
      <c r="RTS86" s="629"/>
      <c r="RTT86" s="629"/>
      <c r="RTU86" s="629"/>
      <c r="RTV86" s="629"/>
      <c r="RTW86" s="629"/>
      <c r="RTX86" s="629"/>
      <c r="RTY86" s="629"/>
      <c r="RTZ86" s="629"/>
      <c r="RUA86" s="629"/>
      <c r="RUB86" s="629"/>
      <c r="RUC86" s="629"/>
      <c r="RUD86" s="629"/>
      <c r="RUE86" s="629"/>
      <c r="RUF86" s="629"/>
      <c r="RUG86" s="629"/>
      <c r="RUH86" s="629"/>
      <c r="RUI86" s="629"/>
      <c r="RUJ86" s="629"/>
      <c r="RUK86" s="629"/>
      <c r="RUL86" s="629"/>
      <c r="RUM86" s="629"/>
      <c r="RUN86" s="629"/>
      <c r="RUO86" s="629"/>
      <c r="RUP86" s="629"/>
      <c r="RUQ86" s="629"/>
      <c r="RUR86" s="629"/>
      <c r="RUS86" s="629"/>
      <c r="RUT86" s="629"/>
      <c r="RUU86" s="629"/>
      <c r="RUV86" s="629"/>
      <c r="RUW86" s="629"/>
      <c r="RUX86" s="629"/>
      <c r="RUY86" s="629"/>
      <c r="RUZ86" s="629"/>
      <c r="RVA86" s="629"/>
      <c r="RVB86" s="629"/>
      <c r="RVC86" s="629"/>
      <c r="RVD86" s="629"/>
      <c r="RVE86" s="629"/>
      <c r="RVF86" s="629"/>
      <c r="RVG86" s="629"/>
      <c r="RVH86" s="629"/>
      <c r="RVI86" s="629"/>
      <c r="RVJ86" s="629"/>
      <c r="RVK86" s="629"/>
      <c r="RVL86" s="629"/>
      <c r="RVM86" s="629"/>
      <c r="RVN86" s="629"/>
      <c r="RVO86" s="629"/>
      <c r="RVP86" s="629"/>
      <c r="RVQ86" s="629"/>
      <c r="RVR86" s="629"/>
      <c r="RVS86" s="629"/>
      <c r="RVT86" s="629"/>
      <c r="RVU86" s="629"/>
      <c r="RVV86" s="629"/>
      <c r="RVW86" s="629"/>
      <c r="RVX86" s="629"/>
      <c r="RVY86" s="629"/>
      <c r="RVZ86" s="629"/>
      <c r="RWA86" s="629"/>
      <c r="RWB86" s="629"/>
      <c r="RWC86" s="629"/>
      <c r="RWD86" s="629"/>
      <c r="RWE86" s="629"/>
      <c r="RWF86" s="629"/>
      <c r="RWG86" s="629"/>
      <c r="RWH86" s="629"/>
      <c r="RWI86" s="629"/>
      <c r="RWJ86" s="629"/>
      <c r="RWK86" s="629"/>
      <c r="RWL86" s="629"/>
      <c r="RWM86" s="629"/>
      <c r="RWN86" s="629"/>
      <c r="RWO86" s="629"/>
      <c r="RWP86" s="629"/>
      <c r="RWQ86" s="629"/>
      <c r="RWR86" s="629"/>
      <c r="RWS86" s="629"/>
      <c r="RWT86" s="629"/>
      <c r="RWU86" s="629"/>
      <c r="RWV86" s="629"/>
      <c r="RWW86" s="629"/>
      <c r="RWX86" s="629"/>
      <c r="RWY86" s="629"/>
      <c r="RWZ86" s="629"/>
      <c r="RXA86" s="629"/>
      <c r="RXB86" s="629"/>
      <c r="RXC86" s="629"/>
      <c r="RXD86" s="629"/>
      <c r="RXE86" s="629"/>
      <c r="RXF86" s="629"/>
      <c r="RXG86" s="629"/>
      <c r="RXH86" s="629"/>
      <c r="RXI86" s="629"/>
      <c r="RXJ86" s="629"/>
      <c r="RXK86" s="629"/>
      <c r="RXL86" s="629"/>
      <c r="RXM86" s="629"/>
      <c r="RXN86" s="629"/>
      <c r="RXO86" s="629"/>
      <c r="RXP86" s="629"/>
      <c r="RXQ86" s="629"/>
      <c r="RXR86" s="629"/>
      <c r="RXS86" s="629"/>
      <c r="RXT86" s="629"/>
      <c r="RXU86" s="629"/>
      <c r="RXV86" s="629"/>
      <c r="RXW86" s="629"/>
      <c r="RXX86" s="629"/>
      <c r="RXY86" s="629"/>
      <c r="RXZ86" s="629"/>
      <c r="RYA86" s="629"/>
      <c r="RYB86" s="629"/>
      <c r="RYC86" s="629"/>
      <c r="RYD86" s="629"/>
      <c r="RYE86" s="629"/>
      <c r="RYF86" s="629"/>
      <c r="RYG86" s="629"/>
      <c r="RYH86" s="629"/>
      <c r="RYI86" s="629"/>
      <c r="RYJ86" s="629"/>
      <c r="RYK86" s="629"/>
      <c r="RYL86" s="629"/>
      <c r="RYM86" s="629"/>
      <c r="RYN86" s="629"/>
      <c r="RYO86" s="629"/>
      <c r="RYP86" s="629"/>
      <c r="RYQ86" s="629"/>
      <c r="RYR86" s="629"/>
      <c r="RYS86" s="629"/>
      <c r="RYT86" s="629"/>
      <c r="RYU86" s="629"/>
      <c r="RYV86" s="629"/>
      <c r="RYW86" s="629"/>
      <c r="RYX86" s="629"/>
      <c r="RYY86" s="629"/>
      <c r="RYZ86" s="629"/>
      <c r="RZA86" s="629"/>
      <c r="RZB86" s="629"/>
      <c r="RZC86" s="629"/>
      <c r="RZD86" s="629"/>
      <c r="RZE86" s="629"/>
      <c r="RZF86" s="629"/>
      <c r="RZG86" s="629"/>
      <c r="RZH86" s="629"/>
      <c r="RZI86" s="629"/>
      <c r="RZJ86" s="629"/>
      <c r="RZK86" s="629"/>
      <c r="RZL86" s="629"/>
      <c r="RZM86" s="629"/>
      <c r="RZN86" s="629"/>
      <c r="RZO86" s="629"/>
      <c r="RZP86" s="629"/>
      <c r="RZQ86" s="629"/>
      <c r="RZR86" s="629"/>
      <c r="RZS86" s="629"/>
      <c r="RZT86" s="629"/>
      <c r="RZU86" s="629"/>
      <c r="RZV86" s="629"/>
      <c r="RZW86" s="629"/>
      <c r="RZX86" s="629"/>
      <c r="RZY86" s="629"/>
      <c r="RZZ86" s="629"/>
      <c r="SAA86" s="629"/>
      <c r="SAB86" s="629"/>
      <c r="SAC86" s="629"/>
      <c r="SAD86" s="629"/>
      <c r="SAE86" s="629"/>
      <c r="SAF86" s="629"/>
      <c r="SAG86" s="629"/>
      <c r="SAH86" s="629"/>
      <c r="SAI86" s="629"/>
      <c r="SAJ86" s="629"/>
      <c r="SAK86" s="629"/>
      <c r="SAL86" s="629"/>
      <c r="SAM86" s="629"/>
      <c r="SAN86" s="629"/>
      <c r="SAO86" s="629"/>
      <c r="SAP86" s="629"/>
      <c r="SAQ86" s="629"/>
      <c r="SAR86" s="629"/>
      <c r="SAS86" s="629"/>
      <c r="SAT86" s="629"/>
      <c r="SAU86" s="629"/>
      <c r="SAV86" s="629"/>
      <c r="SAW86" s="629"/>
      <c r="SAX86" s="629"/>
      <c r="SAY86" s="629"/>
      <c r="SAZ86" s="629"/>
      <c r="SBA86" s="629"/>
      <c r="SBB86" s="629"/>
      <c r="SBC86" s="629"/>
      <c r="SBD86" s="629"/>
      <c r="SBE86" s="629"/>
      <c r="SBF86" s="629"/>
      <c r="SBG86" s="629"/>
      <c r="SBH86" s="629"/>
      <c r="SBI86" s="629"/>
      <c r="SBJ86" s="629"/>
      <c r="SBK86" s="629"/>
      <c r="SBL86" s="629"/>
      <c r="SBM86" s="629"/>
      <c r="SBN86" s="629"/>
      <c r="SBO86" s="629"/>
      <c r="SBP86" s="629"/>
      <c r="SBQ86" s="629"/>
      <c r="SBR86" s="629"/>
      <c r="SBS86" s="629"/>
      <c r="SBT86" s="629"/>
      <c r="SBU86" s="629"/>
      <c r="SBV86" s="629"/>
      <c r="SBW86" s="629"/>
      <c r="SBX86" s="629"/>
      <c r="SBY86" s="629"/>
      <c r="SBZ86" s="629"/>
      <c r="SCA86" s="629"/>
      <c r="SCB86" s="629"/>
      <c r="SCC86" s="629"/>
      <c r="SCD86" s="629"/>
      <c r="SCE86" s="629"/>
      <c r="SCF86" s="629"/>
      <c r="SCG86" s="629"/>
      <c r="SCH86" s="629"/>
      <c r="SCI86" s="629"/>
      <c r="SCJ86" s="629"/>
      <c r="SCK86" s="629"/>
      <c r="SCL86" s="629"/>
      <c r="SCM86" s="629"/>
      <c r="SCN86" s="629"/>
      <c r="SCO86" s="629"/>
      <c r="SCP86" s="629"/>
      <c r="SCQ86" s="629"/>
      <c r="SCR86" s="629"/>
      <c r="SCS86" s="629"/>
      <c r="SCT86" s="629"/>
      <c r="SCU86" s="629"/>
      <c r="SCV86" s="629"/>
      <c r="SCW86" s="629"/>
      <c r="SCX86" s="629"/>
      <c r="SCY86" s="629"/>
      <c r="SCZ86" s="629"/>
      <c r="SDA86" s="629"/>
      <c r="SDB86" s="629"/>
      <c r="SDC86" s="629"/>
      <c r="SDD86" s="629"/>
      <c r="SDE86" s="629"/>
      <c r="SDF86" s="629"/>
      <c r="SDG86" s="629"/>
      <c r="SDH86" s="629"/>
      <c r="SDI86" s="629"/>
      <c r="SDJ86" s="629"/>
      <c r="SDK86" s="629"/>
      <c r="SDL86" s="629"/>
      <c r="SDM86" s="629"/>
      <c r="SDN86" s="629"/>
      <c r="SDO86" s="629"/>
      <c r="SDP86" s="629"/>
      <c r="SDQ86" s="629"/>
      <c r="SDR86" s="629"/>
      <c r="SDS86" s="629"/>
      <c r="SDT86" s="629"/>
      <c r="SDU86" s="629"/>
      <c r="SDV86" s="629"/>
      <c r="SDW86" s="629"/>
      <c r="SDX86" s="629"/>
      <c r="SDY86" s="629"/>
      <c r="SDZ86" s="629"/>
      <c r="SEA86" s="629"/>
      <c r="SEB86" s="629"/>
      <c r="SEC86" s="629"/>
      <c r="SED86" s="629"/>
      <c r="SEE86" s="629"/>
      <c r="SEF86" s="629"/>
      <c r="SEG86" s="629"/>
      <c r="SEH86" s="629"/>
      <c r="SEI86" s="629"/>
      <c r="SEJ86" s="629"/>
      <c r="SEK86" s="629"/>
      <c r="SEL86" s="629"/>
      <c r="SEM86" s="629"/>
      <c r="SEN86" s="629"/>
      <c r="SEO86" s="629"/>
      <c r="SEP86" s="629"/>
      <c r="SEQ86" s="629"/>
      <c r="SER86" s="629"/>
      <c r="SES86" s="629"/>
      <c r="SET86" s="629"/>
      <c r="SEU86" s="629"/>
      <c r="SEV86" s="629"/>
      <c r="SEW86" s="629"/>
      <c r="SEX86" s="629"/>
      <c r="SEY86" s="629"/>
      <c r="SEZ86" s="629"/>
      <c r="SFA86" s="629"/>
      <c r="SFB86" s="629"/>
      <c r="SFC86" s="629"/>
      <c r="SFD86" s="629"/>
      <c r="SFE86" s="629"/>
      <c r="SFF86" s="629"/>
      <c r="SFG86" s="629"/>
      <c r="SFH86" s="629"/>
      <c r="SFI86" s="629"/>
      <c r="SFJ86" s="629"/>
      <c r="SFK86" s="629"/>
      <c r="SFL86" s="629"/>
      <c r="SFM86" s="629"/>
      <c r="SFN86" s="629"/>
      <c r="SFO86" s="629"/>
      <c r="SFP86" s="629"/>
      <c r="SFQ86" s="629"/>
      <c r="SFR86" s="629"/>
      <c r="SFS86" s="629"/>
      <c r="SFT86" s="629"/>
      <c r="SFU86" s="629"/>
      <c r="SFV86" s="629"/>
      <c r="SFW86" s="629"/>
      <c r="SFX86" s="629"/>
      <c r="SFY86" s="629"/>
      <c r="SFZ86" s="629"/>
      <c r="SGA86" s="629"/>
      <c r="SGB86" s="629"/>
      <c r="SGC86" s="629"/>
      <c r="SGD86" s="629"/>
      <c r="SGE86" s="629"/>
      <c r="SGF86" s="629"/>
      <c r="SGG86" s="629"/>
      <c r="SGH86" s="629"/>
      <c r="SGI86" s="629"/>
      <c r="SGJ86" s="629"/>
      <c r="SGK86" s="629"/>
      <c r="SGL86" s="629"/>
      <c r="SGM86" s="629"/>
      <c r="SGN86" s="629"/>
      <c r="SGO86" s="629"/>
      <c r="SGP86" s="629"/>
      <c r="SGQ86" s="629"/>
      <c r="SGR86" s="629"/>
      <c r="SGS86" s="629"/>
      <c r="SGT86" s="629"/>
      <c r="SGU86" s="629"/>
      <c r="SGV86" s="629"/>
      <c r="SGW86" s="629"/>
      <c r="SGX86" s="629"/>
      <c r="SGY86" s="629"/>
      <c r="SGZ86" s="629"/>
      <c r="SHA86" s="629"/>
      <c r="SHB86" s="629"/>
      <c r="SHC86" s="629"/>
      <c r="SHD86" s="629"/>
      <c r="SHE86" s="629"/>
      <c r="SHF86" s="629"/>
      <c r="SHG86" s="629"/>
      <c r="SHH86" s="629"/>
      <c r="SHI86" s="629"/>
      <c r="SHJ86" s="629"/>
      <c r="SHK86" s="629"/>
      <c r="SHL86" s="629"/>
      <c r="SHM86" s="629"/>
      <c r="SHN86" s="629"/>
      <c r="SHO86" s="629"/>
      <c r="SHP86" s="629"/>
      <c r="SHQ86" s="629"/>
      <c r="SHR86" s="629"/>
      <c r="SHS86" s="629"/>
      <c r="SHT86" s="629"/>
      <c r="SHU86" s="629"/>
      <c r="SHV86" s="629"/>
      <c r="SHW86" s="629"/>
      <c r="SHX86" s="629"/>
      <c r="SHY86" s="629"/>
      <c r="SHZ86" s="629"/>
      <c r="SIA86" s="629"/>
      <c r="SIB86" s="629"/>
      <c r="SIC86" s="629"/>
      <c r="SID86" s="629"/>
      <c r="SIE86" s="629"/>
      <c r="SIF86" s="629"/>
      <c r="SIG86" s="629"/>
      <c r="SIH86" s="629"/>
      <c r="SII86" s="629"/>
      <c r="SIJ86" s="629"/>
      <c r="SIK86" s="629"/>
      <c r="SIL86" s="629"/>
      <c r="SIM86" s="629"/>
      <c r="SIN86" s="629"/>
      <c r="SIO86" s="629"/>
      <c r="SIP86" s="629"/>
      <c r="SIQ86" s="629"/>
      <c r="SIR86" s="629"/>
      <c r="SIS86" s="629"/>
      <c r="SIT86" s="629"/>
      <c r="SIU86" s="629"/>
      <c r="SIV86" s="629"/>
      <c r="SIW86" s="629"/>
      <c r="SIX86" s="629"/>
      <c r="SIY86" s="629"/>
      <c r="SIZ86" s="629"/>
      <c r="SJA86" s="629"/>
      <c r="SJB86" s="629"/>
      <c r="SJC86" s="629"/>
      <c r="SJD86" s="629"/>
      <c r="SJE86" s="629"/>
      <c r="SJF86" s="629"/>
      <c r="SJG86" s="629"/>
      <c r="SJH86" s="629"/>
      <c r="SJI86" s="629"/>
      <c r="SJJ86" s="629"/>
      <c r="SJK86" s="629"/>
      <c r="SJL86" s="629"/>
      <c r="SJM86" s="629"/>
      <c r="SJN86" s="629"/>
      <c r="SJO86" s="629"/>
      <c r="SJP86" s="629"/>
      <c r="SJQ86" s="629"/>
      <c r="SJR86" s="629"/>
      <c r="SJS86" s="629"/>
      <c r="SJT86" s="629"/>
      <c r="SJU86" s="629"/>
      <c r="SJV86" s="629"/>
      <c r="SJW86" s="629"/>
      <c r="SJX86" s="629"/>
      <c r="SJY86" s="629"/>
      <c r="SJZ86" s="629"/>
      <c r="SKA86" s="629"/>
      <c r="SKB86" s="629"/>
      <c r="SKC86" s="629"/>
      <c r="SKD86" s="629"/>
      <c r="SKE86" s="629"/>
      <c r="SKF86" s="629"/>
      <c r="SKG86" s="629"/>
      <c r="SKH86" s="629"/>
      <c r="SKI86" s="629"/>
      <c r="SKJ86" s="629"/>
      <c r="SKK86" s="629"/>
      <c r="SKL86" s="629"/>
      <c r="SKM86" s="629"/>
      <c r="SKN86" s="629"/>
      <c r="SKO86" s="629"/>
      <c r="SKP86" s="629"/>
      <c r="SKQ86" s="629"/>
      <c r="SKR86" s="629"/>
      <c r="SKS86" s="629"/>
      <c r="SKT86" s="629"/>
      <c r="SKU86" s="629"/>
      <c r="SKV86" s="629"/>
      <c r="SKW86" s="629"/>
      <c r="SKX86" s="629"/>
      <c r="SKY86" s="629"/>
      <c r="SKZ86" s="629"/>
      <c r="SLA86" s="629"/>
      <c r="SLB86" s="629"/>
      <c r="SLC86" s="629"/>
      <c r="SLD86" s="629"/>
      <c r="SLE86" s="629"/>
      <c r="SLF86" s="629"/>
      <c r="SLG86" s="629"/>
      <c r="SLH86" s="629"/>
      <c r="SLI86" s="629"/>
      <c r="SLJ86" s="629"/>
      <c r="SLK86" s="629"/>
      <c r="SLL86" s="629"/>
      <c r="SLM86" s="629"/>
      <c r="SLN86" s="629"/>
      <c r="SLO86" s="629"/>
      <c r="SLP86" s="629"/>
      <c r="SLQ86" s="629"/>
      <c r="SLR86" s="629"/>
      <c r="SLS86" s="629"/>
      <c r="SLT86" s="629"/>
      <c r="SLU86" s="629"/>
      <c r="SLV86" s="629"/>
      <c r="SLW86" s="629"/>
      <c r="SLX86" s="629"/>
      <c r="SLY86" s="629"/>
      <c r="SLZ86" s="629"/>
      <c r="SMA86" s="629"/>
      <c r="SMB86" s="629"/>
      <c r="SMC86" s="629"/>
      <c r="SMD86" s="629"/>
      <c r="SME86" s="629"/>
      <c r="SMF86" s="629"/>
      <c r="SMG86" s="629"/>
      <c r="SMH86" s="629"/>
      <c r="SMI86" s="629"/>
      <c r="SMJ86" s="629"/>
      <c r="SMK86" s="629"/>
      <c r="SML86" s="629"/>
      <c r="SMM86" s="629"/>
      <c r="SMN86" s="629"/>
      <c r="SMO86" s="629"/>
      <c r="SMP86" s="629"/>
      <c r="SMQ86" s="629"/>
      <c r="SMR86" s="629"/>
      <c r="SMS86" s="629"/>
      <c r="SMT86" s="629"/>
      <c r="SMU86" s="629"/>
      <c r="SMV86" s="629"/>
      <c r="SMW86" s="629"/>
      <c r="SMX86" s="629"/>
      <c r="SMY86" s="629"/>
      <c r="SMZ86" s="629"/>
      <c r="SNA86" s="629"/>
      <c r="SNB86" s="629"/>
      <c r="SNC86" s="629"/>
      <c r="SND86" s="629"/>
      <c r="SNE86" s="629"/>
      <c r="SNF86" s="629"/>
      <c r="SNG86" s="629"/>
      <c r="SNH86" s="629"/>
      <c r="SNI86" s="629"/>
      <c r="SNJ86" s="629"/>
      <c r="SNK86" s="629"/>
      <c r="SNL86" s="629"/>
      <c r="SNM86" s="629"/>
      <c r="SNN86" s="629"/>
      <c r="SNO86" s="629"/>
      <c r="SNP86" s="629"/>
      <c r="SNQ86" s="629"/>
      <c r="SNR86" s="629"/>
      <c r="SNS86" s="629"/>
      <c r="SNT86" s="629"/>
      <c r="SNU86" s="629"/>
      <c r="SNV86" s="629"/>
      <c r="SNW86" s="629"/>
      <c r="SNX86" s="629"/>
      <c r="SNY86" s="629"/>
      <c r="SNZ86" s="629"/>
      <c r="SOA86" s="629"/>
      <c r="SOB86" s="629"/>
      <c r="SOC86" s="629"/>
      <c r="SOD86" s="629"/>
      <c r="SOE86" s="629"/>
      <c r="SOF86" s="629"/>
      <c r="SOG86" s="629"/>
      <c r="SOH86" s="629"/>
      <c r="SOI86" s="629"/>
      <c r="SOJ86" s="629"/>
      <c r="SOK86" s="629"/>
      <c r="SOL86" s="629"/>
      <c r="SOM86" s="629"/>
      <c r="SON86" s="629"/>
      <c r="SOO86" s="629"/>
      <c r="SOP86" s="629"/>
      <c r="SOQ86" s="629"/>
      <c r="SOR86" s="629"/>
      <c r="SOS86" s="629"/>
      <c r="SOT86" s="629"/>
      <c r="SOU86" s="629"/>
      <c r="SOV86" s="629"/>
      <c r="SOW86" s="629"/>
      <c r="SOX86" s="629"/>
      <c r="SOY86" s="629"/>
      <c r="SOZ86" s="629"/>
      <c r="SPA86" s="629"/>
      <c r="SPB86" s="629"/>
      <c r="SPC86" s="629"/>
      <c r="SPD86" s="629"/>
      <c r="SPE86" s="629"/>
      <c r="SPF86" s="629"/>
      <c r="SPG86" s="629"/>
      <c r="SPH86" s="629"/>
      <c r="SPI86" s="629"/>
      <c r="SPJ86" s="629"/>
      <c r="SPK86" s="629"/>
      <c r="SPL86" s="629"/>
      <c r="SPM86" s="629"/>
      <c r="SPN86" s="629"/>
      <c r="SPO86" s="629"/>
      <c r="SPP86" s="629"/>
      <c r="SPQ86" s="629"/>
      <c r="SPR86" s="629"/>
      <c r="SPS86" s="629"/>
      <c r="SPT86" s="629"/>
      <c r="SPU86" s="629"/>
      <c r="SPV86" s="629"/>
      <c r="SPW86" s="629"/>
      <c r="SPX86" s="629"/>
      <c r="SPY86" s="629"/>
      <c r="SPZ86" s="629"/>
      <c r="SQA86" s="629"/>
      <c r="SQB86" s="629"/>
      <c r="SQC86" s="629"/>
      <c r="SQD86" s="629"/>
      <c r="SQE86" s="629"/>
      <c r="SQF86" s="629"/>
      <c r="SQG86" s="629"/>
      <c r="SQH86" s="629"/>
      <c r="SQI86" s="629"/>
      <c r="SQJ86" s="629"/>
      <c r="SQK86" s="629"/>
      <c r="SQL86" s="629"/>
      <c r="SQM86" s="629"/>
      <c r="SQN86" s="629"/>
      <c r="SQO86" s="629"/>
      <c r="SQP86" s="629"/>
      <c r="SQQ86" s="629"/>
      <c r="SQR86" s="629"/>
      <c r="SQS86" s="629"/>
      <c r="SQT86" s="629"/>
      <c r="SQU86" s="629"/>
      <c r="SQV86" s="629"/>
      <c r="SQW86" s="629"/>
      <c r="SQX86" s="629"/>
      <c r="SQY86" s="629"/>
      <c r="SQZ86" s="629"/>
      <c r="SRA86" s="629"/>
      <c r="SRB86" s="629"/>
      <c r="SRC86" s="629"/>
      <c r="SRD86" s="629"/>
      <c r="SRE86" s="629"/>
      <c r="SRF86" s="629"/>
      <c r="SRG86" s="629"/>
      <c r="SRH86" s="629"/>
      <c r="SRI86" s="629"/>
      <c r="SRJ86" s="629"/>
      <c r="SRK86" s="629"/>
      <c r="SRL86" s="629"/>
      <c r="SRM86" s="629"/>
      <c r="SRN86" s="629"/>
      <c r="SRO86" s="629"/>
      <c r="SRP86" s="629"/>
      <c r="SRQ86" s="629"/>
      <c r="SRR86" s="629"/>
      <c r="SRS86" s="629"/>
      <c r="SRT86" s="629"/>
      <c r="SRU86" s="629"/>
      <c r="SRV86" s="629"/>
      <c r="SRW86" s="629"/>
      <c r="SRX86" s="629"/>
      <c r="SRY86" s="629"/>
      <c r="SRZ86" s="629"/>
      <c r="SSA86" s="629"/>
      <c r="SSB86" s="629"/>
      <c r="SSC86" s="629"/>
      <c r="SSD86" s="629"/>
      <c r="SSE86" s="629"/>
      <c r="SSF86" s="629"/>
      <c r="SSG86" s="629"/>
      <c r="SSH86" s="629"/>
      <c r="SSI86" s="629"/>
      <c r="SSJ86" s="629"/>
      <c r="SSK86" s="629"/>
      <c r="SSL86" s="629"/>
      <c r="SSM86" s="629"/>
      <c r="SSN86" s="629"/>
      <c r="SSO86" s="629"/>
      <c r="SSP86" s="629"/>
      <c r="SSQ86" s="629"/>
      <c r="SSR86" s="629"/>
      <c r="SSS86" s="629"/>
      <c r="SST86" s="629"/>
      <c r="SSU86" s="629"/>
      <c r="SSV86" s="629"/>
      <c r="SSW86" s="629"/>
      <c r="SSX86" s="629"/>
      <c r="SSY86" s="629"/>
      <c r="SSZ86" s="629"/>
      <c r="STA86" s="629"/>
      <c r="STB86" s="629"/>
      <c r="STC86" s="629"/>
      <c r="STD86" s="629"/>
      <c r="STE86" s="629"/>
      <c r="STF86" s="629"/>
      <c r="STG86" s="629"/>
      <c r="STH86" s="629"/>
      <c r="STI86" s="629"/>
      <c r="STJ86" s="629"/>
      <c r="STK86" s="629"/>
      <c r="STL86" s="629"/>
      <c r="STM86" s="629"/>
      <c r="STN86" s="629"/>
      <c r="STO86" s="629"/>
      <c r="STP86" s="629"/>
      <c r="STQ86" s="629"/>
      <c r="STR86" s="629"/>
      <c r="STS86" s="629"/>
      <c r="STT86" s="629"/>
      <c r="STU86" s="629"/>
      <c r="STV86" s="629"/>
      <c r="STW86" s="629"/>
      <c r="STX86" s="629"/>
      <c r="STY86" s="629"/>
      <c r="STZ86" s="629"/>
      <c r="SUA86" s="629"/>
      <c r="SUB86" s="629"/>
      <c r="SUC86" s="629"/>
      <c r="SUD86" s="629"/>
      <c r="SUE86" s="629"/>
      <c r="SUF86" s="629"/>
      <c r="SUG86" s="629"/>
      <c r="SUH86" s="629"/>
      <c r="SUI86" s="629"/>
      <c r="SUJ86" s="629"/>
      <c r="SUK86" s="629"/>
      <c r="SUL86" s="629"/>
      <c r="SUM86" s="629"/>
      <c r="SUN86" s="629"/>
      <c r="SUO86" s="629"/>
      <c r="SUP86" s="629"/>
      <c r="SUQ86" s="629"/>
      <c r="SUR86" s="629"/>
      <c r="SUS86" s="629"/>
      <c r="SUT86" s="629"/>
      <c r="SUU86" s="629"/>
      <c r="SUV86" s="629"/>
      <c r="SUW86" s="629"/>
      <c r="SUX86" s="629"/>
      <c r="SUY86" s="629"/>
      <c r="SUZ86" s="629"/>
      <c r="SVA86" s="629"/>
      <c r="SVB86" s="629"/>
      <c r="SVC86" s="629"/>
      <c r="SVD86" s="629"/>
      <c r="SVE86" s="629"/>
      <c r="SVF86" s="629"/>
      <c r="SVG86" s="629"/>
      <c r="SVH86" s="629"/>
      <c r="SVI86" s="629"/>
      <c r="SVJ86" s="629"/>
      <c r="SVK86" s="629"/>
      <c r="SVL86" s="629"/>
      <c r="SVM86" s="629"/>
      <c r="SVN86" s="629"/>
      <c r="SVO86" s="629"/>
      <c r="SVP86" s="629"/>
      <c r="SVQ86" s="629"/>
      <c r="SVR86" s="629"/>
      <c r="SVS86" s="629"/>
      <c r="SVT86" s="629"/>
      <c r="SVU86" s="629"/>
      <c r="SVV86" s="629"/>
      <c r="SVW86" s="629"/>
      <c r="SVX86" s="629"/>
      <c r="SVY86" s="629"/>
      <c r="SVZ86" s="629"/>
      <c r="SWA86" s="629"/>
      <c r="SWB86" s="629"/>
      <c r="SWC86" s="629"/>
      <c r="SWD86" s="629"/>
      <c r="SWE86" s="629"/>
      <c r="SWF86" s="629"/>
      <c r="SWG86" s="629"/>
      <c r="SWH86" s="629"/>
      <c r="SWI86" s="629"/>
      <c r="SWJ86" s="629"/>
      <c r="SWK86" s="629"/>
      <c r="SWL86" s="629"/>
      <c r="SWM86" s="629"/>
      <c r="SWN86" s="629"/>
      <c r="SWO86" s="629"/>
      <c r="SWP86" s="629"/>
      <c r="SWQ86" s="629"/>
      <c r="SWR86" s="629"/>
      <c r="SWS86" s="629"/>
      <c r="SWT86" s="629"/>
      <c r="SWU86" s="629"/>
      <c r="SWV86" s="629"/>
      <c r="SWW86" s="629"/>
      <c r="SWX86" s="629"/>
      <c r="SWY86" s="629"/>
      <c r="SWZ86" s="629"/>
      <c r="SXA86" s="629"/>
      <c r="SXB86" s="629"/>
      <c r="SXC86" s="629"/>
      <c r="SXD86" s="629"/>
      <c r="SXE86" s="629"/>
      <c r="SXF86" s="629"/>
      <c r="SXG86" s="629"/>
      <c r="SXH86" s="629"/>
      <c r="SXI86" s="629"/>
      <c r="SXJ86" s="629"/>
      <c r="SXK86" s="629"/>
      <c r="SXL86" s="629"/>
      <c r="SXM86" s="629"/>
      <c r="SXN86" s="629"/>
      <c r="SXO86" s="629"/>
      <c r="SXP86" s="629"/>
      <c r="SXQ86" s="629"/>
      <c r="SXR86" s="629"/>
      <c r="SXS86" s="629"/>
      <c r="SXT86" s="629"/>
      <c r="SXU86" s="629"/>
      <c r="SXV86" s="629"/>
      <c r="SXW86" s="629"/>
      <c r="SXX86" s="629"/>
      <c r="SXY86" s="629"/>
      <c r="SXZ86" s="629"/>
      <c r="SYA86" s="629"/>
      <c r="SYB86" s="629"/>
      <c r="SYC86" s="629"/>
      <c r="SYD86" s="629"/>
      <c r="SYE86" s="629"/>
      <c r="SYF86" s="629"/>
      <c r="SYG86" s="629"/>
      <c r="SYH86" s="629"/>
      <c r="SYI86" s="629"/>
      <c r="SYJ86" s="629"/>
      <c r="SYK86" s="629"/>
      <c r="SYL86" s="629"/>
      <c r="SYM86" s="629"/>
      <c r="SYN86" s="629"/>
      <c r="SYO86" s="629"/>
      <c r="SYP86" s="629"/>
      <c r="SYQ86" s="629"/>
      <c r="SYR86" s="629"/>
      <c r="SYS86" s="629"/>
      <c r="SYT86" s="629"/>
      <c r="SYU86" s="629"/>
      <c r="SYV86" s="629"/>
      <c r="SYW86" s="629"/>
      <c r="SYX86" s="629"/>
      <c r="SYY86" s="629"/>
      <c r="SYZ86" s="629"/>
      <c r="SZA86" s="629"/>
      <c r="SZB86" s="629"/>
      <c r="SZC86" s="629"/>
      <c r="SZD86" s="629"/>
      <c r="SZE86" s="629"/>
      <c r="SZF86" s="629"/>
      <c r="SZG86" s="629"/>
      <c r="SZH86" s="629"/>
      <c r="SZI86" s="629"/>
      <c r="SZJ86" s="629"/>
      <c r="SZK86" s="629"/>
      <c r="SZL86" s="629"/>
      <c r="SZM86" s="629"/>
      <c r="SZN86" s="629"/>
      <c r="SZO86" s="629"/>
      <c r="SZP86" s="629"/>
      <c r="SZQ86" s="629"/>
      <c r="SZR86" s="629"/>
      <c r="SZS86" s="629"/>
      <c r="SZT86" s="629"/>
      <c r="SZU86" s="629"/>
      <c r="SZV86" s="629"/>
      <c r="SZW86" s="629"/>
      <c r="SZX86" s="629"/>
      <c r="SZY86" s="629"/>
      <c r="SZZ86" s="629"/>
      <c r="TAA86" s="629"/>
      <c r="TAB86" s="629"/>
      <c r="TAC86" s="629"/>
      <c r="TAD86" s="629"/>
      <c r="TAE86" s="629"/>
      <c r="TAF86" s="629"/>
      <c r="TAG86" s="629"/>
      <c r="TAH86" s="629"/>
      <c r="TAI86" s="629"/>
      <c r="TAJ86" s="629"/>
      <c r="TAK86" s="629"/>
      <c r="TAL86" s="629"/>
      <c r="TAM86" s="629"/>
      <c r="TAN86" s="629"/>
      <c r="TAO86" s="629"/>
      <c r="TAP86" s="629"/>
      <c r="TAQ86" s="629"/>
      <c r="TAR86" s="629"/>
      <c r="TAS86" s="629"/>
      <c r="TAT86" s="629"/>
      <c r="TAU86" s="629"/>
      <c r="TAV86" s="629"/>
      <c r="TAW86" s="629"/>
      <c r="TAX86" s="629"/>
      <c r="TAY86" s="629"/>
      <c r="TAZ86" s="629"/>
      <c r="TBA86" s="629"/>
      <c r="TBB86" s="629"/>
      <c r="TBC86" s="629"/>
      <c r="TBD86" s="629"/>
      <c r="TBE86" s="629"/>
      <c r="TBF86" s="629"/>
      <c r="TBG86" s="629"/>
      <c r="TBH86" s="629"/>
      <c r="TBI86" s="629"/>
      <c r="TBJ86" s="629"/>
      <c r="TBK86" s="629"/>
      <c r="TBL86" s="629"/>
      <c r="TBM86" s="629"/>
      <c r="TBN86" s="629"/>
      <c r="TBO86" s="629"/>
      <c r="TBP86" s="629"/>
      <c r="TBQ86" s="629"/>
      <c r="TBR86" s="629"/>
      <c r="TBS86" s="629"/>
      <c r="TBT86" s="629"/>
      <c r="TBU86" s="629"/>
      <c r="TBV86" s="629"/>
      <c r="TBW86" s="629"/>
      <c r="TBX86" s="629"/>
      <c r="TBY86" s="629"/>
      <c r="TBZ86" s="629"/>
      <c r="TCA86" s="629"/>
      <c r="TCB86" s="629"/>
      <c r="TCC86" s="629"/>
      <c r="TCD86" s="629"/>
      <c r="TCE86" s="629"/>
      <c r="TCF86" s="629"/>
      <c r="TCG86" s="629"/>
      <c r="TCH86" s="629"/>
      <c r="TCI86" s="629"/>
      <c r="TCJ86" s="629"/>
      <c r="TCK86" s="629"/>
      <c r="TCL86" s="629"/>
      <c r="TCM86" s="629"/>
      <c r="TCN86" s="629"/>
      <c r="TCO86" s="629"/>
      <c r="TCP86" s="629"/>
      <c r="TCQ86" s="629"/>
      <c r="TCR86" s="629"/>
      <c r="TCS86" s="629"/>
      <c r="TCT86" s="629"/>
      <c r="TCU86" s="629"/>
      <c r="TCV86" s="629"/>
      <c r="TCW86" s="629"/>
      <c r="TCX86" s="629"/>
      <c r="TCY86" s="629"/>
      <c r="TCZ86" s="629"/>
      <c r="TDA86" s="629"/>
      <c r="TDB86" s="629"/>
      <c r="TDC86" s="629"/>
      <c r="TDD86" s="629"/>
      <c r="TDE86" s="629"/>
      <c r="TDF86" s="629"/>
      <c r="TDG86" s="629"/>
      <c r="TDH86" s="629"/>
      <c r="TDI86" s="629"/>
      <c r="TDJ86" s="629"/>
      <c r="TDK86" s="629"/>
      <c r="TDL86" s="629"/>
      <c r="TDM86" s="629"/>
      <c r="TDN86" s="629"/>
      <c r="TDO86" s="629"/>
      <c r="TDP86" s="629"/>
      <c r="TDQ86" s="629"/>
      <c r="TDR86" s="629"/>
      <c r="TDS86" s="629"/>
      <c r="TDT86" s="629"/>
      <c r="TDU86" s="629"/>
      <c r="TDV86" s="629"/>
      <c r="TDW86" s="629"/>
      <c r="TDX86" s="629"/>
      <c r="TDY86" s="629"/>
      <c r="TDZ86" s="629"/>
      <c r="TEA86" s="629"/>
      <c r="TEB86" s="629"/>
      <c r="TEC86" s="629"/>
      <c r="TED86" s="629"/>
      <c r="TEE86" s="629"/>
      <c r="TEF86" s="629"/>
      <c r="TEG86" s="629"/>
      <c r="TEH86" s="629"/>
      <c r="TEI86" s="629"/>
      <c r="TEJ86" s="629"/>
      <c r="TEK86" s="629"/>
      <c r="TEL86" s="629"/>
      <c r="TEM86" s="629"/>
      <c r="TEN86" s="629"/>
      <c r="TEO86" s="629"/>
      <c r="TEP86" s="629"/>
      <c r="TEQ86" s="629"/>
      <c r="TER86" s="629"/>
      <c r="TES86" s="629"/>
      <c r="TET86" s="629"/>
      <c r="TEU86" s="629"/>
      <c r="TEV86" s="629"/>
      <c r="TEW86" s="629"/>
      <c r="TEX86" s="629"/>
      <c r="TEY86" s="629"/>
      <c r="TEZ86" s="629"/>
      <c r="TFA86" s="629"/>
      <c r="TFB86" s="629"/>
      <c r="TFC86" s="629"/>
      <c r="TFD86" s="629"/>
      <c r="TFE86" s="629"/>
      <c r="TFF86" s="629"/>
      <c r="TFG86" s="629"/>
      <c r="TFH86" s="629"/>
      <c r="TFI86" s="629"/>
      <c r="TFJ86" s="629"/>
      <c r="TFK86" s="629"/>
      <c r="TFL86" s="629"/>
      <c r="TFM86" s="629"/>
      <c r="TFN86" s="629"/>
      <c r="TFO86" s="629"/>
      <c r="TFP86" s="629"/>
      <c r="TFQ86" s="629"/>
      <c r="TFR86" s="629"/>
      <c r="TFS86" s="629"/>
      <c r="TFT86" s="629"/>
      <c r="TFU86" s="629"/>
      <c r="TFV86" s="629"/>
      <c r="TFW86" s="629"/>
      <c r="TFX86" s="629"/>
      <c r="TFY86" s="629"/>
      <c r="TFZ86" s="629"/>
      <c r="TGA86" s="629"/>
      <c r="TGB86" s="629"/>
      <c r="TGC86" s="629"/>
      <c r="TGD86" s="629"/>
      <c r="TGE86" s="629"/>
      <c r="TGF86" s="629"/>
      <c r="TGG86" s="629"/>
      <c r="TGH86" s="629"/>
      <c r="TGI86" s="629"/>
      <c r="TGJ86" s="629"/>
      <c r="TGK86" s="629"/>
      <c r="TGL86" s="629"/>
      <c r="TGM86" s="629"/>
      <c r="TGN86" s="629"/>
      <c r="TGO86" s="629"/>
      <c r="TGP86" s="629"/>
      <c r="TGQ86" s="629"/>
      <c r="TGR86" s="629"/>
      <c r="TGS86" s="629"/>
      <c r="TGT86" s="629"/>
      <c r="TGU86" s="629"/>
      <c r="TGV86" s="629"/>
      <c r="TGW86" s="629"/>
      <c r="TGX86" s="629"/>
      <c r="TGY86" s="629"/>
      <c r="TGZ86" s="629"/>
      <c r="THA86" s="629"/>
      <c r="THB86" s="629"/>
      <c r="THC86" s="629"/>
      <c r="THD86" s="629"/>
      <c r="THE86" s="629"/>
      <c r="THF86" s="629"/>
      <c r="THG86" s="629"/>
      <c r="THH86" s="629"/>
      <c r="THI86" s="629"/>
      <c r="THJ86" s="629"/>
      <c r="THK86" s="629"/>
      <c r="THL86" s="629"/>
      <c r="THM86" s="629"/>
      <c r="THN86" s="629"/>
      <c r="THO86" s="629"/>
      <c r="THP86" s="629"/>
      <c r="THQ86" s="629"/>
      <c r="THR86" s="629"/>
      <c r="THS86" s="629"/>
      <c r="THT86" s="629"/>
      <c r="THU86" s="629"/>
      <c r="THV86" s="629"/>
      <c r="THW86" s="629"/>
      <c r="THX86" s="629"/>
      <c r="THY86" s="629"/>
      <c r="THZ86" s="629"/>
      <c r="TIA86" s="629"/>
      <c r="TIB86" s="629"/>
      <c r="TIC86" s="629"/>
      <c r="TID86" s="629"/>
      <c r="TIE86" s="629"/>
      <c r="TIF86" s="629"/>
      <c r="TIG86" s="629"/>
      <c r="TIH86" s="629"/>
      <c r="TII86" s="629"/>
      <c r="TIJ86" s="629"/>
      <c r="TIK86" s="629"/>
      <c r="TIL86" s="629"/>
      <c r="TIM86" s="629"/>
      <c r="TIN86" s="629"/>
      <c r="TIO86" s="629"/>
      <c r="TIP86" s="629"/>
      <c r="TIQ86" s="629"/>
      <c r="TIR86" s="629"/>
      <c r="TIS86" s="629"/>
      <c r="TIT86" s="629"/>
      <c r="TIU86" s="629"/>
      <c r="TIV86" s="629"/>
      <c r="TIW86" s="629"/>
      <c r="TIX86" s="629"/>
      <c r="TIY86" s="629"/>
      <c r="TIZ86" s="629"/>
      <c r="TJA86" s="629"/>
      <c r="TJB86" s="629"/>
      <c r="TJC86" s="629"/>
      <c r="TJD86" s="629"/>
      <c r="TJE86" s="629"/>
      <c r="TJF86" s="629"/>
      <c r="TJG86" s="629"/>
      <c r="TJH86" s="629"/>
      <c r="TJI86" s="629"/>
      <c r="TJJ86" s="629"/>
      <c r="TJK86" s="629"/>
      <c r="TJL86" s="629"/>
      <c r="TJM86" s="629"/>
      <c r="TJN86" s="629"/>
      <c r="TJO86" s="629"/>
      <c r="TJP86" s="629"/>
      <c r="TJQ86" s="629"/>
      <c r="TJR86" s="629"/>
      <c r="TJS86" s="629"/>
      <c r="TJT86" s="629"/>
      <c r="TJU86" s="629"/>
      <c r="TJV86" s="629"/>
      <c r="TJW86" s="629"/>
      <c r="TJX86" s="629"/>
      <c r="TJY86" s="629"/>
      <c r="TJZ86" s="629"/>
      <c r="TKA86" s="629"/>
      <c r="TKB86" s="629"/>
      <c r="TKC86" s="629"/>
      <c r="TKD86" s="629"/>
      <c r="TKE86" s="629"/>
      <c r="TKF86" s="629"/>
      <c r="TKG86" s="629"/>
      <c r="TKH86" s="629"/>
      <c r="TKI86" s="629"/>
      <c r="TKJ86" s="629"/>
      <c r="TKK86" s="629"/>
      <c r="TKL86" s="629"/>
      <c r="TKM86" s="629"/>
      <c r="TKN86" s="629"/>
      <c r="TKO86" s="629"/>
      <c r="TKP86" s="629"/>
      <c r="TKQ86" s="629"/>
      <c r="TKR86" s="629"/>
      <c r="TKS86" s="629"/>
      <c r="TKT86" s="629"/>
      <c r="TKU86" s="629"/>
      <c r="TKV86" s="629"/>
      <c r="TKW86" s="629"/>
      <c r="TKX86" s="629"/>
      <c r="TKY86" s="629"/>
      <c r="TKZ86" s="629"/>
      <c r="TLA86" s="629"/>
      <c r="TLB86" s="629"/>
      <c r="TLC86" s="629"/>
      <c r="TLD86" s="629"/>
      <c r="TLE86" s="629"/>
      <c r="TLF86" s="629"/>
      <c r="TLG86" s="629"/>
      <c r="TLH86" s="629"/>
      <c r="TLI86" s="629"/>
      <c r="TLJ86" s="629"/>
      <c r="TLK86" s="629"/>
      <c r="TLL86" s="629"/>
      <c r="TLM86" s="629"/>
      <c r="TLN86" s="629"/>
      <c r="TLO86" s="629"/>
      <c r="TLP86" s="629"/>
      <c r="TLQ86" s="629"/>
      <c r="TLR86" s="629"/>
      <c r="TLS86" s="629"/>
      <c r="TLT86" s="629"/>
      <c r="TLU86" s="629"/>
      <c r="TLV86" s="629"/>
      <c r="TLW86" s="629"/>
      <c r="TLX86" s="629"/>
      <c r="TLY86" s="629"/>
      <c r="TLZ86" s="629"/>
      <c r="TMA86" s="629"/>
      <c r="TMB86" s="629"/>
      <c r="TMC86" s="629"/>
      <c r="TMD86" s="629"/>
      <c r="TME86" s="629"/>
      <c r="TMF86" s="629"/>
      <c r="TMG86" s="629"/>
      <c r="TMH86" s="629"/>
      <c r="TMI86" s="629"/>
      <c r="TMJ86" s="629"/>
      <c r="TMK86" s="629"/>
      <c r="TML86" s="629"/>
      <c r="TMM86" s="629"/>
      <c r="TMN86" s="629"/>
      <c r="TMO86" s="629"/>
      <c r="TMP86" s="629"/>
      <c r="TMQ86" s="629"/>
      <c r="TMR86" s="629"/>
      <c r="TMS86" s="629"/>
      <c r="TMT86" s="629"/>
      <c r="TMU86" s="629"/>
      <c r="TMV86" s="629"/>
      <c r="TMW86" s="629"/>
      <c r="TMX86" s="629"/>
      <c r="TMY86" s="629"/>
      <c r="TMZ86" s="629"/>
      <c r="TNA86" s="629"/>
      <c r="TNB86" s="629"/>
      <c r="TNC86" s="629"/>
      <c r="TND86" s="629"/>
      <c r="TNE86" s="629"/>
      <c r="TNF86" s="629"/>
      <c r="TNG86" s="629"/>
      <c r="TNH86" s="629"/>
      <c r="TNI86" s="629"/>
      <c r="TNJ86" s="629"/>
      <c r="TNK86" s="629"/>
      <c r="TNL86" s="629"/>
      <c r="TNM86" s="629"/>
      <c r="TNN86" s="629"/>
      <c r="TNO86" s="629"/>
      <c r="TNP86" s="629"/>
      <c r="TNQ86" s="629"/>
      <c r="TNR86" s="629"/>
      <c r="TNS86" s="629"/>
      <c r="TNT86" s="629"/>
      <c r="TNU86" s="629"/>
      <c r="TNV86" s="629"/>
      <c r="TNW86" s="629"/>
      <c r="TNX86" s="629"/>
      <c r="TNY86" s="629"/>
      <c r="TNZ86" s="629"/>
      <c r="TOA86" s="629"/>
      <c r="TOB86" s="629"/>
      <c r="TOC86" s="629"/>
      <c r="TOD86" s="629"/>
      <c r="TOE86" s="629"/>
      <c r="TOF86" s="629"/>
      <c r="TOG86" s="629"/>
      <c r="TOH86" s="629"/>
      <c r="TOI86" s="629"/>
      <c r="TOJ86" s="629"/>
      <c r="TOK86" s="629"/>
      <c r="TOL86" s="629"/>
      <c r="TOM86" s="629"/>
      <c r="TON86" s="629"/>
      <c r="TOO86" s="629"/>
      <c r="TOP86" s="629"/>
      <c r="TOQ86" s="629"/>
      <c r="TOR86" s="629"/>
      <c r="TOS86" s="629"/>
      <c r="TOT86" s="629"/>
      <c r="TOU86" s="629"/>
      <c r="TOV86" s="629"/>
      <c r="TOW86" s="629"/>
      <c r="TOX86" s="629"/>
      <c r="TOY86" s="629"/>
      <c r="TOZ86" s="629"/>
      <c r="TPA86" s="629"/>
      <c r="TPB86" s="629"/>
      <c r="TPC86" s="629"/>
      <c r="TPD86" s="629"/>
      <c r="TPE86" s="629"/>
      <c r="TPF86" s="629"/>
      <c r="TPG86" s="629"/>
      <c r="TPH86" s="629"/>
      <c r="TPI86" s="629"/>
      <c r="TPJ86" s="629"/>
      <c r="TPK86" s="629"/>
      <c r="TPL86" s="629"/>
      <c r="TPM86" s="629"/>
      <c r="TPN86" s="629"/>
      <c r="TPO86" s="629"/>
      <c r="TPP86" s="629"/>
      <c r="TPQ86" s="629"/>
      <c r="TPR86" s="629"/>
      <c r="TPS86" s="629"/>
      <c r="TPT86" s="629"/>
      <c r="TPU86" s="629"/>
      <c r="TPV86" s="629"/>
      <c r="TPW86" s="629"/>
      <c r="TPX86" s="629"/>
      <c r="TPY86" s="629"/>
      <c r="TPZ86" s="629"/>
      <c r="TQA86" s="629"/>
      <c r="TQB86" s="629"/>
      <c r="TQC86" s="629"/>
      <c r="TQD86" s="629"/>
      <c r="TQE86" s="629"/>
      <c r="TQF86" s="629"/>
      <c r="TQG86" s="629"/>
      <c r="TQH86" s="629"/>
      <c r="TQI86" s="629"/>
      <c r="TQJ86" s="629"/>
      <c r="TQK86" s="629"/>
      <c r="TQL86" s="629"/>
      <c r="TQM86" s="629"/>
      <c r="TQN86" s="629"/>
      <c r="TQO86" s="629"/>
      <c r="TQP86" s="629"/>
      <c r="TQQ86" s="629"/>
      <c r="TQR86" s="629"/>
      <c r="TQS86" s="629"/>
      <c r="TQT86" s="629"/>
      <c r="TQU86" s="629"/>
      <c r="TQV86" s="629"/>
      <c r="TQW86" s="629"/>
      <c r="TQX86" s="629"/>
      <c r="TQY86" s="629"/>
      <c r="TQZ86" s="629"/>
      <c r="TRA86" s="629"/>
      <c r="TRB86" s="629"/>
      <c r="TRC86" s="629"/>
      <c r="TRD86" s="629"/>
      <c r="TRE86" s="629"/>
      <c r="TRF86" s="629"/>
      <c r="TRG86" s="629"/>
      <c r="TRH86" s="629"/>
      <c r="TRI86" s="629"/>
      <c r="TRJ86" s="629"/>
      <c r="TRK86" s="629"/>
      <c r="TRL86" s="629"/>
      <c r="TRM86" s="629"/>
      <c r="TRN86" s="629"/>
      <c r="TRO86" s="629"/>
      <c r="TRP86" s="629"/>
      <c r="TRQ86" s="629"/>
      <c r="TRR86" s="629"/>
      <c r="TRS86" s="629"/>
      <c r="TRT86" s="629"/>
      <c r="TRU86" s="629"/>
      <c r="TRV86" s="629"/>
      <c r="TRW86" s="629"/>
      <c r="TRX86" s="629"/>
      <c r="TRY86" s="629"/>
      <c r="TRZ86" s="629"/>
      <c r="TSA86" s="629"/>
      <c r="TSB86" s="629"/>
      <c r="TSC86" s="629"/>
      <c r="TSD86" s="629"/>
      <c r="TSE86" s="629"/>
      <c r="TSF86" s="629"/>
      <c r="TSG86" s="629"/>
      <c r="TSH86" s="629"/>
      <c r="TSI86" s="629"/>
      <c r="TSJ86" s="629"/>
      <c r="TSK86" s="629"/>
      <c r="TSL86" s="629"/>
      <c r="TSM86" s="629"/>
      <c r="TSN86" s="629"/>
      <c r="TSO86" s="629"/>
      <c r="TSP86" s="629"/>
      <c r="TSQ86" s="629"/>
      <c r="TSR86" s="629"/>
      <c r="TSS86" s="629"/>
      <c r="TST86" s="629"/>
      <c r="TSU86" s="629"/>
      <c r="TSV86" s="629"/>
      <c r="TSW86" s="629"/>
      <c r="TSX86" s="629"/>
      <c r="TSY86" s="629"/>
      <c r="TSZ86" s="629"/>
      <c r="TTA86" s="629"/>
      <c r="TTB86" s="629"/>
      <c r="TTC86" s="629"/>
      <c r="TTD86" s="629"/>
      <c r="TTE86" s="629"/>
      <c r="TTF86" s="629"/>
      <c r="TTG86" s="629"/>
      <c r="TTH86" s="629"/>
      <c r="TTI86" s="629"/>
      <c r="TTJ86" s="629"/>
      <c r="TTK86" s="629"/>
      <c r="TTL86" s="629"/>
      <c r="TTM86" s="629"/>
      <c r="TTN86" s="629"/>
      <c r="TTO86" s="629"/>
      <c r="TTP86" s="629"/>
      <c r="TTQ86" s="629"/>
      <c r="TTR86" s="629"/>
      <c r="TTS86" s="629"/>
      <c r="TTT86" s="629"/>
      <c r="TTU86" s="629"/>
      <c r="TTV86" s="629"/>
      <c r="TTW86" s="629"/>
      <c r="TTX86" s="629"/>
      <c r="TTY86" s="629"/>
      <c r="TTZ86" s="629"/>
      <c r="TUA86" s="629"/>
      <c r="TUB86" s="629"/>
      <c r="TUC86" s="629"/>
      <c r="TUD86" s="629"/>
      <c r="TUE86" s="629"/>
      <c r="TUF86" s="629"/>
      <c r="TUG86" s="629"/>
      <c r="TUH86" s="629"/>
      <c r="TUI86" s="629"/>
      <c r="TUJ86" s="629"/>
      <c r="TUK86" s="629"/>
      <c r="TUL86" s="629"/>
      <c r="TUM86" s="629"/>
      <c r="TUN86" s="629"/>
      <c r="TUO86" s="629"/>
      <c r="TUP86" s="629"/>
      <c r="TUQ86" s="629"/>
      <c r="TUR86" s="629"/>
      <c r="TUS86" s="629"/>
      <c r="TUT86" s="629"/>
      <c r="TUU86" s="629"/>
      <c r="TUV86" s="629"/>
      <c r="TUW86" s="629"/>
      <c r="TUX86" s="629"/>
      <c r="TUY86" s="629"/>
      <c r="TUZ86" s="629"/>
      <c r="TVA86" s="629"/>
      <c r="TVB86" s="629"/>
      <c r="TVC86" s="629"/>
      <c r="TVD86" s="629"/>
      <c r="TVE86" s="629"/>
      <c r="TVF86" s="629"/>
      <c r="TVG86" s="629"/>
      <c r="TVH86" s="629"/>
      <c r="TVI86" s="629"/>
      <c r="TVJ86" s="629"/>
      <c r="TVK86" s="629"/>
      <c r="TVL86" s="629"/>
      <c r="TVM86" s="629"/>
      <c r="TVN86" s="629"/>
      <c r="TVO86" s="629"/>
      <c r="TVP86" s="629"/>
      <c r="TVQ86" s="629"/>
      <c r="TVR86" s="629"/>
      <c r="TVS86" s="629"/>
      <c r="TVT86" s="629"/>
      <c r="TVU86" s="629"/>
      <c r="TVV86" s="629"/>
      <c r="TVW86" s="629"/>
      <c r="TVX86" s="629"/>
      <c r="TVY86" s="629"/>
      <c r="TVZ86" s="629"/>
      <c r="TWA86" s="629"/>
      <c r="TWB86" s="629"/>
      <c r="TWC86" s="629"/>
      <c r="TWD86" s="629"/>
      <c r="TWE86" s="629"/>
      <c r="TWF86" s="629"/>
      <c r="TWG86" s="629"/>
      <c r="TWH86" s="629"/>
      <c r="TWI86" s="629"/>
      <c r="TWJ86" s="629"/>
      <c r="TWK86" s="629"/>
      <c r="TWL86" s="629"/>
      <c r="TWM86" s="629"/>
      <c r="TWN86" s="629"/>
      <c r="TWO86" s="629"/>
      <c r="TWP86" s="629"/>
      <c r="TWQ86" s="629"/>
      <c r="TWR86" s="629"/>
      <c r="TWS86" s="629"/>
      <c r="TWT86" s="629"/>
      <c r="TWU86" s="629"/>
      <c r="TWV86" s="629"/>
      <c r="TWW86" s="629"/>
      <c r="TWX86" s="629"/>
      <c r="TWY86" s="629"/>
      <c r="TWZ86" s="629"/>
      <c r="TXA86" s="629"/>
      <c r="TXB86" s="629"/>
      <c r="TXC86" s="629"/>
      <c r="TXD86" s="629"/>
      <c r="TXE86" s="629"/>
      <c r="TXF86" s="629"/>
      <c r="TXG86" s="629"/>
      <c r="TXH86" s="629"/>
      <c r="TXI86" s="629"/>
      <c r="TXJ86" s="629"/>
      <c r="TXK86" s="629"/>
      <c r="TXL86" s="629"/>
      <c r="TXM86" s="629"/>
      <c r="TXN86" s="629"/>
      <c r="TXO86" s="629"/>
      <c r="TXP86" s="629"/>
      <c r="TXQ86" s="629"/>
      <c r="TXR86" s="629"/>
      <c r="TXS86" s="629"/>
      <c r="TXT86" s="629"/>
      <c r="TXU86" s="629"/>
      <c r="TXV86" s="629"/>
      <c r="TXW86" s="629"/>
      <c r="TXX86" s="629"/>
      <c r="TXY86" s="629"/>
      <c r="TXZ86" s="629"/>
      <c r="TYA86" s="629"/>
      <c r="TYB86" s="629"/>
      <c r="TYC86" s="629"/>
      <c r="TYD86" s="629"/>
      <c r="TYE86" s="629"/>
      <c r="TYF86" s="629"/>
      <c r="TYG86" s="629"/>
      <c r="TYH86" s="629"/>
      <c r="TYI86" s="629"/>
      <c r="TYJ86" s="629"/>
      <c r="TYK86" s="629"/>
      <c r="TYL86" s="629"/>
      <c r="TYM86" s="629"/>
      <c r="TYN86" s="629"/>
      <c r="TYO86" s="629"/>
      <c r="TYP86" s="629"/>
      <c r="TYQ86" s="629"/>
      <c r="TYR86" s="629"/>
      <c r="TYS86" s="629"/>
      <c r="TYT86" s="629"/>
      <c r="TYU86" s="629"/>
      <c r="TYV86" s="629"/>
      <c r="TYW86" s="629"/>
      <c r="TYX86" s="629"/>
      <c r="TYY86" s="629"/>
      <c r="TYZ86" s="629"/>
      <c r="TZA86" s="629"/>
      <c r="TZB86" s="629"/>
      <c r="TZC86" s="629"/>
      <c r="TZD86" s="629"/>
      <c r="TZE86" s="629"/>
      <c r="TZF86" s="629"/>
      <c r="TZG86" s="629"/>
      <c r="TZH86" s="629"/>
      <c r="TZI86" s="629"/>
      <c r="TZJ86" s="629"/>
      <c r="TZK86" s="629"/>
      <c r="TZL86" s="629"/>
      <c r="TZM86" s="629"/>
      <c r="TZN86" s="629"/>
      <c r="TZO86" s="629"/>
      <c r="TZP86" s="629"/>
      <c r="TZQ86" s="629"/>
      <c r="TZR86" s="629"/>
      <c r="TZS86" s="629"/>
      <c r="TZT86" s="629"/>
      <c r="TZU86" s="629"/>
      <c r="TZV86" s="629"/>
      <c r="TZW86" s="629"/>
      <c r="TZX86" s="629"/>
      <c r="TZY86" s="629"/>
      <c r="TZZ86" s="629"/>
      <c r="UAA86" s="629"/>
      <c r="UAB86" s="629"/>
      <c r="UAC86" s="629"/>
      <c r="UAD86" s="629"/>
      <c r="UAE86" s="629"/>
      <c r="UAF86" s="629"/>
      <c r="UAG86" s="629"/>
      <c r="UAH86" s="629"/>
      <c r="UAI86" s="629"/>
      <c r="UAJ86" s="629"/>
      <c r="UAK86" s="629"/>
      <c r="UAL86" s="629"/>
      <c r="UAM86" s="629"/>
      <c r="UAN86" s="629"/>
      <c r="UAO86" s="629"/>
      <c r="UAP86" s="629"/>
      <c r="UAQ86" s="629"/>
      <c r="UAR86" s="629"/>
      <c r="UAS86" s="629"/>
      <c r="UAT86" s="629"/>
      <c r="UAU86" s="629"/>
      <c r="UAV86" s="629"/>
      <c r="UAW86" s="629"/>
      <c r="UAX86" s="629"/>
      <c r="UAY86" s="629"/>
      <c r="UAZ86" s="629"/>
      <c r="UBA86" s="629"/>
      <c r="UBB86" s="629"/>
      <c r="UBC86" s="629"/>
      <c r="UBD86" s="629"/>
      <c r="UBE86" s="629"/>
      <c r="UBF86" s="629"/>
      <c r="UBG86" s="629"/>
      <c r="UBH86" s="629"/>
      <c r="UBI86" s="629"/>
      <c r="UBJ86" s="629"/>
      <c r="UBK86" s="629"/>
      <c r="UBL86" s="629"/>
      <c r="UBM86" s="629"/>
      <c r="UBN86" s="629"/>
      <c r="UBO86" s="629"/>
      <c r="UBP86" s="629"/>
      <c r="UBQ86" s="629"/>
      <c r="UBR86" s="629"/>
      <c r="UBS86" s="629"/>
      <c r="UBT86" s="629"/>
      <c r="UBU86" s="629"/>
      <c r="UBV86" s="629"/>
      <c r="UBW86" s="629"/>
      <c r="UBX86" s="629"/>
      <c r="UBY86" s="629"/>
      <c r="UBZ86" s="629"/>
      <c r="UCA86" s="629"/>
      <c r="UCB86" s="629"/>
      <c r="UCC86" s="629"/>
      <c r="UCD86" s="629"/>
      <c r="UCE86" s="629"/>
      <c r="UCF86" s="629"/>
      <c r="UCG86" s="629"/>
      <c r="UCH86" s="629"/>
      <c r="UCI86" s="629"/>
      <c r="UCJ86" s="629"/>
      <c r="UCK86" s="629"/>
      <c r="UCL86" s="629"/>
      <c r="UCM86" s="629"/>
      <c r="UCN86" s="629"/>
      <c r="UCO86" s="629"/>
      <c r="UCP86" s="629"/>
      <c r="UCQ86" s="629"/>
      <c r="UCR86" s="629"/>
      <c r="UCS86" s="629"/>
      <c r="UCT86" s="629"/>
      <c r="UCU86" s="629"/>
      <c r="UCV86" s="629"/>
      <c r="UCW86" s="629"/>
      <c r="UCX86" s="629"/>
      <c r="UCY86" s="629"/>
      <c r="UCZ86" s="629"/>
      <c r="UDA86" s="629"/>
      <c r="UDB86" s="629"/>
      <c r="UDC86" s="629"/>
      <c r="UDD86" s="629"/>
      <c r="UDE86" s="629"/>
      <c r="UDF86" s="629"/>
      <c r="UDG86" s="629"/>
      <c r="UDH86" s="629"/>
      <c r="UDI86" s="629"/>
      <c r="UDJ86" s="629"/>
      <c r="UDK86" s="629"/>
      <c r="UDL86" s="629"/>
      <c r="UDM86" s="629"/>
      <c r="UDN86" s="629"/>
      <c r="UDO86" s="629"/>
      <c r="UDP86" s="629"/>
      <c r="UDQ86" s="629"/>
      <c r="UDR86" s="629"/>
      <c r="UDS86" s="629"/>
      <c r="UDT86" s="629"/>
      <c r="UDU86" s="629"/>
      <c r="UDV86" s="629"/>
      <c r="UDW86" s="629"/>
      <c r="UDX86" s="629"/>
      <c r="UDY86" s="629"/>
      <c r="UDZ86" s="629"/>
      <c r="UEA86" s="629"/>
      <c r="UEB86" s="629"/>
      <c r="UEC86" s="629"/>
      <c r="UED86" s="629"/>
      <c r="UEE86" s="629"/>
      <c r="UEF86" s="629"/>
      <c r="UEG86" s="629"/>
      <c r="UEH86" s="629"/>
      <c r="UEI86" s="629"/>
      <c r="UEJ86" s="629"/>
      <c r="UEK86" s="629"/>
      <c r="UEL86" s="629"/>
      <c r="UEM86" s="629"/>
      <c r="UEN86" s="629"/>
      <c r="UEO86" s="629"/>
      <c r="UEP86" s="629"/>
      <c r="UEQ86" s="629"/>
      <c r="UER86" s="629"/>
      <c r="UES86" s="629"/>
      <c r="UET86" s="629"/>
      <c r="UEU86" s="629"/>
      <c r="UEV86" s="629"/>
      <c r="UEW86" s="629"/>
      <c r="UEX86" s="629"/>
      <c r="UEY86" s="629"/>
      <c r="UEZ86" s="629"/>
      <c r="UFA86" s="629"/>
      <c r="UFB86" s="629"/>
      <c r="UFC86" s="629"/>
      <c r="UFD86" s="629"/>
      <c r="UFE86" s="629"/>
      <c r="UFF86" s="629"/>
      <c r="UFG86" s="629"/>
      <c r="UFH86" s="629"/>
      <c r="UFI86" s="629"/>
      <c r="UFJ86" s="629"/>
      <c r="UFK86" s="629"/>
      <c r="UFL86" s="629"/>
      <c r="UFM86" s="629"/>
      <c r="UFN86" s="629"/>
      <c r="UFO86" s="629"/>
      <c r="UFP86" s="629"/>
      <c r="UFQ86" s="629"/>
      <c r="UFR86" s="629"/>
      <c r="UFS86" s="629"/>
      <c r="UFT86" s="629"/>
      <c r="UFU86" s="629"/>
      <c r="UFV86" s="629"/>
      <c r="UFW86" s="629"/>
      <c r="UFX86" s="629"/>
      <c r="UFY86" s="629"/>
      <c r="UFZ86" s="629"/>
      <c r="UGA86" s="629"/>
      <c r="UGB86" s="629"/>
      <c r="UGC86" s="629"/>
      <c r="UGD86" s="629"/>
      <c r="UGE86" s="629"/>
      <c r="UGF86" s="629"/>
      <c r="UGG86" s="629"/>
      <c r="UGH86" s="629"/>
      <c r="UGI86" s="629"/>
      <c r="UGJ86" s="629"/>
      <c r="UGK86" s="629"/>
      <c r="UGL86" s="629"/>
      <c r="UGM86" s="629"/>
      <c r="UGN86" s="629"/>
      <c r="UGO86" s="629"/>
      <c r="UGP86" s="629"/>
      <c r="UGQ86" s="629"/>
      <c r="UGR86" s="629"/>
      <c r="UGS86" s="629"/>
      <c r="UGT86" s="629"/>
      <c r="UGU86" s="629"/>
      <c r="UGV86" s="629"/>
      <c r="UGW86" s="629"/>
      <c r="UGX86" s="629"/>
      <c r="UGY86" s="629"/>
      <c r="UGZ86" s="629"/>
      <c r="UHA86" s="629"/>
      <c r="UHB86" s="629"/>
      <c r="UHC86" s="629"/>
      <c r="UHD86" s="629"/>
      <c r="UHE86" s="629"/>
      <c r="UHF86" s="629"/>
      <c r="UHG86" s="629"/>
      <c r="UHH86" s="629"/>
      <c r="UHI86" s="629"/>
      <c r="UHJ86" s="629"/>
      <c r="UHK86" s="629"/>
      <c r="UHL86" s="629"/>
      <c r="UHM86" s="629"/>
      <c r="UHN86" s="629"/>
      <c r="UHO86" s="629"/>
      <c r="UHP86" s="629"/>
      <c r="UHQ86" s="629"/>
      <c r="UHR86" s="629"/>
      <c r="UHS86" s="629"/>
      <c r="UHT86" s="629"/>
      <c r="UHU86" s="629"/>
      <c r="UHV86" s="629"/>
      <c r="UHW86" s="629"/>
      <c r="UHX86" s="629"/>
      <c r="UHY86" s="629"/>
      <c r="UHZ86" s="629"/>
      <c r="UIA86" s="629"/>
      <c r="UIB86" s="629"/>
      <c r="UIC86" s="629"/>
      <c r="UID86" s="629"/>
      <c r="UIE86" s="629"/>
      <c r="UIF86" s="629"/>
      <c r="UIG86" s="629"/>
      <c r="UIH86" s="629"/>
      <c r="UII86" s="629"/>
      <c r="UIJ86" s="629"/>
      <c r="UIK86" s="629"/>
      <c r="UIL86" s="629"/>
      <c r="UIM86" s="629"/>
      <c r="UIN86" s="629"/>
      <c r="UIO86" s="629"/>
      <c r="UIP86" s="629"/>
      <c r="UIQ86" s="629"/>
      <c r="UIR86" s="629"/>
      <c r="UIS86" s="629"/>
      <c r="UIT86" s="629"/>
      <c r="UIU86" s="629"/>
      <c r="UIV86" s="629"/>
      <c r="UIW86" s="629"/>
      <c r="UIX86" s="629"/>
      <c r="UIY86" s="629"/>
      <c r="UIZ86" s="629"/>
      <c r="UJA86" s="629"/>
      <c r="UJB86" s="629"/>
      <c r="UJC86" s="629"/>
      <c r="UJD86" s="629"/>
      <c r="UJE86" s="629"/>
      <c r="UJF86" s="629"/>
      <c r="UJG86" s="629"/>
      <c r="UJH86" s="629"/>
      <c r="UJI86" s="629"/>
      <c r="UJJ86" s="629"/>
      <c r="UJK86" s="629"/>
      <c r="UJL86" s="629"/>
      <c r="UJM86" s="629"/>
      <c r="UJN86" s="629"/>
      <c r="UJO86" s="629"/>
      <c r="UJP86" s="629"/>
      <c r="UJQ86" s="629"/>
      <c r="UJR86" s="629"/>
      <c r="UJS86" s="629"/>
      <c r="UJT86" s="629"/>
      <c r="UJU86" s="629"/>
      <c r="UJV86" s="629"/>
      <c r="UJW86" s="629"/>
      <c r="UJX86" s="629"/>
      <c r="UJY86" s="629"/>
      <c r="UJZ86" s="629"/>
      <c r="UKA86" s="629"/>
      <c r="UKB86" s="629"/>
      <c r="UKC86" s="629"/>
      <c r="UKD86" s="629"/>
      <c r="UKE86" s="629"/>
      <c r="UKF86" s="629"/>
      <c r="UKG86" s="629"/>
      <c r="UKH86" s="629"/>
      <c r="UKI86" s="629"/>
      <c r="UKJ86" s="629"/>
      <c r="UKK86" s="629"/>
      <c r="UKL86" s="629"/>
      <c r="UKM86" s="629"/>
      <c r="UKN86" s="629"/>
      <c r="UKO86" s="629"/>
      <c r="UKP86" s="629"/>
      <c r="UKQ86" s="629"/>
      <c r="UKR86" s="629"/>
      <c r="UKS86" s="629"/>
      <c r="UKT86" s="629"/>
      <c r="UKU86" s="629"/>
      <c r="UKV86" s="629"/>
      <c r="UKW86" s="629"/>
      <c r="UKX86" s="629"/>
      <c r="UKY86" s="629"/>
      <c r="UKZ86" s="629"/>
      <c r="ULA86" s="629"/>
      <c r="ULB86" s="629"/>
      <c r="ULC86" s="629"/>
      <c r="ULD86" s="629"/>
      <c r="ULE86" s="629"/>
      <c r="ULF86" s="629"/>
      <c r="ULG86" s="629"/>
      <c r="ULH86" s="629"/>
      <c r="ULI86" s="629"/>
      <c r="ULJ86" s="629"/>
      <c r="ULK86" s="629"/>
      <c r="ULL86" s="629"/>
      <c r="ULM86" s="629"/>
      <c r="ULN86" s="629"/>
      <c r="ULO86" s="629"/>
      <c r="ULP86" s="629"/>
      <c r="ULQ86" s="629"/>
      <c r="ULR86" s="629"/>
      <c r="ULS86" s="629"/>
      <c r="ULT86" s="629"/>
      <c r="ULU86" s="629"/>
      <c r="ULV86" s="629"/>
      <c r="ULW86" s="629"/>
      <c r="ULX86" s="629"/>
      <c r="ULY86" s="629"/>
      <c r="ULZ86" s="629"/>
      <c r="UMA86" s="629"/>
      <c r="UMB86" s="629"/>
      <c r="UMC86" s="629"/>
      <c r="UMD86" s="629"/>
      <c r="UME86" s="629"/>
      <c r="UMF86" s="629"/>
      <c r="UMG86" s="629"/>
      <c r="UMH86" s="629"/>
      <c r="UMI86" s="629"/>
      <c r="UMJ86" s="629"/>
      <c r="UMK86" s="629"/>
      <c r="UML86" s="629"/>
      <c r="UMM86" s="629"/>
      <c r="UMN86" s="629"/>
      <c r="UMO86" s="629"/>
      <c r="UMP86" s="629"/>
      <c r="UMQ86" s="629"/>
      <c r="UMR86" s="629"/>
      <c r="UMS86" s="629"/>
      <c r="UMT86" s="629"/>
      <c r="UMU86" s="629"/>
      <c r="UMV86" s="629"/>
      <c r="UMW86" s="629"/>
      <c r="UMX86" s="629"/>
      <c r="UMY86" s="629"/>
      <c r="UMZ86" s="629"/>
      <c r="UNA86" s="629"/>
      <c r="UNB86" s="629"/>
      <c r="UNC86" s="629"/>
      <c r="UND86" s="629"/>
      <c r="UNE86" s="629"/>
      <c r="UNF86" s="629"/>
      <c r="UNG86" s="629"/>
      <c r="UNH86" s="629"/>
      <c r="UNI86" s="629"/>
      <c r="UNJ86" s="629"/>
      <c r="UNK86" s="629"/>
      <c r="UNL86" s="629"/>
      <c r="UNM86" s="629"/>
      <c r="UNN86" s="629"/>
      <c r="UNO86" s="629"/>
      <c r="UNP86" s="629"/>
      <c r="UNQ86" s="629"/>
      <c r="UNR86" s="629"/>
      <c r="UNS86" s="629"/>
      <c r="UNT86" s="629"/>
      <c r="UNU86" s="629"/>
      <c r="UNV86" s="629"/>
      <c r="UNW86" s="629"/>
      <c r="UNX86" s="629"/>
      <c r="UNY86" s="629"/>
      <c r="UNZ86" s="629"/>
      <c r="UOA86" s="629"/>
      <c r="UOB86" s="629"/>
      <c r="UOC86" s="629"/>
      <c r="UOD86" s="629"/>
      <c r="UOE86" s="629"/>
      <c r="UOF86" s="629"/>
      <c r="UOG86" s="629"/>
      <c r="UOH86" s="629"/>
      <c r="UOI86" s="629"/>
      <c r="UOJ86" s="629"/>
      <c r="UOK86" s="629"/>
      <c r="UOL86" s="629"/>
      <c r="UOM86" s="629"/>
      <c r="UON86" s="629"/>
      <c r="UOO86" s="629"/>
      <c r="UOP86" s="629"/>
      <c r="UOQ86" s="629"/>
      <c r="UOR86" s="629"/>
      <c r="UOS86" s="629"/>
      <c r="UOT86" s="629"/>
      <c r="UOU86" s="629"/>
      <c r="UOV86" s="629"/>
      <c r="UOW86" s="629"/>
      <c r="UOX86" s="629"/>
      <c r="UOY86" s="629"/>
      <c r="UOZ86" s="629"/>
      <c r="UPA86" s="629"/>
      <c r="UPB86" s="629"/>
      <c r="UPC86" s="629"/>
      <c r="UPD86" s="629"/>
      <c r="UPE86" s="629"/>
      <c r="UPF86" s="629"/>
      <c r="UPG86" s="629"/>
      <c r="UPH86" s="629"/>
      <c r="UPI86" s="629"/>
      <c r="UPJ86" s="629"/>
      <c r="UPK86" s="629"/>
      <c r="UPL86" s="629"/>
      <c r="UPM86" s="629"/>
      <c r="UPN86" s="629"/>
      <c r="UPO86" s="629"/>
      <c r="UPP86" s="629"/>
      <c r="UPQ86" s="629"/>
      <c r="UPR86" s="629"/>
      <c r="UPS86" s="629"/>
      <c r="UPT86" s="629"/>
      <c r="UPU86" s="629"/>
      <c r="UPV86" s="629"/>
      <c r="UPW86" s="629"/>
      <c r="UPX86" s="629"/>
      <c r="UPY86" s="629"/>
      <c r="UPZ86" s="629"/>
      <c r="UQA86" s="629"/>
      <c r="UQB86" s="629"/>
      <c r="UQC86" s="629"/>
      <c r="UQD86" s="629"/>
      <c r="UQE86" s="629"/>
      <c r="UQF86" s="629"/>
      <c r="UQG86" s="629"/>
      <c r="UQH86" s="629"/>
      <c r="UQI86" s="629"/>
      <c r="UQJ86" s="629"/>
      <c r="UQK86" s="629"/>
      <c r="UQL86" s="629"/>
      <c r="UQM86" s="629"/>
      <c r="UQN86" s="629"/>
      <c r="UQO86" s="629"/>
      <c r="UQP86" s="629"/>
      <c r="UQQ86" s="629"/>
      <c r="UQR86" s="629"/>
      <c r="UQS86" s="629"/>
      <c r="UQT86" s="629"/>
      <c r="UQU86" s="629"/>
      <c r="UQV86" s="629"/>
      <c r="UQW86" s="629"/>
      <c r="UQX86" s="629"/>
      <c r="UQY86" s="629"/>
      <c r="UQZ86" s="629"/>
      <c r="URA86" s="629"/>
      <c r="URB86" s="629"/>
      <c r="URC86" s="629"/>
      <c r="URD86" s="629"/>
      <c r="URE86" s="629"/>
      <c r="URF86" s="629"/>
      <c r="URG86" s="629"/>
      <c r="URH86" s="629"/>
      <c r="URI86" s="629"/>
      <c r="URJ86" s="629"/>
      <c r="URK86" s="629"/>
      <c r="URL86" s="629"/>
      <c r="URM86" s="629"/>
      <c r="URN86" s="629"/>
      <c r="URO86" s="629"/>
      <c r="URP86" s="629"/>
      <c r="URQ86" s="629"/>
      <c r="URR86" s="629"/>
      <c r="URS86" s="629"/>
      <c r="URT86" s="629"/>
      <c r="URU86" s="629"/>
      <c r="URV86" s="629"/>
      <c r="URW86" s="629"/>
      <c r="URX86" s="629"/>
      <c r="URY86" s="629"/>
      <c r="URZ86" s="629"/>
      <c r="USA86" s="629"/>
      <c r="USB86" s="629"/>
      <c r="USC86" s="629"/>
      <c r="USD86" s="629"/>
      <c r="USE86" s="629"/>
      <c r="USF86" s="629"/>
      <c r="USG86" s="629"/>
      <c r="USH86" s="629"/>
      <c r="USI86" s="629"/>
      <c r="USJ86" s="629"/>
      <c r="USK86" s="629"/>
      <c r="USL86" s="629"/>
      <c r="USM86" s="629"/>
      <c r="USN86" s="629"/>
      <c r="USO86" s="629"/>
      <c r="USP86" s="629"/>
      <c r="USQ86" s="629"/>
      <c r="USR86" s="629"/>
      <c r="USS86" s="629"/>
      <c r="UST86" s="629"/>
      <c r="USU86" s="629"/>
      <c r="USV86" s="629"/>
      <c r="USW86" s="629"/>
      <c r="USX86" s="629"/>
      <c r="USY86" s="629"/>
      <c r="USZ86" s="629"/>
      <c r="UTA86" s="629"/>
      <c r="UTB86" s="629"/>
      <c r="UTC86" s="629"/>
      <c r="UTD86" s="629"/>
      <c r="UTE86" s="629"/>
      <c r="UTF86" s="629"/>
      <c r="UTG86" s="629"/>
      <c r="UTH86" s="629"/>
      <c r="UTI86" s="629"/>
      <c r="UTJ86" s="629"/>
      <c r="UTK86" s="629"/>
      <c r="UTL86" s="629"/>
      <c r="UTM86" s="629"/>
      <c r="UTN86" s="629"/>
      <c r="UTO86" s="629"/>
      <c r="UTP86" s="629"/>
      <c r="UTQ86" s="629"/>
      <c r="UTR86" s="629"/>
      <c r="UTS86" s="629"/>
      <c r="UTT86" s="629"/>
      <c r="UTU86" s="629"/>
      <c r="UTV86" s="629"/>
      <c r="UTW86" s="629"/>
      <c r="UTX86" s="629"/>
      <c r="UTY86" s="629"/>
      <c r="UTZ86" s="629"/>
      <c r="UUA86" s="629"/>
      <c r="UUB86" s="629"/>
      <c r="UUC86" s="629"/>
      <c r="UUD86" s="629"/>
      <c r="UUE86" s="629"/>
      <c r="UUF86" s="629"/>
      <c r="UUG86" s="629"/>
      <c r="UUH86" s="629"/>
      <c r="UUI86" s="629"/>
      <c r="UUJ86" s="629"/>
      <c r="UUK86" s="629"/>
      <c r="UUL86" s="629"/>
      <c r="UUM86" s="629"/>
      <c r="UUN86" s="629"/>
      <c r="UUO86" s="629"/>
      <c r="UUP86" s="629"/>
      <c r="UUQ86" s="629"/>
      <c r="UUR86" s="629"/>
      <c r="UUS86" s="629"/>
      <c r="UUT86" s="629"/>
      <c r="UUU86" s="629"/>
      <c r="UUV86" s="629"/>
      <c r="UUW86" s="629"/>
      <c r="UUX86" s="629"/>
      <c r="UUY86" s="629"/>
      <c r="UUZ86" s="629"/>
      <c r="UVA86" s="629"/>
      <c r="UVB86" s="629"/>
      <c r="UVC86" s="629"/>
      <c r="UVD86" s="629"/>
      <c r="UVE86" s="629"/>
      <c r="UVF86" s="629"/>
      <c r="UVG86" s="629"/>
      <c r="UVH86" s="629"/>
      <c r="UVI86" s="629"/>
      <c r="UVJ86" s="629"/>
      <c r="UVK86" s="629"/>
      <c r="UVL86" s="629"/>
      <c r="UVM86" s="629"/>
      <c r="UVN86" s="629"/>
      <c r="UVO86" s="629"/>
      <c r="UVP86" s="629"/>
      <c r="UVQ86" s="629"/>
      <c r="UVR86" s="629"/>
      <c r="UVS86" s="629"/>
      <c r="UVT86" s="629"/>
      <c r="UVU86" s="629"/>
      <c r="UVV86" s="629"/>
      <c r="UVW86" s="629"/>
      <c r="UVX86" s="629"/>
      <c r="UVY86" s="629"/>
      <c r="UVZ86" s="629"/>
      <c r="UWA86" s="629"/>
      <c r="UWB86" s="629"/>
      <c r="UWC86" s="629"/>
      <c r="UWD86" s="629"/>
      <c r="UWE86" s="629"/>
      <c r="UWF86" s="629"/>
      <c r="UWG86" s="629"/>
      <c r="UWH86" s="629"/>
      <c r="UWI86" s="629"/>
      <c r="UWJ86" s="629"/>
      <c r="UWK86" s="629"/>
      <c r="UWL86" s="629"/>
      <c r="UWM86" s="629"/>
      <c r="UWN86" s="629"/>
      <c r="UWO86" s="629"/>
      <c r="UWP86" s="629"/>
      <c r="UWQ86" s="629"/>
      <c r="UWR86" s="629"/>
      <c r="UWS86" s="629"/>
      <c r="UWT86" s="629"/>
      <c r="UWU86" s="629"/>
      <c r="UWV86" s="629"/>
      <c r="UWW86" s="629"/>
      <c r="UWX86" s="629"/>
      <c r="UWY86" s="629"/>
      <c r="UWZ86" s="629"/>
      <c r="UXA86" s="629"/>
      <c r="UXB86" s="629"/>
      <c r="UXC86" s="629"/>
      <c r="UXD86" s="629"/>
      <c r="UXE86" s="629"/>
      <c r="UXF86" s="629"/>
      <c r="UXG86" s="629"/>
      <c r="UXH86" s="629"/>
      <c r="UXI86" s="629"/>
      <c r="UXJ86" s="629"/>
      <c r="UXK86" s="629"/>
      <c r="UXL86" s="629"/>
      <c r="UXM86" s="629"/>
      <c r="UXN86" s="629"/>
      <c r="UXO86" s="629"/>
      <c r="UXP86" s="629"/>
      <c r="UXQ86" s="629"/>
      <c r="UXR86" s="629"/>
      <c r="UXS86" s="629"/>
      <c r="UXT86" s="629"/>
      <c r="UXU86" s="629"/>
      <c r="UXV86" s="629"/>
      <c r="UXW86" s="629"/>
      <c r="UXX86" s="629"/>
      <c r="UXY86" s="629"/>
      <c r="UXZ86" s="629"/>
      <c r="UYA86" s="629"/>
      <c r="UYB86" s="629"/>
      <c r="UYC86" s="629"/>
      <c r="UYD86" s="629"/>
      <c r="UYE86" s="629"/>
      <c r="UYF86" s="629"/>
      <c r="UYG86" s="629"/>
      <c r="UYH86" s="629"/>
      <c r="UYI86" s="629"/>
      <c r="UYJ86" s="629"/>
      <c r="UYK86" s="629"/>
      <c r="UYL86" s="629"/>
      <c r="UYM86" s="629"/>
      <c r="UYN86" s="629"/>
      <c r="UYO86" s="629"/>
      <c r="UYP86" s="629"/>
      <c r="UYQ86" s="629"/>
      <c r="UYR86" s="629"/>
      <c r="UYS86" s="629"/>
      <c r="UYT86" s="629"/>
      <c r="UYU86" s="629"/>
      <c r="UYV86" s="629"/>
      <c r="UYW86" s="629"/>
      <c r="UYX86" s="629"/>
      <c r="UYY86" s="629"/>
      <c r="UYZ86" s="629"/>
      <c r="UZA86" s="629"/>
      <c r="UZB86" s="629"/>
      <c r="UZC86" s="629"/>
      <c r="UZD86" s="629"/>
      <c r="UZE86" s="629"/>
      <c r="UZF86" s="629"/>
      <c r="UZG86" s="629"/>
      <c r="UZH86" s="629"/>
      <c r="UZI86" s="629"/>
      <c r="UZJ86" s="629"/>
      <c r="UZK86" s="629"/>
      <c r="UZL86" s="629"/>
      <c r="UZM86" s="629"/>
      <c r="UZN86" s="629"/>
      <c r="UZO86" s="629"/>
      <c r="UZP86" s="629"/>
      <c r="UZQ86" s="629"/>
      <c r="UZR86" s="629"/>
      <c r="UZS86" s="629"/>
      <c r="UZT86" s="629"/>
      <c r="UZU86" s="629"/>
      <c r="UZV86" s="629"/>
      <c r="UZW86" s="629"/>
      <c r="UZX86" s="629"/>
      <c r="UZY86" s="629"/>
      <c r="UZZ86" s="629"/>
      <c r="VAA86" s="629"/>
      <c r="VAB86" s="629"/>
      <c r="VAC86" s="629"/>
      <c r="VAD86" s="629"/>
      <c r="VAE86" s="629"/>
      <c r="VAF86" s="629"/>
      <c r="VAG86" s="629"/>
      <c r="VAH86" s="629"/>
      <c r="VAI86" s="629"/>
      <c r="VAJ86" s="629"/>
      <c r="VAK86" s="629"/>
      <c r="VAL86" s="629"/>
      <c r="VAM86" s="629"/>
      <c r="VAN86" s="629"/>
      <c r="VAO86" s="629"/>
      <c r="VAP86" s="629"/>
      <c r="VAQ86" s="629"/>
      <c r="VAR86" s="629"/>
      <c r="VAS86" s="629"/>
      <c r="VAT86" s="629"/>
      <c r="VAU86" s="629"/>
      <c r="VAV86" s="629"/>
      <c r="VAW86" s="629"/>
      <c r="VAX86" s="629"/>
      <c r="VAY86" s="629"/>
      <c r="VAZ86" s="629"/>
      <c r="VBA86" s="629"/>
      <c r="VBB86" s="629"/>
      <c r="VBC86" s="629"/>
      <c r="VBD86" s="629"/>
      <c r="VBE86" s="629"/>
      <c r="VBF86" s="629"/>
      <c r="VBG86" s="629"/>
      <c r="VBH86" s="629"/>
      <c r="VBI86" s="629"/>
      <c r="VBJ86" s="629"/>
      <c r="VBK86" s="629"/>
      <c r="VBL86" s="629"/>
      <c r="VBM86" s="629"/>
      <c r="VBN86" s="629"/>
      <c r="VBO86" s="629"/>
      <c r="VBP86" s="629"/>
      <c r="VBQ86" s="629"/>
      <c r="VBR86" s="629"/>
      <c r="VBS86" s="629"/>
      <c r="VBT86" s="629"/>
      <c r="VBU86" s="629"/>
      <c r="VBV86" s="629"/>
      <c r="VBW86" s="629"/>
      <c r="VBX86" s="629"/>
      <c r="VBY86" s="629"/>
      <c r="VBZ86" s="629"/>
      <c r="VCA86" s="629"/>
      <c r="VCB86" s="629"/>
      <c r="VCC86" s="629"/>
      <c r="VCD86" s="629"/>
      <c r="VCE86" s="629"/>
      <c r="VCF86" s="629"/>
      <c r="VCG86" s="629"/>
      <c r="VCH86" s="629"/>
      <c r="VCI86" s="629"/>
      <c r="VCJ86" s="629"/>
      <c r="VCK86" s="629"/>
      <c r="VCL86" s="629"/>
      <c r="VCM86" s="629"/>
      <c r="VCN86" s="629"/>
      <c r="VCO86" s="629"/>
      <c r="VCP86" s="629"/>
      <c r="VCQ86" s="629"/>
      <c r="VCR86" s="629"/>
      <c r="VCS86" s="629"/>
      <c r="VCT86" s="629"/>
      <c r="VCU86" s="629"/>
      <c r="VCV86" s="629"/>
      <c r="VCW86" s="629"/>
      <c r="VCX86" s="629"/>
      <c r="VCY86" s="629"/>
      <c r="VCZ86" s="629"/>
      <c r="VDA86" s="629"/>
      <c r="VDB86" s="629"/>
      <c r="VDC86" s="629"/>
      <c r="VDD86" s="629"/>
      <c r="VDE86" s="629"/>
      <c r="VDF86" s="629"/>
      <c r="VDG86" s="629"/>
      <c r="VDH86" s="629"/>
      <c r="VDI86" s="629"/>
      <c r="VDJ86" s="629"/>
      <c r="VDK86" s="629"/>
      <c r="VDL86" s="629"/>
      <c r="VDM86" s="629"/>
      <c r="VDN86" s="629"/>
      <c r="VDO86" s="629"/>
      <c r="VDP86" s="629"/>
      <c r="VDQ86" s="629"/>
      <c r="VDR86" s="629"/>
      <c r="VDS86" s="629"/>
      <c r="VDT86" s="629"/>
      <c r="VDU86" s="629"/>
      <c r="VDV86" s="629"/>
      <c r="VDW86" s="629"/>
      <c r="VDX86" s="629"/>
      <c r="VDY86" s="629"/>
      <c r="VDZ86" s="629"/>
      <c r="VEA86" s="629"/>
      <c r="VEB86" s="629"/>
      <c r="VEC86" s="629"/>
      <c r="VED86" s="629"/>
      <c r="VEE86" s="629"/>
      <c r="VEF86" s="629"/>
      <c r="VEG86" s="629"/>
      <c r="VEH86" s="629"/>
      <c r="VEI86" s="629"/>
      <c r="VEJ86" s="629"/>
      <c r="VEK86" s="629"/>
      <c r="VEL86" s="629"/>
      <c r="VEM86" s="629"/>
      <c r="VEN86" s="629"/>
      <c r="VEO86" s="629"/>
      <c r="VEP86" s="629"/>
      <c r="VEQ86" s="629"/>
      <c r="VER86" s="629"/>
      <c r="VES86" s="629"/>
      <c r="VET86" s="629"/>
      <c r="VEU86" s="629"/>
      <c r="VEV86" s="629"/>
      <c r="VEW86" s="629"/>
      <c r="VEX86" s="629"/>
      <c r="VEY86" s="629"/>
      <c r="VEZ86" s="629"/>
      <c r="VFA86" s="629"/>
      <c r="VFB86" s="629"/>
      <c r="VFC86" s="629"/>
      <c r="VFD86" s="629"/>
      <c r="VFE86" s="629"/>
      <c r="VFF86" s="629"/>
      <c r="VFG86" s="629"/>
      <c r="VFH86" s="629"/>
      <c r="VFI86" s="629"/>
      <c r="VFJ86" s="629"/>
      <c r="VFK86" s="629"/>
      <c r="VFL86" s="629"/>
      <c r="VFM86" s="629"/>
      <c r="VFN86" s="629"/>
      <c r="VFO86" s="629"/>
      <c r="VFP86" s="629"/>
      <c r="VFQ86" s="629"/>
      <c r="VFR86" s="629"/>
      <c r="VFS86" s="629"/>
      <c r="VFT86" s="629"/>
      <c r="VFU86" s="629"/>
      <c r="VFV86" s="629"/>
      <c r="VFW86" s="629"/>
      <c r="VFX86" s="629"/>
      <c r="VFY86" s="629"/>
      <c r="VFZ86" s="629"/>
      <c r="VGA86" s="629"/>
      <c r="VGB86" s="629"/>
      <c r="VGC86" s="629"/>
      <c r="VGD86" s="629"/>
      <c r="VGE86" s="629"/>
      <c r="VGF86" s="629"/>
      <c r="VGG86" s="629"/>
      <c r="VGH86" s="629"/>
      <c r="VGI86" s="629"/>
      <c r="VGJ86" s="629"/>
      <c r="VGK86" s="629"/>
      <c r="VGL86" s="629"/>
      <c r="VGM86" s="629"/>
      <c r="VGN86" s="629"/>
      <c r="VGO86" s="629"/>
      <c r="VGP86" s="629"/>
      <c r="VGQ86" s="629"/>
      <c r="VGR86" s="629"/>
      <c r="VGS86" s="629"/>
      <c r="VGT86" s="629"/>
      <c r="VGU86" s="629"/>
      <c r="VGV86" s="629"/>
      <c r="VGW86" s="629"/>
      <c r="VGX86" s="629"/>
      <c r="VGY86" s="629"/>
      <c r="VGZ86" s="629"/>
      <c r="VHA86" s="629"/>
      <c r="VHB86" s="629"/>
      <c r="VHC86" s="629"/>
      <c r="VHD86" s="629"/>
      <c r="VHE86" s="629"/>
      <c r="VHF86" s="629"/>
      <c r="VHG86" s="629"/>
      <c r="VHH86" s="629"/>
      <c r="VHI86" s="629"/>
      <c r="VHJ86" s="629"/>
      <c r="VHK86" s="629"/>
      <c r="VHL86" s="629"/>
      <c r="VHM86" s="629"/>
      <c r="VHN86" s="629"/>
      <c r="VHO86" s="629"/>
      <c r="VHP86" s="629"/>
      <c r="VHQ86" s="629"/>
      <c r="VHR86" s="629"/>
      <c r="VHS86" s="629"/>
      <c r="VHT86" s="629"/>
      <c r="VHU86" s="629"/>
      <c r="VHV86" s="629"/>
      <c r="VHW86" s="629"/>
      <c r="VHX86" s="629"/>
      <c r="VHY86" s="629"/>
      <c r="VHZ86" s="629"/>
      <c r="VIA86" s="629"/>
      <c r="VIB86" s="629"/>
      <c r="VIC86" s="629"/>
      <c r="VID86" s="629"/>
      <c r="VIE86" s="629"/>
      <c r="VIF86" s="629"/>
      <c r="VIG86" s="629"/>
      <c r="VIH86" s="629"/>
      <c r="VII86" s="629"/>
      <c r="VIJ86" s="629"/>
      <c r="VIK86" s="629"/>
      <c r="VIL86" s="629"/>
      <c r="VIM86" s="629"/>
      <c r="VIN86" s="629"/>
      <c r="VIO86" s="629"/>
      <c r="VIP86" s="629"/>
      <c r="VIQ86" s="629"/>
      <c r="VIR86" s="629"/>
      <c r="VIS86" s="629"/>
      <c r="VIT86" s="629"/>
      <c r="VIU86" s="629"/>
      <c r="VIV86" s="629"/>
      <c r="VIW86" s="629"/>
      <c r="VIX86" s="629"/>
      <c r="VIY86" s="629"/>
      <c r="VIZ86" s="629"/>
      <c r="VJA86" s="629"/>
      <c r="VJB86" s="629"/>
      <c r="VJC86" s="629"/>
      <c r="VJD86" s="629"/>
      <c r="VJE86" s="629"/>
      <c r="VJF86" s="629"/>
      <c r="VJG86" s="629"/>
      <c r="VJH86" s="629"/>
      <c r="VJI86" s="629"/>
      <c r="VJJ86" s="629"/>
      <c r="VJK86" s="629"/>
      <c r="VJL86" s="629"/>
      <c r="VJM86" s="629"/>
      <c r="VJN86" s="629"/>
      <c r="VJO86" s="629"/>
      <c r="VJP86" s="629"/>
      <c r="VJQ86" s="629"/>
      <c r="VJR86" s="629"/>
      <c r="VJS86" s="629"/>
      <c r="VJT86" s="629"/>
      <c r="VJU86" s="629"/>
      <c r="VJV86" s="629"/>
      <c r="VJW86" s="629"/>
      <c r="VJX86" s="629"/>
      <c r="VJY86" s="629"/>
      <c r="VJZ86" s="629"/>
      <c r="VKA86" s="629"/>
      <c r="VKB86" s="629"/>
      <c r="VKC86" s="629"/>
      <c r="VKD86" s="629"/>
      <c r="VKE86" s="629"/>
      <c r="VKF86" s="629"/>
      <c r="VKG86" s="629"/>
      <c r="VKH86" s="629"/>
      <c r="VKI86" s="629"/>
      <c r="VKJ86" s="629"/>
      <c r="VKK86" s="629"/>
      <c r="VKL86" s="629"/>
      <c r="VKM86" s="629"/>
      <c r="VKN86" s="629"/>
      <c r="VKO86" s="629"/>
      <c r="VKP86" s="629"/>
      <c r="VKQ86" s="629"/>
      <c r="VKR86" s="629"/>
      <c r="VKS86" s="629"/>
      <c r="VKT86" s="629"/>
      <c r="VKU86" s="629"/>
      <c r="VKV86" s="629"/>
      <c r="VKW86" s="629"/>
      <c r="VKX86" s="629"/>
      <c r="VKY86" s="629"/>
      <c r="VKZ86" s="629"/>
      <c r="VLA86" s="629"/>
      <c r="VLB86" s="629"/>
      <c r="VLC86" s="629"/>
      <c r="VLD86" s="629"/>
      <c r="VLE86" s="629"/>
      <c r="VLF86" s="629"/>
      <c r="VLG86" s="629"/>
      <c r="VLH86" s="629"/>
      <c r="VLI86" s="629"/>
      <c r="VLJ86" s="629"/>
      <c r="VLK86" s="629"/>
      <c r="VLL86" s="629"/>
      <c r="VLM86" s="629"/>
      <c r="VLN86" s="629"/>
      <c r="VLO86" s="629"/>
      <c r="VLP86" s="629"/>
      <c r="VLQ86" s="629"/>
      <c r="VLR86" s="629"/>
      <c r="VLS86" s="629"/>
      <c r="VLT86" s="629"/>
      <c r="VLU86" s="629"/>
      <c r="VLV86" s="629"/>
      <c r="VLW86" s="629"/>
      <c r="VLX86" s="629"/>
      <c r="VLY86" s="629"/>
      <c r="VLZ86" s="629"/>
      <c r="VMA86" s="629"/>
      <c r="VMB86" s="629"/>
      <c r="VMC86" s="629"/>
      <c r="VMD86" s="629"/>
      <c r="VME86" s="629"/>
      <c r="VMF86" s="629"/>
      <c r="VMG86" s="629"/>
      <c r="VMH86" s="629"/>
      <c r="VMI86" s="629"/>
      <c r="VMJ86" s="629"/>
      <c r="VMK86" s="629"/>
      <c r="VML86" s="629"/>
      <c r="VMM86" s="629"/>
      <c r="VMN86" s="629"/>
      <c r="VMO86" s="629"/>
      <c r="VMP86" s="629"/>
      <c r="VMQ86" s="629"/>
      <c r="VMR86" s="629"/>
      <c r="VMS86" s="629"/>
      <c r="VMT86" s="629"/>
      <c r="VMU86" s="629"/>
      <c r="VMV86" s="629"/>
      <c r="VMW86" s="629"/>
      <c r="VMX86" s="629"/>
      <c r="VMY86" s="629"/>
      <c r="VMZ86" s="629"/>
      <c r="VNA86" s="629"/>
      <c r="VNB86" s="629"/>
      <c r="VNC86" s="629"/>
      <c r="VND86" s="629"/>
      <c r="VNE86" s="629"/>
      <c r="VNF86" s="629"/>
      <c r="VNG86" s="629"/>
      <c r="VNH86" s="629"/>
      <c r="VNI86" s="629"/>
      <c r="VNJ86" s="629"/>
      <c r="VNK86" s="629"/>
      <c r="VNL86" s="629"/>
      <c r="VNM86" s="629"/>
      <c r="VNN86" s="629"/>
      <c r="VNO86" s="629"/>
      <c r="VNP86" s="629"/>
      <c r="VNQ86" s="629"/>
      <c r="VNR86" s="629"/>
      <c r="VNS86" s="629"/>
      <c r="VNT86" s="629"/>
      <c r="VNU86" s="629"/>
      <c r="VNV86" s="629"/>
      <c r="VNW86" s="629"/>
      <c r="VNX86" s="629"/>
      <c r="VNY86" s="629"/>
      <c r="VNZ86" s="629"/>
      <c r="VOA86" s="629"/>
      <c r="VOB86" s="629"/>
      <c r="VOC86" s="629"/>
      <c r="VOD86" s="629"/>
      <c r="VOE86" s="629"/>
      <c r="VOF86" s="629"/>
      <c r="VOG86" s="629"/>
      <c r="VOH86" s="629"/>
      <c r="VOI86" s="629"/>
      <c r="VOJ86" s="629"/>
      <c r="VOK86" s="629"/>
      <c r="VOL86" s="629"/>
      <c r="VOM86" s="629"/>
      <c r="VON86" s="629"/>
      <c r="VOO86" s="629"/>
      <c r="VOP86" s="629"/>
      <c r="VOQ86" s="629"/>
      <c r="VOR86" s="629"/>
      <c r="VOS86" s="629"/>
      <c r="VOT86" s="629"/>
      <c r="VOU86" s="629"/>
      <c r="VOV86" s="629"/>
      <c r="VOW86" s="629"/>
      <c r="VOX86" s="629"/>
      <c r="VOY86" s="629"/>
      <c r="VOZ86" s="629"/>
      <c r="VPA86" s="629"/>
      <c r="VPB86" s="629"/>
      <c r="VPC86" s="629"/>
      <c r="VPD86" s="629"/>
      <c r="VPE86" s="629"/>
      <c r="VPF86" s="629"/>
      <c r="VPG86" s="629"/>
      <c r="VPH86" s="629"/>
      <c r="VPI86" s="629"/>
      <c r="VPJ86" s="629"/>
      <c r="VPK86" s="629"/>
      <c r="VPL86" s="629"/>
      <c r="VPM86" s="629"/>
      <c r="VPN86" s="629"/>
      <c r="VPO86" s="629"/>
      <c r="VPP86" s="629"/>
      <c r="VPQ86" s="629"/>
      <c r="VPR86" s="629"/>
      <c r="VPS86" s="629"/>
      <c r="VPT86" s="629"/>
      <c r="VPU86" s="629"/>
      <c r="VPV86" s="629"/>
      <c r="VPW86" s="629"/>
      <c r="VPX86" s="629"/>
      <c r="VPY86" s="629"/>
      <c r="VPZ86" s="629"/>
      <c r="VQA86" s="629"/>
      <c r="VQB86" s="629"/>
      <c r="VQC86" s="629"/>
      <c r="VQD86" s="629"/>
      <c r="VQE86" s="629"/>
      <c r="VQF86" s="629"/>
      <c r="VQG86" s="629"/>
      <c r="VQH86" s="629"/>
      <c r="VQI86" s="629"/>
      <c r="VQJ86" s="629"/>
      <c r="VQK86" s="629"/>
      <c r="VQL86" s="629"/>
      <c r="VQM86" s="629"/>
      <c r="VQN86" s="629"/>
      <c r="VQO86" s="629"/>
      <c r="VQP86" s="629"/>
      <c r="VQQ86" s="629"/>
      <c r="VQR86" s="629"/>
      <c r="VQS86" s="629"/>
      <c r="VQT86" s="629"/>
      <c r="VQU86" s="629"/>
      <c r="VQV86" s="629"/>
      <c r="VQW86" s="629"/>
      <c r="VQX86" s="629"/>
      <c r="VQY86" s="629"/>
      <c r="VQZ86" s="629"/>
      <c r="VRA86" s="629"/>
      <c r="VRB86" s="629"/>
      <c r="VRC86" s="629"/>
      <c r="VRD86" s="629"/>
      <c r="VRE86" s="629"/>
      <c r="VRF86" s="629"/>
      <c r="VRG86" s="629"/>
      <c r="VRH86" s="629"/>
      <c r="VRI86" s="629"/>
      <c r="VRJ86" s="629"/>
      <c r="VRK86" s="629"/>
      <c r="VRL86" s="629"/>
      <c r="VRM86" s="629"/>
      <c r="VRN86" s="629"/>
      <c r="VRO86" s="629"/>
      <c r="VRP86" s="629"/>
      <c r="VRQ86" s="629"/>
      <c r="VRR86" s="629"/>
      <c r="VRS86" s="629"/>
      <c r="VRT86" s="629"/>
      <c r="VRU86" s="629"/>
      <c r="VRV86" s="629"/>
      <c r="VRW86" s="629"/>
      <c r="VRX86" s="629"/>
      <c r="VRY86" s="629"/>
      <c r="VRZ86" s="629"/>
      <c r="VSA86" s="629"/>
      <c r="VSB86" s="629"/>
      <c r="VSC86" s="629"/>
      <c r="VSD86" s="629"/>
      <c r="VSE86" s="629"/>
      <c r="VSF86" s="629"/>
      <c r="VSG86" s="629"/>
      <c r="VSH86" s="629"/>
      <c r="VSI86" s="629"/>
      <c r="VSJ86" s="629"/>
      <c r="VSK86" s="629"/>
      <c r="VSL86" s="629"/>
      <c r="VSM86" s="629"/>
      <c r="VSN86" s="629"/>
      <c r="VSO86" s="629"/>
      <c r="VSP86" s="629"/>
      <c r="VSQ86" s="629"/>
      <c r="VSR86" s="629"/>
      <c r="VSS86" s="629"/>
      <c r="VST86" s="629"/>
      <c r="VSU86" s="629"/>
      <c r="VSV86" s="629"/>
      <c r="VSW86" s="629"/>
      <c r="VSX86" s="629"/>
      <c r="VSY86" s="629"/>
      <c r="VSZ86" s="629"/>
      <c r="VTA86" s="629"/>
      <c r="VTB86" s="629"/>
      <c r="VTC86" s="629"/>
      <c r="VTD86" s="629"/>
      <c r="VTE86" s="629"/>
      <c r="VTF86" s="629"/>
      <c r="VTG86" s="629"/>
      <c r="VTH86" s="629"/>
      <c r="VTI86" s="629"/>
      <c r="VTJ86" s="629"/>
      <c r="VTK86" s="629"/>
      <c r="VTL86" s="629"/>
      <c r="VTM86" s="629"/>
      <c r="VTN86" s="629"/>
      <c r="VTO86" s="629"/>
      <c r="VTP86" s="629"/>
      <c r="VTQ86" s="629"/>
      <c r="VTR86" s="629"/>
      <c r="VTS86" s="629"/>
      <c r="VTT86" s="629"/>
      <c r="VTU86" s="629"/>
      <c r="VTV86" s="629"/>
      <c r="VTW86" s="629"/>
      <c r="VTX86" s="629"/>
      <c r="VTY86" s="629"/>
      <c r="VTZ86" s="629"/>
      <c r="VUA86" s="629"/>
      <c r="VUB86" s="629"/>
      <c r="VUC86" s="629"/>
      <c r="VUD86" s="629"/>
      <c r="VUE86" s="629"/>
      <c r="VUF86" s="629"/>
      <c r="VUG86" s="629"/>
      <c r="VUH86" s="629"/>
      <c r="VUI86" s="629"/>
      <c r="VUJ86" s="629"/>
      <c r="VUK86" s="629"/>
      <c r="VUL86" s="629"/>
      <c r="VUM86" s="629"/>
      <c r="VUN86" s="629"/>
      <c r="VUO86" s="629"/>
      <c r="VUP86" s="629"/>
      <c r="VUQ86" s="629"/>
      <c r="VUR86" s="629"/>
      <c r="VUS86" s="629"/>
      <c r="VUT86" s="629"/>
      <c r="VUU86" s="629"/>
      <c r="VUV86" s="629"/>
      <c r="VUW86" s="629"/>
      <c r="VUX86" s="629"/>
      <c r="VUY86" s="629"/>
      <c r="VUZ86" s="629"/>
      <c r="VVA86" s="629"/>
      <c r="VVB86" s="629"/>
      <c r="VVC86" s="629"/>
      <c r="VVD86" s="629"/>
      <c r="VVE86" s="629"/>
      <c r="VVF86" s="629"/>
      <c r="VVG86" s="629"/>
      <c r="VVH86" s="629"/>
      <c r="VVI86" s="629"/>
      <c r="VVJ86" s="629"/>
      <c r="VVK86" s="629"/>
      <c r="VVL86" s="629"/>
      <c r="VVM86" s="629"/>
      <c r="VVN86" s="629"/>
      <c r="VVO86" s="629"/>
      <c r="VVP86" s="629"/>
      <c r="VVQ86" s="629"/>
      <c r="VVR86" s="629"/>
      <c r="VVS86" s="629"/>
      <c r="VVT86" s="629"/>
      <c r="VVU86" s="629"/>
      <c r="VVV86" s="629"/>
      <c r="VVW86" s="629"/>
      <c r="VVX86" s="629"/>
      <c r="VVY86" s="629"/>
      <c r="VVZ86" s="629"/>
      <c r="VWA86" s="629"/>
      <c r="VWB86" s="629"/>
      <c r="VWC86" s="629"/>
      <c r="VWD86" s="629"/>
      <c r="VWE86" s="629"/>
      <c r="VWF86" s="629"/>
      <c r="VWG86" s="629"/>
      <c r="VWH86" s="629"/>
      <c r="VWI86" s="629"/>
      <c r="VWJ86" s="629"/>
      <c r="VWK86" s="629"/>
      <c r="VWL86" s="629"/>
      <c r="VWM86" s="629"/>
      <c r="VWN86" s="629"/>
      <c r="VWO86" s="629"/>
      <c r="VWP86" s="629"/>
      <c r="VWQ86" s="629"/>
      <c r="VWR86" s="629"/>
      <c r="VWS86" s="629"/>
      <c r="VWT86" s="629"/>
      <c r="VWU86" s="629"/>
      <c r="VWV86" s="629"/>
      <c r="VWW86" s="629"/>
      <c r="VWX86" s="629"/>
      <c r="VWY86" s="629"/>
      <c r="VWZ86" s="629"/>
      <c r="VXA86" s="629"/>
      <c r="VXB86" s="629"/>
      <c r="VXC86" s="629"/>
      <c r="VXD86" s="629"/>
      <c r="VXE86" s="629"/>
      <c r="VXF86" s="629"/>
      <c r="VXG86" s="629"/>
      <c r="VXH86" s="629"/>
      <c r="VXI86" s="629"/>
      <c r="VXJ86" s="629"/>
      <c r="VXK86" s="629"/>
      <c r="VXL86" s="629"/>
      <c r="VXM86" s="629"/>
      <c r="VXN86" s="629"/>
      <c r="VXO86" s="629"/>
      <c r="VXP86" s="629"/>
      <c r="VXQ86" s="629"/>
      <c r="VXR86" s="629"/>
      <c r="VXS86" s="629"/>
      <c r="VXT86" s="629"/>
      <c r="VXU86" s="629"/>
      <c r="VXV86" s="629"/>
      <c r="VXW86" s="629"/>
      <c r="VXX86" s="629"/>
      <c r="VXY86" s="629"/>
      <c r="VXZ86" s="629"/>
      <c r="VYA86" s="629"/>
      <c r="VYB86" s="629"/>
      <c r="VYC86" s="629"/>
      <c r="VYD86" s="629"/>
      <c r="VYE86" s="629"/>
      <c r="VYF86" s="629"/>
      <c r="VYG86" s="629"/>
      <c r="VYH86" s="629"/>
      <c r="VYI86" s="629"/>
      <c r="VYJ86" s="629"/>
      <c r="VYK86" s="629"/>
      <c r="VYL86" s="629"/>
      <c r="VYM86" s="629"/>
      <c r="VYN86" s="629"/>
      <c r="VYO86" s="629"/>
      <c r="VYP86" s="629"/>
      <c r="VYQ86" s="629"/>
      <c r="VYR86" s="629"/>
      <c r="VYS86" s="629"/>
      <c r="VYT86" s="629"/>
      <c r="VYU86" s="629"/>
      <c r="VYV86" s="629"/>
      <c r="VYW86" s="629"/>
      <c r="VYX86" s="629"/>
      <c r="VYY86" s="629"/>
      <c r="VYZ86" s="629"/>
      <c r="VZA86" s="629"/>
      <c r="VZB86" s="629"/>
      <c r="VZC86" s="629"/>
      <c r="VZD86" s="629"/>
      <c r="VZE86" s="629"/>
      <c r="VZF86" s="629"/>
      <c r="VZG86" s="629"/>
      <c r="VZH86" s="629"/>
      <c r="VZI86" s="629"/>
      <c r="VZJ86" s="629"/>
      <c r="VZK86" s="629"/>
      <c r="VZL86" s="629"/>
      <c r="VZM86" s="629"/>
      <c r="VZN86" s="629"/>
      <c r="VZO86" s="629"/>
      <c r="VZP86" s="629"/>
      <c r="VZQ86" s="629"/>
      <c r="VZR86" s="629"/>
      <c r="VZS86" s="629"/>
      <c r="VZT86" s="629"/>
      <c r="VZU86" s="629"/>
      <c r="VZV86" s="629"/>
      <c r="VZW86" s="629"/>
      <c r="VZX86" s="629"/>
      <c r="VZY86" s="629"/>
      <c r="VZZ86" s="629"/>
      <c r="WAA86" s="629"/>
      <c r="WAB86" s="629"/>
      <c r="WAC86" s="629"/>
      <c r="WAD86" s="629"/>
      <c r="WAE86" s="629"/>
      <c r="WAF86" s="629"/>
      <c r="WAG86" s="629"/>
      <c r="WAH86" s="629"/>
      <c r="WAI86" s="629"/>
      <c r="WAJ86" s="629"/>
      <c r="WAK86" s="629"/>
      <c r="WAL86" s="629"/>
      <c r="WAM86" s="629"/>
      <c r="WAN86" s="629"/>
      <c r="WAO86" s="629"/>
      <c r="WAP86" s="629"/>
      <c r="WAQ86" s="629"/>
      <c r="WAR86" s="629"/>
      <c r="WAS86" s="629"/>
      <c r="WAT86" s="629"/>
      <c r="WAU86" s="629"/>
      <c r="WAV86" s="629"/>
      <c r="WAW86" s="629"/>
      <c r="WAX86" s="629"/>
      <c r="WAY86" s="629"/>
      <c r="WAZ86" s="629"/>
      <c r="WBA86" s="629"/>
      <c r="WBB86" s="629"/>
      <c r="WBC86" s="629"/>
      <c r="WBD86" s="629"/>
      <c r="WBE86" s="629"/>
      <c r="WBF86" s="629"/>
      <c r="WBG86" s="629"/>
      <c r="WBH86" s="629"/>
      <c r="WBI86" s="629"/>
      <c r="WBJ86" s="629"/>
      <c r="WBK86" s="629"/>
      <c r="WBL86" s="629"/>
      <c r="WBM86" s="629"/>
      <c r="WBN86" s="629"/>
      <c r="WBO86" s="629"/>
      <c r="WBP86" s="629"/>
      <c r="WBQ86" s="629"/>
      <c r="WBR86" s="629"/>
      <c r="WBS86" s="629"/>
      <c r="WBT86" s="629"/>
      <c r="WBU86" s="629"/>
      <c r="WBV86" s="629"/>
      <c r="WBW86" s="629"/>
      <c r="WBX86" s="629"/>
      <c r="WBY86" s="629"/>
      <c r="WBZ86" s="629"/>
      <c r="WCA86" s="629"/>
      <c r="WCB86" s="629"/>
      <c r="WCC86" s="629"/>
      <c r="WCD86" s="629"/>
      <c r="WCE86" s="629"/>
      <c r="WCF86" s="629"/>
      <c r="WCG86" s="629"/>
      <c r="WCH86" s="629"/>
      <c r="WCI86" s="629"/>
      <c r="WCJ86" s="629"/>
      <c r="WCK86" s="629"/>
      <c r="WCL86" s="629"/>
      <c r="WCM86" s="629"/>
      <c r="WCN86" s="629"/>
      <c r="WCO86" s="629"/>
      <c r="WCP86" s="629"/>
      <c r="WCQ86" s="629"/>
      <c r="WCR86" s="629"/>
      <c r="WCS86" s="629"/>
      <c r="WCT86" s="629"/>
      <c r="WCU86" s="629"/>
      <c r="WCV86" s="629"/>
      <c r="WCW86" s="629"/>
      <c r="WCX86" s="629"/>
      <c r="WCY86" s="629"/>
      <c r="WCZ86" s="629"/>
      <c r="WDA86" s="629"/>
      <c r="WDB86" s="629"/>
      <c r="WDC86" s="629"/>
      <c r="WDD86" s="629"/>
      <c r="WDE86" s="629"/>
      <c r="WDF86" s="629"/>
      <c r="WDG86" s="629"/>
      <c r="WDH86" s="629"/>
      <c r="WDI86" s="629"/>
      <c r="WDJ86" s="629"/>
      <c r="WDK86" s="629"/>
      <c r="WDL86" s="629"/>
      <c r="WDM86" s="629"/>
      <c r="WDN86" s="629"/>
      <c r="WDO86" s="629"/>
      <c r="WDP86" s="629"/>
      <c r="WDQ86" s="629"/>
      <c r="WDR86" s="629"/>
      <c r="WDS86" s="629"/>
      <c r="WDT86" s="629"/>
      <c r="WDU86" s="629"/>
      <c r="WDV86" s="629"/>
      <c r="WDW86" s="629"/>
      <c r="WDX86" s="629"/>
      <c r="WDY86" s="629"/>
      <c r="WDZ86" s="629"/>
      <c r="WEA86" s="629"/>
      <c r="WEB86" s="629"/>
      <c r="WEC86" s="629"/>
      <c r="WED86" s="629"/>
      <c r="WEE86" s="629"/>
      <c r="WEF86" s="629"/>
      <c r="WEG86" s="629"/>
      <c r="WEH86" s="629"/>
      <c r="WEI86" s="629"/>
      <c r="WEJ86" s="629"/>
      <c r="WEK86" s="629"/>
      <c r="WEL86" s="629"/>
      <c r="WEM86" s="629"/>
      <c r="WEN86" s="629"/>
      <c r="WEO86" s="629"/>
      <c r="WEP86" s="629"/>
      <c r="WEQ86" s="629"/>
      <c r="WER86" s="629"/>
      <c r="WES86" s="629"/>
      <c r="WET86" s="629"/>
      <c r="WEU86" s="629"/>
      <c r="WEV86" s="629"/>
      <c r="WEW86" s="629"/>
      <c r="WEX86" s="629"/>
      <c r="WEY86" s="629"/>
      <c r="WEZ86" s="629"/>
      <c r="WFA86" s="629"/>
      <c r="WFB86" s="629"/>
      <c r="WFC86" s="629"/>
      <c r="WFD86" s="629"/>
      <c r="WFE86" s="629"/>
      <c r="WFF86" s="629"/>
      <c r="WFG86" s="629"/>
      <c r="WFH86" s="629"/>
      <c r="WFI86" s="629"/>
      <c r="WFJ86" s="629"/>
      <c r="WFK86" s="629"/>
      <c r="WFL86" s="629"/>
      <c r="WFM86" s="629"/>
      <c r="WFN86" s="629"/>
      <c r="WFO86" s="629"/>
      <c r="WFP86" s="629"/>
      <c r="WFQ86" s="629"/>
      <c r="WFR86" s="629"/>
      <c r="WFS86" s="629"/>
      <c r="WFT86" s="629"/>
      <c r="WFU86" s="629"/>
      <c r="WFV86" s="629"/>
      <c r="WFW86" s="629"/>
      <c r="WFX86" s="629"/>
      <c r="WFY86" s="629"/>
      <c r="WFZ86" s="629"/>
      <c r="WGA86" s="629"/>
      <c r="WGB86" s="629"/>
      <c r="WGC86" s="629"/>
      <c r="WGD86" s="629"/>
      <c r="WGE86" s="629"/>
      <c r="WGF86" s="629"/>
      <c r="WGG86" s="629"/>
      <c r="WGH86" s="629"/>
      <c r="WGI86" s="629"/>
      <c r="WGJ86" s="629"/>
      <c r="WGK86" s="629"/>
      <c r="WGL86" s="629"/>
      <c r="WGM86" s="629"/>
      <c r="WGN86" s="629"/>
      <c r="WGO86" s="629"/>
      <c r="WGP86" s="629"/>
      <c r="WGQ86" s="629"/>
      <c r="WGR86" s="629"/>
      <c r="WGS86" s="629"/>
      <c r="WGT86" s="629"/>
      <c r="WGU86" s="629"/>
      <c r="WGV86" s="629"/>
      <c r="WGW86" s="629"/>
      <c r="WGX86" s="629"/>
      <c r="WGY86" s="629"/>
      <c r="WGZ86" s="629"/>
      <c r="WHA86" s="629"/>
      <c r="WHB86" s="629"/>
      <c r="WHC86" s="629"/>
      <c r="WHD86" s="629"/>
      <c r="WHE86" s="629"/>
      <c r="WHF86" s="629"/>
      <c r="WHG86" s="629"/>
      <c r="WHH86" s="629"/>
      <c r="WHI86" s="629"/>
      <c r="WHJ86" s="629"/>
      <c r="WHK86" s="629"/>
      <c r="WHL86" s="629"/>
      <c r="WHM86" s="629"/>
      <c r="WHN86" s="629"/>
      <c r="WHO86" s="629"/>
      <c r="WHP86" s="629"/>
      <c r="WHQ86" s="629"/>
      <c r="WHR86" s="629"/>
      <c r="WHS86" s="629"/>
      <c r="WHT86" s="629"/>
      <c r="WHU86" s="629"/>
      <c r="WHV86" s="629"/>
      <c r="WHW86" s="629"/>
      <c r="WHX86" s="629"/>
      <c r="WHY86" s="629"/>
      <c r="WHZ86" s="629"/>
      <c r="WIA86" s="629"/>
      <c r="WIB86" s="629"/>
      <c r="WIC86" s="629"/>
      <c r="WID86" s="629"/>
      <c r="WIE86" s="629"/>
      <c r="WIF86" s="629"/>
      <c r="WIG86" s="629"/>
      <c r="WIH86" s="629"/>
      <c r="WII86" s="629"/>
      <c r="WIJ86" s="629"/>
      <c r="WIK86" s="629"/>
      <c r="WIL86" s="629"/>
      <c r="WIM86" s="629"/>
      <c r="WIN86" s="629"/>
      <c r="WIO86" s="629"/>
      <c r="WIP86" s="629"/>
      <c r="WIQ86" s="629"/>
      <c r="WIR86" s="629"/>
      <c r="WIS86" s="629"/>
      <c r="WIT86" s="629"/>
      <c r="WIU86" s="629"/>
      <c r="WIV86" s="629"/>
      <c r="WIW86" s="629"/>
      <c r="WIX86" s="629"/>
      <c r="WIY86" s="629"/>
      <c r="WIZ86" s="629"/>
      <c r="WJA86" s="629"/>
      <c r="WJB86" s="629"/>
      <c r="WJC86" s="629"/>
      <c r="WJD86" s="629"/>
      <c r="WJE86" s="629"/>
      <c r="WJF86" s="629"/>
      <c r="WJG86" s="629"/>
      <c r="WJH86" s="629"/>
      <c r="WJI86" s="629"/>
      <c r="WJJ86" s="629"/>
      <c r="WJK86" s="629"/>
      <c r="WJL86" s="629"/>
      <c r="WJM86" s="629"/>
      <c r="WJN86" s="629"/>
      <c r="WJO86" s="629"/>
      <c r="WJP86" s="629"/>
      <c r="WJQ86" s="629"/>
      <c r="WJR86" s="629"/>
      <c r="WJS86" s="629"/>
      <c r="WJT86" s="629"/>
      <c r="WJU86" s="629"/>
      <c r="WJV86" s="629"/>
      <c r="WJW86" s="629"/>
      <c r="WJX86" s="629"/>
      <c r="WJY86" s="629"/>
      <c r="WJZ86" s="629"/>
      <c r="WKA86" s="629"/>
      <c r="WKB86" s="629"/>
      <c r="WKC86" s="629"/>
      <c r="WKD86" s="629"/>
      <c r="WKE86" s="629"/>
      <c r="WKF86" s="629"/>
      <c r="WKG86" s="629"/>
      <c r="WKH86" s="629"/>
      <c r="WKI86" s="629"/>
      <c r="WKJ86" s="629"/>
      <c r="WKK86" s="629"/>
      <c r="WKL86" s="629"/>
      <c r="WKM86" s="629"/>
      <c r="WKN86" s="629"/>
      <c r="WKO86" s="629"/>
      <c r="WKP86" s="629"/>
      <c r="WKQ86" s="629"/>
      <c r="WKR86" s="629"/>
      <c r="WKS86" s="629"/>
      <c r="WKT86" s="629"/>
      <c r="WKU86" s="629"/>
      <c r="WKV86" s="629"/>
      <c r="WKW86" s="629"/>
      <c r="WKX86" s="629"/>
      <c r="WKY86" s="629"/>
      <c r="WKZ86" s="629"/>
      <c r="WLA86" s="629"/>
      <c r="WLB86" s="629"/>
      <c r="WLC86" s="629"/>
      <c r="WLD86" s="629"/>
      <c r="WLE86" s="629"/>
      <c r="WLF86" s="629"/>
      <c r="WLG86" s="629"/>
      <c r="WLH86" s="629"/>
      <c r="WLI86" s="629"/>
      <c r="WLJ86" s="629"/>
      <c r="WLK86" s="629"/>
      <c r="WLL86" s="629"/>
      <c r="WLM86" s="629"/>
      <c r="WLN86" s="629"/>
      <c r="WLO86" s="629"/>
      <c r="WLP86" s="629"/>
      <c r="WLQ86" s="629"/>
      <c r="WLR86" s="629"/>
      <c r="WLS86" s="629"/>
      <c r="WLT86" s="629"/>
      <c r="WLU86" s="629"/>
      <c r="WLV86" s="629"/>
      <c r="WLW86" s="629"/>
      <c r="WLX86" s="629"/>
      <c r="WLY86" s="629"/>
      <c r="WLZ86" s="629"/>
      <c r="WMA86" s="629"/>
      <c r="WMB86" s="629"/>
      <c r="WMC86" s="629"/>
      <c r="WMD86" s="629"/>
      <c r="WME86" s="629"/>
      <c r="WMF86" s="629"/>
      <c r="WMG86" s="629"/>
      <c r="WMH86" s="629"/>
      <c r="WMI86" s="629"/>
      <c r="WMJ86" s="629"/>
      <c r="WMK86" s="629"/>
      <c r="WML86" s="629"/>
      <c r="WMM86" s="629"/>
      <c r="WMN86" s="629"/>
      <c r="WMO86" s="629"/>
      <c r="WMP86" s="629"/>
      <c r="WMQ86" s="629"/>
      <c r="WMR86" s="629"/>
      <c r="WMS86" s="629"/>
      <c r="WMT86" s="629"/>
      <c r="WMU86" s="629"/>
      <c r="WMV86" s="629"/>
      <c r="WMW86" s="629"/>
      <c r="WMX86" s="629"/>
      <c r="WMY86" s="629"/>
      <c r="WMZ86" s="629"/>
      <c r="WNA86" s="629"/>
      <c r="WNB86" s="629"/>
      <c r="WNC86" s="629"/>
      <c r="WND86" s="629"/>
      <c r="WNE86" s="629"/>
      <c r="WNF86" s="629"/>
      <c r="WNG86" s="629"/>
      <c r="WNH86" s="629"/>
      <c r="WNI86" s="629"/>
      <c r="WNJ86" s="629"/>
      <c r="WNK86" s="629"/>
      <c r="WNL86" s="629"/>
      <c r="WNM86" s="629"/>
      <c r="WNN86" s="629"/>
      <c r="WNO86" s="629"/>
      <c r="WNP86" s="629"/>
      <c r="WNQ86" s="629"/>
      <c r="WNR86" s="629"/>
      <c r="WNS86" s="629"/>
      <c r="WNT86" s="629"/>
      <c r="WNU86" s="629"/>
      <c r="WNV86" s="629"/>
      <c r="WNW86" s="629"/>
      <c r="WNX86" s="629"/>
      <c r="WNY86" s="629"/>
      <c r="WNZ86" s="629"/>
      <c r="WOA86" s="629"/>
      <c r="WOB86" s="629"/>
      <c r="WOC86" s="629"/>
      <c r="WOD86" s="629"/>
      <c r="WOE86" s="629"/>
      <c r="WOF86" s="629"/>
      <c r="WOG86" s="629"/>
      <c r="WOH86" s="629"/>
      <c r="WOI86" s="629"/>
      <c r="WOJ86" s="629"/>
      <c r="WOK86" s="629"/>
      <c r="WOL86" s="629"/>
      <c r="WOM86" s="629"/>
      <c r="WON86" s="629"/>
      <c r="WOO86" s="629"/>
      <c r="WOP86" s="629"/>
      <c r="WOQ86" s="629"/>
      <c r="WOR86" s="629"/>
      <c r="WOS86" s="629"/>
      <c r="WOT86" s="629"/>
      <c r="WOU86" s="629"/>
      <c r="WOV86" s="629"/>
      <c r="WOW86" s="629"/>
      <c r="WOX86" s="629"/>
      <c r="WOY86" s="629"/>
      <c r="WOZ86" s="629"/>
      <c r="WPA86" s="629"/>
      <c r="WPB86" s="629"/>
      <c r="WPC86" s="629"/>
      <c r="WPD86" s="629"/>
      <c r="WPE86" s="629"/>
      <c r="WPF86" s="629"/>
      <c r="WPG86" s="629"/>
      <c r="WPH86" s="629"/>
      <c r="WPI86" s="629"/>
      <c r="WPJ86" s="629"/>
      <c r="WPK86" s="629"/>
      <c r="WPL86" s="629"/>
      <c r="WPM86" s="629"/>
      <c r="WPN86" s="629"/>
      <c r="WPO86" s="629"/>
      <c r="WPP86" s="629"/>
      <c r="WPQ86" s="629"/>
      <c r="WPR86" s="629"/>
      <c r="WPS86" s="629"/>
      <c r="WPT86" s="629"/>
      <c r="WPU86" s="629"/>
      <c r="WPV86" s="629"/>
      <c r="WPW86" s="629"/>
      <c r="WPX86" s="629"/>
      <c r="WPY86" s="629"/>
      <c r="WPZ86" s="629"/>
      <c r="WQA86" s="629"/>
      <c r="WQB86" s="629"/>
      <c r="WQC86" s="629"/>
      <c r="WQD86" s="629"/>
      <c r="WQE86" s="629"/>
      <c r="WQF86" s="629"/>
      <c r="WQG86" s="629"/>
      <c r="WQH86" s="629"/>
      <c r="WQI86" s="629"/>
      <c r="WQJ86" s="629"/>
      <c r="WQK86" s="629"/>
      <c r="WQL86" s="629"/>
      <c r="WQM86" s="629"/>
      <c r="WQN86" s="629"/>
      <c r="WQO86" s="629"/>
      <c r="WQP86" s="629"/>
      <c r="WQQ86" s="629"/>
      <c r="WQR86" s="629"/>
      <c r="WQS86" s="629"/>
      <c r="WQT86" s="629"/>
      <c r="WQU86" s="629"/>
      <c r="WQV86" s="629"/>
      <c r="WQW86" s="629"/>
      <c r="WQX86" s="629"/>
      <c r="WQY86" s="629"/>
      <c r="WQZ86" s="629"/>
      <c r="WRA86" s="629"/>
      <c r="WRB86" s="629"/>
      <c r="WRC86" s="629"/>
      <c r="WRD86" s="629"/>
      <c r="WRE86" s="629"/>
      <c r="WRF86" s="629"/>
      <c r="WRG86" s="629"/>
      <c r="WRH86" s="629"/>
      <c r="WRI86" s="629"/>
      <c r="WRJ86" s="629"/>
      <c r="WRK86" s="629"/>
      <c r="WRL86" s="629"/>
      <c r="WRM86" s="629"/>
      <c r="WRN86" s="629"/>
      <c r="WRO86" s="629"/>
      <c r="WRP86" s="629"/>
      <c r="WRQ86" s="629"/>
      <c r="WRR86" s="629"/>
      <c r="WRS86" s="629"/>
      <c r="WRT86" s="629"/>
      <c r="WRU86" s="629"/>
      <c r="WRV86" s="629"/>
      <c r="WRW86" s="629"/>
      <c r="WRX86" s="629"/>
      <c r="WRY86" s="629"/>
      <c r="WRZ86" s="629"/>
      <c r="WSA86" s="629"/>
      <c r="WSB86" s="629"/>
      <c r="WSC86" s="629"/>
      <c r="WSD86" s="629"/>
      <c r="WSE86" s="629"/>
      <c r="WSF86" s="629"/>
      <c r="WSG86" s="629"/>
      <c r="WSH86" s="629"/>
      <c r="WSI86" s="629"/>
      <c r="WSJ86" s="629"/>
      <c r="WSK86" s="629"/>
      <c r="WSL86" s="629"/>
      <c r="WSM86" s="629"/>
      <c r="WSN86" s="629"/>
      <c r="WSO86" s="629"/>
      <c r="WSP86" s="629"/>
      <c r="WSQ86" s="629"/>
      <c r="WSR86" s="629"/>
      <c r="WSS86" s="629"/>
      <c r="WST86" s="629"/>
      <c r="WSU86" s="629"/>
      <c r="WSV86" s="629"/>
      <c r="WSW86" s="629"/>
      <c r="WSX86" s="629"/>
      <c r="WSY86" s="629"/>
      <c r="WSZ86" s="629"/>
      <c r="WTA86" s="629"/>
      <c r="WTB86" s="629"/>
      <c r="WTC86" s="629"/>
      <c r="WTD86" s="629"/>
      <c r="WTE86" s="629"/>
      <c r="WTF86" s="629"/>
      <c r="WTG86" s="629"/>
      <c r="WTH86" s="629"/>
      <c r="WTI86" s="629"/>
      <c r="WTJ86" s="629"/>
      <c r="WTK86" s="629"/>
      <c r="WTL86" s="629"/>
      <c r="WTM86" s="629"/>
      <c r="WTN86" s="629"/>
      <c r="WTO86" s="629"/>
      <c r="WTP86" s="629"/>
      <c r="WTQ86" s="629"/>
      <c r="WTR86" s="629"/>
      <c r="WTS86" s="629"/>
      <c r="WTT86" s="629"/>
      <c r="WTU86" s="629"/>
      <c r="WTV86" s="629"/>
      <c r="WTW86" s="629"/>
      <c r="WTX86" s="629"/>
      <c r="WTY86" s="629"/>
      <c r="WTZ86" s="629"/>
      <c r="WUA86" s="629"/>
      <c r="WUB86" s="629"/>
      <c r="WUC86" s="629"/>
      <c r="WUD86" s="629"/>
      <c r="WUE86" s="629"/>
      <c r="WUF86" s="629"/>
      <c r="WUG86" s="629"/>
      <c r="WUH86" s="629"/>
      <c r="WUI86" s="629"/>
      <c r="WUJ86" s="629"/>
      <c r="WUK86" s="629"/>
      <c r="WUL86" s="629"/>
      <c r="WUM86" s="629"/>
      <c r="WUN86" s="629"/>
      <c r="WUO86" s="629"/>
      <c r="WUP86" s="629"/>
      <c r="WUQ86" s="629"/>
      <c r="WUR86" s="629"/>
      <c r="WUS86" s="629"/>
      <c r="WUT86" s="629"/>
      <c r="WUU86" s="629"/>
      <c r="WUV86" s="629"/>
      <c r="WUW86" s="629"/>
      <c r="WUX86" s="629"/>
      <c r="WUY86" s="629"/>
      <c r="WUZ86" s="629"/>
      <c r="WVA86" s="629"/>
      <c r="WVB86" s="629"/>
      <c r="WVC86" s="629"/>
      <c r="WVD86" s="629"/>
      <c r="WVE86" s="629"/>
      <c r="WVF86" s="629"/>
      <c r="WVG86" s="629"/>
      <c r="WVH86" s="629"/>
      <c r="WVI86" s="629"/>
      <c r="WVJ86" s="629"/>
      <c r="WVK86" s="629"/>
      <c r="WVL86" s="629"/>
      <c r="WVM86" s="629"/>
      <c r="WVN86" s="629"/>
      <c r="WVO86" s="629"/>
      <c r="WVP86" s="629"/>
      <c r="WVQ86" s="629"/>
      <c r="WVR86" s="629"/>
      <c r="WVS86" s="629"/>
      <c r="WVT86" s="629"/>
      <c r="WVU86" s="629"/>
      <c r="WVV86" s="629"/>
      <c r="WVW86" s="629"/>
      <c r="WVX86" s="629"/>
      <c r="WVY86" s="629"/>
      <c r="WVZ86" s="629"/>
      <c r="WWA86" s="629"/>
      <c r="WWB86" s="629"/>
      <c r="WWC86" s="629"/>
      <c r="WWD86" s="629"/>
      <c r="WWE86" s="629"/>
      <c r="WWF86" s="629"/>
      <c r="WWG86" s="629"/>
      <c r="WWH86" s="629"/>
      <c r="WWI86" s="629"/>
      <c r="WWJ86" s="629"/>
      <c r="WWK86" s="629"/>
      <c r="WWL86" s="629"/>
      <c r="WWM86" s="629"/>
      <c r="WWN86" s="629"/>
      <c r="WWO86" s="629"/>
      <c r="WWP86" s="629"/>
      <c r="WWQ86" s="629"/>
      <c r="WWR86" s="629"/>
      <c r="WWS86" s="629"/>
      <c r="WWT86" s="629"/>
      <c r="WWU86" s="629"/>
      <c r="WWV86" s="629"/>
      <c r="WWW86" s="629"/>
      <c r="WWX86" s="629"/>
      <c r="WWY86" s="629"/>
      <c r="WWZ86" s="629"/>
      <c r="WXA86" s="629"/>
      <c r="WXB86" s="629"/>
      <c r="WXC86" s="629"/>
      <c r="WXD86" s="629"/>
      <c r="WXE86" s="629"/>
      <c r="WXF86" s="629"/>
      <c r="WXG86" s="629"/>
      <c r="WXH86" s="629"/>
      <c r="WXI86" s="629"/>
      <c r="WXJ86" s="629"/>
      <c r="WXK86" s="629"/>
      <c r="WXL86" s="629"/>
      <c r="WXM86" s="629"/>
      <c r="WXN86" s="629"/>
      <c r="WXO86" s="629"/>
      <c r="WXP86" s="629"/>
      <c r="WXQ86" s="629"/>
      <c r="WXR86" s="629"/>
      <c r="WXS86" s="629"/>
      <c r="WXT86" s="629"/>
      <c r="WXU86" s="629"/>
      <c r="WXV86" s="629"/>
      <c r="WXW86" s="629"/>
      <c r="WXX86" s="629"/>
      <c r="WXY86" s="629"/>
      <c r="WXZ86" s="629"/>
      <c r="WYA86" s="629"/>
      <c r="WYB86" s="629"/>
      <c r="WYC86" s="629"/>
      <c r="WYD86" s="629"/>
      <c r="WYE86" s="629"/>
      <c r="WYF86" s="629"/>
      <c r="WYG86" s="629"/>
      <c r="WYH86" s="629"/>
      <c r="WYI86" s="629"/>
      <c r="WYJ86" s="629"/>
      <c r="WYK86" s="629"/>
      <c r="WYL86" s="629"/>
      <c r="WYM86" s="629"/>
      <c r="WYN86" s="629"/>
      <c r="WYO86" s="629"/>
      <c r="WYP86" s="629"/>
      <c r="WYQ86" s="629"/>
      <c r="WYR86" s="629"/>
      <c r="WYS86" s="629"/>
      <c r="WYT86" s="629"/>
      <c r="WYU86" s="629"/>
      <c r="WYV86" s="629"/>
      <c r="WYW86" s="629"/>
      <c r="WYX86" s="629"/>
      <c r="WYY86" s="629"/>
      <c r="WYZ86" s="629"/>
      <c r="WZA86" s="629"/>
      <c r="WZB86" s="629"/>
      <c r="WZC86" s="629"/>
      <c r="WZD86" s="629"/>
      <c r="WZE86" s="629"/>
      <c r="WZF86" s="629"/>
      <c r="WZG86" s="629"/>
      <c r="WZH86" s="629"/>
      <c r="WZI86" s="629"/>
      <c r="WZJ86" s="629"/>
      <c r="WZK86" s="629"/>
      <c r="WZL86" s="629"/>
      <c r="WZM86" s="629"/>
      <c r="WZN86" s="629"/>
      <c r="WZO86" s="629"/>
      <c r="WZP86" s="629"/>
      <c r="WZQ86" s="629"/>
      <c r="WZR86" s="629"/>
      <c r="WZS86" s="629"/>
      <c r="WZT86" s="629"/>
      <c r="WZU86" s="629"/>
      <c r="WZV86" s="629"/>
      <c r="WZW86" s="629"/>
      <c r="WZX86" s="629"/>
      <c r="WZY86" s="629"/>
      <c r="WZZ86" s="629"/>
      <c r="XAA86" s="629"/>
      <c r="XAB86" s="629"/>
      <c r="XAC86" s="629"/>
      <c r="XAD86" s="629"/>
      <c r="XAE86" s="629"/>
      <c r="XAF86" s="629"/>
      <c r="XAG86" s="629"/>
      <c r="XAH86" s="629"/>
      <c r="XAI86" s="629"/>
      <c r="XAJ86" s="629"/>
      <c r="XAK86" s="629"/>
      <c r="XAL86" s="629"/>
      <c r="XAM86" s="629"/>
      <c r="XAN86" s="629"/>
      <c r="XAO86" s="629"/>
      <c r="XAP86" s="629"/>
      <c r="XAQ86" s="629"/>
      <c r="XAR86" s="629"/>
      <c r="XAS86" s="629"/>
      <c r="XAT86" s="629"/>
      <c r="XAU86" s="629"/>
      <c r="XAV86" s="629"/>
      <c r="XAW86" s="629"/>
      <c r="XAX86" s="629"/>
      <c r="XAY86" s="629"/>
      <c r="XAZ86" s="629"/>
      <c r="XBA86" s="629"/>
      <c r="XBB86" s="629"/>
      <c r="XBC86" s="629"/>
      <c r="XBD86" s="629"/>
      <c r="XBE86" s="629"/>
      <c r="XBF86" s="629"/>
      <c r="XBG86" s="629"/>
      <c r="XBH86" s="629"/>
      <c r="XBI86" s="629"/>
      <c r="XBJ86" s="629"/>
      <c r="XBK86" s="629"/>
      <c r="XBL86" s="629"/>
      <c r="XBM86" s="629"/>
      <c r="XBN86" s="629"/>
      <c r="XBO86" s="629"/>
      <c r="XBP86" s="629"/>
      <c r="XBQ86" s="629"/>
      <c r="XBR86" s="629"/>
      <c r="XBS86" s="629"/>
      <c r="XBT86" s="629"/>
      <c r="XBU86" s="629"/>
      <c r="XBV86" s="629"/>
      <c r="XBW86" s="629"/>
      <c r="XBX86" s="629"/>
      <c r="XBY86" s="629"/>
      <c r="XBZ86" s="629"/>
      <c r="XCA86" s="629"/>
      <c r="XCB86" s="629"/>
      <c r="XCC86" s="629"/>
      <c r="XCD86" s="629"/>
      <c r="XCE86" s="629"/>
      <c r="XCF86" s="629"/>
      <c r="XCG86" s="629"/>
      <c r="XCH86" s="629"/>
      <c r="XCI86" s="629"/>
      <c r="XCJ86" s="629"/>
      <c r="XCK86" s="629"/>
      <c r="XCL86" s="629"/>
      <c r="XCM86" s="629"/>
      <c r="XCN86" s="629"/>
      <c r="XCO86" s="629"/>
      <c r="XCP86" s="629"/>
      <c r="XCQ86" s="629"/>
      <c r="XCR86" s="629"/>
      <c r="XCS86" s="629"/>
      <c r="XCT86" s="629"/>
      <c r="XCU86" s="629"/>
      <c r="XCV86" s="629"/>
      <c r="XCW86" s="629"/>
      <c r="XCX86" s="629"/>
      <c r="XCY86" s="629"/>
      <c r="XCZ86" s="629"/>
      <c r="XDA86" s="629"/>
      <c r="XDB86" s="629"/>
      <c r="XDC86" s="629"/>
      <c r="XDD86" s="629"/>
      <c r="XDE86" s="629"/>
      <c r="XDF86" s="629"/>
      <c r="XDG86" s="629"/>
      <c r="XDH86" s="629"/>
      <c r="XDI86" s="629"/>
      <c r="XDJ86" s="629"/>
      <c r="XDK86" s="629"/>
      <c r="XDL86" s="629"/>
      <c r="XDM86" s="629"/>
      <c r="XDN86" s="629"/>
      <c r="XDO86" s="629"/>
      <c r="XDP86" s="629"/>
      <c r="XDQ86" s="629"/>
      <c r="XDR86" s="629"/>
      <c r="XDS86" s="629"/>
      <c r="XDT86" s="629"/>
      <c r="XDU86" s="629"/>
      <c r="XDV86" s="629"/>
      <c r="XDW86" s="629"/>
      <c r="XDX86" s="629"/>
      <c r="XDY86" s="629"/>
      <c r="XDZ86" s="629"/>
      <c r="XEA86" s="629"/>
      <c r="XEB86" s="629"/>
      <c r="XEC86" s="629"/>
      <c r="XED86" s="629"/>
      <c r="XEE86" s="629"/>
      <c r="XEF86" s="629"/>
      <c r="XEG86" s="629"/>
      <c r="XEH86" s="629"/>
      <c r="XEI86" s="629"/>
      <c r="XEJ86" s="629"/>
      <c r="XEK86" s="629"/>
      <c r="XEL86" s="629"/>
      <c r="XEM86" s="629"/>
      <c r="XEN86" s="629"/>
      <c r="XEO86" s="629"/>
      <c r="XEP86" s="629"/>
      <c r="XEQ86" s="629"/>
      <c r="XER86" s="629"/>
      <c r="XES86" s="629"/>
      <c r="XET86" s="629"/>
      <c r="XEU86" s="629"/>
      <c r="XEV86" s="629"/>
      <c r="XEW86" s="629"/>
      <c r="XEX86" s="629"/>
      <c r="XEY86" s="629"/>
      <c r="XEZ86" s="629"/>
      <c r="XFA86" s="629"/>
      <c r="XFB86" s="629"/>
      <c r="XFC86" s="629"/>
      <c r="XFD86" s="629"/>
    </row>
    <row r="87" spans="1:16384" s="913" customFormat="1" ht="31.5" customHeight="1">
      <c r="A87" s="895"/>
      <c r="B87" s="895"/>
      <c r="C87" s="895"/>
      <c r="D87" s="895"/>
      <c r="E87" s="896">
        <v>74</v>
      </c>
      <c r="F87" s="897" t="s">
        <v>1263</v>
      </c>
      <c r="G87" s="898" t="s">
        <v>1264</v>
      </c>
      <c r="H87" s="899" t="s">
        <v>192</v>
      </c>
      <c r="I87" s="899" t="s">
        <v>1265</v>
      </c>
      <c r="J87" s="900">
        <f t="shared" ref="J87" si="9">(AB87-T87)/365</f>
        <v>9.9178082191780828</v>
      </c>
      <c r="K87" s="901" t="s">
        <v>465</v>
      </c>
      <c r="L87" s="902">
        <v>27000000</v>
      </c>
      <c r="M87" s="901" t="s">
        <v>466</v>
      </c>
      <c r="N87" s="903">
        <v>100</v>
      </c>
      <c r="O87" s="904">
        <v>6</v>
      </c>
      <c r="P87" s="897" t="s">
        <v>1276</v>
      </c>
      <c r="Q87" s="905"/>
      <c r="R87" s="906"/>
      <c r="S87" s="907">
        <v>41726</v>
      </c>
      <c r="T87" s="907">
        <v>41729</v>
      </c>
      <c r="U87" s="908" t="s">
        <v>683</v>
      </c>
      <c r="V87" s="908"/>
      <c r="W87" s="902">
        <v>27153000</v>
      </c>
      <c r="X87" s="909">
        <v>7.8</v>
      </c>
      <c r="Y87" s="909">
        <f t="shared" ref="Y87" si="10">X87*W87</f>
        <v>211793400</v>
      </c>
      <c r="Z87" s="909"/>
      <c r="AA87" s="910">
        <v>6</v>
      </c>
      <c r="AB87" s="911">
        <v>45349</v>
      </c>
      <c r="AC87" s="912">
        <f t="shared" ref="AC87" si="11">(AB87-S87)/365</f>
        <v>9.9260273972602739</v>
      </c>
      <c r="AD87" s="912" t="s">
        <v>1277</v>
      </c>
      <c r="AF87" s="914"/>
      <c r="AG87" s="915"/>
      <c r="AH87" s="909"/>
      <c r="AI87" s="916"/>
      <c r="AJ87" s="916"/>
      <c r="AK87" s="916"/>
      <c r="AL87" s="916"/>
      <c r="AM87" s="916"/>
      <c r="AN87" s="916"/>
      <c r="AO87" s="916"/>
      <c r="AP87" s="916"/>
      <c r="AQ87" s="916"/>
      <c r="AR87" s="916"/>
      <c r="AS87" s="916"/>
      <c r="AT87" s="916"/>
      <c r="AU87" s="916"/>
      <c r="AV87" s="916"/>
      <c r="AW87" s="916"/>
      <c r="AX87" s="916"/>
      <c r="AY87" s="916"/>
      <c r="AZ87" s="916"/>
      <c r="BA87" s="916"/>
      <c r="BB87" s="916"/>
      <c r="BC87" s="916"/>
      <c r="BD87" s="916"/>
      <c r="BE87" s="916"/>
      <c r="BF87" s="916"/>
      <c r="BG87" s="916"/>
      <c r="BH87" s="916"/>
      <c r="BI87" s="916"/>
      <c r="BJ87" s="916"/>
      <c r="BK87" s="916"/>
      <c r="BL87" s="916"/>
      <c r="BM87" s="916"/>
      <c r="BN87" s="916"/>
      <c r="BO87" s="916"/>
      <c r="BP87" s="916"/>
      <c r="BQ87" s="916"/>
      <c r="BR87" s="916"/>
      <c r="BS87" s="916"/>
      <c r="BT87" s="916"/>
      <c r="BU87" s="916"/>
      <c r="BV87" s="916"/>
      <c r="BW87" s="916"/>
      <c r="BX87" s="916"/>
      <c r="BY87" s="916"/>
      <c r="BZ87" s="916"/>
      <c r="CA87" s="916"/>
      <c r="CB87" s="916"/>
      <c r="CC87" s="916"/>
      <c r="CD87" s="916"/>
      <c r="CE87" s="916"/>
      <c r="CF87" s="916"/>
      <c r="CG87" s="916"/>
      <c r="CH87" s="916"/>
      <c r="CI87" s="916"/>
      <c r="CJ87" s="916"/>
      <c r="CK87" s="916"/>
      <c r="CL87" s="916"/>
      <c r="CM87" s="916"/>
      <c r="CN87" s="916"/>
      <c r="CO87" s="916"/>
      <c r="CP87" s="916"/>
      <c r="CQ87" s="916"/>
      <c r="CR87" s="916"/>
      <c r="CS87" s="916"/>
      <c r="CT87" s="916"/>
      <c r="CU87" s="916"/>
      <c r="CV87" s="916"/>
      <c r="CW87" s="916"/>
      <c r="CX87" s="916"/>
      <c r="CY87" s="916"/>
      <c r="CZ87" s="916"/>
      <c r="DA87" s="916"/>
      <c r="DB87" s="916"/>
      <c r="DC87" s="916"/>
      <c r="DD87" s="916"/>
      <c r="DE87" s="916"/>
      <c r="DF87" s="916"/>
      <c r="DG87" s="916"/>
      <c r="DH87" s="916"/>
      <c r="DI87" s="916"/>
      <c r="DJ87" s="916"/>
      <c r="DK87" s="916"/>
      <c r="DL87" s="916"/>
      <c r="DM87" s="916"/>
      <c r="DN87" s="916"/>
      <c r="DO87" s="916"/>
      <c r="DP87" s="916"/>
      <c r="DQ87" s="916"/>
      <c r="DR87" s="916"/>
      <c r="DS87" s="916"/>
      <c r="DT87" s="916"/>
      <c r="DU87" s="916"/>
      <c r="DV87" s="916"/>
      <c r="DW87" s="916"/>
      <c r="DX87" s="916"/>
      <c r="DY87" s="916"/>
      <c r="DZ87" s="916"/>
      <c r="EA87" s="916"/>
      <c r="EB87" s="916"/>
      <c r="EC87" s="916"/>
      <c r="ED87" s="916"/>
      <c r="EE87" s="916"/>
      <c r="EF87" s="916"/>
      <c r="EG87" s="916"/>
      <c r="EH87" s="916"/>
      <c r="EI87" s="916"/>
      <c r="EJ87" s="916"/>
      <c r="EK87" s="916"/>
      <c r="EL87" s="916"/>
      <c r="EM87" s="916"/>
      <c r="EN87" s="916"/>
      <c r="EO87" s="916"/>
      <c r="EP87" s="916"/>
      <c r="EQ87" s="916"/>
      <c r="ER87" s="916"/>
      <c r="ES87" s="916"/>
      <c r="ET87" s="916"/>
      <c r="EU87" s="916"/>
      <c r="EV87" s="916"/>
      <c r="EW87" s="916"/>
      <c r="EX87" s="916"/>
      <c r="EY87" s="916"/>
      <c r="EZ87" s="916"/>
      <c r="FA87" s="916"/>
      <c r="FB87" s="916"/>
      <c r="FC87" s="916"/>
      <c r="FD87" s="916"/>
      <c r="FE87" s="916"/>
      <c r="FF87" s="916"/>
      <c r="FG87" s="916"/>
      <c r="FH87" s="916"/>
      <c r="FI87" s="916"/>
      <c r="FJ87" s="916"/>
      <c r="FK87" s="916"/>
      <c r="FL87" s="916"/>
      <c r="FM87" s="916"/>
      <c r="FN87" s="916"/>
      <c r="FO87" s="916"/>
      <c r="FP87" s="916"/>
      <c r="FQ87" s="916"/>
      <c r="FR87" s="916"/>
      <c r="FS87" s="916"/>
      <c r="FT87" s="916"/>
      <c r="FU87" s="916"/>
      <c r="FV87" s="916"/>
      <c r="FW87" s="916"/>
      <c r="FX87" s="916"/>
      <c r="FY87" s="916"/>
      <c r="FZ87" s="916"/>
      <c r="GA87" s="916"/>
      <c r="GB87" s="916"/>
      <c r="GC87" s="916"/>
      <c r="GD87" s="916"/>
      <c r="GE87" s="916"/>
      <c r="GF87" s="916"/>
      <c r="GG87" s="916"/>
      <c r="GH87" s="916"/>
      <c r="GI87" s="916"/>
      <c r="GJ87" s="916"/>
      <c r="GK87" s="916"/>
      <c r="GL87" s="916"/>
      <c r="GM87" s="916"/>
      <c r="GN87" s="916"/>
      <c r="GO87" s="916"/>
      <c r="GP87" s="916"/>
      <c r="GQ87" s="916"/>
      <c r="GR87" s="916"/>
      <c r="GS87" s="916"/>
      <c r="GT87" s="916"/>
      <c r="GU87" s="916"/>
      <c r="GV87" s="916"/>
      <c r="GW87" s="916"/>
      <c r="GX87" s="916"/>
      <c r="GY87" s="916"/>
      <c r="GZ87" s="916"/>
      <c r="HA87" s="916"/>
      <c r="HB87" s="916"/>
      <c r="HC87" s="916"/>
      <c r="HD87" s="916"/>
      <c r="HE87" s="916"/>
      <c r="HF87" s="916"/>
      <c r="HG87" s="916"/>
      <c r="HH87" s="916"/>
      <c r="HI87" s="916"/>
      <c r="HJ87" s="916"/>
      <c r="HK87" s="916"/>
      <c r="HL87" s="916"/>
      <c r="HM87" s="916"/>
      <c r="HN87" s="916"/>
      <c r="HO87" s="916"/>
      <c r="HP87" s="916"/>
      <c r="HQ87" s="916"/>
      <c r="HR87" s="916"/>
      <c r="HS87" s="916"/>
      <c r="HT87" s="916"/>
      <c r="HU87" s="916"/>
      <c r="HV87" s="916"/>
      <c r="HW87" s="916"/>
      <c r="HX87" s="916"/>
      <c r="HY87" s="916"/>
      <c r="HZ87" s="916"/>
      <c r="IA87" s="916"/>
      <c r="IB87" s="916"/>
      <c r="IC87" s="916"/>
      <c r="ID87" s="916"/>
      <c r="IE87" s="916"/>
      <c r="IF87" s="916"/>
      <c r="IG87" s="916"/>
      <c r="IH87" s="916"/>
      <c r="II87" s="916"/>
      <c r="IJ87" s="916"/>
      <c r="IK87" s="916"/>
      <c r="IL87" s="916"/>
      <c r="IM87" s="916"/>
      <c r="IN87" s="916"/>
      <c r="IO87" s="916"/>
      <c r="IP87" s="916"/>
      <c r="IQ87" s="916"/>
      <c r="IR87" s="916"/>
      <c r="IS87" s="916"/>
      <c r="IT87" s="916"/>
      <c r="IU87" s="916"/>
      <c r="IV87" s="916"/>
      <c r="IW87" s="916"/>
      <c r="IX87" s="916"/>
      <c r="IY87" s="916"/>
      <c r="IZ87" s="916"/>
      <c r="JA87" s="916"/>
      <c r="JB87" s="916"/>
      <c r="JC87" s="916"/>
      <c r="JD87" s="916"/>
      <c r="JE87" s="916"/>
      <c r="JF87" s="916"/>
      <c r="JG87" s="916"/>
      <c r="JH87" s="916"/>
      <c r="JI87" s="916"/>
      <c r="JJ87" s="916"/>
      <c r="JK87" s="916"/>
      <c r="JL87" s="916"/>
      <c r="JM87" s="916"/>
      <c r="JN87" s="916"/>
      <c r="JO87" s="916"/>
      <c r="JP87" s="916"/>
      <c r="JQ87" s="916"/>
      <c r="JR87" s="916"/>
      <c r="JS87" s="916"/>
      <c r="JT87" s="916"/>
      <c r="JU87" s="916"/>
      <c r="JV87" s="916"/>
      <c r="JW87" s="916"/>
      <c r="JX87" s="916"/>
      <c r="JY87" s="916"/>
      <c r="JZ87" s="916"/>
      <c r="KA87" s="916"/>
      <c r="KB87" s="916"/>
      <c r="KC87" s="916"/>
      <c r="KD87" s="916"/>
      <c r="KE87" s="916"/>
      <c r="KF87" s="916"/>
      <c r="KG87" s="916"/>
      <c r="KH87" s="916"/>
      <c r="KI87" s="916"/>
      <c r="KJ87" s="916"/>
      <c r="KK87" s="916"/>
      <c r="KL87" s="916"/>
      <c r="KM87" s="916"/>
      <c r="KN87" s="916"/>
      <c r="KO87" s="916"/>
      <c r="KP87" s="916"/>
      <c r="KQ87" s="916"/>
      <c r="KR87" s="916"/>
      <c r="KS87" s="916"/>
      <c r="KT87" s="916"/>
      <c r="KU87" s="916"/>
      <c r="KV87" s="916"/>
      <c r="KW87" s="916"/>
      <c r="KX87" s="916"/>
      <c r="KY87" s="916"/>
      <c r="KZ87" s="916"/>
      <c r="LA87" s="916"/>
      <c r="LB87" s="916"/>
      <c r="LC87" s="916"/>
      <c r="LD87" s="916"/>
      <c r="LE87" s="916"/>
      <c r="LF87" s="916"/>
      <c r="LG87" s="916"/>
      <c r="LH87" s="916"/>
      <c r="LI87" s="916"/>
      <c r="LJ87" s="916"/>
      <c r="LK87" s="916"/>
      <c r="LL87" s="916"/>
      <c r="LM87" s="916"/>
      <c r="LN87" s="916"/>
      <c r="LO87" s="916"/>
      <c r="LP87" s="916"/>
      <c r="LQ87" s="916"/>
      <c r="LR87" s="916"/>
      <c r="LS87" s="916"/>
      <c r="LT87" s="916"/>
      <c r="LU87" s="916"/>
      <c r="LV87" s="916"/>
      <c r="LW87" s="916"/>
      <c r="LX87" s="916"/>
      <c r="LY87" s="916"/>
      <c r="LZ87" s="916"/>
      <c r="MA87" s="916"/>
      <c r="MB87" s="916"/>
      <c r="MC87" s="916"/>
      <c r="MD87" s="916"/>
      <c r="ME87" s="916"/>
      <c r="MF87" s="916"/>
      <c r="MG87" s="916"/>
      <c r="MH87" s="916"/>
      <c r="MI87" s="916"/>
      <c r="MJ87" s="916"/>
      <c r="MK87" s="916"/>
      <c r="ML87" s="916"/>
      <c r="MM87" s="916"/>
      <c r="MN87" s="916"/>
      <c r="MO87" s="916"/>
      <c r="MP87" s="916"/>
      <c r="MQ87" s="916"/>
      <c r="MR87" s="916"/>
      <c r="MS87" s="916"/>
      <c r="MT87" s="916"/>
      <c r="MU87" s="916"/>
      <c r="MV87" s="916"/>
      <c r="MW87" s="916"/>
      <c r="MX87" s="916"/>
      <c r="MY87" s="916"/>
      <c r="MZ87" s="916"/>
      <c r="NA87" s="916"/>
      <c r="NB87" s="916"/>
      <c r="NC87" s="916"/>
      <c r="ND87" s="916"/>
      <c r="NE87" s="916"/>
      <c r="NF87" s="916"/>
      <c r="NG87" s="916"/>
      <c r="NH87" s="916"/>
      <c r="NI87" s="916"/>
      <c r="NJ87" s="916"/>
      <c r="NK87" s="916"/>
      <c r="NL87" s="916"/>
      <c r="NM87" s="916"/>
      <c r="NN87" s="916"/>
      <c r="NO87" s="916"/>
      <c r="NP87" s="916"/>
      <c r="NQ87" s="916"/>
      <c r="NR87" s="916"/>
      <c r="NS87" s="916"/>
      <c r="NT87" s="916"/>
      <c r="NU87" s="916"/>
      <c r="NV87" s="916"/>
      <c r="NW87" s="916"/>
      <c r="NX87" s="916"/>
      <c r="NY87" s="916"/>
      <c r="NZ87" s="916"/>
      <c r="OA87" s="916"/>
      <c r="OB87" s="916"/>
      <c r="OC87" s="916"/>
      <c r="OD87" s="916"/>
      <c r="OE87" s="916"/>
      <c r="OF87" s="916"/>
      <c r="OG87" s="916"/>
      <c r="OH87" s="916"/>
      <c r="OI87" s="916"/>
      <c r="OJ87" s="916"/>
      <c r="OK87" s="916"/>
      <c r="OL87" s="916"/>
      <c r="OM87" s="916"/>
      <c r="ON87" s="916"/>
      <c r="OO87" s="916"/>
      <c r="OP87" s="916"/>
      <c r="OQ87" s="916"/>
      <c r="OR87" s="916"/>
      <c r="OS87" s="916"/>
      <c r="OT87" s="916"/>
      <c r="OU87" s="916"/>
      <c r="OV87" s="916"/>
      <c r="OW87" s="916"/>
      <c r="OX87" s="916"/>
      <c r="OY87" s="916"/>
      <c r="OZ87" s="916"/>
      <c r="PA87" s="916"/>
      <c r="PB87" s="916"/>
      <c r="PC87" s="916"/>
      <c r="PD87" s="916"/>
      <c r="PE87" s="916"/>
      <c r="PF87" s="916"/>
      <c r="PG87" s="916"/>
      <c r="PH87" s="916"/>
      <c r="PI87" s="916"/>
      <c r="PJ87" s="916"/>
      <c r="PK87" s="916"/>
      <c r="PL87" s="916"/>
      <c r="PM87" s="916"/>
      <c r="PN87" s="916"/>
      <c r="PO87" s="916"/>
      <c r="PP87" s="916"/>
      <c r="PQ87" s="916"/>
      <c r="PR87" s="916"/>
      <c r="PS87" s="916"/>
      <c r="PT87" s="916"/>
      <c r="PU87" s="916"/>
      <c r="PV87" s="916"/>
      <c r="PW87" s="916"/>
      <c r="PX87" s="916"/>
      <c r="PY87" s="916"/>
      <c r="PZ87" s="916"/>
      <c r="QA87" s="916"/>
      <c r="QB87" s="916"/>
      <c r="QC87" s="916"/>
      <c r="QD87" s="916"/>
      <c r="QE87" s="916"/>
      <c r="QF87" s="916"/>
      <c r="QG87" s="916"/>
      <c r="QH87" s="916"/>
      <c r="QI87" s="916"/>
      <c r="QJ87" s="916"/>
      <c r="QK87" s="916"/>
      <c r="QL87" s="916"/>
      <c r="QM87" s="916"/>
      <c r="QN87" s="916"/>
      <c r="QO87" s="916"/>
      <c r="QP87" s="916"/>
      <c r="QQ87" s="916"/>
      <c r="QR87" s="916"/>
      <c r="QS87" s="916"/>
      <c r="QT87" s="916"/>
      <c r="QU87" s="916"/>
      <c r="QV87" s="916"/>
      <c r="QW87" s="916"/>
      <c r="QX87" s="916"/>
      <c r="QY87" s="916"/>
      <c r="QZ87" s="916"/>
      <c r="RA87" s="916"/>
      <c r="RB87" s="916"/>
      <c r="RC87" s="916"/>
      <c r="RD87" s="916"/>
      <c r="RE87" s="916"/>
      <c r="RF87" s="916"/>
      <c r="RG87" s="916"/>
      <c r="RH87" s="916"/>
      <c r="RI87" s="916"/>
      <c r="RJ87" s="916"/>
      <c r="RK87" s="916"/>
      <c r="RL87" s="916"/>
      <c r="RM87" s="916"/>
      <c r="RN87" s="916"/>
      <c r="RO87" s="916"/>
      <c r="RP87" s="916"/>
      <c r="RQ87" s="916"/>
      <c r="RR87" s="916"/>
      <c r="RS87" s="916"/>
      <c r="RT87" s="916"/>
      <c r="RU87" s="916"/>
      <c r="RV87" s="916"/>
      <c r="RW87" s="916"/>
      <c r="RX87" s="916"/>
      <c r="RY87" s="916"/>
      <c r="RZ87" s="916"/>
      <c r="SA87" s="916"/>
      <c r="SB87" s="916"/>
      <c r="SC87" s="916"/>
      <c r="SD87" s="916"/>
      <c r="SE87" s="916"/>
      <c r="SF87" s="916"/>
      <c r="SG87" s="916"/>
      <c r="SH87" s="916"/>
      <c r="SI87" s="916"/>
      <c r="SJ87" s="916"/>
      <c r="SK87" s="916"/>
      <c r="SL87" s="916"/>
      <c r="SM87" s="916"/>
      <c r="SN87" s="916"/>
      <c r="SO87" s="916"/>
      <c r="SP87" s="916"/>
      <c r="SQ87" s="916"/>
      <c r="SR87" s="916"/>
      <c r="SS87" s="916"/>
      <c r="ST87" s="916"/>
      <c r="SU87" s="916"/>
      <c r="SV87" s="916"/>
      <c r="SW87" s="916"/>
      <c r="SX87" s="916"/>
      <c r="SY87" s="916"/>
      <c r="SZ87" s="916"/>
      <c r="TA87" s="916"/>
      <c r="TB87" s="916"/>
      <c r="TC87" s="916"/>
      <c r="TD87" s="916"/>
      <c r="TE87" s="916"/>
      <c r="TF87" s="916"/>
      <c r="TG87" s="916"/>
      <c r="TH87" s="916"/>
      <c r="TI87" s="916"/>
      <c r="TJ87" s="916"/>
      <c r="TK87" s="916"/>
      <c r="TL87" s="916"/>
      <c r="TM87" s="916"/>
      <c r="TN87" s="916"/>
      <c r="TO87" s="916"/>
      <c r="TP87" s="916"/>
      <c r="TQ87" s="916"/>
      <c r="TR87" s="916"/>
      <c r="TS87" s="916"/>
      <c r="TT87" s="916"/>
      <c r="TU87" s="916"/>
      <c r="TV87" s="916"/>
      <c r="TW87" s="916"/>
      <c r="TX87" s="916"/>
      <c r="TY87" s="916"/>
      <c r="TZ87" s="916"/>
      <c r="UA87" s="916"/>
      <c r="UB87" s="916"/>
      <c r="UC87" s="916"/>
      <c r="UD87" s="916"/>
      <c r="UE87" s="916"/>
      <c r="UF87" s="916"/>
      <c r="UG87" s="916"/>
      <c r="UH87" s="916"/>
      <c r="UI87" s="916"/>
      <c r="UJ87" s="916"/>
      <c r="UK87" s="916"/>
      <c r="UL87" s="916"/>
      <c r="UM87" s="916"/>
      <c r="UN87" s="916"/>
      <c r="UO87" s="916"/>
      <c r="UP87" s="916"/>
      <c r="UQ87" s="916"/>
      <c r="UR87" s="916"/>
      <c r="US87" s="916"/>
      <c r="UT87" s="916"/>
      <c r="UU87" s="916"/>
      <c r="UV87" s="916"/>
      <c r="UW87" s="916"/>
      <c r="UX87" s="916"/>
      <c r="UY87" s="916"/>
      <c r="UZ87" s="916"/>
      <c r="VA87" s="916"/>
      <c r="VB87" s="916"/>
      <c r="VC87" s="916"/>
      <c r="VD87" s="916"/>
      <c r="VE87" s="916"/>
      <c r="VF87" s="916"/>
      <c r="VG87" s="916"/>
      <c r="VH87" s="916"/>
      <c r="VI87" s="916"/>
      <c r="VJ87" s="916"/>
      <c r="VK87" s="916"/>
      <c r="VL87" s="916"/>
      <c r="VM87" s="916"/>
      <c r="VN87" s="916"/>
      <c r="VO87" s="916"/>
      <c r="VP87" s="916"/>
      <c r="VQ87" s="916"/>
      <c r="VR87" s="916"/>
      <c r="VS87" s="916"/>
      <c r="VT87" s="916"/>
      <c r="VU87" s="916"/>
      <c r="VV87" s="916"/>
      <c r="VW87" s="916"/>
      <c r="VX87" s="916"/>
      <c r="VY87" s="916"/>
      <c r="VZ87" s="916"/>
      <c r="WA87" s="916"/>
      <c r="WB87" s="916"/>
      <c r="WC87" s="916"/>
      <c r="WD87" s="916"/>
      <c r="WE87" s="916"/>
      <c r="WF87" s="916"/>
      <c r="WG87" s="916"/>
      <c r="WH87" s="916"/>
      <c r="WI87" s="916"/>
      <c r="WJ87" s="916"/>
      <c r="WK87" s="916"/>
      <c r="WL87" s="916"/>
      <c r="WM87" s="916"/>
      <c r="WN87" s="916"/>
      <c r="WO87" s="916"/>
      <c r="WP87" s="916"/>
      <c r="WQ87" s="916"/>
      <c r="WR87" s="916"/>
      <c r="WS87" s="916"/>
      <c r="WT87" s="916"/>
      <c r="WU87" s="916"/>
      <c r="WV87" s="916"/>
      <c r="WW87" s="916"/>
      <c r="WX87" s="916"/>
      <c r="WY87" s="916"/>
      <c r="WZ87" s="916"/>
      <c r="XA87" s="916"/>
      <c r="XB87" s="916"/>
      <c r="XC87" s="916"/>
      <c r="XD87" s="916"/>
      <c r="XE87" s="916"/>
      <c r="XF87" s="916"/>
      <c r="XG87" s="916"/>
      <c r="XH87" s="916"/>
      <c r="XI87" s="916"/>
      <c r="XJ87" s="916"/>
      <c r="XK87" s="916"/>
      <c r="XL87" s="916"/>
      <c r="XM87" s="916"/>
      <c r="XN87" s="916"/>
      <c r="XO87" s="916"/>
      <c r="XP87" s="916"/>
      <c r="XQ87" s="916"/>
      <c r="XR87" s="916"/>
      <c r="XS87" s="916"/>
      <c r="XT87" s="916"/>
      <c r="XU87" s="916"/>
      <c r="XV87" s="916"/>
      <c r="XW87" s="916"/>
      <c r="XX87" s="916"/>
      <c r="XY87" s="916"/>
      <c r="XZ87" s="916"/>
      <c r="YA87" s="916"/>
      <c r="YB87" s="916"/>
      <c r="YC87" s="916"/>
      <c r="YD87" s="916"/>
      <c r="YE87" s="916"/>
      <c r="YF87" s="916"/>
      <c r="YG87" s="916"/>
      <c r="YH87" s="916"/>
      <c r="YI87" s="916"/>
      <c r="YJ87" s="916"/>
      <c r="YK87" s="916"/>
      <c r="YL87" s="916"/>
      <c r="YM87" s="916"/>
      <c r="YN87" s="916"/>
      <c r="YO87" s="916"/>
      <c r="YP87" s="916"/>
      <c r="YQ87" s="916"/>
      <c r="YR87" s="916"/>
      <c r="YS87" s="916"/>
      <c r="YT87" s="916"/>
      <c r="YU87" s="916"/>
      <c r="YV87" s="916"/>
      <c r="YW87" s="916"/>
      <c r="YX87" s="916"/>
      <c r="YY87" s="916"/>
      <c r="YZ87" s="916"/>
      <c r="ZA87" s="916"/>
      <c r="ZB87" s="916"/>
      <c r="ZC87" s="916"/>
      <c r="ZD87" s="916"/>
      <c r="ZE87" s="916"/>
      <c r="ZF87" s="916"/>
      <c r="ZG87" s="916"/>
      <c r="ZH87" s="916"/>
      <c r="ZI87" s="916"/>
      <c r="ZJ87" s="916"/>
      <c r="ZK87" s="916"/>
      <c r="ZL87" s="916"/>
      <c r="ZM87" s="916"/>
      <c r="ZN87" s="916"/>
      <c r="ZO87" s="916"/>
      <c r="ZP87" s="916"/>
      <c r="ZQ87" s="916"/>
      <c r="ZR87" s="916"/>
      <c r="ZS87" s="916"/>
      <c r="ZT87" s="916"/>
      <c r="ZU87" s="916"/>
      <c r="ZV87" s="916"/>
      <c r="ZW87" s="916"/>
      <c r="ZX87" s="916"/>
      <c r="ZY87" s="916"/>
      <c r="ZZ87" s="916"/>
      <c r="AAA87" s="916"/>
      <c r="AAB87" s="916"/>
      <c r="AAC87" s="916"/>
      <c r="AAD87" s="916"/>
      <c r="AAE87" s="916"/>
      <c r="AAF87" s="916"/>
      <c r="AAG87" s="916"/>
      <c r="AAH87" s="916"/>
      <c r="AAI87" s="916"/>
      <c r="AAJ87" s="916"/>
      <c r="AAK87" s="916"/>
      <c r="AAL87" s="916"/>
      <c r="AAM87" s="916"/>
      <c r="AAN87" s="916"/>
      <c r="AAO87" s="916"/>
      <c r="AAP87" s="916"/>
      <c r="AAQ87" s="916"/>
      <c r="AAR87" s="916"/>
      <c r="AAS87" s="916"/>
      <c r="AAT87" s="916"/>
      <c r="AAU87" s="916"/>
      <c r="AAV87" s="916"/>
      <c r="AAW87" s="916"/>
      <c r="AAX87" s="916"/>
      <c r="AAY87" s="916"/>
      <c r="AAZ87" s="916"/>
      <c r="ABA87" s="916"/>
      <c r="ABB87" s="916"/>
      <c r="ABC87" s="916"/>
      <c r="ABD87" s="916"/>
      <c r="ABE87" s="916"/>
      <c r="ABF87" s="916"/>
      <c r="ABG87" s="916"/>
      <c r="ABH87" s="916"/>
      <c r="ABI87" s="916"/>
      <c r="ABJ87" s="916"/>
      <c r="ABK87" s="916"/>
      <c r="ABL87" s="916"/>
      <c r="ABM87" s="916"/>
      <c r="ABN87" s="916"/>
      <c r="ABO87" s="916"/>
      <c r="ABP87" s="916"/>
      <c r="ABQ87" s="916"/>
      <c r="ABR87" s="916"/>
      <c r="ABS87" s="916"/>
      <c r="ABT87" s="916"/>
      <c r="ABU87" s="916"/>
      <c r="ABV87" s="916"/>
      <c r="ABW87" s="916"/>
      <c r="ABX87" s="916"/>
      <c r="ABY87" s="916"/>
      <c r="ABZ87" s="916"/>
      <c r="ACA87" s="916"/>
      <c r="ACB87" s="916"/>
      <c r="ACC87" s="916"/>
      <c r="ACD87" s="916"/>
      <c r="ACE87" s="916"/>
      <c r="ACF87" s="916"/>
      <c r="ACG87" s="916"/>
      <c r="ACH87" s="916"/>
      <c r="ACI87" s="916"/>
      <c r="ACJ87" s="916"/>
      <c r="ACK87" s="916"/>
      <c r="ACL87" s="916"/>
      <c r="ACM87" s="916"/>
      <c r="ACN87" s="916"/>
      <c r="ACO87" s="916"/>
      <c r="ACP87" s="916"/>
      <c r="ACQ87" s="916"/>
      <c r="ACR87" s="916"/>
      <c r="ACS87" s="916"/>
      <c r="ACT87" s="916"/>
      <c r="ACU87" s="916"/>
      <c r="ACV87" s="916"/>
      <c r="ACW87" s="916"/>
      <c r="ACX87" s="916"/>
      <c r="ACY87" s="916"/>
      <c r="ACZ87" s="916"/>
      <c r="ADA87" s="916"/>
      <c r="ADB87" s="916"/>
      <c r="ADC87" s="916"/>
      <c r="ADD87" s="916"/>
      <c r="ADE87" s="916"/>
      <c r="ADF87" s="916"/>
      <c r="ADG87" s="916"/>
      <c r="ADH87" s="916"/>
      <c r="ADI87" s="916"/>
      <c r="ADJ87" s="916"/>
      <c r="ADK87" s="916"/>
      <c r="ADL87" s="916"/>
      <c r="ADM87" s="916"/>
      <c r="ADN87" s="916"/>
      <c r="ADO87" s="916"/>
      <c r="ADP87" s="916"/>
      <c r="ADQ87" s="916"/>
      <c r="ADR87" s="916"/>
      <c r="ADS87" s="916"/>
      <c r="ADT87" s="916"/>
      <c r="ADU87" s="916"/>
      <c r="ADV87" s="916"/>
      <c r="ADW87" s="916"/>
      <c r="ADX87" s="916"/>
      <c r="ADY87" s="916"/>
      <c r="ADZ87" s="916"/>
      <c r="AEA87" s="916"/>
      <c r="AEB87" s="916"/>
      <c r="AEC87" s="916"/>
      <c r="AED87" s="916"/>
      <c r="AEE87" s="916"/>
      <c r="AEF87" s="916"/>
      <c r="AEG87" s="916"/>
      <c r="AEH87" s="916"/>
      <c r="AEI87" s="916"/>
      <c r="AEJ87" s="916"/>
      <c r="AEK87" s="916"/>
      <c r="AEL87" s="916"/>
      <c r="AEM87" s="916"/>
      <c r="AEN87" s="916"/>
      <c r="AEO87" s="916"/>
      <c r="AEP87" s="916"/>
      <c r="AEQ87" s="916"/>
      <c r="AER87" s="916"/>
      <c r="AES87" s="916"/>
      <c r="AET87" s="916"/>
      <c r="AEU87" s="916"/>
      <c r="AEV87" s="916"/>
      <c r="AEW87" s="916"/>
      <c r="AEX87" s="916"/>
      <c r="AEY87" s="916"/>
      <c r="AEZ87" s="916"/>
      <c r="AFA87" s="916"/>
      <c r="AFB87" s="916"/>
      <c r="AFC87" s="916"/>
      <c r="AFD87" s="916"/>
      <c r="AFE87" s="916"/>
      <c r="AFF87" s="916"/>
      <c r="AFG87" s="916"/>
      <c r="AFH87" s="916"/>
      <c r="AFI87" s="916"/>
      <c r="AFJ87" s="916"/>
      <c r="AFK87" s="916"/>
      <c r="AFL87" s="916"/>
      <c r="AFM87" s="916"/>
      <c r="AFN87" s="916"/>
      <c r="AFO87" s="916"/>
      <c r="AFP87" s="916"/>
      <c r="AFQ87" s="916"/>
      <c r="AFR87" s="916"/>
      <c r="AFS87" s="916"/>
      <c r="AFT87" s="916"/>
      <c r="AFU87" s="916"/>
      <c r="AFV87" s="916"/>
      <c r="AFW87" s="916"/>
      <c r="AFX87" s="916"/>
      <c r="AFY87" s="916"/>
      <c r="AFZ87" s="916"/>
      <c r="AGA87" s="916"/>
      <c r="AGB87" s="916"/>
      <c r="AGC87" s="916"/>
      <c r="AGD87" s="916"/>
      <c r="AGE87" s="916"/>
      <c r="AGF87" s="916"/>
      <c r="AGG87" s="916"/>
      <c r="AGH87" s="916"/>
      <c r="AGI87" s="916"/>
      <c r="AGJ87" s="916"/>
      <c r="AGK87" s="916"/>
      <c r="AGL87" s="916"/>
      <c r="AGM87" s="916"/>
      <c r="AGN87" s="916"/>
      <c r="AGO87" s="916"/>
      <c r="AGP87" s="916"/>
      <c r="AGQ87" s="916"/>
      <c r="AGR87" s="916"/>
      <c r="AGS87" s="916"/>
      <c r="AGT87" s="916"/>
      <c r="AGU87" s="916"/>
      <c r="AGV87" s="916"/>
      <c r="AGW87" s="916"/>
      <c r="AGX87" s="916"/>
      <c r="AGY87" s="916"/>
      <c r="AGZ87" s="916"/>
      <c r="AHA87" s="916"/>
      <c r="AHB87" s="916"/>
      <c r="AHC87" s="916"/>
      <c r="AHD87" s="916"/>
      <c r="AHE87" s="916"/>
      <c r="AHF87" s="916"/>
      <c r="AHG87" s="916"/>
      <c r="AHH87" s="916"/>
      <c r="AHI87" s="916"/>
      <c r="AHJ87" s="916"/>
      <c r="AHK87" s="916"/>
      <c r="AHL87" s="916"/>
      <c r="AHM87" s="916"/>
      <c r="AHN87" s="916"/>
      <c r="AHO87" s="916"/>
      <c r="AHP87" s="916"/>
      <c r="AHQ87" s="916"/>
      <c r="AHR87" s="916"/>
      <c r="AHS87" s="916"/>
      <c r="AHT87" s="916"/>
      <c r="AHU87" s="916"/>
      <c r="AHV87" s="916"/>
      <c r="AHW87" s="916"/>
      <c r="AHX87" s="916"/>
      <c r="AHY87" s="916"/>
      <c r="AHZ87" s="916"/>
      <c r="AIA87" s="916"/>
      <c r="AIB87" s="916"/>
      <c r="AIC87" s="916"/>
      <c r="AID87" s="916"/>
      <c r="AIE87" s="916"/>
      <c r="AIF87" s="916"/>
      <c r="AIG87" s="916"/>
      <c r="AIH87" s="916"/>
      <c r="AII87" s="916"/>
      <c r="AIJ87" s="916"/>
      <c r="AIK87" s="916"/>
      <c r="AIL87" s="916"/>
      <c r="AIM87" s="916"/>
      <c r="AIN87" s="916"/>
      <c r="AIO87" s="916"/>
      <c r="AIP87" s="916"/>
      <c r="AIQ87" s="916"/>
      <c r="AIR87" s="916"/>
      <c r="AIS87" s="916"/>
      <c r="AIT87" s="916"/>
      <c r="AIU87" s="916"/>
      <c r="AIV87" s="916"/>
      <c r="AIW87" s="916"/>
      <c r="AIX87" s="916"/>
      <c r="AIY87" s="916"/>
      <c r="AIZ87" s="916"/>
      <c r="AJA87" s="916"/>
      <c r="AJB87" s="916"/>
      <c r="AJC87" s="916"/>
      <c r="AJD87" s="916"/>
      <c r="AJE87" s="916"/>
      <c r="AJF87" s="916"/>
      <c r="AJG87" s="916"/>
      <c r="AJH87" s="916"/>
      <c r="AJI87" s="916"/>
      <c r="AJJ87" s="916"/>
      <c r="AJK87" s="916"/>
      <c r="AJL87" s="916"/>
      <c r="AJM87" s="916"/>
      <c r="AJN87" s="916"/>
      <c r="AJO87" s="916"/>
      <c r="AJP87" s="916"/>
      <c r="AJQ87" s="916"/>
      <c r="AJR87" s="916"/>
      <c r="AJS87" s="916"/>
      <c r="AJT87" s="916"/>
      <c r="AJU87" s="916"/>
      <c r="AJV87" s="916"/>
      <c r="AJW87" s="916"/>
      <c r="AJX87" s="916"/>
      <c r="AJY87" s="916"/>
      <c r="AJZ87" s="916"/>
      <c r="AKA87" s="916"/>
      <c r="AKB87" s="916"/>
      <c r="AKC87" s="916"/>
      <c r="AKD87" s="916"/>
      <c r="AKE87" s="916"/>
      <c r="AKF87" s="916"/>
      <c r="AKG87" s="916"/>
      <c r="AKH87" s="916"/>
      <c r="AKI87" s="916"/>
      <c r="AKJ87" s="916"/>
      <c r="AKK87" s="916"/>
      <c r="AKL87" s="916"/>
      <c r="AKM87" s="916"/>
      <c r="AKN87" s="916"/>
      <c r="AKO87" s="916"/>
      <c r="AKP87" s="916"/>
      <c r="AKQ87" s="916"/>
      <c r="AKR87" s="916"/>
      <c r="AKS87" s="916"/>
      <c r="AKT87" s="916"/>
      <c r="AKU87" s="916"/>
      <c r="AKV87" s="916"/>
      <c r="AKW87" s="916"/>
      <c r="AKX87" s="916"/>
      <c r="AKY87" s="916"/>
      <c r="AKZ87" s="916"/>
      <c r="ALA87" s="916"/>
      <c r="ALB87" s="916"/>
      <c r="ALC87" s="916"/>
      <c r="ALD87" s="916"/>
      <c r="ALE87" s="916"/>
      <c r="ALF87" s="916"/>
      <c r="ALG87" s="916"/>
      <c r="ALH87" s="916"/>
      <c r="ALI87" s="916"/>
      <c r="ALJ87" s="916"/>
      <c r="ALK87" s="916"/>
      <c r="ALL87" s="916"/>
      <c r="ALM87" s="916"/>
      <c r="ALN87" s="916"/>
      <c r="ALO87" s="916"/>
      <c r="ALP87" s="916"/>
      <c r="ALQ87" s="916"/>
      <c r="ALR87" s="916"/>
      <c r="ALS87" s="916"/>
      <c r="ALT87" s="916"/>
      <c r="ALU87" s="916"/>
      <c r="ALV87" s="916"/>
      <c r="ALW87" s="916"/>
      <c r="ALX87" s="916"/>
      <c r="ALY87" s="916"/>
      <c r="ALZ87" s="916"/>
      <c r="AMA87" s="916"/>
      <c r="AMB87" s="916"/>
      <c r="AMC87" s="916"/>
      <c r="AMD87" s="916"/>
      <c r="AME87" s="916"/>
      <c r="AMF87" s="916"/>
      <c r="AMG87" s="916"/>
      <c r="AMH87" s="916"/>
      <c r="AMI87" s="916"/>
      <c r="AMJ87" s="916"/>
      <c r="AMK87" s="916"/>
      <c r="AML87" s="916"/>
      <c r="AMM87" s="916"/>
      <c r="AMN87" s="916"/>
      <c r="AMO87" s="916"/>
      <c r="AMP87" s="916"/>
      <c r="AMQ87" s="916"/>
      <c r="AMR87" s="916"/>
      <c r="AMS87" s="916"/>
      <c r="AMT87" s="916"/>
      <c r="AMU87" s="916"/>
      <c r="AMV87" s="916"/>
      <c r="AMW87" s="916"/>
      <c r="AMX87" s="916"/>
      <c r="AMY87" s="916"/>
      <c r="AMZ87" s="916"/>
      <c r="ANA87" s="916"/>
      <c r="ANB87" s="916"/>
      <c r="ANC87" s="916"/>
      <c r="AND87" s="916"/>
      <c r="ANE87" s="916"/>
      <c r="ANF87" s="916"/>
      <c r="ANG87" s="916"/>
      <c r="ANH87" s="916"/>
      <c r="ANI87" s="916"/>
      <c r="ANJ87" s="916"/>
      <c r="ANK87" s="916"/>
      <c r="ANL87" s="916"/>
      <c r="ANM87" s="916"/>
      <c r="ANN87" s="916"/>
      <c r="ANO87" s="916"/>
      <c r="ANP87" s="916"/>
      <c r="ANQ87" s="916"/>
      <c r="ANR87" s="916"/>
      <c r="ANS87" s="916"/>
      <c r="ANT87" s="916"/>
      <c r="ANU87" s="916"/>
      <c r="ANV87" s="916"/>
      <c r="ANW87" s="916"/>
      <c r="ANX87" s="916"/>
      <c r="ANY87" s="916"/>
      <c r="ANZ87" s="916"/>
      <c r="AOA87" s="916"/>
      <c r="AOB87" s="916"/>
      <c r="AOC87" s="916"/>
      <c r="AOD87" s="916"/>
      <c r="AOE87" s="916"/>
      <c r="AOF87" s="916"/>
      <c r="AOG87" s="916"/>
      <c r="AOH87" s="916"/>
      <c r="AOI87" s="916"/>
      <c r="AOJ87" s="916"/>
      <c r="AOK87" s="916"/>
      <c r="AOL87" s="916"/>
      <c r="AOM87" s="916"/>
      <c r="AON87" s="916"/>
      <c r="AOO87" s="916"/>
      <c r="AOP87" s="916"/>
      <c r="AOQ87" s="916"/>
      <c r="AOR87" s="916"/>
      <c r="AOS87" s="916"/>
      <c r="AOT87" s="916"/>
      <c r="AOU87" s="916"/>
      <c r="AOV87" s="916"/>
      <c r="AOW87" s="916"/>
      <c r="AOX87" s="916"/>
      <c r="AOY87" s="916"/>
      <c r="AOZ87" s="916"/>
      <c r="APA87" s="916"/>
      <c r="APB87" s="916"/>
      <c r="APC87" s="916"/>
      <c r="APD87" s="916"/>
      <c r="APE87" s="916"/>
      <c r="APF87" s="916"/>
      <c r="APG87" s="916"/>
      <c r="APH87" s="916"/>
      <c r="API87" s="916"/>
      <c r="APJ87" s="916"/>
      <c r="APK87" s="916"/>
      <c r="APL87" s="916"/>
      <c r="APM87" s="916"/>
      <c r="APN87" s="916"/>
      <c r="APO87" s="916"/>
      <c r="APP87" s="916"/>
      <c r="APQ87" s="916"/>
      <c r="APR87" s="916"/>
      <c r="APS87" s="916"/>
      <c r="APT87" s="916"/>
      <c r="APU87" s="916"/>
      <c r="APV87" s="916"/>
      <c r="APW87" s="916"/>
      <c r="APX87" s="916"/>
      <c r="APY87" s="916"/>
      <c r="APZ87" s="916"/>
      <c r="AQA87" s="916"/>
      <c r="AQB87" s="916"/>
      <c r="AQC87" s="916"/>
      <c r="AQD87" s="916"/>
      <c r="AQE87" s="916"/>
      <c r="AQF87" s="916"/>
      <c r="AQG87" s="916"/>
      <c r="AQH87" s="916"/>
      <c r="AQI87" s="916"/>
      <c r="AQJ87" s="916"/>
      <c r="AQK87" s="916"/>
      <c r="AQL87" s="916"/>
      <c r="AQM87" s="916"/>
      <c r="AQN87" s="916"/>
      <c r="AQO87" s="916"/>
      <c r="AQP87" s="916"/>
      <c r="AQQ87" s="916"/>
      <c r="AQR87" s="916"/>
      <c r="AQS87" s="916"/>
      <c r="AQT87" s="916"/>
      <c r="AQU87" s="916"/>
      <c r="AQV87" s="916"/>
      <c r="AQW87" s="916"/>
      <c r="AQX87" s="916"/>
      <c r="AQY87" s="916"/>
      <c r="AQZ87" s="916"/>
      <c r="ARA87" s="916"/>
      <c r="ARB87" s="916"/>
      <c r="ARC87" s="916"/>
      <c r="ARD87" s="916"/>
      <c r="ARE87" s="916"/>
      <c r="ARF87" s="916"/>
      <c r="ARG87" s="916"/>
      <c r="ARH87" s="916"/>
      <c r="ARI87" s="916"/>
      <c r="ARJ87" s="916"/>
      <c r="ARK87" s="916"/>
      <c r="ARL87" s="916"/>
      <c r="ARM87" s="916"/>
      <c r="ARN87" s="916"/>
      <c r="ARO87" s="916"/>
      <c r="ARP87" s="916"/>
      <c r="ARQ87" s="916"/>
      <c r="ARR87" s="916"/>
      <c r="ARS87" s="916"/>
      <c r="ART87" s="916"/>
      <c r="ARU87" s="916"/>
      <c r="ARV87" s="916"/>
      <c r="ARW87" s="916"/>
      <c r="ARX87" s="916"/>
      <c r="ARY87" s="916"/>
      <c r="ARZ87" s="916"/>
      <c r="ASA87" s="916"/>
      <c r="ASB87" s="916"/>
      <c r="ASC87" s="916"/>
      <c r="ASD87" s="916"/>
      <c r="ASE87" s="916"/>
      <c r="ASF87" s="916"/>
      <c r="ASG87" s="916"/>
      <c r="ASH87" s="916"/>
      <c r="ASI87" s="916"/>
      <c r="ASJ87" s="916"/>
      <c r="ASK87" s="916"/>
      <c r="ASL87" s="916"/>
      <c r="ASM87" s="916"/>
      <c r="ASN87" s="916"/>
      <c r="ASO87" s="916"/>
      <c r="ASP87" s="916"/>
      <c r="ASQ87" s="916"/>
      <c r="ASR87" s="916"/>
      <c r="ASS87" s="916"/>
      <c r="AST87" s="916"/>
      <c r="ASU87" s="916"/>
      <c r="ASV87" s="916"/>
      <c r="ASW87" s="916"/>
      <c r="ASX87" s="916"/>
      <c r="ASY87" s="916"/>
      <c r="ASZ87" s="916"/>
      <c r="ATA87" s="916"/>
      <c r="ATB87" s="916"/>
      <c r="ATC87" s="916"/>
      <c r="ATD87" s="916"/>
      <c r="ATE87" s="916"/>
      <c r="ATF87" s="916"/>
      <c r="ATG87" s="916"/>
      <c r="ATH87" s="916"/>
      <c r="ATI87" s="916"/>
      <c r="ATJ87" s="916"/>
      <c r="ATK87" s="916"/>
      <c r="ATL87" s="916"/>
      <c r="ATM87" s="916"/>
      <c r="ATN87" s="916"/>
      <c r="ATO87" s="916"/>
      <c r="ATP87" s="916"/>
      <c r="ATQ87" s="916"/>
      <c r="ATR87" s="916"/>
      <c r="ATS87" s="916"/>
      <c r="ATT87" s="916"/>
      <c r="ATU87" s="916"/>
      <c r="ATV87" s="916"/>
      <c r="ATW87" s="916"/>
      <c r="ATX87" s="916"/>
      <c r="ATY87" s="916"/>
      <c r="ATZ87" s="916"/>
      <c r="AUA87" s="916"/>
      <c r="AUB87" s="916"/>
      <c r="AUC87" s="916"/>
      <c r="AUD87" s="916"/>
      <c r="AUE87" s="916"/>
      <c r="AUF87" s="916"/>
      <c r="AUG87" s="916"/>
      <c r="AUH87" s="916"/>
      <c r="AUI87" s="916"/>
      <c r="AUJ87" s="916"/>
      <c r="AUK87" s="916"/>
      <c r="AUL87" s="916"/>
      <c r="AUM87" s="916"/>
      <c r="AUN87" s="916"/>
      <c r="AUO87" s="916"/>
      <c r="AUP87" s="916"/>
      <c r="AUQ87" s="916"/>
      <c r="AUR87" s="916"/>
      <c r="AUS87" s="916"/>
      <c r="AUT87" s="916"/>
      <c r="AUU87" s="916"/>
      <c r="AUV87" s="916"/>
      <c r="AUW87" s="916"/>
      <c r="AUX87" s="916"/>
      <c r="AUY87" s="916"/>
      <c r="AUZ87" s="916"/>
      <c r="AVA87" s="916"/>
      <c r="AVB87" s="916"/>
      <c r="AVC87" s="916"/>
      <c r="AVD87" s="916"/>
      <c r="AVE87" s="916"/>
      <c r="AVF87" s="916"/>
      <c r="AVG87" s="916"/>
      <c r="AVH87" s="916"/>
      <c r="AVI87" s="916"/>
      <c r="AVJ87" s="916"/>
      <c r="AVK87" s="916"/>
      <c r="AVL87" s="916"/>
      <c r="AVM87" s="916"/>
      <c r="AVN87" s="916"/>
      <c r="AVO87" s="916"/>
      <c r="AVP87" s="916"/>
      <c r="AVQ87" s="916"/>
      <c r="AVR87" s="916"/>
      <c r="AVS87" s="916"/>
      <c r="AVT87" s="916"/>
      <c r="AVU87" s="916"/>
      <c r="AVV87" s="916"/>
      <c r="AVW87" s="916"/>
      <c r="AVX87" s="916"/>
      <c r="AVY87" s="916"/>
      <c r="AVZ87" s="916"/>
      <c r="AWA87" s="916"/>
      <c r="AWB87" s="916"/>
      <c r="AWC87" s="916"/>
      <c r="AWD87" s="916"/>
      <c r="AWE87" s="916"/>
      <c r="AWF87" s="916"/>
      <c r="AWG87" s="916"/>
      <c r="AWH87" s="916"/>
      <c r="AWI87" s="916"/>
      <c r="AWJ87" s="916"/>
      <c r="AWK87" s="916"/>
      <c r="AWL87" s="916"/>
      <c r="AWM87" s="916"/>
      <c r="AWN87" s="916"/>
      <c r="AWO87" s="916"/>
      <c r="AWP87" s="916"/>
      <c r="AWQ87" s="916"/>
      <c r="AWR87" s="916"/>
      <c r="AWS87" s="916"/>
      <c r="AWT87" s="916"/>
      <c r="AWU87" s="916"/>
      <c r="AWV87" s="916"/>
      <c r="AWW87" s="916"/>
      <c r="AWX87" s="916"/>
      <c r="AWY87" s="916"/>
      <c r="AWZ87" s="916"/>
      <c r="AXA87" s="916"/>
      <c r="AXB87" s="916"/>
      <c r="AXC87" s="916"/>
      <c r="AXD87" s="916"/>
      <c r="AXE87" s="916"/>
      <c r="AXF87" s="916"/>
      <c r="AXG87" s="916"/>
      <c r="AXH87" s="916"/>
      <c r="AXI87" s="916"/>
      <c r="AXJ87" s="916"/>
      <c r="AXK87" s="916"/>
      <c r="AXL87" s="916"/>
      <c r="AXM87" s="916"/>
      <c r="AXN87" s="916"/>
      <c r="AXO87" s="916"/>
      <c r="AXP87" s="916"/>
      <c r="AXQ87" s="916"/>
      <c r="AXR87" s="916"/>
      <c r="AXS87" s="916"/>
      <c r="AXT87" s="916"/>
      <c r="AXU87" s="916"/>
      <c r="AXV87" s="916"/>
      <c r="AXW87" s="916"/>
      <c r="AXX87" s="916"/>
      <c r="AXY87" s="916"/>
      <c r="AXZ87" s="916"/>
      <c r="AYA87" s="916"/>
      <c r="AYB87" s="916"/>
      <c r="AYC87" s="916"/>
      <c r="AYD87" s="916"/>
      <c r="AYE87" s="916"/>
      <c r="AYF87" s="916"/>
      <c r="AYG87" s="916"/>
      <c r="AYH87" s="916"/>
      <c r="AYI87" s="916"/>
      <c r="AYJ87" s="916"/>
      <c r="AYK87" s="916"/>
      <c r="AYL87" s="916"/>
      <c r="AYM87" s="916"/>
      <c r="AYN87" s="916"/>
      <c r="AYO87" s="916"/>
      <c r="AYP87" s="916"/>
      <c r="AYQ87" s="916"/>
      <c r="AYR87" s="916"/>
      <c r="AYS87" s="916"/>
      <c r="AYT87" s="916"/>
      <c r="AYU87" s="916"/>
      <c r="AYV87" s="916"/>
      <c r="AYW87" s="916"/>
      <c r="AYX87" s="916"/>
      <c r="AYY87" s="916"/>
      <c r="AYZ87" s="916"/>
      <c r="AZA87" s="916"/>
      <c r="AZB87" s="916"/>
      <c r="AZC87" s="916"/>
      <c r="AZD87" s="916"/>
      <c r="AZE87" s="916"/>
      <c r="AZF87" s="916"/>
      <c r="AZG87" s="916"/>
      <c r="AZH87" s="916"/>
      <c r="AZI87" s="916"/>
      <c r="AZJ87" s="916"/>
      <c r="AZK87" s="916"/>
      <c r="AZL87" s="916"/>
      <c r="AZM87" s="916"/>
      <c r="AZN87" s="916"/>
      <c r="AZO87" s="916"/>
      <c r="AZP87" s="916"/>
      <c r="AZQ87" s="916"/>
      <c r="AZR87" s="916"/>
      <c r="AZS87" s="916"/>
      <c r="AZT87" s="916"/>
      <c r="AZU87" s="916"/>
      <c r="AZV87" s="916"/>
      <c r="AZW87" s="916"/>
      <c r="AZX87" s="916"/>
      <c r="AZY87" s="916"/>
      <c r="AZZ87" s="916"/>
      <c r="BAA87" s="916"/>
      <c r="BAB87" s="916"/>
      <c r="BAC87" s="916"/>
      <c r="BAD87" s="916"/>
      <c r="BAE87" s="916"/>
      <c r="BAF87" s="916"/>
      <c r="BAG87" s="916"/>
      <c r="BAH87" s="916"/>
      <c r="BAI87" s="916"/>
      <c r="BAJ87" s="916"/>
      <c r="BAK87" s="916"/>
      <c r="BAL87" s="916"/>
      <c r="BAM87" s="916"/>
      <c r="BAN87" s="916"/>
      <c r="BAO87" s="916"/>
      <c r="BAP87" s="916"/>
      <c r="BAQ87" s="916"/>
      <c r="BAR87" s="916"/>
      <c r="BAS87" s="916"/>
      <c r="BAT87" s="916"/>
      <c r="BAU87" s="916"/>
      <c r="BAV87" s="916"/>
      <c r="BAW87" s="916"/>
      <c r="BAX87" s="916"/>
      <c r="BAY87" s="916"/>
      <c r="BAZ87" s="916"/>
      <c r="BBA87" s="916"/>
      <c r="BBB87" s="916"/>
      <c r="BBC87" s="916"/>
      <c r="BBD87" s="916"/>
      <c r="BBE87" s="916"/>
      <c r="BBF87" s="916"/>
      <c r="BBG87" s="916"/>
      <c r="BBH87" s="916"/>
      <c r="BBI87" s="916"/>
      <c r="BBJ87" s="916"/>
      <c r="BBK87" s="916"/>
      <c r="BBL87" s="916"/>
      <c r="BBM87" s="916"/>
      <c r="BBN87" s="916"/>
      <c r="BBO87" s="916"/>
      <c r="BBP87" s="916"/>
      <c r="BBQ87" s="916"/>
      <c r="BBR87" s="916"/>
      <c r="BBS87" s="916"/>
      <c r="BBT87" s="916"/>
      <c r="BBU87" s="916"/>
      <c r="BBV87" s="916"/>
      <c r="BBW87" s="916"/>
      <c r="BBX87" s="916"/>
      <c r="BBY87" s="916"/>
      <c r="BBZ87" s="916"/>
      <c r="BCA87" s="916"/>
      <c r="BCB87" s="916"/>
      <c r="BCC87" s="916"/>
      <c r="BCD87" s="916"/>
      <c r="BCE87" s="916"/>
      <c r="BCF87" s="916"/>
      <c r="BCG87" s="916"/>
      <c r="BCH87" s="916"/>
      <c r="BCI87" s="916"/>
      <c r="BCJ87" s="916"/>
      <c r="BCK87" s="916"/>
      <c r="BCL87" s="916"/>
      <c r="BCM87" s="916"/>
      <c r="BCN87" s="916"/>
      <c r="BCO87" s="916"/>
      <c r="BCP87" s="916"/>
      <c r="BCQ87" s="916"/>
      <c r="BCR87" s="916"/>
      <c r="BCS87" s="916"/>
      <c r="BCT87" s="916"/>
      <c r="BCU87" s="916"/>
      <c r="BCV87" s="916"/>
      <c r="BCW87" s="916"/>
      <c r="BCX87" s="916"/>
      <c r="BCY87" s="916"/>
      <c r="BCZ87" s="916"/>
      <c r="BDA87" s="916"/>
      <c r="BDB87" s="916"/>
      <c r="BDC87" s="916"/>
      <c r="BDD87" s="916"/>
      <c r="BDE87" s="916"/>
      <c r="BDF87" s="916"/>
      <c r="BDG87" s="916"/>
      <c r="BDH87" s="916"/>
      <c r="BDI87" s="916"/>
      <c r="BDJ87" s="916"/>
      <c r="BDK87" s="916"/>
      <c r="BDL87" s="916"/>
      <c r="BDM87" s="916"/>
      <c r="BDN87" s="916"/>
      <c r="BDO87" s="916"/>
      <c r="BDP87" s="916"/>
      <c r="BDQ87" s="916"/>
      <c r="BDR87" s="916"/>
      <c r="BDS87" s="916"/>
      <c r="BDT87" s="916"/>
      <c r="BDU87" s="916"/>
      <c r="BDV87" s="916"/>
      <c r="BDW87" s="916"/>
      <c r="BDX87" s="916"/>
      <c r="BDY87" s="916"/>
      <c r="BDZ87" s="916"/>
      <c r="BEA87" s="916"/>
      <c r="BEB87" s="916"/>
      <c r="BEC87" s="916"/>
      <c r="BED87" s="916"/>
      <c r="BEE87" s="916"/>
      <c r="BEF87" s="916"/>
      <c r="BEG87" s="916"/>
      <c r="BEH87" s="916"/>
      <c r="BEI87" s="916"/>
      <c r="BEJ87" s="916"/>
      <c r="BEK87" s="916"/>
      <c r="BEL87" s="916"/>
      <c r="BEM87" s="916"/>
      <c r="BEN87" s="916"/>
      <c r="BEO87" s="916"/>
      <c r="BEP87" s="916"/>
      <c r="BEQ87" s="916"/>
      <c r="BER87" s="916"/>
      <c r="BES87" s="916"/>
      <c r="BET87" s="916"/>
      <c r="BEU87" s="916"/>
      <c r="BEV87" s="916"/>
      <c r="BEW87" s="916"/>
      <c r="BEX87" s="916"/>
      <c r="BEY87" s="916"/>
      <c r="BEZ87" s="916"/>
      <c r="BFA87" s="916"/>
      <c r="BFB87" s="916"/>
      <c r="BFC87" s="916"/>
      <c r="BFD87" s="916"/>
      <c r="BFE87" s="916"/>
      <c r="BFF87" s="916"/>
      <c r="BFG87" s="916"/>
      <c r="BFH87" s="916"/>
      <c r="BFI87" s="916"/>
      <c r="BFJ87" s="916"/>
      <c r="BFK87" s="916"/>
      <c r="BFL87" s="916"/>
      <c r="BFM87" s="916"/>
      <c r="BFN87" s="916"/>
      <c r="BFO87" s="916"/>
      <c r="BFP87" s="916"/>
      <c r="BFQ87" s="916"/>
      <c r="BFR87" s="916"/>
      <c r="BFS87" s="916"/>
      <c r="BFT87" s="916"/>
      <c r="BFU87" s="916"/>
      <c r="BFV87" s="916"/>
      <c r="BFW87" s="916"/>
      <c r="BFX87" s="916"/>
      <c r="BFY87" s="916"/>
      <c r="BFZ87" s="916"/>
      <c r="BGA87" s="916"/>
      <c r="BGB87" s="916"/>
      <c r="BGC87" s="916"/>
      <c r="BGD87" s="916"/>
      <c r="BGE87" s="916"/>
      <c r="BGF87" s="916"/>
      <c r="BGG87" s="916"/>
      <c r="BGH87" s="916"/>
      <c r="BGI87" s="916"/>
      <c r="BGJ87" s="916"/>
      <c r="BGK87" s="916"/>
      <c r="BGL87" s="916"/>
      <c r="BGM87" s="916"/>
      <c r="BGN87" s="916"/>
      <c r="BGO87" s="916"/>
      <c r="BGP87" s="916"/>
      <c r="BGQ87" s="916"/>
      <c r="BGR87" s="916"/>
      <c r="BGS87" s="916"/>
      <c r="BGT87" s="916"/>
      <c r="BGU87" s="916"/>
      <c r="BGV87" s="916"/>
      <c r="BGW87" s="916"/>
      <c r="BGX87" s="916"/>
      <c r="BGY87" s="916"/>
      <c r="BGZ87" s="916"/>
      <c r="BHA87" s="916"/>
      <c r="BHB87" s="916"/>
      <c r="BHC87" s="916"/>
      <c r="BHD87" s="916"/>
      <c r="BHE87" s="916"/>
      <c r="BHF87" s="916"/>
      <c r="BHG87" s="916"/>
      <c r="BHH87" s="916"/>
      <c r="BHI87" s="916"/>
      <c r="BHJ87" s="916"/>
      <c r="BHK87" s="916"/>
      <c r="BHL87" s="916"/>
      <c r="BHM87" s="916"/>
      <c r="BHN87" s="916"/>
      <c r="BHO87" s="916"/>
      <c r="BHP87" s="916"/>
      <c r="BHQ87" s="916"/>
      <c r="BHR87" s="916"/>
      <c r="BHS87" s="916"/>
      <c r="BHT87" s="916"/>
      <c r="BHU87" s="916"/>
      <c r="BHV87" s="916"/>
      <c r="BHW87" s="916"/>
      <c r="BHX87" s="916"/>
      <c r="BHY87" s="916"/>
      <c r="BHZ87" s="916"/>
      <c r="BIA87" s="916"/>
      <c r="BIB87" s="916"/>
      <c r="BIC87" s="916"/>
      <c r="BID87" s="916"/>
      <c r="BIE87" s="916"/>
      <c r="BIF87" s="916"/>
      <c r="BIG87" s="916"/>
      <c r="BIH87" s="916"/>
      <c r="BII87" s="916"/>
      <c r="BIJ87" s="916"/>
      <c r="BIK87" s="916"/>
      <c r="BIL87" s="916"/>
      <c r="BIM87" s="916"/>
      <c r="BIN87" s="916"/>
      <c r="BIO87" s="916"/>
      <c r="BIP87" s="916"/>
      <c r="BIQ87" s="916"/>
      <c r="BIR87" s="916"/>
      <c r="BIS87" s="916"/>
      <c r="BIT87" s="916"/>
      <c r="BIU87" s="916"/>
      <c r="BIV87" s="916"/>
      <c r="BIW87" s="916"/>
      <c r="BIX87" s="916"/>
      <c r="BIY87" s="916"/>
      <c r="BIZ87" s="916"/>
      <c r="BJA87" s="916"/>
      <c r="BJB87" s="916"/>
      <c r="BJC87" s="916"/>
      <c r="BJD87" s="916"/>
      <c r="BJE87" s="916"/>
      <c r="BJF87" s="916"/>
      <c r="BJG87" s="916"/>
      <c r="BJH87" s="916"/>
      <c r="BJI87" s="916"/>
      <c r="BJJ87" s="916"/>
      <c r="BJK87" s="916"/>
      <c r="BJL87" s="916"/>
      <c r="BJM87" s="916"/>
      <c r="BJN87" s="916"/>
      <c r="BJO87" s="916"/>
      <c r="BJP87" s="916"/>
      <c r="BJQ87" s="916"/>
      <c r="BJR87" s="916"/>
      <c r="BJS87" s="916"/>
      <c r="BJT87" s="916"/>
      <c r="BJU87" s="916"/>
      <c r="BJV87" s="916"/>
      <c r="BJW87" s="916"/>
      <c r="BJX87" s="916"/>
      <c r="BJY87" s="916"/>
      <c r="BJZ87" s="916"/>
      <c r="BKA87" s="916"/>
      <c r="BKB87" s="916"/>
      <c r="BKC87" s="916"/>
      <c r="BKD87" s="916"/>
      <c r="BKE87" s="916"/>
      <c r="BKF87" s="916"/>
      <c r="BKG87" s="916"/>
      <c r="BKH87" s="916"/>
      <c r="BKI87" s="916"/>
      <c r="BKJ87" s="916"/>
      <c r="BKK87" s="916"/>
      <c r="BKL87" s="916"/>
      <c r="BKM87" s="916"/>
      <c r="BKN87" s="916"/>
      <c r="BKO87" s="916"/>
      <c r="BKP87" s="916"/>
      <c r="BKQ87" s="916"/>
      <c r="BKR87" s="916"/>
      <c r="BKS87" s="916"/>
      <c r="BKT87" s="916"/>
      <c r="BKU87" s="916"/>
      <c r="BKV87" s="916"/>
      <c r="BKW87" s="916"/>
      <c r="BKX87" s="916"/>
      <c r="BKY87" s="916"/>
      <c r="BKZ87" s="916"/>
      <c r="BLA87" s="916"/>
      <c r="BLB87" s="916"/>
      <c r="BLC87" s="916"/>
      <c r="BLD87" s="916"/>
      <c r="BLE87" s="916"/>
      <c r="BLF87" s="916"/>
      <c r="BLG87" s="916"/>
      <c r="BLH87" s="916"/>
      <c r="BLI87" s="916"/>
      <c r="BLJ87" s="916"/>
      <c r="BLK87" s="916"/>
      <c r="BLL87" s="916"/>
      <c r="BLM87" s="916"/>
      <c r="BLN87" s="916"/>
      <c r="BLO87" s="916"/>
      <c r="BLP87" s="916"/>
      <c r="BLQ87" s="916"/>
      <c r="BLR87" s="916"/>
      <c r="BLS87" s="916"/>
      <c r="BLT87" s="916"/>
      <c r="BLU87" s="916"/>
      <c r="BLV87" s="916"/>
      <c r="BLW87" s="916"/>
      <c r="BLX87" s="916"/>
      <c r="BLY87" s="916"/>
      <c r="BLZ87" s="916"/>
      <c r="BMA87" s="916"/>
      <c r="BMB87" s="916"/>
      <c r="BMC87" s="916"/>
      <c r="BMD87" s="916"/>
      <c r="BME87" s="916"/>
      <c r="BMF87" s="916"/>
      <c r="BMG87" s="916"/>
      <c r="BMH87" s="916"/>
      <c r="BMI87" s="916"/>
      <c r="BMJ87" s="916"/>
      <c r="BMK87" s="916"/>
      <c r="BML87" s="916"/>
      <c r="BMM87" s="916"/>
      <c r="BMN87" s="916"/>
      <c r="BMO87" s="916"/>
      <c r="BMP87" s="916"/>
      <c r="BMQ87" s="916"/>
      <c r="BMR87" s="916"/>
      <c r="BMS87" s="916"/>
      <c r="BMT87" s="916"/>
      <c r="BMU87" s="916"/>
      <c r="BMV87" s="916"/>
      <c r="BMW87" s="916"/>
      <c r="BMX87" s="916"/>
      <c r="BMY87" s="916"/>
      <c r="BMZ87" s="916"/>
      <c r="BNA87" s="916"/>
      <c r="BNB87" s="916"/>
      <c r="BNC87" s="916"/>
      <c r="BND87" s="916"/>
      <c r="BNE87" s="916"/>
      <c r="BNF87" s="916"/>
      <c r="BNG87" s="916"/>
      <c r="BNH87" s="916"/>
      <c r="BNI87" s="916"/>
      <c r="BNJ87" s="916"/>
      <c r="BNK87" s="916"/>
      <c r="BNL87" s="916"/>
      <c r="BNM87" s="916"/>
      <c r="BNN87" s="916"/>
      <c r="BNO87" s="916"/>
      <c r="BNP87" s="916"/>
      <c r="BNQ87" s="916"/>
      <c r="BNR87" s="916"/>
      <c r="BNS87" s="916"/>
      <c r="BNT87" s="916"/>
      <c r="BNU87" s="916"/>
      <c r="BNV87" s="916"/>
      <c r="BNW87" s="916"/>
      <c r="BNX87" s="916"/>
      <c r="BNY87" s="916"/>
      <c r="BNZ87" s="916"/>
      <c r="BOA87" s="916"/>
      <c r="BOB87" s="916"/>
      <c r="BOC87" s="916"/>
      <c r="BOD87" s="916"/>
      <c r="BOE87" s="916"/>
      <c r="BOF87" s="916"/>
      <c r="BOG87" s="916"/>
      <c r="BOH87" s="916"/>
      <c r="BOI87" s="916"/>
      <c r="BOJ87" s="916"/>
      <c r="BOK87" s="916"/>
      <c r="BOL87" s="916"/>
      <c r="BOM87" s="916"/>
      <c r="BON87" s="916"/>
      <c r="BOO87" s="916"/>
      <c r="BOP87" s="916"/>
      <c r="BOQ87" s="916"/>
      <c r="BOR87" s="916"/>
      <c r="BOS87" s="916"/>
      <c r="BOT87" s="916"/>
      <c r="BOU87" s="916"/>
      <c r="BOV87" s="916"/>
      <c r="BOW87" s="916"/>
      <c r="BOX87" s="916"/>
      <c r="BOY87" s="916"/>
      <c r="BOZ87" s="916"/>
      <c r="BPA87" s="916"/>
      <c r="BPB87" s="916"/>
      <c r="BPC87" s="916"/>
      <c r="BPD87" s="916"/>
      <c r="BPE87" s="916"/>
      <c r="BPF87" s="916"/>
      <c r="BPG87" s="916"/>
      <c r="BPH87" s="916"/>
      <c r="BPI87" s="916"/>
      <c r="BPJ87" s="916"/>
      <c r="BPK87" s="916"/>
      <c r="BPL87" s="916"/>
      <c r="BPM87" s="916"/>
      <c r="BPN87" s="916"/>
      <c r="BPO87" s="916"/>
      <c r="BPP87" s="916"/>
      <c r="BPQ87" s="916"/>
      <c r="BPR87" s="916"/>
      <c r="BPS87" s="916"/>
      <c r="BPT87" s="916"/>
      <c r="BPU87" s="916"/>
      <c r="BPV87" s="916"/>
      <c r="BPW87" s="916"/>
      <c r="BPX87" s="916"/>
      <c r="BPY87" s="916"/>
      <c r="BPZ87" s="916"/>
      <c r="BQA87" s="916"/>
      <c r="BQB87" s="916"/>
      <c r="BQC87" s="916"/>
      <c r="BQD87" s="916"/>
      <c r="BQE87" s="916"/>
      <c r="BQF87" s="916"/>
      <c r="BQG87" s="916"/>
      <c r="BQH87" s="916"/>
      <c r="BQI87" s="916"/>
      <c r="BQJ87" s="916"/>
      <c r="BQK87" s="916"/>
      <c r="BQL87" s="916"/>
      <c r="BQM87" s="916"/>
      <c r="BQN87" s="916"/>
      <c r="BQO87" s="916"/>
      <c r="BQP87" s="916"/>
      <c r="BQQ87" s="916"/>
      <c r="BQR87" s="916"/>
      <c r="BQS87" s="916"/>
      <c r="BQT87" s="916"/>
      <c r="BQU87" s="916"/>
      <c r="BQV87" s="916"/>
      <c r="BQW87" s="916"/>
      <c r="BQX87" s="916"/>
      <c r="BQY87" s="916"/>
      <c r="BQZ87" s="916"/>
      <c r="BRA87" s="916"/>
      <c r="BRB87" s="916"/>
      <c r="BRC87" s="916"/>
      <c r="BRD87" s="916"/>
      <c r="BRE87" s="916"/>
      <c r="BRF87" s="916"/>
      <c r="BRG87" s="916"/>
      <c r="BRH87" s="916"/>
      <c r="BRI87" s="916"/>
      <c r="BRJ87" s="916"/>
      <c r="BRK87" s="916"/>
      <c r="BRL87" s="916"/>
      <c r="BRM87" s="916"/>
      <c r="BRN87" s="916"/>
      <c r="BRO87" s="916"/>
      <c r="BRP87" s="916"/>
      <c r="BRQ87" s="916"/>
      <c r="BRR87" s="916"/>
      <c r="BRS87" s="916"/>
      <c r="BRT87" s="916"/>
      <c r="BRU87" s="916"/>
      <c r="BRV87" s="916"/>
      <c r="BRW87" s="916"/>
      <c r="BRX87" s="916"/>
      <c r="BRY87" s="916"/>
      <c r="BRZ87" s="916"/>
      <c r="BSA87" s="916"/>
      <c r="BSB87" s="916"/>
      <c r="BSC87" s="916"/>
      <c r="BSD87" s="916"/>
      <c r="BSE87" s="916"/>
      <c r="BSF87" s="916"/>
      <c r="BSG87" s="916"/>
      <c r="BSH87" s="916"/>
      <c r="BSI87" s="916"/>
      <c r="BSJ87" s="916"/>
      <c r="BSK87" s="916"/>
      <c r="BSL87" s="916"/>
      <c r="BSM87" s="916"/>
      <c r="BSN87" s="916"/>
      <c r="BSO87" s="916"/>
      <c r="BSP87" s="916"/>
      <c r="BSQ87" s="916"/>
      <c r="BSR87" s="916"/>
      <c r="BSS87" s="916"/>
      <c r="BST87" s="916"/>
      <c r="BSU87" s="916"/>
      <c r="BSV87" s="916"/>
      <c r="BSW87" s="916"/>
      <c r="BSX87" s="916"/>
      <c r="BSY87" s="916"/>
      <c r="BSZ87" s="916"/>
      <c r="BTA87" s="916"/>
      <c r="BTB87" s="916"/>
      <c r="BTC87" s="916"/>
      <c r="BTD87" s="916"/>
      <c r="BTE87" s="916"/>
      <c r="BTF87" s="916"/>
      <c r="BTG87" s="916"/>
      <c r="BTH87" s="916"/>
      <c r="BTI87" s="916"/>
      <c r="BTJ87" s="916"/>
      <c r="BTK87" s="916"/>
      <c r="BTL87" s="916"/>
      <c r="BTM87" s="916"/>
      <c r="BTN87" s="916"/>
      <c r="BTO87" s="916"/>
      <c r="BTP87" s="916"/>
      <c r="BTQ87" s="916"/>
      <c r="BTR87" s="916"/>
      <c r="BTS87" s="916"/>
      <c r="BTT87" s="916"/>
      <c r="BTU87" s="916"/>
      <c r="BTV87" s="916"/>
      <c r="BTW87" s="916"/>
      <c r="BTX87" s="916"/>
      <c r="BTY87" s="916"/>
      <c r="BTZ87" s="916"/>
      <c r="BUA87" s="916"/>
      <c r="BUB87" s="916"/>
      <c r="BUC87" s="916"/>
      <c r="BUD87" s="916"/>
      <c r="BUE87" s="916"/>
      <c r="BUF87" s="916"/>
      <c r="BUG87" s="916"/>
      <c r="BUH87" s="916"/>
      <c r="BUI87" s="916"/>
      <c r="BUJ87" s="916"/>
      <c r="BUK87" s="916"/>
      <c r="BUL87" s="916"/>
      <c r="BUM87" s="916"/>
      <c r="BUN87" s="916"/>
      <c r="BUO87" s="916"/>
      <c r="BUP87" s="916"/>
      <c r="BUQ87" s="916"/>
      <c r="BUR87" s="916"/>
      <c r="BUS87" s="916"/>
      <c r="BUT87" s="916"/>
      <c r="BUU87" s="916"/>
      <c r="BUV87" s="916"/>
      <c r="BUW87" s="916"/>
      <c r="BUX87" s="916"/>
      <c r="BUY87" s="916"/>
      <c r="BUZ87" s="916"/>
      <c r="BVA87" s="916"/>
      <c r="BVB87" s="916"/>
      <c r="BVC87" s="916"/>
      <c r="BVD87" s="916"/>
      <c r="BVE87" s="916"/>
      <c r="BVF87" s="916"/>
      <c r="BVG87" s="916"/>
      <c r="BVH87" s="916"/>
      <c r="BVI87" s="916"/>
      <c r="BVJ87" s="916"/>
      <c r="BVK87" s="916"/>
      <c r="BVL87" s="916"/>
      <c r="BVM87" s="916"/>
      <c r="BVN87" s="916"/>
      <c r="BVO87" s="916"/>
      <c r="BVP87" s="916"/>
      <c r="BVQ87" s="916"/>
      <c r="BVR87" s="916"/>
      <c r="BVS87" s="916"/>
      <c r="BVT87" s="916"/>
      <c r="BVU87" s="916"/>
      <c r="BVV87" s="916"/>
      <c r="BVW87" s="916"/>
      <c r="BVX87" s="916"/>
      <c r="BVY87" s="916"/>
      <c r="BVZ87" s="916"/>
      <c r="BWA87" s="916"/>
      <c r="BWB87" s="916"/>
      <c r="BWC87" s="916"/>
      <c r="BWD87" s="916"/>
      <c r="BWE87" s="916"/>
      <c r="BWF87" s="916"/>
      <c r="BWG87" s="916"/>
      <c r="BWH87" s="916"/>
      <c r="BWI87" s="916"/>
      <c r="BWJ87" s="916"/>
      <c r="BWK87" s="916"/>
      <c r="BWL87" s="916"/>
      <c r="BWM87" s="916"/>
      <c r="BWN87" s="916"/>
      <c r="BWO87" s="916"/>
      <c r="BWP87" s="916"/>
      <c r="BWQ87" s="916"/>
      <c r="BWR87" s="916"/>
      <c r="BWS87" s="916"/>
      <c r="BWT87" s="916"/>
      <c r="BWU87" s="916"/>
      <c r="BWV87" s="916"/>
      <c r="BWW87" s="916"/>
      <c r="BWX87" s="916"/>
      <c r="BWY87" s="916"/>
      <c r="BWZ87" s="916"/>
      <c r="BXA87" s="916"/>
      <c r="BXB87" s="916"/>
      <c r="BXC87" s="916"/>
      <c r="BXD87" s="916"/>
      <c r="BXE87" s="916"/>
      <c r="BXF87" s="916"/>
      <c r="BXG87" s="916"/>
      <c r="BXH87" s="916"/>
      <c r="BXI87" s="916"/>
      <c r="BXJ87" s="916"/>
      <c r="BXK87" s="916"/>
      <c r="BXL87" s="916"/>
      <c r="BXM87" s="916"/>
      <c r="BXN87" s="916"/>
      <c r="BXO87" s="916"/>
      <c r="BXP87" s="916"/>
      <c r="BXQ87" s="916"/>
      <c r="BXR87" s="916"/>
      <c r="BXS87" s="916"/>
      <c r="BXT87" s="916"/>
      <c r="BXU87" s="916"/>
      <c r="BXV87" s="916"/>
      <c r="BXW87" s="916"/>
      <c r="BXX87" s="916"/>
      <c r="BXY87" s="916"/>
      <c r="BXZ87" s="916"/>
      <c r="BYA87" s="916"/>
      <c r="BYB87" s="916"/>
      <c r="BYC87" s="916"/>
      <c r="BYD87" s="916"/>
      <c r="BYE87" s="916"/>
      <c r="BYF87" s="916"/>
      <c r="BYG87" s="916"/>
      <c r="BYH87" s="916"/>
      <c r="BYI87" s="916"/>
      <c r="BYJ87" s="916"/>
      <c r="BYK87" s="916"/>
      <c r="BYL87" s="916"/>
      <c r="BYM87" s="916"/>
      <c r="BYN87" s="916"/>
      <c r="BYO87" s="916"/>
      <c r="BYP87" s="916"/>
      <c r="BYQ87" s="916"/>
      <c r="BYR87" s="916"/>
      <c r="BYS87" s="916"/>
      <c r="BYT87" s="916"/>
      <c r="BYU87" s="916"/>
      <c r="BYV87" s="916"/>
      <c r="BYW87" s="916"/>
      <c r="BYX87" s="916"/>
      <c r="BYY87" s="916"/>
      <c r="BYZ87" s="916"/>
      <c r="BZA87" s="916"/>
      <c r="BZB87" s="916"/>
      <c r="BZC87" s="916"/>
      <c r="BZD87" s="916"/>
      <c r="BZE87" s="916"/>
      <c r="BZF87" s="916"/>
      <c r="BZG87" s="916"/>
      <c r="BZH87" s="916"/>
      <c r="BZI87" s="916"/>
      <c r="BZJ87" s="916"/>
      <c r="BZK87" s="916"/>
      <c r="BZL87" s="916"/>
      <c r="BZM87" s="916"/>
      <c r="BZN87" s="916"/>
      <c r="BZO87" s="916"/>
      <c r="BZP87" s="916"/>
      <c r="BZQ87" s="916"/>
      <c r="BZR87" s="916"/>
      <c r="BZS87" s="916"/>
      <c r="BZT87" s="916"/>
      <c r="BZU87" s="916"/>
      <c r="BZV87" s="916"/>
      <c r="BZW87" s="916"/>
      <c r="BZX87" s="916"/>
      <c r="BZY87" s="916"/>
      <c r="BZZ87" s="916"/>
      <c r="CAA87" s="916"/>
      <c r="CAB87" s="916"/>
      <c r="CAC87" s="916"/>
      <c r="CAD87" s="916"/>
      <c r="CAE87" s="916"/>
      <c r="CAF87" s="916"/>
      <c r="CAG87" s="916"/>
      <c r="CAH87" s="916"/>
      <c r="CAI87" s="916"/>
      <c r="CAJ87" s="916"/>
      <c r="CAK87" s="916"/>
      <c r="CAL87" s="916"/>
      <c r="CAM87" s="916"/>
      <c r="CAN87" s="916"/>
      <c r="CAO87" s="916"/>
      <c r="CAP87" s="916"/>
      <c r="CAQ87" s="916"/>
      <c r="CAR87" s="916"/>
      <c r="CAS87" s="916"/>
      <c r="CAT87" s="916"/>
      <c r="CAU87" s="916"/>
      <c r="CAV87" s="916"/>
      <c r="CAW87" s="916"/>
      <c r="CAX87" s="916"/>
      <c r="CAY87" s="916"/>
      <c r="CAZ87" s="916"/>
      <c r="CBA87" s="916"/>
      <c r="CBB87" s="916"/>
      <c r="CBC87" s="916"/>
      <c r="CBD87" s="916"/>
      <c r="CBE87" s="916"/>
      <c r="CBF87" s="916"/>
      <c r="CBG87" s="916"/>
      <c r="CBH87" s="916"/>
      <c r="CBI87" s="916"/>
      <c r="CBJ87" s="916"/>
      <c r="CBK87" s="916"/>
      <c r="CBL87" s="916"/>
      <c r="CBM87" s="916"/>
      <c r="CBN87" s="916"/>
      <c r="CBO87" s="916"/>
      <c r="CBP87" s="916"/>
      <c r="CBQ87" s="916"/>
      <c r="CBR87" s="916"/>
      <c r="CBS87" s="916"/>
      <c r="CBT87" s="916"/>
      <c r="CBU87" s="916"/>
      <c r="CBV87" s="916"/>
      <c r="CBW87" s="916"/>
      <c r="CBX87" s="916"/>
      <c r="CBY87" s="916"/>
      <c r="CBZ87" s="916"/>
      <c r="CCA87" s="916"/>
      <c r="CCB87" s="916"/>
      <c r="CCC87" s="916"/>
      <c r="CCD87" s="916"/>
      <c r="CCE87" s="916"/>
      <c r="CCF87" s="916"/>
      <c r="CCG87" s="916"/>
      <c r="CCH87" s="916"/>
      <c r="CCI87" s="916"/>
      <c r="CCJ87" s="916"/>
      <c r="CCK87" s="916"/>
      <c r="CCL87" s="916"/>
      <c r="CCM87" s="916"/>
      <c r="CCN87" s="916"/>
      <c r="CCO87" s="916"/>
      <c r="CCP87" s="916"/>
      <c r="CCQ87" s="916"/>
      <c r="CCR87" s="916"/>
      <c r="CCS87" s="916"/>
      <c r="CCT87" s="916"/>
      <c r="CCU87" s="916"/>
      <c r="CCV87" s="916"/>
      <c r="CCW87" s="916"/>
      <c r="CCX87" s="916"/>
      <c r="CCY87" s="916"/>
      <c r="CCZ87" s="916"/>
      <c r="CDA87" s="916"/>
      <c r="CDB87" s="916"/>
      <c r="CDC87" s="916"/>
      <c r="CDD87" s="916"/>
      <c r="CDE87" s="916"/>
      <c r="CDF87" s="916"/>
      <c r="CDG87" s="916"/>
      <c r="CDH87" s="916"/>
      <c r="CDI87" s="916"/>
      <c r="CDJ87" s="916"/>
      <c r="CDK87" s="916"/>
      <c r="CDL87" s="916"/>
      <c r="CDM87" s="916"/>
      <c r="CDN87" s="916"/>
      <c r="CDO87" s="916"/>
      <c r="CDP87" s="916"/>
      <c r="CDQ87" s="916"/>
      <c r="CDR87" s="916"/>
      <c r="CDS87" s="916"/>
      <c r="CDT87" s="916"/>
      <c r="CDU87" s="916"/>
      <c r="CDV87" s="916"/>
      <c r="CDW87" s="916"/>
      <c r="CDX87" s="916"/>
      <c r="CDY87" s="916"/>
      <c r="CDZ87" s="916"/>
      <c r="CEA87" s="916"/>
      <c r="CEB87" s="916"/>
      <c r="CEC87" s="916"/>
      <c r="CED87" s="916"/>
      <c r="CEE87" s="916"/>
      <c r="CEF87" s="916"/>
      <c r="CEG87" s="916"/>
      <c r="CEH87" s="916"/>
      <c r="CEI87" s="916"/>
      <c r="CEJ87" s="916"/>
      <c r="CEK87" s="916"/>
      <c r="CEL87" s="916"/>
      <c r="CEM87" s="916"/>
      <c r="CEN87" s="916"/>
      <c r="CEO87" s="916"/>
      <c r="CEP87" s="916"/>
      <c r="CEQ87" s="916"/>
      <c r="CER87" s="916"/>
      <c r="CES87" s="916"/>
      <c r="CET87" s="916"/>
      <c r="CEU87" s="916"/>
      <c r="CEV87" s="916"/>
      <c r="CEW87" s="916"/>
      <c r="CEX87" s="916"/>
      <c r="CEY87" s="916"/>
      <c r="CEZ87" s="916"/>
      <c r="CFA87" s="916"/>
      <c r="CFB87" s="916"/>
      <c r="CFC87" s="916"/>
      <c r="CFD87" s="916"/>
      <c r="CFE87" s="916"/>
      <c r="CFF87" s="916"/>
      <c r="CFG87" s="916"/>
      <c r="CFH87" s="916"/>
      <c r="CFI87" s="916"/>
      <c r="CFJ87" s="916"/>
      <c r="CFK87" s="916"/>
      <c r="CFL87" s="916"/>
      <c r="CFM87" s="916"/>
      <c r="CFN87" s="916"/>
      <c r="CFO87" s="916"/>
      <c r="CFP87" s="916"/>
      <c r="CFQ87" s="916"/>
      <c r="CFR87" s="916"/>
      <c r="CFS87" s="916"/>
      <c r="CFT87" s="916"/>
      <c r="CFU87" s="916"/>
      <c r="CFV87" s="916"/>
      <c r="CFW87" s="916"/>
      <c r="CFX87" s="916"/>
      <c r="CFY87" s="916"/>
      <c r="CFZ87" s="916"/>
      <c r="CGA87" s="916"/>
      <c r="CGB87" s="916"/>
      <c r="CGC87" s="916"/>
      <c r="CGD87" s="916"/>
      <c r="CGE87" s="916"/>
      <c r="CGF87" s="916"/>
      <c r="CGG87" s="916"/>
      <c r="CGH87" s="916"/>
      <c r="CGI87" s="916"/>
      <c r="CGJ87" s="916"/>
      <c r="CGK87" s="916"/>
      <c r="CGL87" s="916"/>
      <c r="CGM87" s="916"/>
      <c r="CGN87" s="916"/>
      <c r="CGO87" s="916"/>
      <c r="CGP87" s="916"/>
      <c r="CGQ87" s="916"/>
      <c r="CGR87" s="916"/>
      <c r="CGS87" s="916"/>
      <c r="CGT87" s="916"/>
      <c r="CGU87" s="916"/>
      <c r="CGV87" s="916"/>
      <c r="CGW87" s="916"/>
      <c r="CGX87" s="916"/>
      <c r="CGY87" s="916"/>
      <c r="CGZ87" s="916"/>
      <c r="CHA87" s="916"/>
      <c r="CHB87" s="916"/>
      <c r="CHC87" s="916"/>
      <c r="CHD87" s="916"/>
      <c r="CHE87" s="916"/>
      <c r="CHF87" s="916"/>
      <c r="CHG87" s="916"/>
      <c r="CHH87" s="916"/>
      <c r="CHI87" s="916"/>
      <c r="CHJ87" s="916"/>
      <c r="CHK87" s="916"/>
      <c r="CHL87" s="916"/>
      <c r="CHM87" s="916"/>
      <c r="CHN87" s="916"/>
      <c r="CHO87" s="916"/>
      <c r="CHP87" s="916"/>
      <c r="CHQ87" s="916"/>
      <c r="CHR87" s="916"/>
      <c r="CHS87" s="916"/>
      <c r="CHT87" s="916"/>
      <c r="CHU87" s="916"/>
      <c r="CHV87" s="916"/>
      <c r="CHW87" s="916"/>
      <c r="CHX87" s="916"/>
      <c r="CHY87" s="916"/>
      <c r="CHZ87" s="916"/>
      <c r="CIA87" s="916"/>
      <c r="CIB87" s="916"/>
      <c r="CIC87" s="916"/>
      <c r="CID87" s="916"/>
      <c r="CIE87" s="916"/>
      <c r="CIF87" s="916"/>
      <c r="CIG87" s="916"/>
      <c r="CIH87" s="916"/>
      <c r="CII87" s="916"/>
      <c r="CIJ87" s="916"/>
      <c r="CIK87" s="916"/>
      <c r="CIL87" s="916"/>
      <c r="CIM87" s="916"/>
      <c r="CIN87" s="916"/>
      <c r="CIO87" s="916"/>
      <c r="CIP87" s="916"/>
      <c r="CIQ87" s="916"/>
      <c r="CIR87" s="916"/>
      <c r="CIS87" s="916"/>
      <c r="CIT87" s="916"/>
      <c r="CIU87" s="916"/>
      <c r="CIV87" s="916"/>
      <c r="CIW87" s="916"/>
      <c r="CIX87" s="916"/>
      <c r="CIY87" s="916"/>
      <c r="CIZ87" s="916"/>
      <c r="CJA87" s="916"/>
      <c r="CJB87" s="916"/>
      <c r="CJC87" s="916"/>
      <c r="CJD87" s="916"/>
      <c r="CJE87" s="916"/>
      <c r="CJF87" s="916"/>
      <c r="CJG87" s="916"/>
      <c r="CJH87" s="916"/>
      <c r="CJI87" s="916"/>
      <c r="CJJ87" s="916"/>
      <c r="CJK87" s="916"/>
      <c r="CJL87" s="916"/>
      <c r="CJM87" s="916"/>
      <c r="CJN87" s="916"/>
      <c r="CJO87" s="916"/>
      <c r="CJP87" s="916"/>
      <c r="CJQ87" s="916"/>
      <c r="CJR87" s="916"/>
      <c r="CJS87" s="916"/>
      <c r="CJT87" s="916"/>
      <c r="CJU87" s="916"/>
      <c r="CJV87" s="916"/>
      <c r="CJW87" s="916"/>
      <c r="CJX87" s="916"/>
      <c r="CJY87" s="916"/>
      <c r="CJZ87" s="916"/>
      <c r="CKA87" s="916"/>
      <c r="CKB87" s="916"/>
      <c r="CKC87" s="916"/>
      <c r="CKD87" s="916"/>
      <c r="CKE87" s="916"/>
      <c r="CKF87" s="916"/>
      <c r="CKG87" s="916"/>
      <c r="CKH87" s="916"/>
      <c r="CKI87" s="916"/>
      <c r="CKJ87" s="916"/>
      <c r="CKK87" s="916"/>
      <c r="CKL87" s="916"/>
      <c r="CKM87" s="916"/>
      <c r="CKN87" s="916"/>
      <c r="CKO87" s="916"/>
      <c r="CKP87" s="916"/>
      <c r="CKQ87" s="916"/>
      <c r="CKR87" s="916"/>
      <c r="CKS87" s="916"/>
      <c r="CKT87" s="916"/>
      <c r="CKU87" s="916"/>
      <c r="CKV87" s="916"/>
      <c r="CKW87" s="916"/>
      <c r="CKX87" s="916"/>
      <c r="CKY87" s="916"/>
      <c r="CKZ87" s="916"/>
      <c r="CLA87" s="916"/>
      <c r="CLB87" s="916"/>
      <c r="CLC87" s="916"/>
      <c r="CLD87" s="916"/>
      <c r="CLE87" s="916"/>
      <c r="CLF87" s="916"/>
      <c r="CLG87" s="916"/>
      <c r="CLH87" s="916"/>
      <c r="CLI87" s="916"/>
      <c r="CLJ87" s="916"/>
      <c r="CLK87" s="916"/>
      <c r="CLL87" s="916"/>
      <c r="CLM87" s="916"/>
      <c r="CLN87" s="916"/>
      <c r="CLO87" s="916"/>
      <c r="CLP87" s="916"/>
      <c r="CLQ87" s="916"/>
      <c r="CLR87" s="916"/>
      <c r="CLS87" s="916"/>
      <c r="CLT87" s="916"/>
      <c r="CLU87" s="916"/>
      <c r="CLV87" s="916"/>
      <c r="CLW87" s="916"/>
      <c r="CLX87" s="916"/>
      <c r="CLY87" s="916"/>
      <c r="CLZ87" s="916"/>
      <c r="CMA87" s="916"/>
      <c r="CMB87" s="916"/>
      <c r="CMC87" s="916"/>
      <c r="CMD87" s="916"/>
      <c r="CME87" s="916"/>
      <c r="CMF87" s="916"/>
      <c r="CMG87" s="916"/>
      <c r="CMH87" s="916"/>
      <c r="CMI87" s="916"/>
      <c r="CMJ87" s="916"/>
      <c r="CMK87" s="916"/>
      <c r="CML87" s="916"/>
      <c r="CMM87" s="916"/>
      <c r="CMN87" s="916"/>
      <c r="CMO87" s="916"/>
      <c r="CMP87" s="916"/>
      <c r="CMQ87" s="916"/>
      <c r="CMR87" s="916"/>
      <c r="CMS87" s="916"/>
      <c r="CMT87" s="916"/>
      <c r="CMU87" s="916"/>
      <c r="CMV87" s="916"/>
      <c r="CMW87" s="916"/>
      <c r="CMX87" s="916"/>
      <c r="CMY87" s="916"/>
      <c r="CMZ87" s="916"/>
      <c r="CNA87" s="916"/>
      <c r="CNB87" s="916"/>
      <c r="CNC87" s="916"/>
      <c r="CND87" s="916"/>
      <c r="CNE87" s="916"/>
      <c r="CNF87" s="916"/>
      <c r="CNG87" s="916"/>
      <c r="CNH87" s="916"/>
      <c r="CNI87" s="916"/>
      <c r="CNJ87" s="916"/>
      <c r="CNK87" s="916"/>
      <c r="CNL87" s="916"/>
      <c r="CNM87" s="916"/>
      <c r="CNN87" s="916"/>
      <c r="CNO87" s="916"/>
      <c r="CNP87" s="916"/>
      <c r="CNQ87" s="916"/>
      <c r="CNR87" s="916"/>
      <c r="CNS87" s="916"/>
      <c r="CNT87" s="916"/>
      <c r="CNU87" s="916"/>
      <c r="CNV87" s="916"/>
      <c r="CNW87" s="916"/>
      <c r="CNX87" s="916"/>
      <c r="CNY87" s="916"/>
      <c r="CNZ87" s="916"/>
      <c r="COA87" s="916"/>
      <c r="COB87" s="916"/>
      <c r="COC87" s="916"/>
      <c r="COD87" s="916"/>
      <c r="COE87" s="916"/>
      <c r="COF87" s="916"/>
      <c r="COG87" s="916"/>
      <c r="COH87" s="916"/>
      <c r="COI87" s="916"/>
      <c r="COJ87" s="916"/>
      <c r="COK87" s="916"/>
      <c r="COL87" s="916"/>
      <c r="COM87" s="916"/>
      <c r="CON87" s="916"/>
      <c r="COO87" s="916"/>
      <c r="COP87" s="916"/>
      <c r="COQ87" s="916"/>
      <c r="COR87" s="916"/>
      <c r="COS87" s="916"/>
      <c r="COT87" s="916"/>
      <c r="COU87" s="916"/>
      <c r="COV87" s="916"/>
      <c r="COW87" s="916"/>
      <c r="COX87" s="916"/>
      <c r="COY87" s="916"/>
      <c r="COZ87" s="916"/>
      <c r="CPA87" s="916"/>
      <c r="CPB87" s="916"/>
      <c r="CPC87" s="916"/>
      <c r="CPD87" s="916"/>
      <c r="CPE87" s="916"/>
      <c r="CPF87" s="916"/>
      <c r="CPG87" s="916"/>
      <c r="CPH87" s="916"/>
      <c r="CPI87" s="916"/>
      <c r="CPJ87" s="916"/>
      <c r="CPK87" s="916"/>
      <c r="CPL87" s="916"/>
      <c r="CPM87" s="916"/>
      <c r="CPN87" s="916"/>
      <c r="CPO87" s="916"/>
      <c r="CPP87" s="916"/>
      <c r="CPQ87" s="916"/>
      <c r="CPR87" s="916"/>
      <c r="CPS87" s="916"/>
      <c r="CPT87" s="916"/>
      <c r="CPU87" s="916"/>
      <c r="CPV87" s="916"/>
      <c r="CPW87" s="916"/>
      <c r="CPX87" s="916"/>
      <c r="CPY87" s="916"/>
      <c r="CPZ87" s="916"/>
      <c r="CQA87" s="916"/>
      <c r="CQB87" s="916"/>
      <c r="CQC87" s="916"/>
      <c r="CQD87" s="916"/>
      <c r="CQE87" s="916"/>
      <c r="CQF87" s="916"/>
      <c r="CQG87" s="916"/>
      <c r="CQH87" s="916"/>
      <c r="CQI87" s="916"/>
      <c r="CQJ87" s="916"/>
      <c r="CQK87" s="916"/>
      <c r="CQL87" s="916"/>
      <c r="CQM87" s="916"/>
      <c r="CQN87" s="916"/>
      <c r="CQO87" s="916"/>
      <c r="CQP87" s="916"/>
      <c r="CQQ87" s="916"/>
      <c r="CQR87" s="916"/>
      <c r="CQS87" s="916"/>
      <c r="CQT87" s="916"/>
      <c r="CQU87" s="916"/>
      <c r="CQV87" s="916"/>
      <c r="CQW87" s="916"/>
      <c r="CQX87" s="916"/>
      <c r="CQY87" s="916"/>
      <c r="CQZ87" s="916"/>
      <c r="CRA87" s="916"/>
      <c r="CRB87" s="916"/>
      <c r="CRC87" s="916"/>
      <c r="CRD87" s="916"/>
      <c r="CRE87" s="916"/>
      <c r="CRF87" s="916"/>
      <c r="CRG87" s="916"/>
      <c r="CRH87" s="916"/>
      <c r="CRI87" s="916"/>
      <c r="CRJ87" s="916"/>
      <c r="CRK87" s="916"/>
      <c r="CRL87" s="916"/>
      <c r="CRM87" s="916"/>
      <c r="CRN87" s="916"/>
      <c r="CRO87" s="916"/>
      <c r="CRP87" s="916"/>
      <c r="CRQ87" s="916"/>
      <c r="CRR87" s="916"/>
      <c r="CRS87" s="916"/>
      <c r="CRT87" s="916"/>
      <c r="CRU87" s="916"/>
      <c r="CRV87" s="916"/>
      <c r="CRW87" s="916"/>
      <c r="CRX87" s="916"/>
      <c r="CRY87" s="916"/>
      <c r="CRZ87" s="916"/>
      <c r="CSA87" s="916"/>
      <c r="CSB87" s="916"/>
      <c r="CSC87" s="916"/>
      <c r="CSD87" s="916"/>
      <c r="CSE87" s="916"/>
      <c r="CSF87" s="916"/>
      <c r="CSG87" s="916"/>
      <c r="CSH87" s="916"/>
      <c r="CSI87" s="916"/>
      <c r="CSJ87" s="916"/>
      <c r="CSK87" s="916"/>
      <c r="CSL87" s="916"/>
      <c r="CSM87" s="916"/>
      <c r="CSN87" s="916"/>
      <c r="CSO87" s="916"/>
      <c r="CSP87" s="916"/>
      <c r="CSQ87" s="916"/>
      <c r="CSR87" s="916"/>
      <c r="CSS87" s="916"/>
      <c r="CST87" s="916"/>
      <c r="CSU87" s="916"/>
      <c r="CSV87" s="916"/>
      <c r="CSW87" s="916"/>
      <c r="CSX87" s="916"/>
      <c r="CSY87" s="916"/>
      <c r="CSZ87" s="916"/>
      <c r="CTA87" s="916"/>
      <c r="CTB87" s="916"/>
      <c r="CTC87" s="916"/>
      <c r="CTD87" s="916"/>
      <c r="CTE87" s="916"/>
      <c r="CTF87" s="916"/>
      <c r="CTG87" s="916"/>
      <c r="CTH87" s="916"/>
      <c r="CTI87" s="916"/>
      <c r="CTJ87" s="916"/>
      <c r="CTK87" s="916"/>
      <c r="CTL87" s="916"/>
      <c r="CTM87" s="916"/>
      <c r="CTN87" s="916"/>
      <c r="CTO87" s="916"/>
      <c r="CTP87" s="916"/>
      <c r="CTQ87" s="916"/>
      <c r="CTR87" s="916"/>
      <c r="CTS87" s="916"/>
      <c r="CTT87" s="916"/>
      <c r="CTU87" s="916"/>
      <c r="CTV87" s="916"/>
      <c r="CTW87" s="916"/>
      <c r="CTX87" s="916"/>
      <c r="CTY87" s="916"/>
      <c r="CTZ87" s="916"/>
      <c r="CUA87" s="916"/>
      <c r="CUB87" s="916"/>
      <c r="CUC87" s="916"/>
      <c r="CUD87" s="916"/>
      <c r="CUE87" s="916"/>
      <c r="CUF87" s="916"/>
      <c r="CUG87" s="916"/>
      <c r="CUH87" s="916"/>
      <c r="CUI87" s="916"/>
      <c r="CUJ87" s="916"/>
      <c r="CUK87" s="916"/>
      <c r="CUL87" s="916"/>
      <c r="CUM87" s="916"/>
      <c r="CUN87" s="916"/>
      <c r="CUO87" s="916"/>
      <c r="CUP87" s="916"/>
      <c r="CUQ87" s="916"/>
      <c r="CUR87" s="916"/>
      <c r="CUS87" s="916"/>
      <c r="CUT87" s="916"/>
      <c r="CUU87" s="916"/>
      <c r="CUV87" s="916"/>
      <c r="CUW87" s="916"/>
      <c r="CUX87" s="916"/>
      <c r="CUY87" s="916"/>
      <c r="CUZ87" s="916"/>
      <c r="CVA87" s="916"/>
      <c r="CVB87" s="916"/>
      <c r="CVC87" s="916"/>
      <c r="CVD87" s="916"/>
      <c r="CVE87" s="916"/>
      <c r="CVF87" s="916"/>
      <c r="CVG87" s="916"/>
      <c r="CVH87" s="916"/>
      <c r="CVI87" s="916"/>
      <c r="CVJ87" s="916"/>
      <c r="CVK87" s="916"/>
      <c r="CVL87" s="916"/>
      <c r="CVM87" s="916"/>
      <c r="CVN87" s="916"/>
      <c r="CVO87" s="916"/>
      <c r="CVP87" s="916"/>
      <c r="CVQ87" s="916"/>
      <c r="CVR87" s="916"/>
      <c r="CVS87" s="916"/>
      <c r="CVT87" s="916"/>
      <c r="CVU87" s="916"/>
      <c r="CVV87" s="916"/>
      <c r="CVW87" s="916"/>
      <c r="CVX87" s="916"/>
      <c r="CVY87" s="916"/>
      <c r="CVZ87" s="916"/>
      <c r="CWA87" s="916"/>
      <c r="CWB87" s="916"/>
      <c r="CWC87" s="916"/>
      <c r="CWD87" s="916"/>
      <c r="CWE87" s="916"/>
      <c r="CWF87" s="916"/>
      <c r="CWG87" s="916"/>
      <c r="CWH87" s="916"/>
      <c r="CWI87" s="916"/>
      <c r="CWJ87" s="916"/>
      <c r="CWK87" s="916"/>
      <c r="CWL87" s="916"/>
      <c r="CWM87" s="916"/>
      <c r="CWN87" s="916"/>
      <c r="CWO87" s="916"/>
      <c r="CWP87" s="916"/>
      <c r="CWQ87" s="916"/>
      <c r="CWR87" s="916"/>
      <c r="CWS87" s="916"/>
      <c r="CWT87" s="916"/>
      <c r="CWU87" s="916"/>
      <c r="CWV87" s="916"/>
      <c r="CWW87" s="916"/>
      <c r="CWX87" s="916"/>
      <c r="CWY87" s="916"/>
      <c r="CWZ87" s="916"/>
      <c r="CXA87" s="916"/>
      <c r="CXB87" s="916"/>
      <c r="CXC87" s="916"/>
      <c r="CXD87" s="916"/>
      <c r="CXE87" s="916"/>
      <c r="CXF87" s="916"/>
      <c r="CXG87" s="916"/>
      <c r="CXH87" s="916"/>
      <c r="CXI87" s="916"/>
      <c r="CXJ87" s="916"/>
      <c r="CXK87" s="916"/>
      <c r="CXL87" s="916"/>
      <c r="CXM87" s="916"/>
      <c r="CXN87" s="916"/>
      <c r="CXO87" s="916"/>
      <c r="CXP87" s="916"/>
      <c r="CXQ87" s="916"/>
      <c r="CXR87" s="916"/>
      <c r="CXS87" s="916"/>
      <c r="CXT87" s="916"/>
      <c r="CXU87" s="916"/>
      <c r="CXV87" s="916"/>
      <c r="CXW87" s="916"/>
      <c r="CXX87" s="916"/>
      <c r="CXY87" s="916"/>
      <c r="CXZ87" s="916"/>
      <c r="CYA87" s="916"/>
      <c r="CYB87" s="916"/>
      <c r="CYC87" s="916"/>
      <c r="CYD87" s="916"/>
      <c r="CYE87" s="916"/>
      <c r="CYF87" s="916"/>
      <c r="CYG87" s="916"/>
      <c r="CYH87" s="916"/>
      <c r="CYI87" s="916"/>
      <c r="CYJ87" s="916"/>
      <c r="CYK87" s="916"/>
      <c r="CYL87" s="916"/>
      <c r="CYM87" s="916"/>
      <c r="CYN87" s="916"/>
      <c r="CYO87" s="916"/>
      <c r="CYP87" s="916"/>
      <c r="CYQ87" s="916"/>
      <c r="CYR87" s="916"/>
      <c r="CYS87" s="916"/>
      <c r="CYT87" s="916"/>
      <c r="CYU87" s="916"/>
      <c r="CYV87" s="916"/>
      <c r="CYW87" s="916"/>
      <c r="CYX87" s="916"/>
      <c r="CYY87" s="916"/>
      <c r="CYZ87" s="916"/>
      <c r="CZA87" s="916"/>
      <c r="CZB87" s="916"/>
      <c r="CZC87" s="916"/>
      <c r="CZD87" s="916"/>
      <c r="CZE87" s="916"/>
      <c r="CZF87" s="916"/>
      <c r="CZG87" s="916"/>
      <c r="CZH87" s="916"/>
      <c r="CZI87" s="916"/>
      <c r="CZJ87" s="916"/>
      <c r="CZK87" s="916"/>
      <c r="CZL87" s="916"/>
      <c r="CZM87" s="916"/>
      <c r="CZN87" s="916"/>
      <c r="CZO87" s="916"/>
      <c r="CZP87" s="916"/>
      <c r="CZQ87" s="916"/>
      <c r="CZR87" s="916"/>
      <c r="CZS87" s="916"/>
      <c r="CZT87" s="916"/>
      <c r="CZU87" s="916"/>
      <c r="CZV87" s="916"/>
      <c r="CZW87" s="916"/>
      <c r="CZX87" s="916"/>
      <c r="CZY87" s="916"/>
      <c r="CZZ87" s="916"/>
      <c r="DAA87" s="916"/>
      <c r="DAB87" s="916"/>
      <c r="DAC87" s="916"/>
      <c r="DAD87" s="916"/>
      <c r="DAE87" s="916"/>
      <c r="DAF87" s="916"/>
      <c r="DAG87" s="916"/>
      <c r="DAH87" s="916"/>
      <c r="DAI87" s="916"/>
      <c r="DAJ87" s="916"/>
      <c r="DAK87" s="916"/>
      <c r="DAL87" s="916"/>
      <c r="DAM87" s="916"/>
      <c r="DAN87" s="916"/>
      <c r="DAO87" s="916"/>
      <c r="DAP87" s="916"/>
      <c r="DAQ87" s="916"/>
      <c r="DAR87" s="916"/>
      <c r="DAS87" s="916"/>
      <c r="DAT87" s="916"/>
      <c r="DAU87" s="916"/>
      <c r="DAV87" s="916"/>
      <c r="DAW87" s="916"/>
      <c r="DAX87" s="916"/>
      <c r="DAY87" s="916"/>
      <c r="DAZ87" s="916"/>
      <c r="DBA87" s="916"/>
      <c r="DBB87" s="916"/>
      <c r="DBC87" s="916"/>
      <c r="DBD87" s="916"/>
      <c r="DBE87" s="916"/>
      <c r="DBF87" s="916"/>
      <c r="DBG87" s="916"/>
      <c r="DBH87" s="916"/>
      <c r="DBI87" s="916"/>
      <c r="DBJ87" s="916"/>
      <c r="DBK87" s="916"/>
      <c r="DBL87" s="916"/>
      <c r="DBM87" s="916"/>
      <c r="DBN87" s="916"/>
      <c r="DBO87" s="916"/>
      <c r="DBP87" s="916"/>
      <c r="DBQ87" s="916"/>
      <c r="DBR87" s="916"/>
      <c r="DBS87" s="916"/>
      <c r="DBT87" s="916"/>
      <c r="DBU87" s="916"/>
      <c r="DBV87" s="916"/>
      <c r="DBW87" s="916"/>
      <c r="DBX87" s="916"/>
      <c r="DBY87" s="916"/>
      <c r="DBZ87" s="916"/>
      <c r="DCA87" s="916"/>
      <c r="DCB87" s="916"/>
      <c r="DCC87" s="916"/>
      <c r="DCD87" s="916"/>
      <c r="DCE87" s="916"/>
      <c r="DCF87" s="916"/>
      <c r="DCG87" s="916"/>
      <c r="DCH87" s="916"/>
      <c r="DCI87" s="916"/>
      <c r="DCJ87" s="916"/>
      <c r="DCK87" s="916"/>
      <c r="DCL87" s="916"/>
      <c r="DCM87" s="916"/>
      <c r="DCN87" s="916"/>
      <c r="DCO87" s="916"/>
      <c r="DCP87" s="916"/>
      <c r="DCQ87" s="916"/>
      <c r="DCR87" s="916"/>
      <c r="DCS87" s="916"/>
      <c r="DCT87" s="916"/>
      <c r="DCU87" s="916"/>
      <c r="DCV87" s="916"/>
      <c r="DCW87" s="916"/>
      <c r="DCX87" s="916"/>
      <c r="DCY87" s="916"/>
      <c r="DCZ87" s="916"/>
      <c r="DDA87" s="916"/>
      <c r="DDB87" s="916"/>
      <c r="DDC87" s="916"/>
      <c r="DDD87" s="916"/>
      <c r="DDE87" s="916"/>
      <c r="DDF87" s="916"/>
      <c r="DDG87" s="916"/>
      <c r="DDH87" s="916"/>
      <c r="DDI87" s="916"/>
      <c r="DDJ87" s="916"/>
      <c r="DDK87" s="916"/>
      <c r="DDL87" s="916"/>
      <c r="DDM87" s="916"/>
      <c r="DDN87" s="916"/>
      <c r="DDO87" s="916"/>
      <c r="DDP87" s="916"/>
      <c r="DDQ87" s="916"/>
      <c r="DDR87" s="916"/>
      <c r="DDS87" s="916"/>
      <c r="DDT87" s="916"/>
      <c r="DDU87" s="916"/>
      <c r="DDV87" s="916"/>
      <c r="DDW87" s="916"/>
      <c r="DDX87" s="916"/>
      <c r="DDY87" s="916"/>
      <c r="DDZ87" s="916"/>
      <c r="DEA87" s="916"/>
      <c r="DEB87" s="916"/>
      <c r="DEC87" s="916"/>
      <c r="DED87" s="916"/>
      <c r="DEE87" s="916"/>
      <c r="DEF87" s="916"/>
      <c r="DEG87" s="916"/>
      <c r="DEH87" s="916"/>
      <c r="DEI87" s="916"/>
      <c r="DEJ87" s="916"/>
      <c r="DEK87" s="916"/>
      <c r="DEL87" s="916"/>
      <c r="DEM87" s="916"/>
      <c r="DEN87" s="916"/>
      <c r="DEO87" s="916"/>
      <c r="DEP87" s="916"/>
      <c r="DEQ87" s="916"/>
      <c r="DER87" s="916"/>
      <c r="DES87" s="916"/>
      <c r="DET87" s="916"/>
      <c r="DEU87" s="916"/>
      <c r="DEV87" s="916"/>
      <c r="DEW87" s="916"/>
      <c r="DEX87" s="916"/>
      <c r="DEY87" s="916"/>
      <c r="DEZ87" s="916"/>
      <c r="DFA87" s="916"/>
      <c r="DFB87" s="916"/>
      <c r="DFC87" s="916"/>
      <c r="DFD87" s="916"/>
      <c r="DFE87" s="916"/>
      <c r="DFF87" s="916"/>
      <c r="DFG87" s="916"/>
      <c r="DFH87" s="916"/>
      <c r="DFI87" s="916"/>
      <c r="DFJ87" s="916"/>
      <c r="DFK87" s="916"/>
      <c r="DFL87" s="916"/>
      <c r="DFM87" s="916"/>
      <c r="DFN87" s="916"/>
      <c r="DFO87" s="916"/>
      <c r="DFP87" s="916"/>
      <c r="DFQ87" s="916"/>
      <c r="DFR87" s="916"/>
      <c r="DFS87" s="916"/>
      <c r="DFT87" s="916"/>
      <c r="DFU87" s="916"/>
      <c r="DFV87" s="916"/>
      <c r="DFW87" s="916"/>
      <c r="DFX87" s="916"/>
      <c r="DFY87" s="916"/>
      <c r="DFZ87" s="916"/>
      <c r="DGA87" s="916"/>
      <c r="DGB87" s="916"/>
      <c r="DGC87" s="916"/>
      <c r="DGD87" s="916"/>
      <c r="DGE87" s="916"/>
      <c r="DGF87" s="916"/>
      <c r="DGG87" s="916"/>
      <c r="DGH87" s="916"/>
      <c r="DGI87" s="916"/>
      <c r="DGJ87" s="916"/>
      <c r="DGK87" s="916"/>
      <c r="DGL87" s="916"/>
      <c r="DGM87" s="916"/>
      <c r="DGN87" s="916"/>
      <c r="DGO87" s="916"/>
      <c r="DGP87" s="916"/>
      <c r="DGQ87" s="916"/>
      <c r="DGR87" s="916"/>
      <c r="DGS87" s="916"/>
      <c r="DGT87" s="916"/>
      <c r="DGU87" s="916"/>
      <c r="DGV87" s="916"/>
      <c r="DGW87" s="916"/>
      <c r="DGX87" s="916"/>
      <c r="DGY87" s="916"/>
      <c r="DGZ87" s="916"/>
      <c r="DHA87" s="916"/>
      <c r="DHB87" s="916"/>
      <c r="DHC87" s="916"/>
      <c r="DHD87" s="916"/>
      <c r="DHE87" s="916"/>
      <c r="DHF87" s="916"/>
      <c r="DHG87" s="916"/>
      <c r="DHH87" s="916"/>
      <c r="DHI87" s="916"/>
      <c r="DHJ87" s="916"/>
      <c r="DHK87" s="916"/>
      <c r="DHL87" s="916"/>
      <c r="DHM87" s="916"/>
      <c r="DHN87" s="916"/>
      <c r="DHO87" s="916"/>
      <c r="DHP87" s="916"/>
      <c r="DHQ87" s="916"/>
      <c r="DHR87" s="916"/>
      <c r="DHS87" s="916"/>
      <c r="DHT87" s="916"/>
      <c r="DHU87" s="916"/>
      <c r="DHV87" s="916"/>
      <c r="DHW87" s="916"/>
      <c r="DHX87" s="916"/>
      <c r="DHY87" s="916"/>
      <c r="DHZ87" s="916"/>
      <c r="DIA87" s="916"/>
      <c r="DIB87" s="916"/>
      <c r="DIC87" s="916"/>
      <c r="DID87" s="916"/>
      <c r="DIE87" s="916"/>
      <c r="DIF87" s="916"/>
      <c r="DIG87" s="916"/>
      <c r="DIH87" s="916"/>
      <c r="DII87" s="916"/>
      <c r="DIJ87" s="916"/>
      <c r="DIK87" s="916"/>
      <c r="DIL87" s="916"/>
      <c r="DIM87" s="916"/>
      <c r="DIN87" s="916"/>
      <c r="DIO87" s="916"/>
      <c r="DIP87" s="916"/>
      <c r="DIQ87" s="916"/>
      <c r="DIR87" s="916"/>
      <c r="DIS87" s="916"/>
      <c r="DIT87" s="916"/>
      <c r="DIU87" s="916"/>
      <c r="DIV87" s="916"/>
      <c r="DIW87" s="916"/>
      <c r="DIX87" s="916"/>
      <c r="DIY87" s="916"/>
      <c r="DIZ87" s="916"/>
      <c r="DJA87" s="916"/>
      <c r="DJB87" s="916"/>
      <c r="DJC87" s="916"/>
      <c r="DJD87" s="916"/>
      <c r="DJE87" s="916"/>
      <c r="DJF87" s="916"/>
      <c r="DJG87" s="916"/>
      <c r="DJH87" s="916"/>
      <c r="DJI87" s="916"/>
      <c r="DJJ87" s="916"/>
      <c r="DJK87" s="916"/>
      <c r="DJL87" s="916"/>
      <c r="DJM87" s="916"/>
      <c r="DJN87" s="916"/>
      <c r="DJO87" s="916"/>
      <c r="DJP87" s="916"/>
      <c r="DJQ87" s="916"/>
      <c r="DJR87" s="916"/>
      <c r="DJS87" s="916"/>
      <c r="DJT87" s="916"/>
      <c r="DJU87" s="916"/>
      <c r="DJV87" s="916"/>
      <c r="DJW87" s="916"/>
      <c r="DJX87" s="916"/>
      <c r="DJY87" s="916"/>
      <c r="DJZ87" s="916"/>
      <c r="DKA87" s="916"/>
      <c r="DKB87" s="916"/>
      <c r="DKC87" s="916"/>
      <c r="DKD87" s="916"/>
      <c r="DKE87" s="916"/>
      <c r="DKF87" s="916"/>
      <c r="DKG87" s="916"/>
      <c r="DKH87" s="916"/>
      <c r="DKI87" s="916"/>
      <c r="DKJ87" s="916"/>
      <c r="DKK87" s="916"/>
      <c r="DKL87" s="916"/>
      <c r="DKM87" s="916"/>
      <c r="DKN87" s="916"/>
      <c r="DKO87" s="916"/>
      <c r="DKP87" s="916"/>
      <c r="DKQ87" s="916"/>
      <c r="DKR87" s="916"/>
      <c r="DKS87" s="916"/>
      <c r="DKT87" s="916"/>
      <c r="DKU87" s="916"/>
      <c r="DKV87" s="916"/>
      <c r="DKW87" s="916"/>
      <c r="DKX87" s="916"/>
      <c r="DKY87" s="916"/>
      <c r="DKZ87" s="916"/>
      <c r="DLA87" s="916"/>
      <c r="DLB87" s="916"/>
      <c r="DLC87" s="916"/>
      <c r="DLD87" s="916"/>
      <c r="DLE87" s="916"/>
      <c r="DLF87" s="916"/>
      <c r="DLG87" s="916"/>
      <c r="DLH87" s="916"/>
      <c r="DLI87" s="916"/>
      <c r="DLJ87" s="916"/>
      <c r="DLK87" s="916"/>
      <c r="DLL87" s="916"/>
      <c r="DLM87" s="916"/>
      <c r="DLN87" s="916"/>
      <c r="DLO87" s="916"/>
      <c r="DLP87" s="916"/>
      <c r="DLQ87" s="916"/>
      <c r="DLR87" s="916"/>
      <c r="DLS87" s="916"/>
      <c r="DLT87" s="916"/>
      <c r="DLU87" s="916"/>
      <c r="DLV87" s="916"/>
      <c r="DLW87" s="916"/>
      <c r="DLX87" s="916"/>
      <c r="DLY87" s="916"/>
      <c r="DLZ87" s="916"/>
      <c r="DMA87" s="916"/>
      <c r="DMB87" s="916"/>
      <c r="DMC87" s="916"/>
      <c r="DMD87" s="916"/>
      <c r="DME87" s="916"/>
      <c r="DMF87" s="916"/>
      <c r="DMG87" s="916"/>
      <c r="DMH87" s="916"/>
      <c r="DMI87" s="916"/>
      <c r="DMJ87" s="916"/>
      <c r="DMK87" s="916"/>
      <c r="DML87" s="916"/>
      <c r="DMM87" s="916"/>
      <c r="DMN87" s="916"/>
      <c r="DMO87" s="916"/>
      <c r="DMP87" s="916"/>
      <c r="DMQ87" s="916"/>
      <c r="DMR87" s="916"/>
      <c r="DMS87" s="916"/>
      <c r="DMT87" s="916"/>
      <c r="DMU87" s="916"/>
      <c r="DMV87" s="916"/>
      <c r="DMW87" s="916"/>
      <c r="DMX87" s="916"/>
      <c r="DMY87" s="916"/>
      <c r="DMZ87" s="916"/>
      <c r="DNA87" s="916"/>
      <c r="DNB87" s="916"/>
      <c r="DNC87" s="916"/>
      <c r="DND87" s="916"/>
      <c r="DNE87" s="916"/>
      <c r="DNF87" s="916"/>
      <c r="DNG87" s="916"/>
      <c r="DNH87" s="916"/>
      <c r="DNI87" s="916"/>
      <c r="DNJ87" s="916"/>
      <c r="DNK87" s="916"/>
      <c r="DNL87" s="916"/>
      <c r="DNM87" s="916"/>
      <c r="DNN87" s="916"/>
      <c r="DNO87" s="916"/>
      <c r="DNP87" s="916"/>
      <c r="DNQ87" s="916"/>
      <c r="DNR87" s="916"/>
      <c r="DNS87" s="916"/>
      <c r="DNT87" s="916"/>
      <c r="DNU87" s="916"/>
      <c r="DNV87" s="916"/>
      <c r="DNW87" s="916"/>
      <c r="DNX87" s="916"/>
      <c r="DNY87" s="916"/>
      <c r="DNZ87" s="916"/>
      <c r="DOA87" s="916"/>
      <c r="DOB87" s="916"/>
      <c r="DOC87" s="916"/>
      <c r="DOD87" s="916"/>
      <c r="DOE87" s="916"/>
      <c r="DOF87" s="916"/>
      <c r="DOG87" s="916"/>
      <c r="DOH87" s="916"/>
      <c r="DOI87" s="916"/>
      <c r="DOJ87" s="916"/>
      <c r="DOK87" s="916"/>
      <c r="DOL87" s="916"/>
      <c r="DOM87" s="916"/>
      <c r="DON87" s="916"/>
      <c r="DOO87" s="916"/>
      <c r="DOP87" s="916"/>
      <c r="DOQ87" s="916"/>
      <c r="DOR87" s="916"/>
      <c r="DOS87" s="916"/>
      <c r="DOT87" s="916"/>
      <c r="DOU87" s="916"/>
      <c r="DOV87" s="916"/>
      <c r="DOW87" s="916"/>
      <c r="DOX87" s="916"/>
      <c r="DOY87" s="916"/>
      <c r="DOZ87" s="916"/>
      <c r="DPA87" s="916"/>
      <c r="DPB87" s="916"/>
      <c r="DPC87" s="916"/>
      <c r="DPD87" s="916"/>
      <c r="DPE87" s="916"/>
      <c r="DPF87" s="916"/>
      <c r="DPG87" s="916"/>
      <c r="DPH87" s="916"/>
      <c r="DPI87" s="916"/>
      <c r="DPJ87" s="916"/>
      <c r="DPK87" s="916"/>
      <c r="DPL87" s="916"/>
      <c r="DPM87" s="916"/>
      <c r="DPN87" s="916"/>
      <c r="DPO87" s="916"/>
      <c r="DPP87" s="916"/>
      <c r="DPQ87" s="916"/>
      <c r="DPR87" s="916"/>
      <c r="DPS87" s="916"/>
      <c r="DPT87" s="916"/>
      <c r="DPU87" s="916"/>
      <c r="DPV87" s="916"/>
      <c r="DPW87" s="916"/>
      <c r="DPX87" s="916"/>
      <c r="DPY87" s="916"/>
      <c r="DPZ87" s="916"/>
      <c r="DQA87" s="916"/>
      <c r="DQB87" s="916"/>
      <c r="DQC87" s="916"/>
      <c r="DQD87" s="916"/>
      <c r="DQE87" s="916"/>
      <c r="DQF87" s="916"/>
      <c r="DQG87" s="916"/>
      <c r="DQH87" s="916"/>
      <c r="DQI87" s="916"/>
      <c r="DQJ87" s="916"/>
      <c r="DQK87" s="916"/>
      <c r="DQL87" s="916"/>
      <c r="DQM87" s="916"/>
      <c r="DQN87" s="916"/>
      <c r="DQO87" s="916"/>
      <c r="DQP87" s="916"/>
      <c r="DQQ87" s="916"/>
      <c r="DQR87" s="916"/>
      <c r="DQS87" s="916"/>
      <c r="DQT87" s="916"/>
      <c r="DQU87" s="916"/>
      <c r="DQV87" s="916"/>
      <c r="DQW87" s="916"/>
      <c r="DQX87" s="916"/>
      <c r="DQY87" s="916"/>
      <c r="DQZ87" s="916"/>
      <c r="DRA87" s="916"/>
      <c r="DRB87" s="916"/>
      <c r="DRC87" s="916"/>
      <c r="DRD87" s="916"/>
      <c r="DRE87" s="916"/>
      <c r="DRF87" s="916"/>
      <c r="DRG87" s="916"/>
      <c r="DRH87" s="916"/>
      <c r="DRI87" s="916"/>
      <c r="DRJ87" s="916"/>
      <c r="DRK87" s="916"/>
      <c r="DRL87" s="916"/>
      <c r="DRM87" s="916"/>
      <c r="DRN87" s="916"/>
      <c r="DRO87" s="916"/>
      <c r="DRP87" s="916"/>
      <c r="DRQ87" s="916"/>
      <c r="DRR87" s="916"/>
      <c r="DRS87" s="916"/>
      <c r="DRT87" s="916"/>
      <c r="DRU87" s="916"/>
      <c r="DRV87" s="916"/>
      <c r="DRW87" s="916"/>
      <c r="DRX87" s="916"/>
      <c r="DRY87" s="916"/>
      <c r="DRZ87" s="916"/>
      <c r="DSA87" s="916"/>
      <c r="DSB87" s="916"/>
      <c r="DSC87" s="916"/>
      <c r="DSD87" s="916"/>
      <c r="DSE87" s="916"/>
      <c r="DSF87" s="916"/>
      <c r="DSG87" s="916"/>
      <c r="DSH87" s="916"/>
      <c r="DSI87" s="916"/>
      <c r="DSJ87" s="916"/>
      <c r="DSK87" s="916"/>
      <c r="DSL87" s="916"/>
      <c r="DSM87" s="916"/>
      <c r="DSN87" s="916"/>
      <c r="DSO87" s="916"/>
      <c r="DSP87" s="916"/>
      <c r="DSQ87" s="916"/>
      <c r="DSR87" s="916"/>
      <c r="DSS87" s="916"/>
      <c r="DST87" s="916"/>
      <c r="DSU87" s="916"/>
      <c r="DSV87" s="916"/>
      <c r="DSW87" s="916"/>
      <c r="DSX87" s="916"/>
      <c r="DSY87" s="916"/>
      <c r="DSZ87" s="916"/>
      <c r="DTA87" s="916"/>
      <c r="DTB87" s="916"/>
      <c r="DTC87" s="916"/>
      <c r="DTD87" s="916"/>
      <c r="DTE87" s="916"/>
      <c r="DTF87" s="916"/>
      <c r="DTG87" s="916"/>
      <c r="DTH87" s="916"/>
      <c r="DTI87" s="916"/>
      <c r="DTJ87" s="916"/>
      <c r="DTK87" s="916"/>
      <c r="DTL87" s="916"/>
      <c r="DTM87" s="916"/>
      <c r="DTN87" s="916"/>
      <c r="DTO87" s="916"/>
      <c r="DTP87" s="916"/>
      <c r="DTQ87" s="916"/>
      <c r="DTR87" s="916"/>
      <c r="DTS87" s="916"/>
      <c r="DTT87" s="916"/>
      <c r="DTU87" s="916"/>
      <c r="DTV87" s="916"/>
      <c r="DTW87" s="916"/>
      <c r="DTX87" s="916"/>
      <c r="DTY87" s="916"/>
      <c r="DTZ87" s="916"/>
      <c r="DUA87" s="916"/>
      <c r="DUB87" s="916"/>
      <c r="DUC87" s="916"/>
      <c r="DUD87" s="916"/>
      <c r="DUE87" s="916"/>
      <c r="DUF87" s="916"/>
      <c r="DUG87" s="916"/>
      <c r="DUH87" s="916"/>
      <c r="DUI87" s="916"/>
      <c r="DUJ87" s="916"/>
      <c r="DUK87" s="916"/>
      <c r="DUL87" s="916"/>
      <c r="DUM87" s="916"/>
      <c r="DUN87" s="916"/>
      <c r="DUO87" s="916"/>
      <c r="DUP87" s="916"/>
      <c r="DUQ87" s="916"/>
      <c r="DUR87" s="916"/>
      <c r="DUS87" s="916"/>
      <c r="DUT87" s="916"/>
      <c r="DUU87" s="916"/>
      <c r="DUV87" s="916"/>
      <c r="DUW87" s="916"/>
      <c r="DUX87" s="916"/>
      <c r="DUY87" s="916"/>
      <c r="DUZ87" s="916"/>
      <c r="DVA87" s="916"/>
      <c r="DVB87" s="916"/>
      <c r="DVC87" s="916"/>
      <c r="DVD87" s="916"/>
      <c r="DVE87" s="916"/>
      <c r="DVF87" s="916"/>
      <c r="DVG87" s="916"/>
      <c r="DVH87" s="916"/>
      <c r="DVI87" s="916"/>
      <c r="DVJ87" s="916"/>
      <c r="DVK87" s="916"/>
      <c r="DVL87" s="916"/>
      <c r="DVM87" s="916"/>
      <c r="DVN87" s="916"/>
      <c r="DVO87" s="916"/>
      <c r="DVP87" s="916"/>
      <c r="DVQ87" s="916"/>
      <c r="DVR87" s="916"/>
      <c r="DVS87" s="916"/>
      <c r="DVT87" s="916"/>
      <c r="DVU87" s="916"/>
      <c r="DVV87" s="916"/>
      <c r="DVW87" s="916"/>
      <c r="DVX87" s="916"/>
      <c r="DVY87" s="916"/>
      <c r="DVZ87" s="916"/>
      <c r="DWA87" s="916"/>
      <c r="DWB87" s="916"/>
      <c r="DWC87" s="916"/>
      <c r="DWD87" s="916"/>
      <c r="DWE87" s="916"/>
      <c r="DWF87" s="916"/>
      <c r="DWG87" s="916"/>
      <c r="DWH87" s="916"/>
      <c r="DWI87" s="916"/>
      <c r="DWJ87" s="916"/>
      <c r="DWK87" s="916"/>
      <c r="DWL87" s="916"/>
      <c r="DWM87" s="916"/>
      <c r="DWN87" s="916"/>
      <c r="DWO87" s="916"/>
      <c r="DWP87" s="916"/>
      <c r="DWQ87" s="916"/>
      <c r="DWR87" s="916"/>
      <c r="DWS87" s="916"/>
      <c r="DWT87" s="916"/>
      <c r="DWU87" s="916"/>
      <c r="DWV87" s="916"/>
      <c r="DWW87" s="916"/>
      <c r="DWX87" s="916"/>
      <c r="DWY87" s="916"/>
      <c r="DWZ87" s="916"/>
      <c r="DXA87" s="916"/>
      <c r="DXB87" s="916"/>
      <c r="DXC87" s="916"/>
      <c r="DXD87" s="916"/>
      <c r="DXE87" s="916"/>
      <c r="DXF87" s="916"/>
      <c r="DXG87" s="916"/>
      <c r="DXH87" s="916"/>
      <c r="DXI87" s="916"/>
      <c r="DXJ87" s="916"/>
      <c r="DXK87" s="916"/>
      <c r="DXL87" s="916"/>
      <c r="DXM87" s="916"/>
      <c r="DXN87" s="916"/>
      <c r="DXO87" s="916"/>
      <c r="DXP87" s="916"/>
      <c r="DXQ87" s="916"/>
      <c r="DXR87" s="916"/>
      <c r="DXS87" s="916"/>
      <c r="DXT87" s="916"/>
      <c r="DXU87" s="916"/>
      <c r="DXV87" s="916"/>
      <c r="DXW87" s="916"/>
      <c r="DXX87" s="916"/>
      <c r="DXY87" s="916"/>
      <c r="DXZ87" s="916"/>
      <c r="DYA87" s="916"/>
      <c r="DYB87" s="916"/>
      <c r="DYC87" s="916"/>
      <c r="DYD87" s="916"/>
      <c r="DYE87" s="916"/>
      <c r="DYF87" s="916"/>
      <c r="DYG87" s="916"/>
      <c r="DYH87" s="916"/>
      <c r="DYI87" s="916"/>
      <c r="DYJ87" s="916"/>
      <c r="DYK87" s="916"/>
      <c r="DYL87" s="916"/>
      <c r="DYM87" s="916"/>
      <c r="DYN87" s="916"/>
      <c r="DYO87" s="916"/>
      <c r="DYP87" s="916"/>
      <c r="DYQ87" s="916"/>
      <c r="DYR87" s="916"/>
      <c r="DYS87" s="916"/>
      <c r="DYT87" s="916"/>
      <c r="DYU87" s="916"/>
      <c r="DYV87" s="916"/>
      <c r="DYW87" s="916"/>
      <c r="DYX87" s="916"/>
      <c r="DYY87" s="916"/>
      <c r="DYZ87" s="916"/>
      <c r="DZA87" s="916"/>
      <c r="DZB87" s="916"/>
      <c r="DZC87" s="916"/>
      <c r="DZD87" s="916"/>
      <c r="DZE87" s="916"/>
      <c r="DZF87" s="916"/>
      <c r="DZG87" s="916"/>
      <c r="DZH87" s="916"/>
      <c r="DZI87" s="916"/>
      <c r="DZJ87" s="916"/>
      <c r="DZK87" s="916"/>
      <c r="DZL87" s="916"/>
      <c r="DZM87" s="916"/>
      <c r="DZN87" s="916"/>
      <c r="DZO87" s="916"/>
      <c r="DZP87" s="916"/>
      <c r="DZQ87" s="916"/>
      <c r="DZR87" s="916"/>
      <c r="DZS87" s="916"/>
      <c r="DZT87" s="916"/>
      <c r="DZU87" s="916"/>
      <c r="DZV87" s="916"/>
      <c r="DZW87" s="916"/>
      <c r="DZX87" s="916"/>
      <c r="DZY87" s="916"/>
      <c r="DZZ87" s="916"/>
      <c r="EAA87" s="916"/>
      <c r="EAB87" s="916"/>
      <c r="EAC87" s="916"/>
      <c r="EAD87" s="916"/>
      <c r="EAE87" s="916"/>
      <c r="EAF87" s="916"/>
      <c r="EAG87" s="916"/>
      <c r="EAH87" s="916"/>
      <c r="EAI87" s="916"/>
      <c r="EAJ87" s="916"/>
      <c r="EAK87" s="916"/>
      <c r="EAL87" s="916"/>
      <c r="EAM87" s="916"/>
      <c r="EAN87" s="916"/>
      <c r="EAO87" s="916"/>
      <c r="EAP87" s="916"/>
      <c r="EAQ87" s="916"/>
      <c r="EAR87" s="916"/>
      <c r="EAS87" s="916"/>
      <c r="EAT87" s="916"/>
      <c r="EAU87" s="916"/>
      <c r="EAV87" s="916"/>
      <c r="EAW87" s="916"/>
      <c r="EAX87" s="916"/>
      <c r="EAY87" s="916"/>
      <c r="EAZ87" s="916"/>
      <c r="EBA87" s="916"/>
      <c r="EBB87" s="916"/>
      <c r="EBC87" s="916"/>
      <c r="EBD87" s="916"/>
      <c r="EBE87" s="916"/>
      <c r="EBF87" s="916"/>
      <c r="EBG87" s="916"/>
      <c r="EBH87" s="916"/>
      <c r="EBI87" s="916"/>
      <c r="EBJ87" s="916"/>
      <c r="EBK87" s="916"/>
      <c r="EBL87" s="916"/>
      <c r="EBM87" s="916"/>
      <c r="EBN87" s="916"/>
      <c r="EBO87" s="916"/>
      <c r="EBP87" s="916"/>
      <c r="EBQ87" s="916"/>
      <c r="EBR87" s="916"/>
      <c r="EBS87" s="916"/>
      <c r="EBT87" s="916"/>
      <c r="EBU87" s="916"/>
      <c r="EBV87" s="916"/>
      <c r="EBW87" s="916"/>
      <c r="EBX87" s="916"/>
      <c r="EBY87" s="916"/>
      <c r="EBZ87" s="916"/>
      <c r="ECA87" s="916"/>
      <c r="ECB87" s="916"/>
      <c r="ECC87" s="916"/>
      <c r="ECD87" s="916"/>
      <c r="ECE87" s="916"/>
      <c r="ECF87" s="916"/>
      <c r="ECG87" s="916"/>
      <c r="ECH87" s="916"/>
      <c r="ECI87" s="916"/>
      <c r="ECJ87" s="916"/>
      <c r="ECK87" s="916"/>
      <c r="ECL87" s="916"/>
      <c r="ECM87" s="916"/>
      <c r="ECN87" s="916"/>
      <c r="ECO87" s="916"/>
      <c r="ECP87" s="916"/>
      <c r="ECQ87" s="916"/>
      <c r="ECR87" s="916"/>
      <c r="ECS87" s="916"/>
      <c r="ECT87" s="916"/>
      <c r="ECU87" s="916"/>
      <c r="ECV87" s="916"/>
      <c r="ECW87" s="916"/>
      <c r="ECX87" s="916"/>
      <c r="ECY87" s="916"/>
      <c r="ECZ87" s="916"/>
      <c r="EDA87" s="916"/>
      <c r="EDB87" s="916"/>
      <c r="EDC87" s="916"/>
      <c r="EDD87" s="916"/>
      <c r="EDE87" s="916"/>
      <c r="EDF87" s="916"/>
      <c r="EDG87" s="916"/>
      <c r="EDH87" s="916"/>
      <c r="EDI87" s="916"/>
      <c r="EDJ87" s="916"/>
      <c r="EDK87" s="916"/>
      <c r="EDL87" s="916"/>
      <c r="EDM87" s="916"/>
      <c r="EDN87" s="916"/>
      <c r="EDO87" s="916"/>
      <c r="EDP87" s="916"/>
      <c r="EDQ87" s="916"/>
      <c r="EDR87" s="916"/>
      <c r="EDS87" s="916"/>
      <c r="EDT87" s="916"/>
      <c r="EDU87" s="916"/>
      <c r="EDV87" s="916"/>
      <c r="EDW87" s="916"/>
      <c r="EDX87" s="916"/>
      <c r="EDY87" s="916"/>
      <c r="EDZ87" s="916"/>
      <c r="EEA87" s="916"/>
      <c r="EEB87" s="916"/>
      <c r="EEC87" s="916"/>
      <c r="EED87" s="916"/>
      <c r="EEE87" s="916"/>
      <c r="EEF87" s="916"/>
      <c r="EEG87" s="916"/>
      <c r="EEH87" s="916"/>
      <c r="EEI87" s="916"/>
      <c r="EEJ87" s="916"/>
      <c r="EEK87" s="916"/>
      <c r="EEL87" s="916"/>
      <c r="EEM87" s="916"/>
      <c r="EEN87" s="916"/>
      <c r="EEO87" s="916"/>
      <c r="EEP87" s="916"/>
      <c r="EEQ87" s="916"/>
      <c r="EER87" s="916"/>
      <c r="EES87" s="916"/>
      <c r="EET87" s="916"/>
      <c r="EEU87" s="916"/>
      <c r="EEV87" s="916"/>
      <c r="EEW87" s="916"/>
      <c r="EEX87" s="916"/>
      <c r="EEY87" s="916"/>
      <c r="EEZ87" s="916"/>
      <c r="EFA87" s="916"/>
      <c r="EFB87" s="916"/>
      <c r="EFC87" s="916"/>
      <c r="EFD87" s="916"/>
      <c r="EFE87" s="916"/>
      <c r="EFF87" s="916"/>
      <c r="EFG87" s="916"/>
      <c r="EFH87" s="916"/>
      <c r="EFI87" s="916"/>
      <c r="EFJ87" s="916"/>
      <c r="EFK87" s="916"/>
      <c r="EFL87" s="916"/>
      <c r="EFM87" s="916"/>
      <c r="EFN87" s="916"/>
      <c r="EFO87" s="916"/>
      <c r="EFP87" s="916"/>
      <c r="EFQ87" s="916"/>
      <c r="EFR87" s="916"/>
      <c r="EFS87" s="916"/>
      <c r="EFT87" s="916"/>
      <c r="EFU87" s="916"/>
      <c r="EFV87" s="916"/>
      <c r="EFW87" s="916"/>
      <c r="EFX87" s="916"/>
      <c r="EFY87" s="916"/>
      <c r="EFZ87" s="916"/>
      <c r="EGA87" s="916"/>
      <c r="EGB87" s="916"/>
      <c r="EGC87" s="916"/>
      <c r="EGD87" s="916"/>
      <c r="EGE87" s="916"/>
      <c r="EGF87" s="916"/>
      <c r="EGG87" s="916"/>
      <c r="EGH87" s="916"/>
      <c r="EGI87" s="916"/>
      <c r="EGJ87" s="916"/>
      <c r="EGK87" s="916"/>
      <c r="EGL87" s="916"/>
      <c r="EGM87" s="916"/>
      <c r="EGN87" s="916"/>
      <c r="EGO87" s="916"/>
      <c r="EGP87" s="916"/>
      <c r="EGQ87" s="916"/>
      <c r="EGR87" s="916"/>
      <c r="EGS87" s="916"/>
      <c r="EGT87" s="916"/>
      <c r="EGU87" s="916"/>
      <c r="EGV87" s="916"/>
      <c r="EGW87" s="916"/>
      <c r="EGX87" s="916"/>
      <c r="EGY87" s="916"/>
      <c r="EGZ87" s="916"/>
      <c r="EHA87" s="916"/>
      <c r="EHB87" s="916"/>
      <c r="EHC87" s="916"/>
      <c r="EHD87" s="916"/>
      <c r="EHE87" s="916"/>
      <c r="EHF87" s="916"/>
      <c r="EHG87" s="916"/>
      <c r="EHH87" s="916"/>
      <c r="EHI87" s="916"/>
      <c r="EHJ87" s="916"/>
      <c r="EHK87" s="916"/>
      <c r="EHL87" s="916"/>
      <c r="EHM87" s="916"/>
      <c r="EHN87" s="916"/>
      <c r="EHO87" s="916"/>
      <c r="EHP87" s="916"/>
      <c r="EHQ87" s="916"/>
      <c r="EHR87" s="916"/>
      <c r="EHS87" s="916"/>
      <c r="EHT87" s="916"/>
      <c r="EHU87" s="916"/>
      <c r="EHV87" s="916"/>
      <c r="EHW87" s="916"/>
      <c r="EHX87" s="916"/>
      <c r="EHY87" s="916"/>
      <c r="EHZ87" s="916"/>
      <c r="EIA87" s="916"/>
      <c r="EIB87" s="916"/>
      <c r="EIC87" s="916"/>
      <c r="EID87" s="916"/>
      <c r="EIE87" s="916"/>
      <c r="EIF87" s="916"/>
      <c r="EIG87" s="916"/>
      <c r="EIH87" s="916"/>
      <c r="EII87" s="916"/>
      <c r="EIJ87" s="916"/>
      <c r="EIK87" s="916"/>
      <c r="EIL87" s="916"/>
      <c r="EIM87" s="916"/>
      <c r="EIN87" s="916"/>
      <c r="EIO87" s="916"/>
      <c r="EIP87" s="916"/>
      <c r="EIQ87" s="916"/>
      <c r="EIR87" s="916"/>
      <c r="EIS87" s="916"/>
      <c r="EIT87" s="916"/>
      <c r="EIU87" s="916"/>
      <c r="EIV87" s="916"/>
      <c r="EIW87" s="916"/>
      <c r="EIX87" s="916"/>
      <c r="EIY87" s="916"/>
      <c r="EIZ87" s="916"/>
      <c r="EJA87" s="916"/>
      <c r="EJB87" s="916"/>
      <c r="EJC87" s="916"/>
      <c r="EJD87" s="916"/>
      <c r="EJE87" s="916"/>
      <c r="EJF87" s="916"/>
      <c r="EJG87" s="916"/>
      <c r="EJH87" s="916"/>
      <c r="EJI87" s="916"/>
      <c r="EJJ87" s="916"/>
      <c r="EJK87" s="916"/>
      <c r="EJL87" s="916"/>
      <c r="EJM87" s="916"/>
      <c r="EJN87" s="916"/>
      <c r="EJO87" s="916"/>
      <c r="EJP87" s="916"/>
      <c r="EJQ87" s="916"/>
      <c r="EJR87" s="916"/>
      <c r="EJS87" s="916"/>
      <c r="EJT87" s="916"/>
      <c r="EJU87" s="916"/>
      <c r="EJV87" s="916"/>
      <c r="EJW87" s="916"/>
      <c r="EJX87" s="916"/>
      <c r="EJY87" s="916"/>
      <c r="EJZ87" s="916"/>
      <c r="EKA87" s="916"/>
      <c r="EKB87" s="916"/>
      <c r="EKC87" s="916"/>
      <c r="EKD87" s="916"/>
      <c r="EKE87" s="916"/>
      <c r="EKF87" s="916"/>
      <c r="EKG87" s="916"/>
      <c r="EKH87" s="916"/>
      <c r="EKI87" s="916"/>
      <c r="EKJ87" s="916"/>
      <c r="EKK87" s="916"/>
      <c r="EKL87" s="916"/>
      <c r="EKM87" s="916"/>
      <c r="EKN87" s="916"/>
      <c r="EKO87" s="916"/>
      <c r="EKP87" s="916"/>
      <c r="EKQ87" s="916"/>
      <c r="EKR87" s="916"/>
      <c r="EKS87" s="916"/>
      <c r="EKT87" s="916"/>
      <c r="EKU87" s="916"/>
      <c r="EKV87" s="916"/>
      <c r="EKW87" s="916"/>
      <c r="EKX87" s="916"/>
      <c r="EKY87" s="916"/>
      <c r="EKZ87" s="916"/>
      <c r="ELA87" s="916"/>
      <c r="ELB87" s="916"/>
      <c r="ELC87" s="916"/>
      <c r="ELD87" s="916"/>
      <c r="ELE87" s="916"/>
      <c r="ELF87" s="916"/>
      <c r="ELG87" s="916"/>
      <c r="ELH87" s="916"/>
      <c r="ELI87" s="916"/>
      <c r="ELJ87" s="916"/>
      <c r="ELK87" s="916"/>
      <c r="ELL87" s="916"/>
      <c r="ELM87" s="916"/>
      <c r="ELN87" s="916"/>
      <c r="ELO87" s="916"/>
      <c r="ELP87" s="916"/>
      <c r="ELQ87" s="916"/>
      <c r="ELR87" s="916"/>
      <c r="ELS87" s="916"/>
      <c r="ELT87" s="916"/>
      <c r="ELU87" s="916"/>
      <c r="ELV87" s="916"/>
      <c r="ELW87" s="916"/>
      <c r="ELX87" s="916"/>
      <c r="ELY87" s="916"/>
      <c r="ELZ87" s="916"/>
      <c r="EMA87" s="916"/>
      <c r="EMB87" s="916"/>
      <c r="EMC87" s="916"/>
      <c r="EMD87" s="916"/>
      <c r="EME87" s="916"/>
      <c r="EMF87" s="916"/>
      <c r="EMG87" s="916"/>
      <c r="EMH87" s="916"/>
      <c r="EMI87" s="916"/>
      <c r="EMJ87" s="916"/>
      <c r="EMK87" s="916"/>
      <c r="EML87" s="916"/>
      <c r="EMM87" s="916"/>
      <c r="EMN87" s="916"/>
      <c r="EMO87" s="916"/>
      <c r="EMP87" s="916"/>
      <c r="EMQ87" s="916"/>
      <c r="EMR87" s="916"/>
      <c r="EMS87" s="916"/>
      <c r="EMT87" s="916"/>
      <c r="EMU87" s="916"/>
      <c r="EMV87" s="916"/>
      <c r="EMW87" s="916"/>
      <c r="EMX87" s="916"/>
      <c r="EMY87" s="916"/>
      <c r="EMZ87" s="916"/>
      <c r="ENA87" s="916"/>
      <c r="ENB87" s="916"/>
      <c r="ENC87" s="916"/>
      <c r="END87" s="916"/>
      <c r="ENE87" s="916"/>
      <c r="ENF87" s="916"/>
      <c r="ENG87" s="916"/>
      <c r="ENH87" s="916"/>
      <c r="ENI87" s="916"/>
      <c r="ENJ87" s="916"/>
      <c r="ENK87" s="916"/>
      <c r="ENL87" s="916"/>
      <c r="ENM87" s="916"/>
      <c r="ENN87" s="916"/>
      <c r="ENO87" s="916"/>
      <c r="ENP87" s="916"/>
      <c r="ENQ87" s="916"/>
      <c r="ENR87" s="916"/>
      <c r="ENS87" s="916"/>
      <c r="ENT87" s="916"/>
      <c r="ENU87" s="916"/>
      <c r="ENV87" s="916"/>
      <c r="ENW87" s="916"/>
      <c r="ENX87" s="916"/>
      <c r="ENY87" s="916"/>
      <c r="ENZ87" s="916"/>
      <c r="EOA87" s="916"/>
      <c r="EOB87" s="916"/>
      <c r="EOC87" s="916"/>
      <c r="EOD87" s="916"/>
      <c r="EOE87" s="916"/>
      <c r="EOF87" s="916"/>
      <c r="EOG87" s="916"/>
      <c r="EOH87" s="916"/>
      <c r="EOI87" s="916"/>
      <c r="EOJ87" s="916"/>
      <c r="EOK87" s="916"/>
      <c r="EOL87" s="916"/>
      <c r="EOM87" s="916"/>
      <c r="EON87" s="916"/>
      <c r="EOO87" s="916"/>
      <c r="EOP87" s="916"/>
      <c r="EOQ87" s="916"/>
      <c r="EOR87" s="916"/>
      <c r="EOS87" s="916"/>
      <c r="EOT87" s="916"/>
      <c r="EOU87" s="916"/>
      <c r="EOV87" s="916"/>
      <c r="EOW87" s="916"/>
      <c r="EOX87" s="916"/>
      <c r="EOY87" s="916"/>
      <c r="EOZ87" s="916"/>
      <c r="EPA87" s="916"/>
      <c r="EPB87" s="916"/>
      <c r="EPC87" s="916"/>
      <c r="EPD87" s="916"/>
      <c r="EPE87" s="916"/>
      <c r="EPF87" s="916"/>
      <c r="EPG87" s="916"/>
      <c r="EPH87" s="916"/>
      <c r="EPI87" s="916"/>
      <c r="EPJ87" s="916"/>
      <c r="EPK87" s="916"/>
      <c r="EPL87" s="916"/>
      <c r="EPM87" s="916"/>
      <c r="EPN87" s="916"/>
      <c r="EPO87" s="916"/>
      <c r="EPP87" s="916"/>
      <c r="EPQ87" s="916"/>
      <c r="EPR87" s="916"/>
      <c r="EPS87" s="916"/>
      <c r="EPT87" s="916"/>
      <c r="EPU87" s="916"/>
      <c r="EPV87" s="916"/>
      <c r="EPW87" s="916"/>
      <c r="EPX87" s="916"/>
      <c r="EPY87" s="916"/>
      <c r="EPZ87" s="916"/>
      <c r="EQA87" s="916"/>
      <c r="EQB87" s="916"/>
      <c r="EQC87" s="916"/>
      <c r="EQD87" s="916"/>
      <c r="EQE87" s="916"/>
      <c r="EQF87" s="916"/>
      <c r="EQG87" s="916"/>
      <c r="EQH87" s="916"/>
      <c r="EQI87" s="916"/>
      <c r="EQJ87" s="916"/>
      <c r="EQK87" s="916"/>
      <c r="EQL87" s="916"/>
      <c r="EQM87" s="916"/>
      <c r="EQN87" s="916"/>
      <c r="EQO87" s="916"/>
      <c r="EQP87" s="916"/>
      <c r="EQQ87" s="916"/>
      <c r="EQR87" s="916"/>
      <c r="EQS87" s="916"/>
      <c r="EQT87" s="916"/>
      <c r="EQU87" s="916"/>
      <c r="EQV87" s="916"/>
      <c r="EQW87" s="916"/>
      <c r="EQX87" s="916"/>
      <c r="EQY87" s="916"/>
      <c r="EQZ87" s="916"/>
      <c r="ERA87" s="916"/>
      <c r="ERB87" s="916"/>
      <c r="ERC87" s="916"/>
      <c r="ERD87" s="916"/>
      <c r="ERE87" s="916"/>
      <c r="ERF87" s="916"/>
      <c r="ERG87" s="916"/>
      <c r="ERH87" s="916"/>
      <c r="ERI87" s="916"/>
      <c r="ERJ87" s="916"/>
      <c r="ERK87" s="916"/>
      <c r="ERL87" s="916"/>
      <c r="ERM87" s="916"/>
      <c r="ERN87" s="916"/>
      <c r="ERO87" s="916"/>
      <c r="ERP87" s="916"/>
      <c r="ERQ87" s="916"/>
      <c r="ERR87" s="916"/>
      <c r="ERS87" s="916"/>
      <c r="ERT87" s="916"/>
      <c r="ERU87" s="916"/>
      <c r="ERV87" s="916"/>
      <c r="ERW87" s="916"/>
      <c r="ERX87" s="916"/>
      <c r="ERY87" s="916"/>
      <c r="ERZ87" s="916"/>
      <c r="ESA87" s="916"/>
      <c r="ESB87" s="916"/>
      <c r="ESC87" s="916"/>
      <c r="ESD87" s="916"/>
      <c r="ESE87" s="916"/>
      <c r="ESF87" s="916"/>
      <c r="ESG87" s="916"/>
      <c r="ESH87" s="916"/>
      <c r="ESI87" s="916"/>
      <c r="ESJ87" s="916"/>
      <c r="ESK87" s="916"/>
      <c r="ESL87" s="916"/>
      <c r="ESM87" s="916"/>
      <c r="ESN87" s="916"/>
      <c r="ESO87" s="916"/>
      <c r="ESP87" s="916"/>
      <c r="ESQ87" s="916"/>
      <c r="ESR87" s="916"/>
      <c r="ESS87" s="916"/>
      <c r="EST87" s="916"/>
      <c r="ESU87" s="916"/>
      <c r="ESV87" s="916"/>
      <c r="ESW87" s="916"/>
      <c r="ESX87" s="916"/>
      <c r="ESY87" s="916"/>
      <c r="ESZ87" s="916"/>
      <c r="ETA87" s="916"/>
      <c r="ETB87" s="916"/>
      <c r="ETC87" s="916"/>
      <c r="ETD87" s="916"/>
      <c r="ETE87" s="916"/>
      <c r="ETF87" s="916"/>
      <c r="ETG87" s="916"/>
      <c r="ETH87" s="916"/>
      <c r="ETI87" s="916"/>
      <c r="ETJ87" s="916"/>
      <c r="ETK87" s="916"/>
      <c r="ETL87" s="916"/>
      <c r="ETM87" s="916"/>
      <c r="ETN87" s="916"/>
      <c r="ETO87" s="916"/>
      <c r="ETP87" s="916"/>
      <c r="ETQ87" s="916"/>
      <c r="ETR87" s="916"/>
      <c r="ETS87" s="916"/>
      <c r="ETT87" s="916"/>
      <c r="ETU87" s="916"/>
      <c r="ETV87" s="916"/>
      <c r="ETW87" s="916"/>
      <c r="ETX87" s="916"/>
      <c r="ETY87" s="916"/>
      <c r="ETZ87" s="916"/>
      <c r="EUA87" s="916"/>
      <c r="EUB87" s="916"/>
      <c r="EUC87" s="916"/>
      <c r="EUD87" s="916"/>
      <c r="EUE87" s="916"/>
      <c r="EUF87" s="916"/>
      <c r="EUG87" s="916"/>
      <c r="EUH87" s="916"/>
      <c r="EUI87" s="916"/>
      <c r="EUJ87" s="916"/>
      <c r="EUK87" s="916"/>
      <c r="EUL87" s="916"/>
      <c r="EUM87" s="916"/>
      <c r="EUN87" s="916"/>
      <c r="EUO87" s="916"/>
      <c r="EUP87" s="916"/>
      <c r="EUQ87" s="916"/>
      <c r="EUR87" s="916"/>
      <c r="EUS87" s="916"/>
      <c r="EUT87" s="916"/>
      <c r="EUU87" s="916"/>
      <c r="EUV87" s="916"/>
      <c r="EUW87" s="916"/>
      <c r="EUX87" s="916"/>
      <c r="EUY87" s="916"/>
      <c r="EUZ87" s="916"/>
      <c r="EVA87" s="916"/>
      <c r="EVB87" s="916"/>
      <c r="EVC87" s="916"/>
      <c r="EVD87" s="916"/>
      <c r="EVE87" s="916"/>
      <c r="EVF87" s="916"/>
      <c r="EVG87" s="916"/>
      <c r="EVH87" s="916"/>
      <c r="EVI87" s="916"/>
      <c r="EVJ87" s="916"/>
      <c r="EVK87" s="916"/>
      <c r="EVL87" s="916"/>
      <c r="EVM87" s="916"/>
      <c r="EVN87" s="916"/>
      <c r="EVO87" s="916"/>
      <c r="EVP87" s="916"/>
      <c r="EVQ87" s="916"/>
      <c r="EVR87" s="916"/>
      <c r="EVS87" s="916"/>
      <c r="EVT87" s="916"/>
      <c r="EVU87" s="916"/>
      <c r="EVV87" s="916"/>
      <c r="EVW87" s="916"/>
      <c r="EVX87" s="916"/>
      <c r="EVY87" s="916"/>
      <c r="EVZ87" s="916"/>
      <c r="EWA87" s="916"/>
      <c r="EWB87" s="916"/>
      <c r="EWC87" s="916"/>
      <c r="EWD87" s="916"/>
      <c r="EWE87" s="916"/>
      <c r="EWF87" s="916"/>
      <c r="EWG87" s="916"/>
      <c r="EWH87" s="916"/>
      <c r="EWI87" s="916"/>
      <c r="EWJ87" s="916"/>
      <c r="EWK87" s="916"/>
      <c r="EWL87" s="916"/>
      <c r="EWM87" s="916"/>
      <c r="EWN87" s="916"/>
      <c r="EWO87" s="916"/>
      <c r="EWP87" s="916"/>
      <c r="EWQ87" s="916"/>
      <c r="EWR87" s="916"/>
      <c r="EWS87" s="916"/>
      <c r="EWT87" s="916"/>
      <c r="EWU87" s="916"/>
      <c r="EWV87" s="916"/>
      <c r="EWW87" s="916"/>
      <c r="EWX87" s="916"/>
      <c r="EWY87" s="916"/>
      <c r="EWZ87" s="916"/>
      <c r="EXA87" s="916"/>
      <c r="EXB87" s="916"/>
      <c r="EXC87" s="916"/>
      <c r="EXD87" s="916"/>
      <c r="EXE87" s="916"/>
      <c r="EXF87" s="916"/>
      <c r="EXG87" s="916"/>
      <c r="EXH87" s="916"/>
      <c r="EXI87" s="916"/>
      <c r="EXJ87" s="916"/>
      <c r="EXK87" s="916"/>
      <c r="EXL87" s="916"/>
      <c r="EXM87" s="916"/>
      <c r="EXN87" s="916"/>
      <c r="EXO87" s="916"/>
      <c r="EXP87" s="916"/>
      <c r="EXQ87" s="916"/>
      <c r="EXR87" s="916"/>
      <c r="EXS87" s="916"/>
      <c r="EXT87" s="916"/>
      <c r="EXU87" s="916"/>
      <c r="EXV87" s="916"/>
      <c r="EXW87" s="916"/>
      <c r="EXX87" s="916"/>
      <c r="EXY87" s="916"/>
      <c r="EXZ87" s="916"/>
      <c r="EYA87" s="916"/>
      <c r="EYB87" s="916"/>
      <c r="EYC87" s="916"/>
      <c r="EYD87" s="916"/>
      <c r="EYE87" s="916"/>
      <c r="EYF87" s="916"/>
      <c r="EYG87" s="916"/>
      <c r="EYH87" s="916"/>
      <c r="EYI87" s="916"/>
      <c r="EYJ87" s="916"/>
      <c r="EYK87" s="916"/>
      <c r="EYL87" s="916"/>
      <c r="EYM87" s="916"/>
      <c r="EYN87" s="916"/>
      <c r="EYO87" s="916"/>
      <c r="EYP87" s="916"/>
      <c r="EYQ87" s="916"/>
      <c r="EYR87" s="916"/>
      <c r="EYS87" s="916"/>
      <c r="EYT87" s="916"/>
      <c r="EYU87" s="916"/>
      <c r="EYV87" s="916"/>
      <c r="EYW87" s="916"/>
      <c r="EYX87" s="916"/>
      <c r="EYY87" s="916"/>
      <c r="EYZ87" s="916"/>
      <c r="EZA87" s="916"/>
      <c r="EZB87" s="916"/>
      <c r="EZC87" s="916"/>
      <c r="EZD87" s="916"/>
      <c r="EZE87" s="916"/>
      <c r="EZF87" s="916"/>
      <c r="EZG87" s="916"/>
      <c r="EZH87" s="916"/>
      <c r="EZI87" s="916"/>
      <c r="EZJ87" s="916"/>
      <c r="EZK87" s="916"/>
      <c r="EZL87" s="916"/>
      <c r="EZM87" s="916"/>
      <c r="EZN87" s="916"/>
      <c r="EZO87" s="916"/>
      <c r="EZP87" s="916"/>
      <c r="EZQ87" s="916"/>
      <c r="EZR87" s="916"/>
      <c r="EZS87" s="916"/>
      <c r="EZT87" s="916"/>
      <c r="EZU87" s="916"/>
      <c r="EZV87" s="916"/>
      <c r="EZW87" s="916"/>
      <c r="EZX87" s="916"/>
      <c r="EZY87" s="916"/>
      <c r="EZZ87" s="916"/>
      <c r="FAA87" s="916"/>
      <c r="FAB87" s="916"/>
      <c r="FAC87" s="916"/>
      <c r="FAD87" s="916"/>
      <c r="FAE87" s="916"/>
      <c r="FAF87" s="916"/>
      <c r="FAG87" s="916"/>
      <c r="FAH87" s="916"/>
      <c r="FAI87" s="916"/>
      <c r="FAJ87" s="916"/>
      <c r="FAK87" s="916"/>
      <c r="FAL87" s="916"/>
      <c r="FAM87" s="916"/>
      <c r="FAN87" s="916"/>
      <c r="FAO87" s="916"/>
      <c r="FAP87" s="916"/>
      <c r="FAQ87" s="916"/>
      <c r="FAR87" s="916"/>
      <c r="FAS87" s="916"/>
      <c r="FAT87" s="916"/>
      <c r="FAU87" s="916"/>
      <c r="FAV87" s="916"/>
      <c r="FAW87" s="916"/>
      <c r="FAX87" s="916"/>
      <c r="FAY87" s="916"/>
      <c r="FAZ87" s="916"/>
      <c r="FBA87" s="916"/>
      <c r="FBB87" s="916"/>
      <c r="FBC87" s="916"/>
      <c r="FBD87" s="916"/>
      <c r="FBE87" s="916"/>
      <c r="FBF87" s="916"/>
      <c r="FBG87" s="916"/>
      <c r="FBH87" s="916"/>
      <c r="FBI87" s="916"/>
      <c r="FBJ87" s="916"/>
      <c r="FBK87" s="916"/>
      <c r="FBL87" s="916"/>
      <c r="FBM87" s="916"/>
      <c r="FBN87" s="916"/>
      <c r="FBO87" s="916"/>
      <c r="FBP87" s="916"/>
      <c r="FBQ87" s="916"/>
      <c r="FBR87" s="916"/>
      <c r="FBS87" s="916"/>
      <c r="FBT87" s="916"/>
      <c r="FBU87" s="916"/>
      <c r="FBV87" s="916"/>
      <c r="FBW87" s="916"/>
      <c r="FBX87" s="916"/>
      <c r="FBY87" s="916"/>
      <c r="FBZ87" s="916"/>
      <c r="FCA87" s="916"/>
      <c r="FCB87" s="916"/>
      <c r="FCC87" s="916"/>
      <c r="FCD87" s="916"/>
      <c r="FCE87" s="916"/>
      <c r="FCF87" s="916"/>
      <c r="FCG87" s="916"/>
      <c r="FCH87" s="916"/>
      <c r="FCI87" s="916"/>
      <c r="FCJ87" s="916"/>
      <c r="FCK87" s="916"/>
      <c r="FCL87" s="916"/>
      <c r="FCM87" s="916"/>
      <c r="FCN87" s="916"/>
      <c r="FCO87" s="916"/>
      <c r="FCP87" s="916"/>
      <c r="FCQ87" s="916"/>
      <c r="FCR87" s="916"/>
      <c r="FCS87" s="916"/>
      <c r="FCT87" s="916"/>
      <c r="FCU87" s="916"/>
      <c r="FCV87" s="916"/>
      <c r="FCW87" s="916"/>
      <c r="FCX87" s="916"/>
      <c r="FCY87" s="916"/>
      <c r="FCZ87" s="916"/>
      <c r="FDA87" s="916"/>
      <c r="FDB87" s="916"/>
      <c r="FDC87" s="916"/>
      <c r="FDD87" s="916"/>
      <c r="FDE87" s="916"/>
      <c r="FDF87" s="916"/>
      <c r="FDG87" s="916"/>
      <c r="FDH87" s="916"/>
      <c r="FDI87" s="916"/>
      <c r="FDJ87" s="916"/>
      <c r="FDK87" s="916"/>
      <c r="FDL87" s="916"/>
      <c r="FDM87" s="916"/>
      <c r="FDN87" s="916"/>
      <c r="FDO87" s="916"/>
      <c r="FDP87" s="916"/>
      <c r="FDQ87" s="916"/>
      <c r="FDR87" s="916"/>
      <c r="FDS87" s="916"/>
      <c r="FDT87" s="916"/>
      <c r="FDU87" s="916"/>
      <c r="FDV87" s="916"/>
      <c r="FDW87" s="916"/>
      <c r="FDX87" s="916"/>
      <c r="FDY87" s="916"/>
      <c r="FDZ87" s="916"/>
      <c r="FEA87" s="916"/>
      <c r="FEB87" s="916"/>
      <c r="FEC87" s="916"/>
      <c r="FED87" s="916"/>
      <c r="FEE87" s="916"/>
      <c r="FEF87" s="916"/>
      <c r="FEG87" s="916"/>
      <c r="FEH87" s="916"/>
      <c r="FEI87" s="916"/>
      <c r="FEJ87" s="916"/>
      <c r="FEK87" s="916"/>
      <c r="FEL87" s="916"/>
      <c r="FEM87" s="916"/>
      <c r="FEN87" s="916"/>
      <c r="FEO87" s="916"/>
      <c r="FEP87" s="916"/>
      <c r="FEQ87" s="916"/>
      <c r="FER87" s="916"/>
      <c r="FES87" s="916"/>
      <c r="FET87" s="916"/>
      <c r="FEU87" s="916"/>
      <c r="FEV87" s="916"/>
      <c r="FEW87" s="916"/>
      <c r="FEX87" s="916"/>
      <c r="FEY87" s="916"/>
      <c r="FEZ87" s="916"/>
      <c r="FFA87" s="916"/>
      <c r="FFB87" s="916"/>
      <c r="FFC87" s="916"/>
      <c r="FFD87" s="916"/>
      <c r="FFE87" s="916"/>
      <c r="FFF87" s="916"/>
      <c r="FFG87" s="916"/>
      <c r="FFH87" s="916"/>
      <c r="FFI87" s="916"/>
      <c r="FFJ87" s="916"/>
      <c r="FFK87" s="916"/>
      <c r="FFL87" s="916"/>
      <c r="FFM87" s="916"/>
      <c r="FFN87" s="916"/>
      <c r="FFO87" s="916"/>
      <c r="FFP87" s="916"/>
      <c r="FFQ87" s="916"/>
      <c r="FFR87" s="916"/>
      <c r="FFS87" s="916"/>
      <c r="FFT87" s="916"/>
      <c r="FFU87" s="916"/>
      <c r="FFV87" s="916"/>
      <c r="FFW87" s="916"/>
      <c r="FFX87" s="916"/>
      <c r="FFY87" s="916"/>
      <c r="FFZ87" s="916"/>
      <c r="FGA87" s="916"/>
      <c r="FGB87" s="916"/>
      <c r="FGC87" s="916"/>
      <c r="FGD87" s="916"/>
      <c r="FGE87" s="916"/>
      <c r="FGF87" s="916"/>
      <c r="FGG87" s="916"/>
      <c r="FGH87" s="916"/>
      <c r="FGI87" s="916"/>
      <c r="FGJ87" s="916"/>
      <c r="FGK87" s="916"/>
      <c r="FGL87" s="916"/>
      <c r="FGM87" s="916"/>
      <c r="FGN87" s="916"/>
      <c r="FGO87" s="916"/>
      <c r="FGP87" s="916"/>
      <c r="FGQ87" s="916"/>
      <c r="FGR87" s="916"/>
      <c r="FGS87" s="916"/>
      <c r="FGT87" s="916"/>
      <c r="FGU87" s="916"/>
      <c r="FGV87" s="916"/>
      <c r="FGW87" s="916"/>
      <c r="FGX87" s="916"/>
      <c r="FGY87" s="916"/>
      <c r="FGZ87" s="916"/>
      <c r="FHA87" s="916"/>
      <c r="FHB87" s="916"/>
      <c r="FHC87" s="916"/>
      <c r="FHD87" s="916"/>
      <c r="FHE87" s="916"/>
      <c r="FHF87" s="916"/>
      <c r="FHG87" s="916"/>
      <c r="FHH87" s="916"/>
      <c r="FHI87" s="916"/>
      <c r="FHJ87" s="916"/>
      <c r="FHK87" s="916"/>
      <c r="FHL87" s="916"/>
      <c r="FHM87" s="916"/>
      <c r="FHN87" s="916"/>
      <c r="FHO87" s="916"/>
      <c r="FHP87" s="916"/>
      <c r="FHQ87" s="916"/>
      <c r="FHR87" s="916"/>
      <c r="FHS87" s="916"/>
      <c r="FHT87" s="916"/>
      <c r="FHU87" s="916"/>
      <c r="FHV87" s="916"/>
      <c r="FHW87" s="916"/>
      <c r="FHX87" s="916"/>
      <c r="FHY87" s="916"/>
      <c r="FHZ87" s="916"/>
      <c r="FIA87" s="916"/>
      <c r="FIB87" s="916"/>
      <c r="FIC87" s="916"/>
      <c r="FID87" s="916"/>
      <c r="FIE87" s="916"/>
      <c r="FIF87" s="916"/>
      <c r="FIG87" s="916"/>
      <c r="FIH87" s="916"/>
      <c r="FII87" s="916"/>
      <c r="FIJ87" s="916"/>
      <c r="FIK87" s="916"/>
      <c r="FIL87" s="916"/>
      <c r="FIM87" s="916"/>
      <c r="FIN87" s="916"/>
      <c r="FIO87" s="916"/>
      <c r="FIP87" s="916"/>
      <c r="FIQ87" s="916"/>
      <c r="FIR87" s="916"/>
      <c r="FIS87" s="916"/>
      <c r="FIT87" s="916"/>
      <c r="FIU87" s="916"/>
      <c r="FIV87" s="916"/>
      <c r="FIW87" s="916"/>
      <c r="FIX87" s="916"/>
      <c r="FIY87" s="916"/>
      <c r="FIZ87" s="916"/>
      <c r="FJA87" s="916"/>
      <c r="FJB87" s="916"/>
      <c r="FJC87" s="916"/>
      <c r="FJD87" s="916"/>
      <c r="FJE87" s="916"/>
      <c r="FJF87" s="916"/>
      <c r="FJG87" s="916"/>
      <c r="FJH87" s="916"/>
      <c r="FJI87" s="916"/>
      <c r="FJJ87" s="916"/>
      <c r="FJK87" s="916"/>
      <c r="FJL87" s="916"/>
      <c r="FJM87" s="916"/>
      <c r="FJN87" s="916"/>
      <c r="FJO87" s="916"/>
      <c r="FJP87" s="916"/>
      <c r="FJQ87" s="916"/>
      <c r="FJR87" s="916"/>
      <c r="FJS87" s="916"/>
      <c r="FJT87" s="916"/>
      <c r="FJU87" s="916"/>
      <c r="FJV87" s="916"/>
      <c r="FJW87" s="916"/>
      <c r="FJX87" s="916"/>
      <c r="FJY87" s="916"/>
      <c r="FJZ87" s="916"/>
      <c r="FKA87" s="916"/>
      <c r="FKB87" s="916"/>
      <c r="FKC87" s="916"/>
      <c r="FKD87" s="916"/>
      <c r="FKE87" s="916"/>
      <c r="FKF87" s="916"/>
      <c r="FKG87" s="916"/>
      <c r="FKH87" s="916"/>
      <c r="FKI87" s="916"/>
      <c r="FKJ87" s="916"/>
      <c r="FKK87" s="916"/>
      <c r="FKL87" s="916"/>
      <c r="FKM87" s="916"/>
      <c r="FKN87" s="916"/>
      <c r="FKO87" s="916"/>
      <c r="FKP87" s="916"/>
      <c r="FKQ87" s="916"/>
      <c r="FKR87" s="916"/>
      <c r="FKS87" s="916"/>
      <c r="FKT87" s="916"/>
      <c r="FKU87" s="916"/>
      <c r="FKV87" s="916"/>
      <c r="FKW87" s="916"/>
      <c r="FKX87" s="916"/>
      <c r="FKY87" s="916"/>
      <c r="FKZ87" s="916"/>
      <c r="FLA87" s="916"/>
      <c r="FLB87" s="916"/>
      <c r="FLC87" s="916"/>
      <c r="FLD87" s="916"/>
      <c r="FLE87" s="916"/>
      <c r="FLF87" s="916"/>
      <c r="FLG87" s="916"/>
      <c r="FLH87" s="916"/>
      <c r="FLI87" s="916"/>
      <c r="FLJ87" s="916"/>
      <c r="FLK87" s="916"/>
      <c r="FLL87" s="916"/>
      <c r="FLM87" s="916"/>
      <c r="FLN87" s="916"/>
      <c r="FLO87" s="916"/>
      <c r="FLP87" s="916"/>
      <c r="FLQ87" s="916"/>
      <c r="FLR87" s="916"/>
      <c r="FLS87" s="916"/>
      <c r="FLT87" s="916"/>
      <c r="FLU87" s="916"/>
      <c r="FLV87" s="916"/>
      <c r="FLW87" s="916"/>
      <c r="FLX87" s="916"/>
      <c r="FLY87" s="916"/>
      <c r="FLZ87" s="916"/>
      <c r="FMA87" s="916"/>
      <c r="FMB87" s="916"/>
      <c r="FMC87" s="916"/>
      <c r="FMD87" s="916"/>
      <c r="FME87" s="916"/>
      <c r="FMF87" s="916"/>
      <c r="FMG87" s="916"/>
      <c r="FMH87" s="916"/>
      <c r="FMI87" s="916"/>
      <c r="FMJ87" s="916"/>
      <c r="FMK87" s="916"/>
      <c r="FML87" s="916"/>
      <c r="FMM87" s="916"/>
      <c r="FMN87" s="916"/>
      <c r="FMO87" s="916"/>
      <c r="FMP87" s="916"/>
      <c r="FMQ87" s="916"/>
      <c r="FMR87" s="916"/>
      <c r="FMS87" s="916"/>
      <c r="FMT87" s="916"/>
      <c r="FMU87" s="916"/>
      <c r="FMV87" s="916"/>
      <c r="FMW87" s="916"/>
      <c r="FMX87" s="916"/>
      <c r="FMY87" s="916"/>
      <c r="FMZ87" s="916"/>
      <c r="FNA87" s="916"/>
      <c r="FNB87" s="916"/>
      <c r="FNC87" s="916"/>
      <c r="FND87" s="916"/>
      <c r="FNE87" s="916"/>
      <c r="FNF87" s="916"/>
      <c r="FNG87" s="916"/>
      <c r="FNH87" s="916"/>
      <c r="FNI87" s="916"/>
      <c r="FNJ87" s="916"/>
      <c r="FNK87" s="916"/>
      <c r="FNL87" s="916"/>
      <c r="FNM87" s="916"/>
      <c r="FNN87" s="916"/>
      <c r="FNO87" s="916"/>
      <c r="FNP87" s="916"/>
      <c r="FNQ87" s="916"/>
      <c r="FNR87" s="916"/>
      <c r="FNS87" s="916"/>
      <c r="FNT87" s="916"/>
      <c r="FNU87" s="916"/>
      <c r="FNV87" s="916"/>
      <c r="FNW87" s="916"/>
      <c r="FNX87" s="916"/>
      <c r="FNY87" s="916"/>
      <c r="FNZ87" s="916"/>
      <c r="FOA87" s="916"/>
      <c r="FOB87" s="916"/>
      <c r="FOC87" s="916"/>
      <c r="FOD87" s="916"/>
      <c r="FOE87" s="916"/>
      <c r="FOF87" s="916"/>
      <c r="FOG87" s="916"/>
      <c r="FOH87" s="916"/>
      <c r="FOI87" s="916"/>
      <c r="FOJ87" s="916"/>
      <c r="FOK87" s="916"/>
      <c r="FOL87" s="916"/>
      <c r="FOM87" s="916"/>
      <c r="FON87" s="916"/>
      <c r="FOO87" s="916"/>
      <c r="FOP87" s="916"/>
      <c r="FOQ87" s="916"/>
      <c r="FOR87" s="916"/>
      <c r="FOS87" s="916"/>
      <c r="FOT87" s="916"/>
      <c r="FOU87" s="916"/>
      <c r="FOV87" s="916"/>
      <c r="FOW87" s="916"/>
      <c r="FOX87" s="916"/>
      <c r="FOY87" s="916"/>
      <c r="FOZ87" s="916"/>
      <c r="FPA87" s="916"/>
      <c r="FPB87" s="916"/>
      <c r="FPC87" s="916"/>
      <c r="FPD87" s="916"/>
      <c r="FPE87" s="916"/>
      <c r="FPF87" s="916"/>
      <c r="FPG87" s="916"/>
      <c r="FPH87" s="916"/>
      <c r="FPI87" s="916"/>
      <c r="FPJ87" s="916"/>
      <c r="FPK87" s="916"/>
      <c r="FPL87" s="916"/>
      <c r="FPM87" s="916"/>
      <c r="FPN87" s="916"/>
      <c r="FPO87" s="916"/>
      <c r="FPP87" s="916"/>
      <c r="FPQ87" s="916"/>
      <c r="FPR87" s="916"/>
      <c r="FPS87" s="916"/>
      <c r="FPT87" s="916"/>
      <c r="FPU87" s="916"/>
      <c r="FPV87" s="916"/>
      <c r="FPW87" s="916"/>
      <c r="FPX87" s="916"/>
      <c r="FPY87" s="916"/>
      <c r="FPZ87" s="916"/>
      <c r="FQA87" s="916"/>
      <c r="FQB87" s="916"/>
      <c r="FQC87" s="916"/>
      <c r="FQD87" s="916"/>
      <c r="FQE87" s="916"/>
      <c r="FQF87" s="916"/>
      <c r="FQG87" s="916"/>
      <c r="FQH87" s="916"/>
      <c r="FQI87" s="916"/>
      <c r="FQJ87" s="916"/>
      <c r="FQK87" s="916"/>
      <c r="FQL87" s="916"/>
      <c r="FQM87" s="916"/>
      <c r="FQN87" s="916"/>
      <c r="FQO87" s="916"/>
      <c r="FQP87" s="916"/>
      <c r="FQQ87" s="916"/>
      <c r="FQR87" s="916"/>
      <c r="FQS87" s="916"/>
      <c r="FQT87" s="916"/>
      <c r="FQU87" s="916"/>
      <c r="FQV87" s="916"/>
      <c r="FQW87" s="916"/>
      <c r="FQX87" s="916"/>
      <c r="FQY87" s="916"/>
      <c r="FQZ87" s="916"/>
      <c r="FRA87" s="916"/>
      <c r="FRB87" s="916"/>
      <c r="FRC87" s="916"/>
      <c r="FRD87" s="916"/>
      <c r="FRE87" s="916"/>
      <c r="FRF87" s="916"/>
      <c r="FRG87" s="916"/>
      <c r="FRH87" s="916"/>
      <c r="FRI87" s="916"/>
      <c r="FRJ87" s="916"/>
      <c r="FRK87" s="916"/>
      <c r="FRL87" s="916"/>
      <c r="FRM87" s="916"/>
      <c r="FRN87" s="916"/>
      <c r="FRO87" s="916"/>
      <c r="FRP87" s="916"/>
      <c r="FRQ87" s="916"/>
      <c r="FRR87" s="916"/>
      <c r="FRS87" s="916"/>
      <c r="FRT87" s="916"/>
      <c r="FRU87" s="916"/>
      <c r="FRV87" s="916"/>
      <c r="FRW87" s="916"/>
      <c r="FRX87" s="916"/>
      <c r="FRY87" s="916"/>
      <c r="FRZ87" s="916"/>
      <c r="FSA87" s="916"/>
      <c r="FSB87" s="916"/>
      <c r="FSC87" s="916"/>
      <c r="FSD87" s="916"/>
      <c r="FSE87" s="916"/>
      <c r="FSF87" s="916"/>
      <c r="FSG87" s="916"/>
      <c r="FSH87" s="916"/>
      <c r="FSI87" s="916"/>
      <c r="FSJ87" s="916"/>
      <c r="FSK87" s="916"/>
      <c r="FSL87" s="916"/>
      <c r="FSM87" s="916"/>
      <c r="FSN87" s="916"/>
      <c r="FSO87" s="916"/>
      <c r="FSP87" s="916"/>
      <c r="FSQ87" s="916"/>
      <c r="FSR87" s="916"/>
      <c r="FSS87" s="916"/>
      <c r="FST87" s="916"/>
      <c r="FSU87" s="916"/>
      <c r="FSV87" s="916"/>
      <c r="FSW87" s="916"/>
      <c r="FSX87" s="916"/>
      <c r="FSY87" s="916"/>
      <c r="FSZ87" s="916"/>
      <c r="FTA87" s="916"/>
      <c r="FTB87" s="916"/>
      <c r="FTC87" s="916"/>
      <c r="FTD87" s="916"/>
      <c r="FTE87" s="916"/>
      <c r="FTF87" s="916"/>
      <c r="FTG87" s="916"/>
      <c r="FTH87" s="916"/>
      <c r="FTI87" s="916"/>
      <c r="FTJ87" s="916"/>
      <c r="FTK87" s="916"/>
      <c r="FTL87" s="916"/>
      <c r="FTM87" s="916"/>
      <c r="FTN87" s="916"/>
      <c r="FTO87" s="916"/>
      <c r="FTP87" s="916"/>
      <c r="FTQ87" s="916"/>
      <c r="FTR87" s="916"/>
      <c r="FTS87" s="916"/>
      <c r="FTT87" s="916"/>
      <c r="FTU87" s="916"/>
      <c r="FTV87" s="916"/>
      <c r="FTW87" s="916"/>
      <c r="FTX87" s="916"/>
      <c r="FTY87" s="916"/>
      <c r="FTZ87" s="916"/>
      <c r="FUA87" s="916"/>
      <c r="FUB87" s="916"/>
      <c r="FUC87" s="916"/>
      <c r="FUD87" s="916"/>
      <c r="FUE87" s="916"/>
      <c r="FUF87" s="916"/>
      <c r="FUG87" s="916"/>
      <c r="FUH87" s="916"/>
      <c r="FUI87" s="916"/>
      <c r="FUJ87" s="916"/>
      <c r="FUK87" s="916"/>
      <c r="FUL87" s="916"/>
      <c r="FUM87" s="916"/>
      <c r="FUN87" s="916"/>
      <c r="FUO87" s="916"/>
      <c r="FUP87" s="916"/>
      <c r="FUQ87" s="916"/>
      <c r="FUR87" s="916"/>
      <c r="FUS87" s="916"/>
      <c r="FUT87" s="916"/>
      <c r="FUU87" s="916"/>
      <c r="FUV87" s="916"/>
      <c r="FUW87" s="916"/>
      <c r="FUX87" s="916"/>
      <c r="FUY87" s="916"/>
      <c r="FUZ87" s="916"/>
      <c r="FVA87" s="916"/>
      <c r="FVB87" s="916"/>
      <c r="FVC87" s="916"/>
      <c r="FVD87" s="916"/>
      <c r="FVE87" s="916"/>
      <c r="FVF87" s="916"/>
      <c r="FVG87" s="916"/>
      <c r="FVH87" s="916"/>
      <c r="FVI87" s="916"/>
      <c r="FVJ87" s="916"/>
      <c r="FVK87" s="916"/>
      <c r="FVL87" s="916"/>
      <c r="FVM87" s="916"/>
      <c r="FVN87" s="916"/>
      <c r="FVO87" s="916"/>
      <c r="FVP87" s="916"/>
      <c r="FVQ87" s="916"/>
      <c r="FVR87" s="916"/>
      <c r="FVS87" s="916"/>
      <c r="FVT87" s="916"/>
      <c r="FVU87" s="916"/>
      <c r="FVV87" s="916"/>
      <c r="FVW87" s="916"/>
      <c r="FVX87" s="916"/>
      <c r="FVY87" s="916"/>
      <c r="FVZ87" s="916"/>
      <c r="FWA87" s="916"/>
      <c r="FWB87" s="916"/>
      <c r="FWC87" s="916"/>
      <c r="FWD87" s="916"/>
      <c r="FWE87" s="916"/>
      <c r="FWF87" s="916"/>
      <c r="FWG87" s="916"/>
      <c r="FWH87" s="916"/>
      <c r="FWI87" s="916"/>
      <c r="FWJ87" s="916"/>
      <c r="FWK87" s="916"/>
      <c r="FWL87" s="916"/>
      <c r="FWM87" s="916"/>
      <c r="FWN87" s="916"/>
      <c r="FWO87" s="916"/>
      <c r="FWP87" s="916"/>
      <c r="FWQ87" s="916"/>
      <c r="FWR87" s="916"/>
      <c r="FWS87" s="916"/>
      <c r="FWT87" s="916"/>
      <c r="FWU87" s="916"/>
      <c r="FWV87" s="916"/>
      <c r="FWW87" s="916"/>
      <c r="FWX87" s="916"/>
      <c r="FWY87" s="916"/>
      <c r="FWZ87" s="916"/>
      <c r="FXA87" s="916"/>
      <c r="FXB87" s="916"/>
      <c r="FXC87" s="916"/>
      <c r="FXD87" s="916"/>
      <c r="FXE87" s="916"/>
      <c r="FXF87" s="916"/>
      <c r="FXG87" s="916"/>
      <c r="FXH87" s="916"/>
      <c r="FXI87" s="916"/>
      <c r="FXJ87" s="916"/>
      <c r="FXK87" s="916"/>
      <c r="FXL87" s="916"/>
      <c r="FXM87" s="916"/>
      <c r="FXN87" s="916"/>
      <c r="FXO87" s="916"/>
      <c r="FXP87" s="916"/>
      <c r="FXQ87" s="916"/>
      <c r="FXR87" s="916"/>
      <c r="FXS87" s="916"/>
      <c r="FXT87" s="916"/>
      <c r="FXU87" s="916"/>
      <c r="FXV87" s="916"/>
      <c r="FXW87" s="916"/>
      <c r="FXX87" s="916"/>
      <c r="FXY87" s="916"/>
      <c r="FXZ87" s="916"/>
      <c r="FYA87" s="916"/>
      <c r="FYB87" s="916"/>
      <c r="FYC87" s="916"/>
      <c r="FYD87" s="916"/>
      <c r="FYE87" s="916"/>
      <c r="FYF87" s="916"/>
      <c r="FYG87" s="916"/>
      <c r="FYH87" s="916"/>
      <c r="FYI87" s="916"/>
      <c r="FYJ87" s="916"/>
      <c r="FYK87" s="916"/>
      <c r="FYL87" s="916"/>
      <c r="FYM87" s="916"/>
      <c r="FYN87" s="916"/>
      <c r="FYO87" s="916"/>
      <c r="FYP87" s="916"/>
      <c r="FYQ87" s="916"/>
      <c r="FYR87" s="916"/>
      <c r="FYS87" s="916"/>
      <c r="FYT87" s="916"/>
      <c r="FYU87" s="916"/>
      <c r="FYV87" s="916"/>
      <c r="FYW87" s="916"/>
      <c r="FYX87" s="916"/>
      <c r="FYY87" s="916"/>
      <c r="FYZ87" s="916"/>
      <c r="FZA87" s="916"/>
      <c r="FZB87" s="916"/>
      <c r="FZC87" s="916"/>
      <c r="FZD87" s="916"/>
      <c r="FZE87" s="916"/>
      <c r="FZF87" s="916"/>
      <c r="FZG87" s="916"/>
      <c r="FZH87" s="916"/>
      <c r="FZI87" s="916"/>
      <c r="FZJ87" s="916"/>
      <c r="FZK87" s="916"/>
      <c r="FZL87" s="916"/>
      <c r="FZM87" s="916"/>
      <c r="FZN87" s="916"/>
      <c r="FZO87" s="916"/>
      <c r="FZP87" s="916"/>
      <c r="FZQ87" s="916"/>
      <c r="FZR87" s="916"/>
      <c r="FZS87" s="916"/>
      <c r="FZT87" s="916"/>
      <c r="FZU87" s="916"/>
      <c r="FZV87" s="916"/>
      <c r="FZW87" s="916"/>
      <c r="FZX87" s="916"/>
      <c r="FZY87" s="916"/>
      <c r="FZZ87" s="916"/>
      <c r="GAA87" s="916"/>
      <c r="GAB87" s="916"/>
      <c r="GAC87" s="916"/>
      <c r="GAD87" s="916"/>
      <c r="GAE87" s="916"/>
      <c r="GAF87" s="916"/>
      <c r="GAG87" s="916"/>
      <c r="GAH87" s="916"/>
      <c r="GAI87" s="916"/>
      <c r="GAJ87" s="916"/>
      <c r="GAK87" s="916"/>
      <c r="GAL87" s="916"/>
      <c r="GAM87" s="916"/>
      <c r="GAN87" s="916"/>
      <c r="GAO87" s="916"/>
      <c r="GAP87" s="916"/>
      <c r="GAQ87" s="916"/>
      <c r="GAR87" s="916"/>
      <c r="GAS87" s="916"/>
      <c r="GAT87" s="916"/>
      <c r="GAU87" s="916"/>
      <c r="GAV87" s="916"/>
      <c r="GAW87" s="916"/>
      <c r="GAX87" s="916"/>
      <c r="GAY87" s="916"/>
      <c r="GAZ87" s="916"/>
      <c r="GBA87" s="916"/>
      <c r="GBB87" s="916"/>
      <c r="GBC87" s="916"/>
      <c r="GBD87" s="916"/>
      <c r="GBE87" s="916"/>
      <c r="GBF87" s="916"/>
      <c r="GBG87" s="916"/>
      <c r="GBH87" s="916"/>
      <c r="GBI87" s="916"/>
      <c r="GBJ87" s="916"/>
      <c r="GBK87" s="916"/>
      <c r="GBL87" s="916"/>
      <c r="GBM87" s="916"/>
      <c r="GBN87" s="916"/>
      <c r="GBO87" s="916"/>
      <c r="GBP87" s="916"/>
      <c r="GBQ87" s="916"/>
      <c r="GBR87" s="916"/>
      <c r="GBS87" s="916"/>
      <c r="GBT87" s="916"/>
      <c r="GBU87" s="916"/>
      <c r="GBV87" s="916"/>
      <c r="GBW87" s="916"/>
      <c r="GBX87" s="916"/>
      <c r="GBY87" s="916"/>
      <c r="GBZ87" s="916"/>
      <c r="GCA87" s="916"/>
      <c r="GCB87" s="916"/>
      <c r="GCC87" s="916"/>
      <c r="GCD87" s="916"/>
      <c r="GCE87" s="916"/>
      <c r="GCF87" s="916"/>
      <c r="GCG87" s="916"/>
      <c r="GCH87" s="916"/>
      <c r="GCI87" s="916"/>
      <c r="GCJ87" s="916"/>
      <c r="GCK87" s="916"/>
      <c r="GCL87" s="916"/>
      <c r="GCM87" s="916"/>
      <c r="GCN87" s="916"/>
      <c r="GCO87" s="916"/>
      <c r="GCP87" s="916"/>
      <c r="GCQ87" s="916"/>
      <c r="GCR87" s="916"/>
      <c r="GCS87" s="916"/>
      <c r="GCT87" s="916"/>
      <c r="GCU87" s="916"/>
      <c r="GCV87" s="916"/>
      <c r="GCW87" s="916"/>
      <c r="GCX87" s="916"/>
      <c r="GCY87" s="916"/>
      <c r="GCZ87" s="916"/>
      <c r="GDA87" s="916"/>
      <c r="GDB87" s="916"/>
      <c r="GDC87" s="916"/>
      <c r="GDD87" s="916"/>
      <c r="GDE87" s="916"/>
      <c r="GDF87" s="916"/>
      <c r="GDG87" s="916"/>
      <c r="GDH87" s="916"/>
      <c r="GDI87" s="916"/>
      <c r="GDJ87" s="916"/>
      <c r="GDK87" s="916"/>
      <c r="GDL87" s="916"/>
      <c r="GDM87" s="916"/>
      <c r="GDN87" s="916"/>
      <c r="GDO87" s="916"/>
      <c r="GDP87" s="916"/>
      <c r="GDQ87" s="916"/>
      <c r="GDR87" s="916"/>
      <c r="GDS87" s="916"/>
      <c r="GDT87" s="916"/>
      <c r="GDU87" s="916"/>
      <c r="GDV87" s="916"/>
      <c r="GDW87" s="916"/>
      <c r="GDX87" s="916"/>
      <c r="GDY87" s="916"/>
      <c r="GDZ87" s="916"/>
      <c r="GEA87" s="916"/>
      <c r="GEB87" s="916"/>
      <c r="GEC87" s="916"/>
      <c r="GED87" s="916"/>
      <c r="GEE87" s="916"/>
      <c r="GEF87" s="916"/>
      <c r="GEG87" s="916"/>
      <c r="GEH87" s="916"/>
      <c r="GEI87" s="916"/>
      <c r="GEJ87" s="916"/>
      <c r="GEK87" s="916"/>
      <c r="GEL87" s="916"/>
      <c r="GEM87" s="916"/>
      <c r="GEN87" s="916"/>
      <c r="GEO87" s="916"/>
      <c r="GEP87" s="916"/>
      <c r="GEQ87" s="916"/>
      <c r="GER87" s="916"/>
      <c r="GES87" s="916"/>
      <c r="GET87" s="916"/>
      <c r="GEU87" s="916"/>
      <c r="GEV87" s="916"/>
      <c r="GEW87" s="916"/>
      <c r="GEX87" s="916"/>
      <c r="GEY87" s="916"/>
      <c r="GEZ87" s="916"/>
      <c r="GFA87" s="916"/>
      <c r="GFB87" s="916"/>
      <c r="GFC87" s="916"/>
      <c r="GFD87" s="916"/>
      <c r="GFE87" s="916"/>
      <c r="GFF87" s="916"/>
      <c r="GFG87" s="916"/>
      <c r="GFH87" s="916"/>
      <c r="GFI87" s="916"/>
      <c r="GFJ87" s="916"/>
      <c r="GFK87" s="916"/>
      <c r="GFL87" s="916"/>
      <c r="GFM87" s="916"/>
      <c r="GFN87" s="916"/>
      <c r="GFO87" s="916"/>
      <c r="GFP87" s="916"/>
      <c r="GFQ87" s="916"/>
      <c r="GFR87" s="916"/>
      <c r="GFS87" s="916"/>
      <c r="GFT87" s="916"/>
      <c r="GFU87" s="916"/>
      <c r="GFV87" s="916"/>
      <c r="GFW87" s="916"/>
      <c r="GFX87" s="916"/>
      <c r="GFY87" s="916"/>
      <c r="GFZ87" s="916"/>
      <c r="GGA87" s="916"/>
      <c r="GGB87" s="916"/>
      <c r="GGC87" s="916"/>
      <c r="GGD87" s="916"/>
      <c r="GGE87" s="916"/>
      <c r="GGF87" s="916"/>
      <c r="GGG87" s="916"/>
      <c r="GGH87" s="916"/>
      <c r="GGI87" s="916"/>
      <c r="GGJ87" s="916"/>
      <c r="GGK87" s="916"/>
      <c r="GGL87" s="916"/>
      <c r="GGM87" s="916"/>
      <c r="GGN87" s="916"/>
      <c r="GGO87" s="916"/>
      <c r="GGP87" s="916"/>
      <c r="GGQ87" s="916"/>
      <c r="GGR87" s="916"/>
      <c r="GGS87" s="916"/>
      <c r="GGT87" s="916"/>
      <c r="GGU87" s="916"/>
      <c r="GGV87" s="916"/>
      <c r="GGW87" s="916"/>
      <c r="GGX87" s="916"/>
      <c r="GGY87" s="916"/>
      <c r="GGZ87" s="916"/>
      <c r="GHA87" s="916"/>
      <c r="GHB87" s="916"/>
      <c r="GHC87" s="916"/>
      <c r="GHD87" s="916"/>
      <c r="GHE87" s="916"/>
      <c r="GHF87" s="916"/>
      <c r="GHG87" s="916"/>
      <c r="GHH87" s="916"/>
      <c r="GHI87" s="916"/>
      <c r="GHJ87" s="916"/>
      <c r="GHK87" s="916"/>
      <c r="GHL87" s="916"/>
      <c r="GHM87" s="916"/>
      <c r="GHN87" s="916"/>
      <c r="GHO87" s="916"/>
      <c r="GHP87" s="916"/>
      <c r="GHQ87" s="916"/>
      <c r="GHR87" s="916"/>
      <c r="GHS87" s="916"/>
      <c r="GHT87" s="916"/>
      <c r="GHU87" s="916"/>
      <c r="GHV87" s="916"/>
      <c r="GHW87" s="916"/>
      <c r="GHX87" s="916"/>
      <c r="GHY87" s="916"/>
      <c r="GHZ87" s="916"/>
      <c r="GIA87" s="916"/>
      <c r="GIB87" s="916"/>
      <c r="GIC87" s="916"/>
      <c r="GID87" s="916"/>
      <c r="GIE87" s="916"/>
      <c r="GIF87" s="916"/>
      <c r="GIG87" s="916"/>
      <c r="GIH87" s="916"/>
      <c r="GII87" s="916"/>
      <c r="GIJ87" s="916"/>
      <c r="GIK87" s="916"/>
      <c r="GIL87" s="916"/>
      <c r="GIM87" s="916"/>
      <c r="GIN87" s="916"/>
      <c r="GIO87" s="916"/>
      <c r="GIP87" s="916"/>
      <c r="GIQ87" s="916"/>
      <c r="GIR87" s="916"/>
      <c r="GIS87" s="916"/>
      <c r="GIT87" s="916"/>
      <c r="GIU87" s="916"/>
      <c r="GIV87" s="916"/>
      <c r="GIW87" s="916"/>
      <c r="GIX87" s="916"/>
      <c r="GIY87" s="916"/>
      <c r="GIZ87" s="916"/>
      <c r="GJA87" s="916"/>
      <c r="GJB87" s="916"/>
      <c r="GJC87" s="916"/>
      <c r="GJD87" s="916"/>
      <c r="GJE87" s="916"/>
      <c r="GJF87" s="916"/>
      <c r="GJG87" s="916"/>
      <c r="GJH87" s="916"/>
      <c r="GJI87" s="916"/>
      <c r="GJJ87" s="916"/>
      <c r="GJK87" s="916"/>
      <c r="GJL87" s="916"/>
      <c r="GJM87" s="916"/>
      <c r="GJN87" s="916"/>
      <c r="GJO87" s="916"/>
      <c r="GJP87" s="916"/>
      <c r="GJQ87" s="916"/>
      <c r="GJR87" s="916"/>
      <c r="GJS87" s="916"/>
      <c r="GJT87" s="916"/>
      <c r="GJU87" s="916"/>
      <c r="GJV87" s="916"/>
      <c r="GJW87" s="916"/>
      <c r="GJX87" s="916"/>
      <c r="GJY87" s="916"/>
      <c r="GJZ87" s="916"/>
      <c r="GKA87" s="916"/>
      <c r="GKB87" s="916"/>
      <c r="GKC87" s="916"/>
      <c r="GKD87" s="916"/>
      <c r="GKE87" s="916"/>
      <c r="GKF87" s="916"/>
      <c r="GKG87" s="916"/>
      <c r="GKH87" s="916"/>
      <c r="GKI87" s="916"/>
      <c r="GKJ87" s="916"/>
      <c r="GKK87" s="916"/>
      <c r="GKL87" s="916"/>
      <c r="GKM87" s="916"/>
      <c r="GKN87" s="916"/>
      <c r="GKO87" s="916"/>
      <c r="GKP87" s="916"/>
      <c r="GKQ87" s="916"/>
      <c r="GKR87" s="916"/>
      <c r="GKS87" s="916"/>
      <c r="GKT87" s="916"/>
      <c r="GKU87" s="916"/>
      <c r="GKV87" s="916"/>
      <c r="GKW87" s="916"/>
      <c r="GKX87" s="916"/>
      <c r="GKY87" s="916"/>
      <c r="GKZ87" s="916"/>
      <c r="GLA87" s="916"/>
      <c r="GLB87" s="916"/>
      <c r="GLC87" s="916"/>
      <c r="GLD87" s="916"/>
      <c r="GLE87" s="916"/>
      <c r="GLF87" s="916"/>
      <c r="GLG87" s="916"/>
      <c r="GLH87" s="916"/>
      <c r="GLI87" s="916"/>
      <c r="GLJ87" s="916"/>
      <c r="GLK87" s="916"/>
      <c r="GLL87" s="916"/>
      <c r="GLM87" s="916"/>
      <c r="GLN87" s="916"/>
      <c r="GLO87" s="916"/>
      <c r="GLP87" s="916"/>
      <c r="GLQ87" s="916"/>
      <c r="GLR87" s="916"/>
      <c r="GLS87" s="916"/>
      <c r="GLT87" s="916"/>
      <c r="GLU87" s="916"/>
      <c r="GLV87" s="916"/>
      <c r="GLW87" s="916"/>
      <c r="GLX87" s="916"/>
      <c r="GLY87" s="916"/>
      <c r="GLZ87" s="916"/>
      <c r="GMA87" s="916"/>
      <c r="GMB87" s="916"/>
      <c r="GMC87" s="916"/>
      <c r="GMD87" s="916"/>
      <c r="GME87" s="916"/>
      <c r="GMF87" s="916"/>
      <c r="GMG87" s="916"/>
      <c r="GMH87" s="916"/>
      <c r="GMI87" s="916"/>
      <c r="GMJ87" s="916"/>
      <c r="GMK87" s="916"/>
      <c r="GML87" s="916"/>
      <c r="GMM87" s="916"/>
      <c r="GMN87" s="916"/>
      <c r="GMO87" s="916"/>
      <c r="GMP87" s="916"/>
      <c r="GMQ87" s="916"/>
      <c r="GMR87" s="916"/>
      <c r="GMS87" s="916"/>
      <c r="GMT87" s="916"/>
      <c r="GMU87" s="916"/>
      <c r="GMV87" s="916"/>
      <c r="GMW87" s="916"/>
      <c r="GMX87" s="916"/>
      <c r="GMY87" s="916"/>
      <c r="GMZ87" s="916"/>
      <c r="GNA87" s="916"/>
      <c r="GNB87" s="916"/>
      <c r="GNC87" s="916"/>
      <c r="GND87" s="916"/>
      <c r="GNE87" s="916"/>
      <c r="GNF87" s="916"/>
      <c r="GNG87" s="916"/>
      <c r="GNH87" s="916"/>
      <c r="GNI87" s="916"/>
      <c r="GNJ87" s="916"/>
      <c r="GNK87" s="916"/>
      <c r="GNL87" s="916"/>
      <c r="GNM87" s="916"/>
      <c r="GNN87" s="916"/>
      <c r="GNO87" s="916"/>
      <c r="GNP87" s="916"/>
      <c r="GNQ87" s="916"/>
      <c r="GNR87" s="916"/>
      <c r="GNS87" s="916"/>
      <c r="GNT87" s="916"/>
      <c r="GNU87" s="916"/>
      <c r="GNV87" s="916"/>
      <c r="GNW87" s="916"/>
      <c r="GNX87" s="916"/>
      <c r="GNY87" s="916"/>
      <c r="GNZ87" s="916"/>
      <c r="GOA87" s="916"/>
      <c r="GOB87" s="916"/>
      <c r="GOC87" s="916"/>
      <c r="GOD87" s="916"/>
      <c r="GOE87" s="916"/>
      <c r="GOF87" s="916"/>
      <c r="GOG87" s="916"/>
      <c r="GOH87" s="916"/>
      <c r="GOI87" s="916"/>
      <c r="GOJ87" s="916"/>
      <c r="GOK87" s="916"/>
      <c r="GOL87" s="916"/>
      <c r="GOM87" s="916"/>
      <c r="GON87" s="916"/>
      <c r="GOO87" s="916"/>
      <c r="GOP87" s="916"/>
      <c r="GOQ87" s="916"/>
      <c r="GOR87" s="916"/>
      <c r="GOS87" s="916"/>
      <c r="GOT87" s="916"/>
      <c r="GOU87" s="916"/>
      <c r="GOV87" s="916"/>
      <c r="GOW87" s="916"/>
      <c r="GOX87" s="916"/>
      <c r="GOY87" s="916"/>
      <c r="GOZ87" s="916"/>
      <c r="GPA87" s="916"/>
      <c r="GPB87" s="916"/>
      <c r="GPC87" s="916"/>
      <c r="GPD87" s="916"/>
      <c r="GPE87" s="916"/>
      <c r="GPF87" s="916"/>
      <c r="GPG87" s="916"/>
      <c r="GPH87" s="916"/>
      <c r="GPI87" s="916"/>
      <c r="GPJ87" s="916"/>
      <c r="GPK87" s="916"/>
      <c r="GPL87" s="916"/>
      <c r="GPM87" s="916"/>
      <c r="GPN87" s="916"/>
      <c r="GPO87" s="916"/>
      <c r="GPP87" s="916"/>
      <c r="GPQ87" s="916"/>
      <c r="GPR87" s="916"/>
      <c r="GPS87" s="916"/>
      <c r="GPT87" s="916"/>
      <c r="GPU87" s="916"/>
      <c r="GPV87" s="916"/>
      <c r="GPW87" s="916"/>
      <c r="GPX87" s="916"/>
      <c r="GPY87" s="916"/>
      <c r="GPZ87" s="916"/>
      <c r="GQA87" s="916"/>
      <c r="GQB87" s="916"/>
      <c r="GQC87" s="916"/>
      <c r="GQD87" s="916"/>
      <c r="GQE87" s="916"/>
      <c r="GQF87" s="916"/>
      <c r="GQG87" s="916"/>
      <c r="GQH87" s="916"/>
      <c r="GQI87" s="916"/>
      <c r="GQJ87" s="916"/>
      <c r="GQK87" s="916"/>
      <c r="GQL87" s="916"/>
      <c r="GQM87" s="916"/>
      <c r="GQN87" s="916"/>
      <c r="GQO87" s="916"/>
      <c r="GQP87" s="916"/>
      <c r="GQQ87" s="916"/>
      <c r="GQR87" s="916"/>
      <c r="GQS87" s="916"/>
      <c r="GQT87" s="916"/>
      <c r="GQU87" s="916"/>
      <c r="GQV87" s="916"/>
      <c r="GQW87" s="916"/>
      <c r="GQX87" s="916"/>
      <c r="GQY87" s="916"/>
      <c r="GQZ87" s="916"/>
      <c r="GRA87" s="916"/>
      <c r="GRB87" s="916"/>
      <c r="GRC87" s="916"/>
      <c r="GRD87" s="916"/>
      <c r="GRE87" s="916"/>
      <c r="GRF87" s="916"/>
      <c r="GRG87" s="916"/>
      <c r="GRH87" s="916"/>
      <c r="GRI87" s="916"/>
      <c r="GRJ87" s="916"/>
      <c r="GRK87" s="916"/>
      <c r="GRL87" s="916"/>
      <c r="GRM87" s="916"/>
      <c r="GRN87" s="916"/>
      <c r="GRO87" s="916"/>
      <c r="GRP87" s="916"/>
      <c r="GRQ87" s="916"/>
      <c r="GRR87" s="916"/>
      <c r="GRS87" s="916"/>
      <c r="GRT87" s="916"/>
      <c r="GRU87" s="916"/>
      <c r="GRV87" s="916"/>
      <c r="GRW87" s="916"/>
      <c r="GRX87" s="916"/>
      <c r="GRY87" s="916"/>
      <c r="GRZ87" s="916"/>
      <c r="GSA87" s="916"/>
      <c r="GSB87" s="916"/>
      <c r="GSC87" s="916"/>
      <c r="GSD87" s="916"/>
      <c r="GSE87" s="916"/>
      <c r="GSF87" s="916"/>
      <c r="GSG87" s="916"/>
      <c r="GSH87" s="916"/>
      <c r="GSI87" s="916"/>
      <c r="GSJ87" s="916"/>
      <c r="GSK87" s="916"/>
      <c r="GSL87" s="916"/>
      <c r="GSM87" s="916"/>
      <c r="GSN87" s="916"/>
      <c r="GSO87" s="916"/>
      <c r="GSP87" s="916"/>
      <c r="GSQ87" s="916"/>
      <c r="GSR87" s="916"/>
      <c r="GSS87" s="916"/>
      <c r="GST87" s="916"/>
      <c r="GSU87" s="916"/>
      <c r="GSV87" s="916"/>
      <c r="GSW87" s="916"/>
      <c r="GSX87" s="916"/>
      <c r="GSY87" s="916"/>
      <c r="GSZ87" s="916"/>
      <c r="GTA87" s="916"/>
      <c r="GTB87" s="916"/>
      <c r="GTC87" s="916"/>
      <c r="GTD87" s="916"/>
      <c r="GTE87" s="916"/>
      <c r="GTF87" s="916"/>
      <c r="GTG87" s="916"/>
      <c r="GTH87" s="916"/>
      <c r="GTI87" s="916"/>
      <c r="GTJ87" s="916"/>
      <c r="GTK87" s="916"/>
      <c r="GTL87" s="916"/>
      <c r="GTM87" s="916"/>
      <c r="GTN87" s="916"/>
      <c r="GTO87" s="916"/>
      <c r="GTP87" s="916"/>
      <c r="GTQ87" s="916"/>
      <c r="GTR87" s="916"/>
      <c r="GTS87" s="916"/>
      <c r="GTT87" s="916"/>
      <c r="GTU87" s="916"/>
      <c r="GTV87" s="916"/>
      <c r="GTW87" s="916"/>
      <c r="GTX87" s="916"/>
      <c r="GTY87" s="916"/>
      <c r="GTZ87" s="916"/>
      <c r="GUA87" s="916"/>
      <c r="GUB87" s="916"/>
      <c r="GUC87" s="916"/>
      <c r="GUD87" s="916"/>
      <c r="GUE87" s="916"/>
      <c r="GUF87" s="916"/>
      <c r="GUG87" s="916"/>
      <c r="GUH87" s="916"/>
      <c r="GUI87" s="916"/>
      <c r="GUJ87" s="916"/>
      <c r="GUK87" s="916"/>
      <c r="GUL87" s="916"/>
      <c r="GUM87" s="916"/>
      <c r="GUN87" s="916"/>
      <c r="GUO87" s="916"/>
      <c r="GUP87" s="916"/>
      <c r="GUQ87" s="916"/>
      <c r="GUR87" s="916"/>
      <c r="GUS87" s="916"/>
      <c r="GUT87" s="916"/>
      <c r="GUU87" s="916"/>
      <c r="GUV87" s="916"/>
      <c r="GUW87" s="916"/>
      <c r="GUX87" s="916"/>
      <c r="GUY87" s="916"/>
      <c r="GUZ87" s="916"/>
      <c r="GVA87" s="916"/>
      <c r="GVB87" s="916"/>
      <c r="GVC87" s="916"/>
      <c r="GVD87" s="916"/>
      <c r="GVE87" s="916"/>
      <c r="GVF87" s="916"/>
      <c r="GVG87" s="916"/>
      <c r="GVH87" s="916"/>
      <c r="GVI87" s="916"/>
      <c r="GVJ87" s="916"/>
      <c r="GVK87" s="916"/>
      <c r="GVL87" s="916"/>
      <c r="GVM87" s="916"/>
      <c r="GVN87" s="916"/>
      <c r="GVO87" s="916"/>
      <c r="GVP87" s="916"/>
      <c r="GVQ87" s="916"/>
      <c r="GVR87" s="916"/>
      <c r="GVS87" s="916"/>
      <c r="GVT87" s="916"/>
      <c r="GVU87" s="916"/>
      <c r="GVV87" s="916"/>
      <c r="GVW87" s="916"/>
      <c r="GVX87" s="916"/>
      <c r="GVY87" s="916"/>
      <c r="GVZ87" s="916"/>
      <c r="GWA87" s="916"/>
      <c r="GWB87" s="916"/>
      <c r="GWC87" s="916"/>
      <c r="GWD87" s="916"/>
      <c r="GWE87" s="916"/>
      <c r="GWF87" s="916"/>
      <c r="GWG87" s="916"/>
      <c r="GWH87" s="916"/>
      <c r="GWI87" s="916"/>
      <c r="GWJ87" s="916"/>
      <c r="GWK87" s="916"/>
      <c r="GWL87" s="916"/>
      <c r="GWM87" s="916"/>
      <c r="GWN87" s="916"/>
      <c r="GWO87" s="916"/>
      <c r="GWP87" s="916"/>
      <c r="GWQ87" s="916"/>
      <c r="GWR87" s="916"/>
      <c r="GWS87" s="916"/>
      <c r="GWT87" s="916"/>
      <c r="GWU87" s="916"/>
      <c r="GWV87" s="916"/>
      <c r="GWW87" s="916"/>
      <c r="GWX87" s="916"/>
      <c r="GWY87" s="916"/>
      <c r="GWZ87" s="916"/>
      <c r="GXA87" s="916"/>
      <c r="GXB87" s="916"/>
      <c r="GXC87" s="916"/>
      <c r="GXD87" s="916"/>
      <c r="GXE87" s="916"/>
      <c r="GXF87" s="916"/>
      <c r="GXG87" s="916"/>
      <c r="GXH87" s="916"/>
      <c r="GXI87" s="916"/>
      <c r="GXJ87" s="916"/>
      <c r="GXK87" s="916"/>
      <c r="GXL87" s="916"/>
      <c r="GXM87" s="916"/>
      <c r="GXN87" s="916"/>
      <c r="GXO87" s="916"/>
      <c r="GXP87" s="916"/>
      <c r="GXQ87" s="916"/>
      <c r="GXR87" s="916"/>
      <c r="GXS87" s="916"/>
      <c r="GXT87" s="916"/>
      <c r="GXU87" s="916"/>
      <c r="GXV87" s="916"/>
      <c r="GXW87" s="916"/>
      <c r="GXX87" s="916"/>
      <c r="GXY87" s="916"/>
      <c r="GXZ87" s="916"/>
      <c r="GYA87" s="916"/>
      <c r="GYB87" s="916"/>
      <c r="GYC87" s="916"/>
      <c r="GYD87" s="916"/>
      <c r="GYE87" s="916"/>
      <c r="GYF87" s="916"/>
      <c r="GYG87" s="916"/>
      <c r="GYH87" s="916"/>
      <c r="GYI87" s="916"/>
      <c r="GYJ87" s="916"/>
      <c r="GYK87" s="916"/>
      <c r="GYL87" s="916"/>
      <c r="GYM87" s="916"/>
      <c r="GYN87" s="916"/>
      <c r="GYO87" s="916"/>
      <c r="GYP87" s="916"/>
      <c r="GYQ87" s="916"/>
      <c r="GYR87" s="916"/>
      <c r="GYS87" s="916"/>
      <c r="GYT87" s="916"/>
      <c r="GYU87" s="916"/>
      <c r="GYV87" s="916"/>
      <c r="GYW87" s="916"/>
      <c r="GYX87" s="916"/>
      <c r="GYY87" s="916"/>
      <c r="GYZ87" s="916"/>
      <c r="GZA87" s="916"/>
      <c r="GZB87" s="916"/>
      <c r="GZC87" s="916"/>
      <c r="GZD87" s="916"/>
      <c r="GZE87" s="916"/>
      <c r="GZF87" s="916"/>
      <c r="GZG87" s="916"/>
      <c r="GZH87" s="916"/>
      <c r="GZI87" s="916"/>
      <c r="GZJ87" s="916"/>
      <c r="GZK87" s="916"/>
      <c r="GZL87" s="916"/>
      <c r="GZM87" s="916"/>
      <c r="GZN87" s="916"/>
      <c r="GZO87" s="916"/>
      <c r="GZP87" s="916"/>
      <c r="GZQ87" s="916"/>
      <c r="GZR87" s="916"/>
      <c r="GZS87" s="916"/>
      <c r="GZT87" s="916"/>
      <c r="GZU87" s="916"/>
      <c r="GZV87" s="916"/>
      <c r="GZW87" s="916"/>
      <c r="GZX87" s="916"/>
      <c r="GZY87" s="916"/>
      <c r="GZZ87" s="916"/>
      <c r="HAA87" s="916"/>
      <c r="HAB87" s="916"/>
      <c r="HAC87" s="916"/>
      <c r="HAD87" s="916"/>
      <c r="HAE87" s="916"/>
      <c r="HAF87" s="916"/>
      <c r="HAG87" s="916"/>
      <c r="HAH87" s="916"/>
      <c r="HAI87" s="916"/>
      <c r="HAJ87" s="916"/>
      <c r="HAK87" s="916"/>
      <c r="HAL87" s="916"/>
      <c r="HAM87" s="916"/>
      <c r="HAN87" s="916"/>
      <c r="HAO87" s="916"/>
      <c r="HAP87" s="916"/>
      <c r="HAQ87" s="916"/>
      <c r="HAR87" s="916"/>
      <c r="HAS87" s="916"/>
      <c r="HAT87" s="916"/>
      <c r="HAU87" s="916"/>
      <c r="HAV87" s="916"/>
      <c r="HAW87" s="916"/>
      <c r="HAX87" s="916"/>
      <c r="HAY87" s="916"/>
      <c r="HAZ87" s="916"/>
      <c r="HBA87" s="916"/>
      <c r="HBB87" s="916"/>
      <c r="HBC87" s="916"/>
      <c r="HBD87" s="916"/>
      <c r="HBE87" s="916"/>
      <c r="HBF87" s="916"/>
      <c r="HBG87" s="916"/>
      <c r="HBH87" s="916"/>
      <c r="HBI87" s="916"/>
      <c r="HBJ87" s="916"/>
      <c r="HBK87" s="916"/>
      <c r="HBL87" s="916"/>
      <c r="HBM87" s="916"/>
      <c r="HBN87" s="916"/>
      <c r="HBO87" s="916"/>
      <c r="HBP87" s="916"/>
      <c r="HBQ87" s="916"/>
      <c r="HBR87" s="916"/>
      <c r="HBS87" s="916"/>
      <c r="HBT87" s="916"/>
      <c r="HBU87" s="916"/>
      <c r="HBV87" s="916"/>
      <c r="HBW87" s="916"/>
      <c r="HBX87" s="916"/>
      <c r="HBY87" s="916"/>
      <c r="HBZ87" s="916"/>
      <c r="HCA87" s="916"/>
      <c r="HCB87" s="916"/>
      <c r="HCC87" s="916"/>
      <c r="HCD87" s="916"/>
      <c r="HCE87" s="916"/>
      <c r="HCF87" s="916"/>
      <c r="HCG87" s="916"/>
      <c r="HCH87" s="916"/>
      <c r="HCI87" s="916"/>
      <c r="HCJ87" s="916"/>
      <c r="HCK87" s="916"/>
      <c r="HCL87" s="916"/>
      <c r="HCM87" s="916"/>
      <c r="HCN87" s="916"/>
      <c r="HCO87" s="916"/>
      <c r="HCP87" s="916"/>
      <c r="HCQ87" s="916"/>
      <c r="HCR87" s="916"/>
      <c r="HCS87" s="916"/>
      <c r="HCT87" s="916"/>
      <c r="HCU87" s="916"/>
      <c r="HCV87" s="916"/>
      <c r="HCW87" s="916"/>
      <c r="HCX87" s="916"/>
      <c r="HCY87" s="916"/>
      <c r="HCZ87" s="916"/>
      <c r="HDA87" s="916"/>
      <c r="HDB87" s="916"/>
      <c r="HDC87" s="916"/>
      <c r="HDD87" s="916"/>
      <c r="HDE87" s="916"/>
      <c r="HDF87" s="916"/>
      <c r="HDG87" s="916"/>
      <c r="HDH87" s="916"/>
      <c r="HDI87" s="916"/>
      <c r="HDJ87" s="916"/>
      <c r="HDK87" s="916"/>
      <c r="HDL87" s="916"/>
      <c r="HDM87" s="916"/>
      <c r="HDN87" s="916"/>
      <c r="HDO87" s="916"/>
      <c r="HDP87" s="916"/>
      <c r="HDQ87" s="916"/>
      <c r="HDR87" s="916"/>
      <c r="HDS87" s="916"/>
      <c r="HDT87" s="916"/>
      <c r="HDU87" s="916"/>
      <c r="HDV87" s="916"/>
      <c r="HDW87" s="916"/>
      <c r="HDX87" s="916"/>
      <c r="HDY87" s="916"/>
      <c r="HDZ87" s="916"/>
      <c r="HEA87" s="916"/>
      <c r="HEB87" s="916"/>
      <c r="HEC87" s="916"/>
      <c r="HED87" s="916"/>
      <c r="HEE87" s="916"/>
      <c r="HEF87" s="916"/>
      <c r="HEG87" s="916"/>
      <c r="HEH87" s="916"/>
      <c r="HEI87" s="916"/>
      <c r="HEJ87" s="916"/>
      <c r="HEK87" s="916"/>
      <c r="HEL87" s="916"/>
      <c r="HEM87" s="916"/>
      <c r="HEN87" s="916"/>
      <c r="HEO87" s="916"/>
      <c r="HEP87" s="916"/>
      <c r="HEQ87" s="916"/>
      <c r="HER87" s="916"/>
      <c r="HES87" s="916"/>
      <c r="HET87" s="916"/>
      <c r="HEU87" s="916"/>
      <c r="HEV87" s="916"/>
      <c r="HEW87" s="916"/>
      <c r="HEX87" s="916"/>
      <c r="HEY87" s="916"/>
      <c r="HEZ87" s="916"/>
      <c r="HFA87" s="916"/>
      <c r="HFB87" s="916"/>
      <c r="HFC87" s="916"/>
      <c r="HFD87" s="916"/>
      <c r="HFE87" s="916"/>
      <c r="HFF87" s="916"/>
      <c r="HFG87" s="916"/>
      <c r="HFH87" s="916"/>
      <c r="HFI87" s="916"/>
      <c r="HFJ87" s="916"/>
      <c r="HFK87" s="916"/>
      <c r="HFL87" s="916"/>
      <c r="HFM87" s="916"/>
      <c r="HFN87" s="916"/>
      <c r="HFO87" s="916"/>
      <c r="HFP87" s="916"/>
      <c r="HFQ87" s="916"/>
      <c r="HFR87" s="916"/>
      <c r="HFS87" s="916"/>
      <c r="HFT87" s="916"/>
      <c r="HFU87" s="916"/>
      <c r="HFV87" s="916"/>
      <c r="HFW87" s="916"/>
      <c r="HFX87" s="916"/>
      <c r="HFY87" s="916"/>
      <c r="HFZ87" s="916"/>
      <c r="HGA87" s="916"/>
      <c r="HGB87" s="916"/>
      <c r="HGC87" s="916"/>
      <c r="HGD87" s="916"/>
      <c r="HGE87" s="916"/>
      <c r="HGF87" s="916"/>
      <c r="HGG87" s="916"/>
      <c r="HGH87" s="916"/>
      <c r="HGI87" s="916"/>
      <c r="HGJ87" s="916"/>
      <c r="HGK87" s="916"/>
      <c r="HGL87" s="916"/>
      <c r="HGM87" s="916"/>
      <c r="HGN87" s="916"/>
      <c r="HGO87" s="916"/>
      <c r="HGP87" s="916"/>
      <c r="HGQ87" s="916"/>
      <c r="HGR87" s="916"/>
      <c r="HGS87" s="916"/>
      <c r="HGT87" s="916"/>
      <c r="HGU87" s="916"/>
      <c r="HGV87" s="916"/>
      <c r="HGW87" s="916"/>
      <c r="HGX87" s="916"/>
      <c r="HGY87" s="916"/>
      <c r="HGZ87" s="916"/>
      <c r="HHA87" s="916"/>
      <c r="HHB87" s="916"/>
      <c r="HHC87" s="916"/>
      <c r="HHD87" s="916"/>
      <c r="HHE87" s="916"/>
      <c r="HHF87" s="916"/>
      <c r="HHG87" s="916"/>
      <c r="HHH87" s="916"/>
      <c r="HHI87" s="916"/>
      <c r="HHJ87" s="916"/>
      <c r="HHK87" s="916"/>
      <c r="HHL87" s="916"/>
      <c r="HHM87" s="916"/>
      <c r="HHN87" s="916"/>
      <c r="HHO87" s="916"/>
      <c r="HHP87" s="916"/>
      <c r="HHQ87" s="916"/>
      <c r="HHR87" s="916"/>
      <c r="HHS87" s="916"/>
      <c r="HHT87" s="916"/>
      <c r="HHU87" s="916"/>
      <c r="HHV87" s="916"/>
      <c r="HHW87" s="916"/>
      <c r="HHX87" s="916"/>
      <c r="HHY87" s="916"/>
      <c r="HHZ87" s="916"/>
      <c r="HIA87" s="916"/>
      <c r="HIB87" s="916"/>
      <c r="HIC87" s="916"/>
      <c r="HID87" s="916"/>
      <c r="HIE87" s="916"/>
      <c r="HIF87" s="916"/>
      <c r="HIG87" s="916"/>
      <c r="HIH87" s="916"/>
      <c r="HII87" s="916"/>
      <c r="HIJ87" s="916"/>
      <c r="HIK87" s="916"/>
      <c r="HIL87" s="916"/>
      <c r="HIM87" s="916"/>
      <c r="HIN87" s="916"/>
      <c r="HIO87" s="916"/>
      <c r="HIP87" s="916"/>
      <c r="HIQ87" s="916"/>
      <c r="HIR87" s="916"/>
      <c r="HIS87" s="916"/>
      <c r="HIT87" s="916"/>
      <c r="HIU87" s="916"/>
      <c r="HIV87" s="916"/>
      <c r="HIW87" s="916"/>
      <c r="HIX87" s="916"/>
      <c r="HIY87" s="916"/>
      <c r="HIZ87" s="916"/>
      <c r="HJA87" s="916"/>
      <c r="HJB87" s="916"/>
      <c r="HJC87" s="916"/>
      <c r="HJD87" s="916"/>
      <c r="HJE87" s="916"/>
      <c r="HJF87" s="916"/>
      <c r="HJG87" s="916"/>
      <c r="HJH87" s="916"/>
      <c r="HJI87" s="916"/>
      <c r="HJJ87" s="916"/>
      <c r="HJK87" s="916"/>
      <c r="HJL87" s="916"/>
      <c r="HJM87" s="916"/>
      <c r="HJN87" s="916"/>
      <c r="HJO87" s="916"/>
      <c r="HJP87" s="916"/>
      <c r="HJQ87" s="916"/>
      <c r="HJR87" s="916"/>
      <c r="HJS87" s="916"/>
      <c r="HJT87" s="916"/>
      <c r="HJU87" s="916"/>
      <c r="HJV87" s="916"/>
      <c r="HJW87" s="916"/>
      <c r="HJX87" s="916"/>
      <c r="HJY87" s="916"/>
      <c r="HJZ87" s="916"/>
      <c r="HKA87" s="916"/>
      <c r="HKB87" s="916"/>
      <c r="HKC87" s="916"/>
      <c r="HKD87" s="916"/>
      <c r="HKE87" s="916"/>
      <c r="HKF87" s="916"/>
      <c r="HKG87" s="916"/>
      <c r="HKH87" s="916"/>
      <c r="HKI87" s="916"/>
      <c r="HKJ87" s="916"/>
      <c r="HKK87" s="916"/>
      <c r="HKL87" s="916"/>
      <c r="HKM87" s="916"/>
      <c r="HKN87" s="916"/>
      <c r="HKO87" s="916"/>
      <c r="HKP87" s="916"/>
      <c r="HKQ87" s="916"/>
      <c r="HKR87" s="916"/>
      <c r="HKS87" s="916"/>
      <c r="HKT87" s="916"/>
      <c r="HKU87" s="916"/>
      <c r="HKV87" s="916"/>
      <c r="HKW87" s="916"/>
      <c r="HKX87" s="916"/>
      <c r="HKY87" s="916"/>
      <c r="HKZ87" s="916"/>
      <c r="HLA87" s="916"/>
      <c r="HLB87" s="916"/>
      <c r="HLC87" s="916"/>
      <c r="HLD87" s="916"/>
      <c r="HLE87" s="916"/>
      <c r="HLF87" s="916"/>
      <c r="HLG87" s="916"/>
      <c r="HLH87" s="916"/>
      <c r="HLI87" s="916"/>
      <c r="HLJ87" s="916"/>
      <c r="HLK87" s="916"/>
      <c r="HLL87" s="916"/>
      <c r="HLM87" s="916"/>
      <c r="HLN87" s="916"/>
      <c r="HLO87" s="916"/>
      <c r="HLP87" s="916"/>
      <c r="HLQ87" s="916"/>
      <c r="HLR87" s="916"/>
      <c r="HLS87" s="916"/>
      <c r="HLT87" s="916"/>
      <c r="HLU87" s="916"/>
      <c r="HLV87" s="916"/>
      <c r="HLW87" s="916"/>
      <c r="HLX87" s="916"/>
      <c r="HLY87" s="916"/>
      <c r="HLZ87" s="916"/>
      <c r="HMA87" s="916"/>
      <c r="HMB87" s="916"/>
      <c r="HMC87" s="916"/>
      <c r="HMD87" s="916"/>
      <c r="HME87" s="916"/>
      <c r="HMF87" s="916"/>
      <c r="HMG87" s="916"/>
      <c r="HMH87" s="916"/>
      <c r="HMI87" s="916"/>
      <c r="HMJ87" s="916"/>
      <c r="HMK87" s="916"/>
      <c r="HML87" s="916"/>
      <c r="HMM87" s="916"/>
      <c r="HMN87" s="916"/>
      <c r="HMO87" s="916"/>
      <c r="HMP87" s="916"/>
      <c r="HMQ87" s="916"/>
      <c r="HMR87" s="916"/>
      <c r="HMS87" s="916"/>
      <c r="HMT87" s="916"/>
      <c r="HMU87" s="916"/>
      <c r="HMV87" s="916"/>
      <c r="HMW87" s="916"/>
      <c r="HMX87" s="916"/>
      <c r="HMY87" s="916"/>
      <c r="HMZ87" s="916"/>
      <c r="HNA87" s="916"/>
      <c r="HNB87" s="916"/>
      <c r="HNC87" s="916"/>
      <c r="HND87" s="916"/>
      <c r="HNE87" s="916"/>
      <c r="HNF87" s="916"/>
      <c r="HNG87" s="916"/>
      <c r="HNH87" s="916"/>
      <c r="HNI87" s="916"/>
      <c r="HNJ87" s="916"/>
      <c r="HNK87" s="916"/>
      <c r="HNL87" s="916"/>
      <c r="HNM87" s="916"/>
      <c r="HNN87" s="916"/>
      <c r="HNO87" s="916"/>
      <c r="HNP87" s="916"/>
      <c r="HNQ87" s="916"/>
      <c r="HNR87" s="916"/>
      <c r="HNS87" s="916"/>
      <c r="HNT87" s="916"/>
      <c r="HNU87" s="916"/>
      <c r="HNV87" s="916"/>
      <c r="HNW87" s="916"/>
      <c r="HNX87" s="916"/>
      <c r="HNY87" s="916"/>
      <c r="HNZ87" s="916"/>
      <c r="HOA87" s="916"/>
      <c r="HOB87" s="916"/>
      <c r="HOC87" s="916"/>
      <c r="HOD87" s="916"/>
      <c r="HOE87" s="916"/>
      <c r="HOF87" s="916"/>
      <c r="HOG87" s="916"/>
      <c r="HOH87" s="916"/>
      <c r="HOI87" s="916"/>
      <c r="HOJ87" s="916"/>
      <c r="HOK87" s="916"/>
      <c r="HOL87" s="916"/>
      <c r="HOM87" s="916"/>
      <c r="HON87" s="916"/>
      <c r="HOO87" s="916"/>
      <c r="HOP87" s="916"/>
      <c r="HOQ87" s="916"/>
      <c r="HOR87" s="916"/>
      <c r="HOS87" s="916"/>
      <c r="HOT87" s="916"/>
      <c r="HOU87" s="916"/>
      <c r="HOV87" s="916"/>
      <c r="HOW87" s="916"/>
      <c r="HOX87" s="916"/>
      <c r="HOY87" s="916"/>
      <c r="HOZ87" s="916"/>
      <c r="HPA87" s="916"/>
      <c r="HPB87" s="916"/>
      <c r="HPC87" s="916"/>
      <c r="HPD87" s="916"/>
      <c r="HPE87" s="916"/>
      <c r="HPF87" s="916"/>
      <c r="HPG87" s="916"/>
      <c r="HPH87" s="916"/>
      <c r="HPI87" s="916"/>
      <c r="HPJ87" s="916"/>
      <c r="HPK87" s="916"/>
      <c r="HPL87" s="916"/>
      <c r="HPM87" s="916"/>
      <c r="HPN87" s="916"/>
      <c r="HPO87" s="916"/>
      <c r="HPP87" s="916"/>
      <c r="HPQ87" s="916"/>
      <c r="HPR87" s="916"/>
      <c r="HPS87" s="916"/>
      <c r="HPT87" s="916"/>
      <c r="HPU87" s="916"/>
      <c r="HPV87" s="916"/>
      <c r="HPW87" s="916"/>
      <c r="HPX87" s="916"/>
      <c r="HPY87" s="916"/>
      <c r="HPZ87" s="916"/>
      <c r="HQA87" s="916"/>
      <c r="HQB87" s="916"/>
      <c r="HQC87" s="916"/>
      <c r="HQD87" s="916"/>
      <c r="HQE87" s="916"/>
      <c r="HQF87" s="916"/>
      <c r="HQG87" s="916"/>
      <c r="HQH87" s="916"/>
      <c r="HQI87" s="916"/>
      <c r="HQJ87" s="916"/>
      <c r="HQK87" s="916"/>
      <c r="HQL87" s="916"/>
      <c r="HQM87" s="916"/>
      <c r="HQN87" s="916"/>
      <c r="HQO87" s="916"/>
      <c r="HQP87" s="916"/>
      <c r="HQQ87" s="916"/>
      <c r="HQR87" s="916"/>
      <c r="HQS87" s="916"/>
      <c r="HQT87" s="916"/>
      <c r="HQU87" s="916"/>
      <c r="HQV87" s="916"/>
      <c r="HQW87" s="916"/>
      <c r="HQX87" s="916"/>
      <c r="HQY87" s="916"/>
      <c r="HQZ87" s="916"/>
      <c r="HRA87" s="916"/>
      <c r="HRB87" s="916"/>
      <c r="HRC87" s="916"/>
      <c r="HRD87" s="916"/>
      <c r="HRE87" s="916"/>
      <c r="HRF87" s="916"/>
      <c r="HRG87" s="916"/>
      <c r="HRH87" s="916"/>
      <c r="HRI87" s="916"/>
      <c r="HRJ87" s="916"/>
      <c r="HRK87" s="916"/>
      <c r="HRL87" s="916"/>
      <c r="HRM87" s="916"/>
      <c r="HRN87" s="916"/>
      <c r="HRO87" s="916"/>
      <c r="HRP87" s="916"/>
      <c r="HRQ87" s="916"/>
      <c r="HRR87" s="916"/>
      <c r="HRS87" s="916"/>
      <c r="HRT87" s="916"/>
      <c r="HRU87" s="916"/>
      <c r="HRV87" s="916"/>
      <c r="HRW87" s="916"/>
      <c r="HRX87" s="916"/>
      <c r="HRY87" s="916"/>
      <c r="HRZ87" s="916"/>
      <c r="HSA87" s="916"/>
      <c r="HSB87" s="916"/>
      <c r="HSC87" s="916"/>
      <c r="HSD87" s="916"/>
      <c r="HSE87" s="916"/>
      <c r="HSF87" s="916"/>
      <c r="HSG87" s="916"/>
      <c r="HSH87" s="916"/>
      <c r="HSI87" s="916"/>
      <c r="HSJ87" s="916"/>
      <c r="HSK87" s="916"/>
      <c r="HSL87" s="916"/>
      <c r="HSM87" s="916"/>
      <c r="HSN87" s="916"/>
      <c r="HSO87" s="916"/>
      <c r="HSP87" s="916"/>
      <c r="HSQ87" s="916"/>
      <c r="HSR87" s="916"/>
      <c r="HSS87" s="916"/>
      <c r="HST87" s="916"/>
      <c r="HSU87" s="916"/>
      <c r="HSV87" s="916"/>
      <c r="HSW87" s="916"/>
      <c r="HSX87" s="916"/>
      <c r="HSY87" s="916"/>
      <c r="HSZ87" s="916"/>
      <c r="HTA87" s="916"/>
      <c r="HTB87" s="916"/>
      <c r="HTC87" s="916"/>
      <c r="HTD87" s="916"/>
      <c r="HTE87" s="916"/>
      <c r="HTF87" s="916"/>
      <c r="HTG87" s="916"/>
      <c r="HTH87" s="916"/>
      <c r="HTI87" s="916"/>
      <c r="HTJ87" s="916"/>
      <c r="HTK87" s="916"/>
      <c r="HTL87" s="916"/>
      <c r="HTM87" s="916"/>
      <c r="HTN87" s="916"/>
      <c r="HTO87" s="916"/>
      <c r="HTP87" s="916"/>
      <c r="HTQ87" s="916"/>
      <c r="HTR87" s="916"/>
      <c r="HTS87" s="916"/>
      <c r="HTT87" s="916"/>
      <c r="HTU87" s="916"/>
      <c r="HTV87" s="916"/>
      <c r="HTW87" s="916"/>
      <c r="HTX87" s="916"/>
      <c r="HTY87" s="916"/>
      <c r="HTZ87" s="916"/>
      <c r="HUA87" s="916"/>
      <c r="HUB87" s="916"/>
      <c r="HUC87" s="916"/>
      <c r="HUD87" s="916"/>
      <c r="HUE87" s="916"/>
      <c r="HUF87" s="916"/>
      <c r="HUG87" s="916"/>
      <c r="HUH87" s="916"/>
      <c r="HUI87" s="916"/>
      <c r="HUJ87" s="916"/>
      <c r="HUK87" s="916"/>
      <c r="HUL87" s="916"/>
      <c r="HUM87" s="916"/>
      <c r="HUN87" s="916"/>
      <c r="HUO87" s="916"/>
      <c r="HUP87" s="916"/>
      <c r="HUQ87" s="916"/>
      <c r="HUR87" s="916"/>
      <c r="HUS87" s="916"/>
      <c r="HUT87" s="916"/>
      <c r="HUU87" s="916"/>
      <c r="HUV87" s="916"/>
      <c r="HUW87" s="916"/>
      <c r="HUX87" s="916"/>
      <c r="HUY87" s="916"/>
      <c r="HUZ87" s="916"/>
      <c r="HVA87" s="916"/>
      <c r="HVB87" s="916"/>
      <c r="HVC87" s="916"/>
      <c r="HVD87" s="916"/>
      <c r="HVE87" s="916"/>
      <c r="HVF87" s="916"/>
      <c r="HVG87" s="916"/>
      <c r="HVH87" s="916"/>
      <c r="HVI87" s="916"/>
      <c r="HVJ87" s="916"/>
      <c r="HVK87" s="916"/>
      <c r="HVL87" s="916"/>
      <c r="HVM87" s="916"/>
      <c r="HVN87" s="916"/>
      <c r="HVO87" s="916"/>
      <c r="HVP87" s="916"/>
      <c r="HVQ87" s="916"/>
      <c r="HVR87" s="916"/>
      <c r="HVS87" s="916"/>
      <c r="HVT87" s="916"/>
      <c r="HVU87" s="916"/>
      <c r="HVV87" s="916"/>
      <c r="HVW87" s="916"/>
      <c r="HVX87" s="916"/>
      <c r="HVY87" s="916"/>
      <c r="HVZ87" s="916"/>
      <c r="HWA87" s="916"/>
      <c r="HWB87" s="916"/>
      <c r="HWC87" s="916"/>
      <c r="HWD87" s="916"/>
      <c r="HWE87" s="916"/>
      <c r="HWF87" s="916"/>
      <c r="HWG87" s="916"/>
      <c r="HWH87" s="916"/>
      <c r="HWI87" s="916"/>
      <c r="HWJ87" s="916"/>
      <c r="HWK87" s="916"/>
      <c r="HWL87" s="916"/>
      <c r="HWM87" s="916"/>
      <c r="HWN87" s="916"/>
      <c r="HWO87" s="916"/>
      <c r="HWP87" s="916"/>
      <c r="HWQ87" s="916"/>
      <c r="HWR87" s="916"/>
      <c r="HWS87" s="916"/>
      <c r="HWT87" s="916"/>
      <c r="HWU87" s="916"/>
      <c r="HWV87" s="916"/>
      <c r="HWW87" s="916"/>
      <c r="HWX87" s="916"/>
      <c r="HWY87" s="916"/>
      <c r="HWZ87" s="916"/>
      <c r="HXA87" s="916"/>
      <c r="HXB87" s="916"/>
      <c r="HXC87" s="916"/>
      <c r="HXD87" s="916"/>
      <c r="HXE87" s="916"/>
      <c r="HXF87" s="916"/>
      <c r="HXG87" s="916"/>
      <c r="HXH87" s="916"/>
      <c r="HXI87" s="916"/>
      <c r="HXJ87" s="916"/>
      <c r="HXK87" s="916"/>
      <c r="HXL87" s="916"/>
      <c r="HXM87" s="916"/>
      <c r="HXN87" s="916"/>
      <c r="HXO87" s="916"/>
      <c r="HXP87" s="916"/>
      <c r="HXQ87" s="916"/>
      <c r="HXR87" s="916"/>
      <c r="HXS87" s="916"/>
      <c r="HXT87" s="916"/>
      <c r="HXU87" s="916"/>
      <c r="HXV87" s="916"/>
      <c r="HXW87" s="916"/>
      <c r="HXX87" s="916"/>
      <c r="HXY87" s="916"/>
      <c r="HXZ87" s="916"/>
      <c r="HYA87" s="916"/>
      <c r="HYB87" s="916"/>
      <c r="HYC87" s="916"/>
      <c r="HYD87" s="916"/>
      <c r="HYE87" s="916"/>
      <c r="HYF87" s="916"/>
      <c r="HYG87" s="916"/>
      <c r="HYH87" s="916"/>
      <c r="HYI87" s="916"/>
      <c r="HYJ87" s="916"/>
      <c r="HYK87" s="916"/>
      <c r="HYL87" s="916"/>
      <c r="HYM87" s="916"/>
      <c r="HYN87" s="916"/>
      <c r="HYO87" s="916"/>
      <c r="HYP87" s="916"/>
      <c r="HYQ87" s="916"/>
      <c r="HYR87" s="916"/>
      <c r="HYS87" s="916"/>
      <c r="HYT87" s="916"/>
      <c r="HYU87" s="916"/>
      <c r="HYV87" s="916"/>
      <c r="HYW87" s="916"/>
      <c r="HYX87" s="916"/>
      <c r="HYY87" s="916"/>
      <c r="HYZ87" s="916"/>
      <c r="HZA87" s="916"/>
      <c r="HZB87" s="916"/>
      <c r="HZC87" s="916"/>
      <c r="HZD87" s="916"/>
      <c r="HZE87" s="916"/>
      <c r="HZF87" s="916"/>
      <c r="HZG87" s="916"/>
      <c r="HZH87" s="916"/>
      <c r="HZI87" s="916"/>
      <c r="HZJ87" s="916"/>
      <c r="HZK87" s="916"/>
      <c r="HZL87" s="916"/>
      <c r="HZM87" s="916"/>
      <c r="HZN87" s="916"/>
      <c r="HZO87" s="916"/>
      <c r="HZP87" s="916"/>
      <c r="HZQ87" s="916"/>
      <c r="HZR87" s="916"/>
      <c r="HZS87" s="916"/>
      <c r="HZT87" s="916"/>
      <c r="HZU87" s="916"/>
      <c r="HZV87" s="916"/>
      <c r="HZW87" s="916"/>
      <c r="HZX87" s="916"/>
      <c r="HZY87" s="916"/>
      <c r="HZZ87" s="916"/>
      <c r="IAA87" s="916"/>
      <c r="IAB87" s="916"/>
      <c r="IAC87" s="916"/>
      <c r="IAD87" s="916"/>
      <c r="IAE87" s="916"/>
      <c r="IAF87" s="916"/>
      <c r="IAG87" s="916"/>
      <c r="IAH87" s="916"/>
      <c r="IAI87" s="916"/>
      <c r="IAJ87" s="916"/>
      <c r="IAK87" s="916"/>
      <c r="IAL87" s="916"/>
      <c r="IAM87" s="916"/>
      <c r="IAN87" s="916"/>
      <c r="IAO87" s="916"/>
      <c r="IAP87" s="916"/>
      <c r="IAQ87" s="916"/>
      <c r="IAR87" s="916"/>
      <c r="IAS87" s="916"/>
      <c r="IAT87" s="916"/>
      <c r="IAU87" s="916"/>
      <c r="IAV87" s="916"/>
      <c r="IAW87" s="916"/>
      <c r="IAX87" s="916"/>
      <c r="IAY87" s="916"/>
      <c r="IAZ87" s="916"/>
      <c r="IBA87" s="916"/>
      <c r="IBB87" s="916"/>
      <c r="IBC87" s="916"/>
      <c r="IBD87" s="916"/>
      <c r="IBE87" s="916"/>
      <c r="IBF87" s="916"/>
      <c r="IBG87" s="916"/>
      <c r="IBH87" s="916"/>
      <c r="IBI87" s="916"/>
      <c r="IBJ87" s="916"/>
      <c r="IBK87" s="916"/>
      <c r="IBL87" s="916"/>
      <c r="IBM87" s="916"/>
      <c r="IBN87" s="916"/>
      <c r="IBO87" s="916"/>
      <c r="IBP87" s="916"/>
      <c r="IBQ87" s="916"/>
      <c r="IBR87" s="916"/>
      <c r="IBS87" s="916"/>
      <c r="IBT87" s="916"/>
      <c r="IBU87" s="916"/>
      <c r="IBV87" s="916"/>
      <c r="IBW87" s="916"/>
      <c r="IBX87" s="916"/>
      <c r="IBY87" s="916"/>
      <c r="IBZ87" s="916"/>
      <c r="ICA87" s="916"/>
      <c r="ICB87" s="916"/>
      <c r="ICC87" s="916"/>
      <c r="ICD87" s="916"/>
      <c r="ICE87" s="916"/>
      <c r="ICF87" s="916"/>
      <c r="ICG87" s="916"/>
      <c r="ICH87" s="916"/>
      <c r="ICI87" s="916"/>
      <c r="ICJ87" s="916"/>
      <c r="ICK87" s="916"/>
      <c r="ICL87" s="916"/>
      <c r="ICM87" s="916"/>
      <c r="ICN87" s="916"/>
      <c r="ICO87" s="916"/>
      <c r="ICP87" s="916"/>
      <c r="ICQ87" s="916"/>
      <c r="ICR87" s="916"/>
      <c r="ICS87" s="916"/>
      <c r="ICT87" s="916"/>
      <c r="ICU87" s="916"/>
      <c r="ICV87" s="916"/>
      <c r="ICW87" s="916"/>
      <c r="ICX87" s="916"/>
      <c r="ICY87" s="916"/>
      <c r="ICZ87" s="916"/>
      <c r="IDA87" s="916"/>
      <c r="IDB87" s="916"/>
      <c r="IDC87" s="916"/>
      <c r="IDD87" s="916"/>
      <c r="IDE87" s="916"/>
      <c r="IDF87" s="916"/>
      <c r="IDG87" s="916"/>
      <c r="IDH87" s="916"/>
      <c r="IDI87" s="916"/>
      <c r="IDJ87" s="916"/>
      <c r="IDK87" s="916"/>
      <c r="IDL87" s="916"/>
      <c r="IDM87" s="916"/>
      <c r="IDN87" s="916"/>
      <c r="IDO87" s="916"/>
      <c r="IDP87" s="916"/>
      <c r="IDQ87" s="916"/>
      <c r="IDR87" s="916"/>
      <c r="IDS87" s="916"/>
      <c r="IDT87" s="916"/>
      <c r="IDU87" s="916"/>
      <c r="IDV87" s="916"/>
      <c r="IDW87" s="916"/>
      <c r="IDX87" s="916"/>
      <c r="IDY87" s="916"/>
      <c r="IDZ87" s="916"/>
      <c r="IEA87" s="916"/>
      <c r="IEB87" s="916"/>
      <c r="IEC87" s="916"/>
      <c r="IED87" s="916"/>
      <c r="IEE87" s="916"/>
      <c r="IEF87" s="916"/>
      <c r="IEG87" s="916"/>
      <c r="IEH87" s="916"/>
      <c r="IEI87" s="916"/>
      <c r="IEJ87" s="916"/>
      <c r="IEK87" s="916"/>
      <c r="IEL87" s="916"/>
      <c r="IEM87" s="916"/>
      <c r="IEN87" s="916"/>
      <c r="IEO87" s="916"/>
      <c r="IEP87" s="916"/>
      <c r="IEQ87" s="916"/>
      <c r="IER87" s="916"/>
      <c r="IES87" s="916"/>
      <c r="IET87" s="916"/>
      <c r="IEU87" s="916"/>
      <c r="IEV87" s="916"/>
      <c r="IEW87" s="916"/>
      <c r="IEX87" s="916"/>
      <c r="IEY87" s="916"/>
      <c r="IEZ87" s="916"/>
      <c r="IFA87" s="916"/>
      <c r="IFB87" s="916"/>
      <c r="IFC87" s="916"/>
      <c r="IFD87" s="916"/>
      <c r="IFE87" s="916"/>
      <c r="IFF87" s="916"/>
      <c r="IFG87" s="916"/>
      <c r="IFH87" s="916"/>
      <c r="IFI87" s="916"/>
      <c r="IFJ87" s="916"/>
      <c r="IFK87" s="916"/>
      <c r="IFL87" s="916"/>
      <c r="IFM87" s="916"/>
      <c r="IFN87" s="916"/>
      <c r="IFO87" s="916"/>
      <c r="IFP87" s="916"/>
      <c r="IFQ87" s="916"/>
      <c r="IFR87" s="916"/>
      <c r="IFS87" s="916"/>
      <c r="IFT87" s="916"/>
      <c r="IFU87" s="916"/>
      <c r="IFV87" s="916"/>
      <c r="IFW87" s="916"/>
      <c r="IFX87" s="916"/>
      <c r="IFY87" s="916"/>
      <c r="IFZ87" s="916"/>
      <c r="IGA87" s="916"/>
      <c r="IGB87" s="916"/>
      <c r="IGC87" s="916"/>
      <c r="IGD87" s="916"/>
      <c r="IGE87" s="916"/>
      <c r="IGF87" s="916"/>
      <c r="IGG87" s="916"/>
      <c r="IGH87" s="916"/>
      <c r="IGI87" s="916"/>
      <c r="IGJ87" s="916"/>
      <c r="IGK87" s="916"/>
      <c r="IGL87" s="916"/>
      <c r="IGM87" s="916"/>
      <c r="IGN87" s="916"/>
      <c r="IGO87" s="916"/>
      <c r="IGP87" s="916"/>
      <c r="IGQ87" s="916"/>
      <c r="IGR87" s="916"/>
      <c r="IGS87" s="916"/>
      <c r="IGT87" s="916"/>
      <c r="IGU87" s="916"/>
      <c r="IGV87" s="916"/>
      <c r="IGW87" s="916"/>
      <c r="IGX87" s="916"/>
      <c r="IGY87" s="916"/>
      <c r="IGZ87" s="916"/>
      <c r="IHA87" s="916"/>
      <c r="IHB87" s="916"/>
      <c r="IHC87" s="916"/>
      <c r="IHD87" s="916"/>
      <c r="IHE87" s="916"/>
      <c r="IHF87" s="916"/>
      <c r="IHG87" s="916"/>
      <c r="IHH87" s="916"/>
      <c r="IHI87" s="916"/>
      <c r="IHJ87" s="916"/>
      <c r="IHK87" s="916"/>
      <c r="IHL87" s="916"/>
      <c r="IHM87" s="916"/>
      <c r="IHN87" s="916"/>
      <c r="IHO87" s="916"/>
      <c r="IHP87" s="916"/>
      <c r="IHQ87" s="916"/>
      <c r="IHR87" s="916"/>
      <c r="IHS87" s="916"/>
      <c r="IHT87" s="916"/>
      <c r="IHU87" s="916"/>
      <c r="IHV87" s="916"/>
      <c r="IHW87" s="916"/>
      <c r="IHX87" s="916"/>
      <c r="IHY87" s="916"/>
      <c r="IHZ87" s="916"/>
      <c r="IIA87" s="916"/>
      <c r="IIB87" s="916"/>
      <c r="IIC87" s="916"/>
      <c r="IID87" s="916"/>
      <c r="IIE87" s="916"/>
      <c r="IIF87" s="916"/>
      <c r="IIG87" s="916"/>
      <c r="IIH87" s="916"/>
      <c r="III87" s="916"/>
      <c r="IIJ87" s="916"/>
      <c r="IIK87" s="916"/>
      <c r="IIL87" s="916"/>
      <c r="IIM87" s="916"/>
      <c r="IIN87" s="916"/>
      <c r="IIO87" s="916"/>
      <c r="IIP87" s="916"/>
      <c r="IIQ87" s="916"/>
      <c r="IIR87" s="916"/>
      <c r="IIS87" s="916"/>
      <c r="IIT87" s="916"/>
      <c r="IIU87" s="916"/>
      <c r="IIV87" s="916"/>
      <c r="IIW87" s="916"/>
      <c r="IIX87" s="916"/>
      <c r="IIY87" s="916"/>
      <c r="IIZ87" s="916"/>
      <c r="IJA87" s="916"/>
      <c r="IJB87" s="916"/>
      <c r="IJC87" s="916"/>
      <c r="IJD87" s="916"/>
      <c r="IJE87" s="916"/>
      <c r="IJF87" s="916"/>
      <c r="IJG87" s="916"/>
      <c r="IJH87" s="916"/>
      <c r="IJI87" s="916"/>
      <c r="IJJ87" s="916"/>
      <c r="IJK87" s="916"/>
      <c r="IJL87" s="916"/>
      <c r="IJM87" s="916"/>
      <c r="IJN87" s="916"/>
      <c r="IJO87" s="916"/>
      <c r="IJP87" s="916"/>
      <c r="IJQ87" s="916"/>
      <c r="IJR87" s="916"/>
      <c r="IJS87" s="916"/>
      <c r="IJT87" s="916"/>
      <c r="IJU87" s="916"/>
      <c r="IJV87" s="916"/>
      <c r="IJW87" s="916"/>
      <c r="IJX87" s="916"/>
      <c r="IJY87" s="916"/>
      <c r="IJZ87" s="916"/>
      <c r="IKA87" s="916"/>
      <c r="IKB87" s="916"/>
      <c r="IKC87" s="916"/>
      <c r="IKD87" s="916"/>
      <c r="IKE87" s="916"/>
      <c r="IKF87" s="916"/>
      <c r="IKG87" s="916"/>
      <c r="IKH87" s="916"/>
      <c r="IKI87" s="916"/>
      <c r="IKJ87" s="916"/>
      <c r="IKK87" s="916"/>
      <c r="IKL87" s="916"/>
      <c r="IKM87" s="916"/>
      <c r="IKN87" s="916"/>
      <c r="IKO87" s="916"/>
      <c r="IKP87" s="916"/>
      <c r="IKQ87" s="916"/>
      <c r="IKR87" s="916"/>
      <c r="IKS87" s="916"/>
      <c r="IKT87" s="916"/>
      <c r="IKU87" s="916"/>
      <c r="IKV87" s="916"/>
      <c r="IKW87" s="916"/>
      <c r="IKX87" s="916"/>
      <c r="IKY87" s="916"/>
      <c r="IKZ87" s="916"/>
      <c r="ILA87" s="916"/>
      <c r="ILB87" s="916"/>
      <c r="ILC87" s="916"/>
      <c r="ILD87" s="916"/>
      <c r="ILE87" s="916"/>
      <c r="ILF87" s="916"/>
      <c r="ILG87" s="916"/>
      <c r="ILH87" s="916"/>
      <c r="ILI87" s="916"/>
      <c r="ILJ87" s="916"/>
      <c r="ILK87" s="916"/>
      <c r="ILL87" s="916"/>
      <c r="ILM87" s="916"/>
      <c r="ILN87" s="916"/>
      <c r="ILO87" s="916"/>
      <c r="ILP87" s="916"/>
      <c r="ILQ87" s="916"/>
      <c r="ILR87" s="916"/>
      <c r="ILS87" s="916"/>
      <c r="ILT87" s="916"/>
      <c r="ILU87" s="916"/>
      <c r="ILV87" s="916"/>
      <c r="ILW87" s="916"/>
      <c r="ILX87" s="916"/>
      <c r="ILY87" s="916"/>
      <c r="ILZ87" s="916"/>
      <c r="IMA87" s="916"/>
      <c r="IMB87" s="916"/>
      <c r="IMC87" s="916"/>
      <c r="IMD87" s="916"/>
      <c r="IME87" s="916"/>
      <c r="IMF87" s="916"/>
      <c r="IMG87" s="916"/>
      <c r="IMH87" s="916"/>
      <c r="IMI87" s="916"/>
      <c r="IMJ87" s="916"/>
      <c r="IMK87" s="916"/>
      <c r="IML87" s="916"/>
      <c r="IMM87" s="916"/>
      <c r="IMN87" s="916"/>
      <c r="IMO87" s="916"/>
      <c r="IMP87" s="916"/>
      <c r="IMQ87" s="916"/>
      <c r="IMR87" s="916"/>
      <c r="IMS87" s="916"/>
      <c r="IMT87" s="916"/>
      <c r="IMU87" s="916"/>
      <c r="IMV87" s="916"/>
      <c r="IMW87" s="916"/>
      <c r="IMX87" s="916"/>
      <c r="IMY87" s="916"/>
      <c r="IMZ87" s="916"/>
      <c r="INA87" s="916"/>
      <c r="INB87" s="916"/>
      <c r="INC87" s="916"/>
      <c r="IND87" s="916"/>
      <c r="INE87" s="916"/>
      <c r="INF87" s="916"/>
      <c r="ING87" s="916"/>
      <c r="INH87" s="916"/>
      <c r="INI87" s="916"/>
      <c r="INJ87" s="916"/>
      <c r="INK87" s="916"/>
      <c r="INL87" s="916"/>
      <c r="INM87" s="916"/>
      <c r="INN87" s="916"/>
      <c r="INO87" s="916"/>
      <c r="INP87" s="916"/>
      <c r="INQ87" s="916"/>
      <c r="INR87" s="916"/>
      <c r="INS87" s="916"/>
      <c r="INT87" s="916"/>
      <c r="INU87" s="916"/>
      <c r="INV87" s="916"/>
      <c r="INW87" s="916"/>
      <c r="INX87" s="916"/>
      <c r="INY87" s="916"/>
      <c r="INZ87" s="916"/>
      <c r="IOA87" s="916"/>
      <c r="IOB87" s="916"/>
      <c r="IOC87" s="916"/>
      <c r="IOD87" s="916"/>
      <c r="IOE87" s="916"/>
      <c r="IOF87" s="916"/>
      <c r="IOG87" s="916"/>
      <c r="IOH87" s="916"/>
      <c r="IOI87" s="916"/>
      <c r="IOJ87" s="916"/>
      <c r="IOK87" s="916"/>
      <c r="IOL87" s="916"/>
      <c r="IOM87" s="916"/>
      <c r="ION87" s="916"/>
      <c r="IOO87" s="916"/>
      <c r="IOP87" s="916"/>
      <c r="IOQ87" s="916"/>
      <c r="IOR87" s="916"/>
      <c r="IOS87" s="916"/>
      <c r="IOT87" s="916"/>
      <c r="IOU87" s="916"/>
      <c r="IOV87" s="916"/>
      <c r="IOW87" s="916"/>
      <c r="IOX87" s="916"/>
      <c r="IOY87" s="916"/>
      <c r="IOZ87" s="916"/>
      <c r="IPA87" s="916"/>
      <c r="IPB87" s="916"/>
      <c r="IPC87" s="916"/>
      <c r="IPD87" s="916"/>
      <c r="IPE87" s="916"/>
      <c r="IPF87" s="916"/>
      <c r="IPG87" s="916"/>
      <c r="IPH87" s="916"/>
      <c r="IPI87" s="916"/>
      <c r="IPJ87" s="916"/>
      <c r="IPK87" s="916"/>
      <c r="IPL87" s="916"/>
      <c r="IPM87" s="916"/>
      <c r="IPN87" s="916"/>
      <c r="IPO87" s="916"/>
      <c r="IPP87" s="916"/>
      <c r="IPQ87" s="916"/>
      <c r="IPR87" s="916"/>
      <c r="IPS87" s="916"/>
      <c r="IPT87" s="916"/>
      <c r="IPU87" s="916"/>
      <c r="IPV87" s="916"/>
      <c r="IPW87" s="916"/>
      <c r="IPX87" s="916"/>
      <c r="IPY87" s="916"/>
      <c r="IPZ87" s="916"/>
      <c r="IQA87" s="916"/>
      <c r="IQB87" s="916"/>
      <c r="IQC87" s="916"/>
      <c r="IQD87" s="916"/>
      <c r="IQE87" s="916"/>
      <c r="IQF87" s="916"/>
      <c r="IQG87" s="916"/>
      <c r="IQH87" s="916"/>
      <c r="IQI87" s="916"/>
      <c r="IQJ87" s="916"/>
      <c r="IQK87" s="916"/>
      <c r="IQL87" s="916"/>
      <c r="IQM87" s="916"/>
      <c r="IQN87" s="916"/>
      <c r="IQO87" s="916"/>
      <c r="IQP87" s="916"/>
      <c r="IQQ87" s="916"/>
      <c r="IQR87" s="916"/>
      <c r="IQS87" s="916"/>
      <c r="IQT87" s="916"/>
      <c r="IQU87" s="916"/>
      <c r="IQV87" s="916"/>
      <c r="IQW87" s="916"/>
      <c r="IQX87" s="916"/>
      <c r="IQY87" s="916"/>
      <c r="IQZ87" s="916"/>
      <c r="IRA87" s="916"/>
      <c r="IRB87" s="916"/>
      <c r="IRC87" s="916"/>
      <c r="IRD87" s="916"/>
      <c r="IRE87" s="916"/>
      <c r="IRF87" s="916"/>
      <c r="IRG87" s="916"/>
      <c r="IRH87" s="916"/>
      <c r="IRI87" s="916"/>
      <c r="IRJ87" s="916"/>
      <c r="IRK87" s="916"/>
      <c r="IRL87" s="916"/>
      <c r="IRM87" s="916"/>
      <c r="IRN87" s="916"/>
      <c r="IRO87" s="916"/>
      <c r="IRP87" s="916"/>
      <c r="IRQ87" s="916"/>
      <c r="IRR87" s="916"/>
      <c r="IRS87" s="916"/>
      <c r="IRT87" s="916"/>
      <c r="IRU87" s="916"/>
      <c r="IRV87" s="916"/>
      <c r="IRW87" s="916"/>
      <c r="IRX87" s="916"/>
      <c r="IRY87" s="916"/>
      <c r="IRZ87" s="916"/>
      <c r="ISA87" s="916"/>
      <c r="ISB87" s="916"/>
      <c r="ISC87" s="916"/>
      <c r="ISD87" s="916"/>
      <c r="ISE87" s="916"/>
      <c r="ISF87" s="916"/>
      <c r="ISG87" s="916"/>
      <c r="ISH87" s="916"/>
      <c r="ISI87" s="916"/>
      <c r="ISJ87" s="916"/>
      <c r="ISK87" s="916"/>
      <c r="ISL87" s="916"/>
      <c r="ISM87" s="916"/>
      <c r="ISN87" s="916"/>
      <c r="ISO87" s="916"/>
      <c r="ISP87" s="916"/>
      <c r="ISQ87" s="916"/>
      <c r="ISR87" s="916"/>
      <c r="ISS87" s="916"/>
      <c r="IST87" s="916"/>
      <c r="ISU87" s="916"/>
      <c r="ISV87" s="916"/>
      <c r="ISW87" s="916"/>
      <c r="ISX87" s="916"/>
      <c r="ISY87" s="916"/>
      <c r="ISZ87" s="916"/>
      <c r="ITA87" s="916"/>
      <c r="ITB87" s="916"/>
      <c r="ITC87" s="916"/>
      <c r="ITD87" s="916"/>
      <c r="ITE87" s="916"/>
      <c r="ITF87" s="916"/>
      <c r="ITG87" s="916"/>
      <c r="ITH87" s="916"/>
      <c r="ITI87" s="916"/>
      <c r="ITJ87" s="916"/>
      <c r="ITK87" s="916"/>
      <c r="ITL87" s="916"/>
      <c r="ITM87" s="916"/>
      <c r="ITN87" s="916"/>
      <c r="ITO87" s="916"/>
      <c r="ITP87" s="916"/>
      <c r="ITQ87" s="916"/>
      <c r="ITR87" s="916"/>
      <c r="ITS87" s="916"/>
      <c r="ITT87" s="916"/>
      <c r="ITU87" s="916"/>
      <c r="ITV87" s="916"/>
      <c r="ITW87" s="916"/>
      <c r="ITX87" s="916"/>
      <c r="ITY87" s="916"/>
      <c r="ITZ87" s="916"/>
      <c r="IUA87" s="916"/>
      <c r="IUB87" s="916"/>
      <c r="IUC87" s="916"/>
      <c r="IUD87" s="916"/>
      <c r="IUE87" s="916"/>
      <c r="IUF87" s="916"/>
      <c r="IUG87" s="916"/>
      <c r="IUH87" s="916"/>
      <c r="IUI87" s="916"/>
      <c r="IUJ87" s="916"/>
      <c r="IUK87" s="916"/>
      <c r="IUL87" s="916"/>
      <c r="IUM87" s="916"/>
      <c r="IUN87" s="916"/>
      <c r="IUO87" s="916"/>
      <c r="IUP87" s="916"/>
      <c r="IUQ87" s="916"/>
      <c r="IUR87" s="916"/>
      <c r="IUS87" s="916"/>
      <c r="IUT87" s="916"/>
      <c r="IUU87" s="916"/>
      <c r="IUV87" s="916"/>
      <c r="IUW87" s="916"/>
      <c r="IUX87" s="916"/>
      <c r="IUY87" s="916"/>
      <c r="IUZ87" s="916"/>
      <c r="IVA87" s="916"/>
      <c r="IVB87" s="916"/>
      <c r="IVC87" s="916"/>
      <c r="IVD87" s="916"/>
      <c r="IVE87" s="916"/>
      <c r="IVF87" s="916"/>
      <c r="IVG87" s="916"/>
      <c r="IVH87" s="916"/>
      <c r="IVI87" s="916"/>
      <c r="IVJ87" s="916"/>
      <c r="IVK87" s="916"/>
      <c r="IVL87" s="916"/>
      <c r="IVM87" s="916"/>
      <c r="IVN87" s="916"/>
      <c r="IVO87" s="916"/>
      <c r="IVP87" s="916"/>
      <c r="IVQ87" s="916"/>
      <c r="IVR87" s="916"/>
      <c r="IVS87" s="916"/>
      <c r="IVT87" s="916"/>
      <c r="IVU87" s="916"/>
      <c r="IVV87" s="916"/>
      <c r="IVW87" s="916"/>
      <c r="IVX87" s="916"/>
      <c r="IVY87" s="916"/>
      <c r="IVZ87" s="916"/>
      <c r="IWA87" s="916"/>
      <c r="IWB87" s="916"/>
      <c r="IWC87" s="916"/>
      <c r="IWD87" s="916"/>
      <c r="IWE87" s="916"/>
      <c r="IWF87" s="916"/>
      <c r="IWG87" s="916"/>
      <c r="IWH87" s="916"/>
      <c r="IWI87" s="916"/>
      <c r="IWJ87" s="916"/>
      <c r="IWK87" s="916"/>
      <c r="IWL87" s="916"/>
      <c r="IWM87" s="916"/>
      <c r="IWN87" s="916"/>
      <c r="IWO87" s="916"/>
      <c r="IWP87" s="916"/>
      <c r="IWQ87" s="916"/>
      <c r="IWR87" s="916"/>
      <c r="IWS87" s="916"/>
      <c r="IWT87" s="916"/>
      <c r="IWU87" s="916"/>
      <c r="IWV87" s="916"/>
      <c r="IWW87" s="916"/>
      <c r="IWX87" s="916"/>
      <c r="IWY87" s="916"/>
      <c r="IWZ87" s="916"/>
      <c r="IXA87" s="916"/>
      <c r="IXB87" s="916"/>
      <c r="IXC87" s="916"/>
      <c r="IXD87" s="916"/>
      <c r="IXE87" s="916"/>
      <c r="IXF87" s="916"/>
      <c r="IXG87" s="916"/>
      <c r="IXH87" s="916"/>
      <c r="IXI87" s="916"/>
      <c r="IXJ87" s="916"/>
      <c r="IXK87" s="916"/>
      <c r="IXL87" s="916"/>
      <c r="IXM87" s="916"/>
      <c r="IXN87" s="916"/>
      <c r="IXO87" s="916"/>
      <c r="IXP87" s="916"/>
      <c r="IXQ87" s="916"/>
      <c r="IXR87" s="916"/>
      <c r="IXS87" s="916"/>
      <c r="IXT87" s="916"/>
      <c r="IXU87" s="916"/>
      <c r="IXV87" s="916"/>
      <c r="IXW87" s="916"/>
      <c r="IXX87" s="916"/>
      <c r="IXY87" s="916"/>
      <c r="IXZ87" s="916"/>
      <c r="IYA87" s="916"/>
      <c r="IYB87" s="916"/>
      <c r="IYC87" s="916"/>
      <c r="IYD87" s="916"/>
      <c r="IYE87" s="916"/>
      <c r="IYF87" s="916"/>
      <c r="IYG87" s="916"/>
      <c r="IYH87" s="916"/>
      <c r="IYI87" s="916"/>
      <c r="IYJ87" s="916"/>
      <c r="IYK87" s="916"/>
      <c r="IYL87" s="916"/>
      <c r="IYM87" s="916"/>
      <c r="IYN87" s="916"/>
      <c r="IYO87" s="916"/>
      <c r="IYP87" s="916"/>
      <c r="IYQ87" s="916"/>
      <c r="IYR87" s="916"/>
      <c r="IYS87" s="916"/>
      <c r="IYT87" s="916"/>
      <c r="IYU87" s="916"/>
      <c r="IYV87" s="916"/>
      <c r="IYW87" s="916"/>
      <c r="IYX87" s="916"/>
      <c r="IYY87" s="916"/>
      <c r="IYZ87" s="916"/>
      <c r="IZA87" s="916"/>
      <c r="IZB87" s="916"/>
      <c r="IZC87" s="916"/>
      <c r="IZD87" s="916"/>
      <c r="IZE87" s="916"/>
      <c r="IZF87" s="916"/>
      <c r="IZG87" s="916"/>
      <c r="IZH87" s="916"/>
      <c r="IZI87" s="916"/>
      <c r="IZJ87" s="916"/>
      <c r="IZK87" s="916"/>
      <c r="IZL87" s="916"/>
      <c r="IZM87" s="916"/>
      <c r="IZN87" s="916"/>
      <c r="IZO87" s="916"/>
      <c r="IZP87" s="916"/>
      <c r="IZQ87" s="916"/>
      <c r="IZR87" s="916"/>
      <c r="IZS87" s="916"/>
      <c r="IZT87" s="916"/>
      <c r="IZU87" s="916"/>
      <c r="IZV87" s="916"/>
      <c r="IZW87" s="916"/>
      <c r="IZX87" s="916"/>
      <c r="IZY87" s="916"/>
      <c r="IZZ87" s="916"/>
      <c r="JAA87" s="916"/>
      <c r="JAB87" s="916"/>
      <c r="JAC87" s="916"/>
      <c r="JAD87" s="916"/>
      <c r="JAE87" s="916"/>
      <c r="JAF87" s="916"/>
      <c r="JAG87" s="916"/>
      <c r="JAH87" s="916"/>
      <c r="JAI87" s="916"/>
      <c r="JAJ87" s="916"/>
      <c r="JAK87" s="916"/>
      <c r="JAL87" s="916"/>
      <c r="JAM87" s="916"/>
      <c r="JAN87" s="916"/>
      <c r="JAO87" s="916"/>
      <c r="JAP87" s="916"/>
      <c r="JAQ87" s="916"/>
      <c r="JAR87" s="916"/>
      <c r="JAS87" s="916"/>
      <c r="JAT87" s="916"/>
      <c r="JAU87" s="916"/>
      <c r="JAV87" s="916"/>
      <c r="JAW87" s="916"/>
      <c r="JAX87" s="916"/>
      <c r="JAY87" s="916"/>
      <c r="JAZ87" s="916"/>
      <c r="JBA87" s="916"/>
      <c r="JBB87" s="916"/>
      <c r="JBC87" s="916"/>
      <c r="JBD87" s="916"/>
      <c r="JBE87" s="916"/>
      <c r="JBF87" s="916"/>
      <c r="JBG87" s="916"/>
      <c r="JBH87" s="916"/>
      <c r="JBI87" s="916"/>
      <c r="JBJ87" s="916"/>
      <c r="JBK87" s="916"/>
      <c r="JBL87" s="916"/>
      <c r="JBM87" s="916"/>
      <c r="JBN87" s="916"/>
      <c r="JBO87" s="916"/>
      <c r="JBP87" s="916"/>
      <c r="JBQ87" s="916"/>
      <c r="JBR87" s="916"/>
      <c r="JBS87" s="916"/>
      <c r="JBT87" s="916"/>
      <c r="JBU87" s="916"/>
      <c r="JBV87" s="916"/>
      <c r="JBW87" s="916"/>
      <c r="JBX87" s="916"/>
      <c r="JBY87" s="916"/>
      <c r="JBZ87" s="916"/>
      <c r="JCA87" s="916"/>
      <c r="JCB87" s="916"/>
      <c r="JCC87" s="916"/>
      <c r="JCD87" s="916"/>
      <c r="JCE87" s="916"/>
      <c r="JCF87" s="916"/>
      <c r="JCG87" s="916"/>
      <c r="JCH87" s="916"/>
      <c r="JCI87" s="916"/>
      <c r="JCJ87" s="916"/>
      <c r="JCK87" s="916"/>
      <c r="JCL87" s="916"/>
      <c r="JCM87" s="916"/>
      <c r="JCN87" s="916"/>
      <c r="JCO87" s="916"/>
      <c r="JCP87" s="916"/>
      <c r="JCQ87" s="916"/>
      <c r="JCR87" s="916"/>
      <c r="JCS87" s="916"/>
      <c r="JCT87" s="916"/>
      <c r="JCU87" s="916"/>
      <c r="JCV87" s="916"/>
      <c r="JCW87" s="916"/>
      <c r="JCX87" s="916"/>
      <c r="JCY87" s="916"/>
      <c r="JCZ87" s="916"/>
      <c r="JDA87" s="916"/>
      <c r="JDB87" s="916"/>
      <c r="JDC87" s="916"/>
      <c r="JDD87" s="916"/>
      <c r="JDE87" s="916"/>
      <c r="JDF87" s="916"/>
      <c r="JDG87" s="916"/>
      <c r="JDH87" s="916"/>
      <c r="JDI87" s="916"/>
      <c r="JDJ87" s="916"/>
      <c r="JDK87" s="916"/>
      <c r="JDL87" s="916"/>
      <c r="JDM87" s="916"/>
      <c r="JDN87" s="916"/>
      <c r="JDO87" s="916"/>
      <c r="JDP87" s="916"/>
      <c r="JDQ87" s="916"/>
      <c r="JDR87" s="916"/>
      <c r="JDS87" s="916"/>
      <c r="JDT87" s="916"/>
      <c r="JDU87" s="916"/>
      <c r="JDV87" s="916"/>
      <c r="JDW87" s="916"/>
      <c r="JDX87" s="916"/>
      <c r="JDY87" s="916"/>
      <c r="JDZ87" s="916"/>
      <c r="JEA87" s="916"/>
      <c r="JEB87" s="916"/>
      <c r="JEC87" s="916"/>
      <c r="JED87" s="916"/>
      <c r="JEE87" s="916"/>
      <c r="JEF87" s="916"/>
      <c r="JEG87" s="916"/>
      <c r="JEH87" s="916"/>
      <c r="JEI87" s="916"/>
      <c r="JEJ87" s="916"/>
      <c r="JEK87" s="916"/>
      <c r="JEL87" s="916"/>
      <c r="JEM87" s="916"/>
      <c r="JEN87" s="916"/>
      <c r="JEO87" s="916"/>
      <c r="JEP87" s="916"/>
      <c r="JEQ87" s="916"/>
      <c r="JER87" s="916"/>
      <c r="JES87" s="916"/>
      <c r="JET87" s="916"/>
      <c r="JEU87" s="916"/>
      <c r="JEV87" s="916"/>
      <c r="JEW87" s="916"/>
      <c r="JEX87" s="916"/>
      <c r="JEY87" s="916"/>
      <c r="JEZ87" s="916"/>
      <c r="JFA87" s="916"/>
      <c r="JFB87" s="916"/>
      <c r="JFC87" s="916"/>
      <c r="JFD87" s="916"/>
      <c r="JFE87" s="916"/>
      <c r="JFF87" s="916"/>
      <c r="JFG87" s="916"/>
      <c r="JFH87" s="916"/>
      <c r="JFI87" s="916"/>
      <c r="JFJ87" s="916"/>
      <c r="JFK87" s="916"/>
      <c r="JFL87" s="916"/>
      <c r="JFM87" s="916"/>
      <c r="JFN87" s="916"/>
      <c r="JFO87" s="916"/>
      <c r="JFP87" s="916"/>
      <c r="JFQ87" s="916"/>
      <c r="JFR87" s="916"/>
      <c r="JFS87" s="916"/>
      <c r="JFT87" s="916"/>
      <c r="JFU87" s="916"/>
      <c r="JFV87" s="916"/>
      <c r="JFW87" s="916"/>
      <c r="JFX87" s="916"/>
      <c r="JFY87" s="916"/>
      <c r="JFZ87" s="916"/>
      <c r="JGA87" s="916"/>
      <c r="JGB87" s="916"/>
      <c r="JGC87" s="916"/>
      <c r="JGD87" s="916"/>
      <c r="JGE87" s="916"/>
      <c r="JGF87" s="916"/>
      <c r="JGG87" s="916"/>
      <c r="JGH87" s="916"/>
      <c r="JGI87" s="916"/>
      <c r="JGJ87" s="916"/>
      <c r="JGK87" s="916"/>
      <c r="JGL87" s="916"/>
      <c r="JGM87" s="916"/>
      <c r="JGN87" s="916"/>
      <c r="JGO87" s="916"/>
      <c r="JGP87" s="916"/>
      <c r="JGQ87" s="916"/>
      <c r="JGR87" s="916"/>
      <c r="JGS87" s="916"/>
      <c r="JGT87" s="916"/>
      <c r="JGU87" s="916"/>
      <c r="JGV87" s="916"/>
      <c r="JGW87" s="916"/>
      <c r="JGX87" s="916"/>
      <c r="JGY87" s="916"/>
      <c r="JGZ87" s="916"/>
      <c r="JHA87" s="916"/>
      <c r="JHB87" s="916"/>
      <c r="JHC87" s="916"/>
      <c r="JHD87" s="916"/>
      <c r="JHE87" s="916"/>
      <c r="JHF87" s="916"/>
      <c r="JHG87" s="916"/>
      <c r="JHH87" s="916"/>
      <c r="JHI87" s="916"/>
      <c r="JHJ87" s="916"/>
      <c r="JHK87" s="916"/>
      <c r="JHL87" s="916"/>
      <c r="JHM87" s="916"/>
      <c r="JHN87" s="916"/>
      <c r="JHO87" s="916"/>
      <c r="JHP87" s="916"/>
      <c r="JHQ87" s="916"/>
      <c r="JHR87" s="916"/>
      <c r="JHS87" s="916"/>
      <c r="JHT87" s="916"/>
      <c r="JHU87" s="916"/>
      <c r="JHV87" s="916"/>
      <c r="JHW87" s="916"/>
      <c r="JHX87" s="916"/>
      <c r="JHY87" s="916"/>
      <c r="JHZ87" s="916"/>
      <c r="JIA87" s="916"/>
      <c r="JIB87" s="916"/>
      <c r="JIC87" s="916"/>
      <c r="JID87" s="916"/>
      <c r="JIE87" s="916"/>
      <c r="JIF87" s="916"/>
      <c r="JIG87" s="916"/>
      <c r="JIH87" s="916"/>
      <c r="JII87" s="916"/>
      <c r="JIJ87" s="916"/>
      <c r="JIK87" s="916"/>
      <c r="JIL87" s="916"/>
      <c r="JIM87" s="916"/>
      <c r="JIN87" s="916"/>
      <c r="JIO87" s="916"/>
      <c r="JIP87" s="916"/>
      <c r="JIQ87" s="916"/>
      <c r="JIR87" s="916"/>
      <c r="JIS87" s="916"/>
      <c r="JIT87" s="916"/>
      <c r="JIU87" s="916"/>
      <c r="JIV87" s="916"/>
      <c r="JIW87" s="916"/>
      <c r="JIX87" s="916"/>
      <c r="JIY87" s="916"/>
      <c r="JIZ87" s="916"/>
      <c r="JJA87" s="916"/>
      <c r="JJB87" s="916"/>
      <c r="JJC87" s="916"/>
      <c r="JJD87" s="916"/>
      <c r="JJE87" s="916"/>
      <c r="JJF87" s="916"/>
      <c r="JJG87" s="916"/>
      <c r="JJH87" s="916"/>
      <c r="JJI87" s="916"/>
      <c r="JJJ87" s="916"/>
      <c r="JJK87" s="916"/>
      <c r="JJL87" s="916"/>
      <c r="JJM87" s="916"/>
      <c r="JJN87" s="916"/>
      <c r="JJO87" s="916"/>
      <c r="JJP87" s="916"/>
      <c r="JJQ87" s="916"/>
      <c r="JJR87" s="916"/>
      <c r="JJS87" s="916"/>
      <c r="JJT87" s="916"/>
      <c r="JJU87" s="916"/>
      <c r="JJV87" s="916"/>
      <c r="JJW87" s="916"/>
      <c r="JJX87" s="916"/>
      <c r="JJY87" s="916"/>
      <c r="JJZ87" s="916"/>
      <c r="JKA87" s="916"/>
      <c r="JKB87" s="916"/>
      <c r="JKC87" s="916"/>
      <c r="JKD87" s="916"/>
      <c r="JKE87" s="916"/>
      <c r="JKF87" s="916"/>
      <c r="JKG87" s="916"/>
      <c r="JKH87" s="916"/>
      <c r="JKI87" s="916"/>
      <c r="JKJ87" s="916"/>
      <c r="JKK87" s="916"/>
      <c r="JKL87" s="916"/>
      <c r="JKM87" s="916"/>
      <c r="JKN87" s="916"/>
      <c r="JKO87" s="916"/>
      <c r="JKP87" s="916"/>
      <c r="JKQ87" s="916"/>
      <c r="JKR87" s="916"/>
      <c r="JKS87" s="916"/>
      <c r="JKT87" s="916"/>
      <c r="JKU87" s="916"/>
      <c r="JKV87" s="916"/>
      <c r="JKW87" s="916"/>
      <c r="JKX87" s="916"/>
      <c r="JKY87" s="916"/>
      <c r="JKZ87" s="916"/>
      <c r="JLA87" s="916"/>
      <c r="JLB87" s="916"/>
      <c r="JLC87" s="916"/>
      <c r="JLD87" s="916"/>
      <c r="JLE87" s="916"/>
      <c r="JLF87" s="916"/>
      <c r="JLG87" s="916"/>
      <c r="JLH87" s="916"/>
      <c r="JLI87" s="916"/>
      <c r="JLJ87" s="916"/>
      <c r="JLK87" s="916"/>
      <c r="JLL87" s="916"/>
      <c r="JLM87" s="916"/>
      <c r="JLN87" s="916"/>
      <c r="JLO87" s="916"/>
      <c r="JLP87" s="916"/>
      <c r="JLQ87" s="916"/>
      <c r="JLR87" s="916"/>
      <c r="JLS87" s="916"/>
      <c r="JLT87" s="916"/>
      <c r="JLU87" s="916"/>
      <c r="JLV87" s="916"/>
      <c r="JLW87" s="916"/>
      <c r="JLX87" s="916"/>
      <c r="JLY87" s="916"/>
      <c r="JLZ87" s="916"/>
      <c r="JMA87" s="916"/>
      <c r="JMB87" s="916"/>
      <c r="JMC87" s="916"/>
      <c r="JMD87" s="916"/>
      <c r="JME87" s="916"/>
      <c r="JMF87" s="916"/>
      <c r="JMG87" s="916"/>
      <c r="JMH87" s="916"/>
      <c r="JMI87" s="916"/>
      <c r="JMJ87" s="916"/>
      <c r="JMK87" s="916"/>
      <c r="JML87" s="916"/>
      <c r="JMM87" s="916"/>
      <c r="JMN87" s="916"/>
      <c r="JMO87" s="916"/>
      <c r="JMP87" s="916"/>
      <c r="JMQ87" s="916"/>
      <c r="JMR87" s="916"/>
      <c r="JMS87" s="916"/>
      <c r="JMT87" s="916"/>
      <c r="JMU87" s="916"/>
      <c r="JMV87" s="916"/>
      <c r="JMW87" s="916"/>
      <c r="JMX87" s="916"/>
      <c r="JMY87" s="916"/>
      <c r="JMZ87" s="916"/>
      <c r="JNA87" s="916"/>
      <c r="JNB87" s="916"/>
      <c r="JNC87" s="916"/>
      <c r="JND87" s="916"/>
      <c r="JNE87" s="916"/>
      <c r="JNF87" s="916"/>
      <c r="JNG87" s="916"/>
      <c r="JNH87" s="916"/>
      <c r="JNI87" s="916"/>
      <c r="JNJ87" s="916"/>
      <c r="JNK87" s="916"/>
      <c r="JNL87" s="916"/>
      <c r="JNM87" s="916"/>
      <c r="JNN87" s="916"/>
      <c r="JNO87" s="916"/>
      <c r="JNP87" s="916"/>
      <c r="JNQ87" s="916"/>
      <c r="JNR87" s="916"/>
      <c r="JNS87" s="916"/>
      <c r="JNT87" s="916"/>
      <c r="JNU87" s="916"/>
      <c r="JNV87" s="916"/>
      <c r="JNW87" s="916"/>
      <c r="JNX87" s="916"/>
      <c r="JNY87" s="916"/>
      <c r="JNZ87" s="916"/>
      <c r="JOA87" s="916"/>
      <c r="JOB87" s="916"/>
      <c r="JOC87" s="916"/>
      <c r="JOD87" s="916"/>
      <c r="JOE87" s="916"/>
      <c r="JOF87" s="916"/>
      <c r="JOG87" s="916"/>
      <c r="JOH87" s="916"/>
      <c r="JOI87" s="916"/>
      <c r="JOJ87" s="916"/>
      <c r="JOK87" s="916"/>
      <c r="JOL87" s="916"/>
      <c r="JOM87" s="916"/>
      <c r="JON87" s="916"/>
      <c r="JOO87" s="916"/>
      <c r="JOP87" s="916"/>
      <c r="JOQ87" s="916"/>
      <c r="JOR87" s="916"/>
      <c r="JOS87" s="916"/>
      <c r="JOT87" s="916"/>
      <c r="JOU87" s="916"/>
      <c r="JOV87" s="916"/>
      <c r="JOW87" s="916"/>
      <c r="JOX87" s="916"/>
      <c r="JOY87" s="916"/>
      <c r="JOZ87" s="916"/>
      <c r="JPA87" s="916"/>
      <c r="JPB87" s="916"/>
      <c r="JPC87" s="916"/>
      <c r="JPD87" s="916"/>
      <c r="JPE87" s="916"/>
      <c r="JPF87" s="916"/>
      <c r="JPG87" s="916"/>
      <c r="JPH87" s="916"/>
      <c r="JPI87" s="916"/>
      <c r="JPJ87" s="916"/>
      <c r="JPK87" s="916"/>
      <c r="JPL87" s="916"/>
      <c r="JPM87" s="916"/>
      <c r="JPN87" s="916"/>
      <c r="JPO87" s="916"/>
      <c r="JPP87" s="916"/>
      <c r="JPQ87" s="916"/>
      <c r="JPR87" s="916"/>
      <c r="JPS87" s="916"/>
      <c r="JPT87" s="916"/>
      <c r="JPU87" s="916"/>
      <c r="JPV87" s="916"/>
      <c r="JPW87" s="916"/>
      <c r="JPX87" s="916"/>
      <c r="JPY87" s="916"/>
      <c r="JPZ87" s="916"/>
      <c r="JQA87" s="916"/>
      <c r="JQB87" s="916"/>
      <c r="JQC87" s="916"/>
      <c r="JQD87" s="916"/>
      <c r="JQE87" s="916"/>
      <c r="JQF87" s="916"/>
      <c r="JQG87" s="916"/>
      <c r="JQH87" s="916"/>
      <c r="JQI87" s="916"/>
      <c r="JQJ87" s="916"/>
      <c r="JQK87" s="916"/>
      <c r="JQL87" s="916"/>
      <c r="JQM87" s="916"/>
      <c r="JQN87" s="916"/>
      <c r="JQO87" s="916"/>
      <c r="JQP87" s="916"/>
      <c r="JQQ87" s="916"/>
      <c r="JQR87" s="916"/>
      <c r="JQS87" s="916"/>
      <c r="JQT87" s="916"/>
      <c r="JQU87" s="916"/>
      <c r="JQV87" s="916"/>
      <c r="JQW87" s="916"/>
      <c r="JQX87" s="916"/>
      <c r="JQY87" s="916"/>
      <c r="JQZ87" s="916"/>
      <c r="JRA87" s="916"/>
      <c r="JRB87" s="916"/>
      <c r="JRC87" s="916"/>
      <c r="JRD87" s="916"/>
      <c r="JRE87" s="916"/>
      <c r="JRF87" s="916"/>
      <c r="JRG87" s="916"/>
      <c r="JRH87" s="916"/>
      <c r="JRI87" s="916"/>
      <c r="JRJ87" s="916"/>
      <c r="JRK87" s="916"/>
      <c r="JRL87" s="916"/>
      <c r="JRM87" s="916"/>
      <c r="JRN87" s="916"/>
      <c r="JRO87" s="916"/>
      <c r="JRP87" s="916"/>
      <c r="JRQ87" s="916"/>
      <c r="JRR87" s="916"/>
      <c r="JRS87" s="916"/>
      <c r="JRT87" s="916"/>
      <c r="JRU87" s="916"/>
      <c r="JRV87" s="916"/>
      <c r="JRW87" s="916"/>
      <c r="JRX87" s="916"/>
      <c r="JRY87" s="916"/>
      <c r="JRZ87" s="916"/>
      <c r="JSA87" s="916"/>
      <c r="JSB87" s="916"/>
      <c r="JSC87" s="916"/>
      <c r="JSD87" s="916"/>
      <c r="JSE87" s="916"/>
      <c r="JSF87" s="916"/>
      <c r="JSG87" s="916"/>
      <c r="JSH87" s="916"/>
      <c r="JSI87" s="916"/>
      <c r="JSJ87" s="916"/>
      <c r="JSK87" s="916"/>
      <c r="JSL87" s="916"/>
      <c r="JSM87" s="916"/>
      <c r="JSN87" s="916"/>
      <c r="JSO87" s="916"/>
      <c r="JSP87" s="916"/>
      <c r="JSQ87" s="916"/>
      <c r="JSR87" s="916"/>
      <c r="JSS87" s="916"/>
      <c r="JST87" s="916"/>
      <c r="JSU87" s="916"/>
      <c r="JSV87" s="916"/>
      <c r="JSW87" s="916"/>
      <c r="JSX87" s="916"/>
      <c r="JSY87" s="916"/>
      <c r="JSZ87" s="916"/>
      <c r="JTA87" s="916"/>
      <c r="JTB87" s="916"/>
      <c r="JTC87" s="916"/>
      <c r="JTD87" s="916"/>
      <c r="JTE87" s="916"/>
      <c r="JTF87" s="916"/>
      <c r="JTG87" s="916"/>
      <c r="JTH87" s="916"/>
      <c r="JTI87" s="916"/>
      <c r="JTJ87" s="916"/>
      <c r="JTK87" s="916"/>
      <c r="JTL87" s="916"/>
      <c r="JTM87" s="916"/>
      <c r="JTN87" s="916"/>
      <c r="JTO87" s="916"/>
      <c r="JTP87" s="916"/>
      <c r="JTQ87" s="916"/>
      <c r="JTR87" s="916"/>
      <c r="JTS87" s="916"/>
      <c r="JTT87" s="916"/>
      <c r="JTU87" s="916"/>
      <c r="JTV87" s="916"/>
      <c r="JTW87" s="916"/>
      <c r="JTX87" s="916"/>
      <c r="JTY87" s="916"/>
      <c r="JTZ87" s="916"/>
      <c r="JUA87" s="916"/>
      <c r="JUB87" s="916"/>
      <c r="JUC87" s="916"/>
      <c r="JUD87" s="916"/>
      <c r="JUE87" s="916"/>
      <c r="JUF87" s="916"/>
      <c r="JUG87" s="916"/>
      <c r="JUH87" s="916"/>
      <c r="JUI87" s="916"/>
      <c r="JUJ87" s="916"/>
      <c r="JUK87" s="916"/>
      <c r="JUL87" s="916"/>
      <c r="JUM87" s="916"/>
      <c r="JUN87" s="916"/>
      <c r="JUO87" s="916"/>
      <c r="JUP87" s="916"/>
      <c r="JUQ87" s="916"/>
      <c r="JUR87" s="916"/>
      <c r="JUS87" s="916"/>
      <c r="JUT87" s="916"/>
      <c r="JUU87" s="916"/>
      <c r="JUV87" s="916"/>
      <c r="JUW87" s="916"/>
      <c r="JUX87" s="916"/>
      <c r="JUY87" s="916"/>
      <c r="JUZ87" s="916"/>
      <c r="JVA87" s="916"/>
      <c r="JVB87" s="916"/>
      <c r="JVC87" s="916"/>
      <c r="JVD87" s="916"/>
      <c r="JVE87" s="916"/>
      <c r="JVF87" s="916"/>
      <c r="JVG87" s="916"/>
      <c r="JVH87" s="916"/>
      <c r="JVI87" s="916"/>
      <c r="JVJ87" s="916"/>
      <c r="JVK87" s="916"/>
      <c r="JVL87" s="916"/>
      <c r="JVM87" s="916"/>
      <c r="JVN87" s="916"/>
      <c r="JVO87" s="916"/>
      <c r="JVP87" s="916"/>
      <c r="JVQ87" s="916"/>
      <c r="JVR87" s="916"/>
      <c r="JVS87" s="916"/>
      <c r="JVT87" s="916"/>
      <c r="JVU87" s="916"/>
      <c r="JVV87" s="916"/>
      <c r="JVW87" s="916"/>
      <c r="JVX87" s="916"/>
      <c r="JVY87" s="916"/>
      <c r="JVZ87" s="916"/>
      <c r="JWA87" s="916"/>
      <c r="JWB87" s="916"/>
      <c r="JWC87" s="916"/>
      <c r="JWD87" s="916"/>
      <c r="JWE87" s="916"/>
      <c r="JWF87" s="916"/>
      <c r="JWG87" s="916"/>
      <c r="JWH87" s="916"/>
      <c r="JWI87" s="916"/>
      <c r="JWJ87" s="916"/>
      <c r="JWK87" s="916"/>
      <c r="JWL87" s="916"/>
      <c r="JWM87" s="916"/>
      <c r="JWN87" s="916"/>
      <c r="JWO87" s="916"/>
      <c r="JWP87" s="916"/>
      <c r="JWQ87" s="916"/>
      <c r="JWR87" s="916"/>
      <c r="JWS87" s="916"/>
      <c r="JWT87" s="916"/>
      <c r="JWU87" s="916"/>
      <c r="JWV87" s="916"/>
      <c r="JWW87" s="916"/>
      <c r="JWX87" s="916"/>
      <c r="JWY87" s="916"/>
      <c r="JWZ87" s="916"/>
      <c r="JXA87" s="916"/>
      <c r="JXB87" s="916"/>
      <c r="JXC87" s="916"/>
      <c r="JXD87" s="916"/>
      <c r="JXE87" s="916"/>
      <c r="JXF87" s="916"/>
      <c r="JXG87" s="916"/>
      <c r="JXH87" s="916"/>
      <c r="JXI87" s="916"/>
      <c r="JXJ87" s="916"/>
      <c r="JXK87" s="916"/>
      <c r="JXL87" s="916"/>
      <c r="JXM87" s="916"/>
      <c r="JXN87" s="916"/>
      <c r="JXO87" s="916"/>
      <c r="JXP87" s="916"/>
      <c r="JXQ87" s="916"/>
      <c r="JXR87" s="916"/>
      <c r="JXS87" s="916"/>
      <c r="JXT87" s="916"/>
      <c r="JXU87" s="916"/>
      <c r="JXV87" s="916"/>
      <c r="JXW87" s="916"/>
      <c r="JXX87" s="916"/>
      <c r="JXY87" s="916"/>
      <c r="JXZ87" s="916"/>
      <c r="JYA87" s="916"/>
      <c r="JYB87" s="916"/>
      <c r="JYC87" s="916"/>
      <c r="JYD87" s="916"/>
      <c r="JYE87" s="916"/>
      <c r="JYF87" s="916"/>
      <c r="JYG87" s="916"/>
      <c r="JYH87" s="916"/>
      <c r="JYI87" s="916"/>
      <c r="JYJ87" s="916"/>
      <c r="JYK87" s="916"/>
      <c r="JYL87" s="916"/>
      <c r="JYM87" s="916"/>
      <c r="JYN87" s="916"/>
      <c r="JYO87" s="916"/>
      <c r="JYP87" s="916"/>
      <c r="JYQ87" s="916"/>
      <c r="JYR87" s="916"/>
      <c r="JYS87" s="916"/>
      <c r="JYT87" s="916"/>
      <c r="JYU87" s="916"/>
      <c r="JYV87" s="916"/>
      <c r="JYW87" s="916"/>
      <c r="JYX87" s="916"/>
      <c r="JYY87" s="916"/>
      <c r="JYZ87" s="916"/>
      <c r="JZA87" s="916"/>
      <c r="JZB87" s="916"/>
      <c r="JZC87" s="916"/>
      <c r="JZD87" s="916"/>
      <c r="JZE87" s="916"/>
      <c r="JZF87" s="916"/>
      <c r="JZG87" s="916"/>
      <c r="JZH87" s="916"/>
      <c r="JZI87" s="916"/>
      <c r="JZJ87" s="916"/>
      <c r="JZK87" s="916"/>
      <c r="JZL87" s="916"/>
      <c r="JZM87" s="916"/>
      <c r="JZN87" s="916"/>
      <c r="JZO87" s="916"/>
      <c r="JZP87" s="916"/>
      <c r="JZQ87" s="916"/>
      <c r="JZR87" s="916"/>
      <c r="JZS87" s="916"/>
      <c r="JZT87" s="916"/>
      <c r="JZU87" s="916"/>
      <c r="JZV87" s="916"/>
      <c r="JZW87" s="916"/>
      <c r="JZX87" s="916"/>
      <c r="JZY87" s="916"/>
      <c r="JZZ87" s="916"/>
      <c r="KAA87" s="916"/>
      <c r="KAB87" s="916"/>
      <c r="KAC87" s="916"/>
      <c r="KAD87" s="916"/>
      <c r="KAE87" s="916"/>
      <c r="KAF87" s="916"/>
      <c r="KAG87" s="916"/>
      <c r="KAH87" s="916"/>
      <c r="KAI87" s="916"/>
      <c r="KAJ87" s="916"/>
      <c r="KAK87" s="916"/>
      <c r="KAL87" s="916"/>
      <c r="KAM87" s="916"/>
      <c r="KAN87" s="916"/>
      <c r="KAO87" s="916"/>
      <c r="KAP87" s="916"/>
      <c r="KAQ87" s="916"/>
      <c r="KAR87" s="916"/>
      <c r="KAS87" s="916"/>
      <c r="KAT87" s="916"/>
      <c r="KAU87" s="916"/>
      <c r="KAV87" s="916"/>
      <c r="KAW87" s="916"/>
      <c r="KAX87" s="916"/>
      <c r="KAY87" s="916"/>
      <c r="KAZ87" s="916"/>
      <c r="KBA87" s="916"/>
      <c r="KBB87" s="916"/>
      <c r="KBC87" s="916"/>
      <c r="KBD87" s="916"/>
      <c r="KBE87" s="916"/>
      <c r="KBF87" s="916"/>
      <c r="KBG87" s="916"/>
      <c r="KBH87" s="916"/>
      <c r="KBI87" s="916"/>
      <c r="KBJ87" s="916"/>
      <c r="KBK87" s="916"/>
      <c r="KBL87" s="916"/>
      <c r="KBM87" s="916"/>
      <c r="KBN87" s="916"/>
      <c r="KBO87" s="916"/>
      <c r="KBP87" s="916"/>
      <c r="KBQ87" s="916"/>
      <c r="KBR87" s="916"/>
      <c r="KBS87" s="916"/>
      <c r="KBT87" s="916"/>
      <c r="KBU87" s="916"/>
      <c r="KBV87" s="916"/>
      <c r="KBW87" s="916"/>
      <c r="KBX87" s="916"/>
      <c r="KBY87" s="916"/>
      <c r="KBZ87" s="916"/>
      <c r="KCA87" s="916"/>
      <c r="KCB87" s="916"/>
      <c r="KCC87" s="916"/>
      <c r="KCD87" s="916"/>
      <c r="KCE87" s="916"/>
      <c r="KCF87" s="916"/>
      <c r="KCG87" s="916"/>
      <c r="KCH87" s="916"/>
      <c r="KCI87" s="916"/>
      <c r="KCJ87" s="916"/>
      <c r="KCK87" s="916"/>
      <c r="KCL87" s="916"/>
      <c r="KCM87" s="916"/>
      <c r="KCN87" s="916"/>
      <c r="KCO87" s="916"/>
      <c r="KCP87" s="916"/>
      <c r="KCQ87" s="916"/>
      <c r="KCR87" s="916"/>
      <c r="KCS87" s="916"/>
      <c r="KCT87" s="916"/>
      <c r="KCU87" s="916"/>
      <c r="KCV87" s="916"/>
      <c r="KCW87" s="916"/>
      <c r="KCX87" s="916"/>
      <c r="KCY87" s="916"/>
      <c r="KCZ87" s="916"/>
      <c r="KDA87" s="916"/>
      <c r="KDB87" s="916"/>
      <c r="KDC87" s="916"/>
      <c r="KDD87" s="916"/>
      <c r="KDE87" s="916"/>
      <c r="KDF87" s="916"/>
      <c r="KDG87" s="916"/>
      <c r="KDH87" s="916"/>
      <c r="KDI87" s="916"/>
      <c r="KDJ87" s="916"/>
      <c r="KDK87" s="916"/>
      <c r="KDL87" s="916"/>
      <c r="KDM87" s="916"/>
      <c r="KDN87" s="916"/>
      <c r="KDO87" s="916"/>
      <c r="KDP87" s="916"/>
      <c r="KDQ87" s="916"/>
      <c r="KDR87" s="916"/>
      <c r="KDS87" s="916"/>
      <c r="KDT87" s="916"/>
      <c r="KDU87" s="916"/>
      <c r="KDV87" s="916"/>
      <c r="KDW87" s="916"/>
      <c r="KDX87" s="916"/>
      <c r="KDY87" s="916"/>
      <c r="KDZ87" s="916"/>
      <c r="KEA87" s="916"/>
      <c r="KEB87" s="916"/>
      <c r="KEC87" s="916"/>
      <c r="KED87" s="916"/>
      <c r="KEE87" s="916"/>
      <c r="KEF87" s="916"/>
      <c r="KEG87" s="916"/>
      <c r="KEH87" s="916"/>
      <c r="KEI87" s="916"/>
      <c r="KEJ87" s="916"/>
      <c r="KEK87" s="916"/>
      <c r="KEL87" s="916"/>
      <c r="KEM87" s="916"/>
      <c r="KEN87" s="916"/>
      <c r="KEO87" s="916"/>
      <c r="KEP87" s="916"/>
      <c r="KEQ87" s="916"/>
      <c r="KER87" s="916"/>
      <c r="KES87" s="916"/>
      <c r="KET87" s="916"/>
      <c r="KEU87" s="916"/>
      <c r="KEV87" s="916"/>
      <c r="KEW87" s="916"/>
      <c r="KEX87" s="916"/>
      <c r="KEY87" s="916"/>
      <c r="KEZ87" s="916"/>
      <c r="KFA87" s="916"/>
      <c r="KFB87" s="916"/>
      <c r="KFC87" s="916"/>
      <c r="KFD87" s="916"/>
      <c r="KFE87" s="916"/>
      <c r="KFF87" s="916"/>
      <c r="KFG87" s="916"/>
      <c r="KFH87" s="916"/>
      <c r="KFI87" s="916"/>
      <c r="KFJ87" s="916"/>
      <c r="KFK87" s="916"/>
      <c r="KFL87" s="916"/>
      <c r="KFM87" s="916"/>
      <c r="KFN87" s="916"/>
      <c r="KFO87" s="916"/>
      <c r="KFP87" s="916"/>
      <c r="KFQ87" s="916"/>
      <c r="KFR87" s="916"/>
      <c r="KFS87" s="916"/>
      <c r="KFT87" s="916"/>
      <c r="KFU87" s="916"/>
      <c r="KFV87" s="916"/>
      <c r="KFW87" s="916"/>
      <c r="KFX87" s="916"/>
      <c r="KFY87" s="916"/>
      <c r="KFZ87" s="916"/>
      <c r="KGA87" s="916"/>
      <c r="KGB87" s="916"/>
      <c r="KGC87" s="916"/>
      <c r="KGD87" s="916"/>
      <c r="KGE87" s="916"/>
      <c r="KGF87" s="916"/>
      <c r="KGG87" s="916"/>
      <c r="KGH87" s="916"/>
      <c r="KGI87" s="916"/>
      <c r="KGJ87" s="916"/>
      <c r="KGK87" s="916"/>
      <c r="KGL87" s="916"/>
      <c r="KGM87" s="916"/>
      <c r="KGN87" s="916"/>
      <c r="KGO87" s="916"/>
      <c r="KGP87" s="916"/>
      <c r="KGQ87" s="916"/>
      <c r="KGR87" s="916"/>
      <c r="KGS87" s="916"/>
      <c r="KGT87" s="916"/>
      <c r="KGU87" s="916"/>
      <c r="KGV87" s="916"/>
      <c r="KGW87" s="916"/>
      <c r="KGX87" s="916"/>
      <c r="KGY87" s="916"/>
      <c r="KGZ87" s="916"/>
      <c r="KHA87" s="916"/>
      <c r="KHB87" s="916"/>
      <c r="KHC87" s="916"/>
      <c r="KHD87" s="916"/>
      <c r="KHE87" s="916"/>
      <c r="KHF87" s="916"/>
      <c r="KHG87" s="916"/>
      <c r="KHH87" s="916"/>
      <c r="KHI87" s="916"/>
      <c r="KHJ87" s="916"/>
      <c r="KHK87" s="916"/>
      <c r="KHL87" s="916"/>
      <c r="KHM87" s="916"/>
      <c r="KHN87" s="916"/>
      <c r="KHO87" s="916"/>
      <c r="KHP87" s="916"/>
      <c r="KHQ87" s="916"/>
      <c r="KHR87" s="916"/>
      <c r="KHS87" s="916"/>
      <c r="KHT87" s="916"/>
      <c r="KHU87" s="916"/>
      <c r="KHV87" s="916"/>
      <c r="KHW87" s="916"/>
      <c r="KHX87" s="916"/>
      <c r="KHY87" s="916"/>
      <c r="KHZ87" s="916"/>
      <c r="KIA87" s="916"/>
      <c r="KIB87" s="916"/>
      <c r="KIC87" s="916"/>
      <c r="KID87" s="916"/>
      <c r="KIE87" s="916"/>
      <c r="KIF87" s="916"/>
      <c r="KIG87" s="916"/>
      <c r="KIH87" s="916"/>
      <c r="KII87" s="916"/>
      <c r="KIJ87" s="916"/>
      <c r="KIK87" s="916"/>
      <c r="KIL87" s="916"/>
      <c r="KIM87" s="916"/>
      <c r="KIN87" s="916"/>
      <c r="KIO87" s="916"/>
      <c r="KIP87" s="916"/>
      <c r="KIQ87" s="916"/>
      <c r="KIR87" s="916"/>
      <c r="KIS87" s="916"/>
      <c r="KIT87" s="916"/>
      <c r="KIU87" s="916"/>
      <c r="KIV87" s="916"/>
      <c r="KIW87" s="916"/>
      <c r="KIX87" s="916"/>
      <c r="KIY87" s="916"/>
      <c r="KIZ87" s="916"/>
      <c r="KJA87" s="916"/>
      <c r="KJB87" s="916"/>
      <c r="KJC87" s="916"/>
      <c r="KJD87" s="916"/>
      <c r="KJE87" s="916"/>
      <c r="KJF87" s="916"/>
      <c r="KJG87" s="916"/>
      <c r="KJH87" s="916"/>
      <c r="KJI87" s="916"/>
      <c r="KJJ87" s="916"/>
      <c r="KJK87" s="916"/>
      <c r="KJL87" s="916"/>
      <c r="KJM87" s="916"/>
      <c r="KJN87" s="916"/>
      <c r="KJO87" s="916"/>
      <c r="KJP87" s="916"/>
      <c r="KJQ87" s="916"/>
      <c r="KJR87" s="916"/>
      <c r="KJS87" s="916"/>
      <c r="KJT87" s="916"/>
      <c r="KJU87" s="916"/>
      <c r="KJV87" s="916"/>
      <c r="KJW87" s="916"/>
      <c r="KJX87" s="916"/>
      <c r="KJY87" s="916"/>
      <c r="KJZ87" s="916"/>
      <c r="KKA87" s="916"/>
      <c r="KKB87" s="916"/>
      <c r="KKC87" s="916"/>
      <c r="KKD87" s="916"/>
      <c r="KKE87" s="916"/>
      <c r="KKF87" s="916"/>
      <c r="KKG87" s="916"/>
      <c r="KKH87" s="916"/>
      <c r="KKI87" s="916"/>
      <c r="KKJ87" s="916"/>
      <c r="KKK87" s="916"/>
      <c r="KKL87" s="916"/>
      <c r="KKM87" s="916"/>
      <c r="KKN87" s="916"/>
      <c r="KKO87" s="916"/>
      <c r="KKP87" s="916"/>
      <c r="KKQ87" s="916"/>
      <c r="KKR87" s="916"/>
      <c r="KKS87" s="916"/>
      <c r="KKT87" s="916"/>
      <c r="KKU87" s="916"/>
      <c r="KKV87" s="916"/>
      <c r="KKW87" s="916"/>
      <c r="KKX87" s="916"/>
      <c r="KKY87" s="916"/>
      <c r="KKZ87" s="916"/>
      <c r="KLA87" s="916"/>
      <c r="KLB87" s="916"/>
      <c r="KLC87" s="916"/>
      <c r="KLD87" s="916"/>
      <c r="KLE87" s="916"/>
      <c r="KLF87" s="916"/>
      <c r="KLG87" s="916"/>
      <c r="KLH87" s="916"/>
      <c r="KLI87" s="916"/>
      <c r="KLJ87" s="916"/>
      <c r="KLK87" s="916"/>
      <c r="KLL87" s="916"/>
      <c r="KLM87" s="916"/>
      <c r="KLN87" s="916"/>
      <c r="KLO87" s="916"/>
      <c r="KLP87" s="916"/>
      <c r="KLQ87" s="916"/>
      <c r="KLR87" s="916"/>
      <c r="KLS87" s="916"/>
      <c r="KLT87" s="916"/>
      <c r="KLU87" s="916"/>
      <c r="KLV87" s="916"/>
      <c r="KLW87" s="916"/>
      <c r="KLX87" s="916"/>
      <c r="KLY87" s="916"/>
      <c r="KLZ87" s="916"/>
      <c r="KMA87" s="916"/>
      <c r="KMB87" s="916"/>
      <c r="KMC87" s="916"/>
      <c r="KMD87" s="916"/>
      <c r="KME87" s="916"/>
      <c r="KMF87" s="916"/>
      <c r="KMG87" s="916"/>
      <c r="KMH87" s="916"/>
      <c r="KMI87" s="916"/>
      <c r="KMJ87" s="916"/>
      <c r="KMK87" s="916"/>
      <c r="KML87" s="916"/>
      <c r="KMM87" s="916"/>
      <c r="KMN87" s="916"/>
      <c r="KMO87" s="916"/>
      <c r="KMP87" s="916"/>
      <c r="KMQ87" s="916"/>
      <c r="KMR87" s="916"/>
      <c r="KMS87" s="916"/>
      <c r="KMT87" s="916"/>
      <c r="KMU87" s="916"/>
      <c r="KMV87" s="916"/>
      <c r="KMW87" s="916"/>
      <c r="KMX87" s="916"/>
      <c r="KMY87" s="916"/>
      <c r="KMZ87" s="916"/>
      <c r="KNA87" s="916"/>
      <c r="KNB87" s="916"/>
      <c r="KNC87" s="916"/>
      <c r="KND87" s="916"/>
      <c r="KNE87" s="916"/>
      <c r="KNF87" s="916"/>
      <c r="KNG87" s="916"/>
      <c r="KNH87" s="916"/>
      <c r="KNI87" s="916"/>
      <c r="KNJ87" s="916"/>
      <c r="KNK87" s="916"/>
      <c r="KNL87" s="916"/>
      <c r="KNM87" s="916"/>
      <c r="KNN87" s="916"/>
      <c r="KNO87" s="916"/>
      <c r="KNP87" s="916"/>
      <c r="KNQ87" s="916"/>
      <c r="KNR87" s="916"/>
      <c r="KNS87" s="916"/>
      <c r="KNT87" s="916"/>
      <c r="KNU87" s="916"/>
      <c r="KNV87" s="916"/>
      <c r="KNW87" s="916"/>
      <c r="KNX87" s="916"/>
      <c r="KNY87" s="916"/>
      <c r="KNZ87" s="916"/>
      <c r="KOA87" s="916"/>
      <c r="KOB87" s="916"/>
      <c r="KOC87" s="916"/>
      <c r="KOD87" s="916"/>
      <c r="KOE87" s="916"/>
      <c r="KOF87" s="916"/>
      <c r="KOG87" s="916"/>
      <c r="KOH87" s="916"/>
      <c r="KOI87" s="916"/>
      <c r="KOJ87" s="916"/>
      <c r="KOK87" s="916"/>
      <c r="KOL87" s="916"/>
      <c r="KOM87" s="916"/>
      <c r="KON87" s="916"/>
      <c r="KOO87" s="916"/>
      <c r="KOP87" s="916"/>
      <c r="KOQ87" s="916"/>
      <c r="KOR87" s="916"/>
      <c r="KOS87" s="916"/>
      <c r="KOT87" s="916"/>
      <c r="KOU87" s="916"/>
      <c r="KOV87" s="916"/>
      <c r="KOW87" s="916"/>
      <c r="KOX87" s="916"/>
      <c r="KOY87" s="916"/>
      <c r="KOZ87" s="916"/>
      <c r="KPA87" s="916"/>
      <c r="KPB87" s="916"/>
      <c r="KPC87" s="916"/>
      <c r="KPD87" s="916"/>
      <c r="KPE87" s="916"/>
      <c r="KPF87" s="916"/>
      <c r="KPG87" s="916"/>
      <c r="KPH87" s="916"/>
      <c r="KPI87" s="916"/>
      <c r="KPJ87" s="916"/>
      <c r="KPK87" s="916"/>
      <c r="KPL87" s="916"/>
      <c r="KPM87" s="916"/>
      <c r="KPN87" s="916"/>
      <c r="KPO87" s="916"/>
      <c r="KPP87" s="916"/>
      <c r="KPQ87" s="916"/>
      <c r="KPR87" s="916"/>
      <c r="KPS87" s="916"/>
      <c r="KPT87" s="916"/>
      <c r="KPU87" s="916"/>
      <c r="KPV87" s="916"/>
      <c r="KPW87" s="916"/>
      <c r="KPX87" s="916"/>
      <c r="KPY87" s="916"/>
      <c r="KPZ87" s="916"/>
      <c r="KQA87" s="916"/>
      <c r="KQB87" s="916"/>
      <c r="KQC87" s="916"/>
      <c r="KQD87" s="916"/>
      <c r="KQE87" s="916"/>
      <c r="KQF87" s="916"/>
      <c r="KQG87" s="916"/>
      <c r="KQH87" s="916"/>
      <c r="KQI87" s="916"/>
      <c r="KQJ87" s="916"/>
      <c r="KQK87" s="916"/>
      <c r="KQL87" s="916"/>
      <c r="KQM87" s="916"/>
      <c r="KQN87" s="916"/>
      <c r="KQO87" s="916"/>
      <c r="KQP87" s="916"/>
      <c r="KQQ87" s="916"/>
      <c r="KQR87" s="916"/>
      <c r="KQS87" s="916"/>
      <c r="KQT87" s="916"/>
      <c r="KQU87" s="916"/>
      <c r="KQV87" s="916"/>
      <c r="KQW87" s="916"/>
      <c r="KQX87" s="916"/>
      <c r="KQY87" s="916"/>
      <c r="KQZ87" s="916"/>
      <c r="KRA87" s="916"/>
      <c r="KRB87" s="916"/>
      <c r="KRC87" s="916"/>
      <c r="KRD87" s="916"/>
      <c r="KRE87" s="916"/>
      <c r="KRF87" s="916"/>
      <c r="KRG87" s="916"/>
      <c r="KRH87" s="916"/>
      <c r="KRI87" s="916"/>
      <c r="KRJ87" s="916"/>
      <c r="KRK87" s="916"/>
      <c r="KRL87" s="916"/>
      <c r="KRM87" s="916"/>
      <c r="KRN87" s="916"/>
      <c r="KRO87" s="916"/>
      <c r="KRP87" s="916"/>
      <c r="KRQ87" s="916"/>
      <c r="KRR87" s="916"/>
      <c r="KRS87" s="916"/>
      <c r="KRT87" s="916"/>
      <c r="KRU87" s="916"/>
      <c r="KRV87" s="916"/>
      <c r="KRW87" s="916"/>
      <c r="KRX87" s="916"/>
      <c r="KRY87" s="916"/>
      <c r="KRZ87" s="916"/>
      <c r="KSA87" s="916"/>
      <c r="KSB87" s="916"/>
      <c r="KSC87" s="916"/>
      <c r="KSD87" s="916"/>
      <c r="KSE87" s="916"/>
      <c r="KSF87" s="916"/>
      <c r="KSG87" s="916"/>
      <c r="KSH87" s="916"/>
      <c r="KSI87" s="916"/>
      <c r="KSJ87" s="916"/>
      <c r="KSK87" s="916"/>
      <c r="KSL87" s="916"/>
      <c r="KSM87" s="916"/>
      <c r="KSN87" s="916"/>
      <c r="KSO87" s="916"/>
      <c r="KSP87" s="916"/>
      <c r="KSQ87" s="916"/>
      <c r="KSR87" s="916"/>
      <c r="KSS87" s="916"/>
      <c r="KST87" s="916"/>
      <c r="KSU87" s="916"/>
      <c r="KSV87" s="916"/>
      <c r="KSW87" s="916"/>
      <c r="KSX87" s="916"/>
      <c r="KSY87" s="916"/>
      <c r="KSZ87" s="916"/>
      <c r="KTA87" s="916"/>
      <c r="KTB87" s="916"/>
      <c r="KTC87" s="916"/>
      <c r="KTD87" s="916"/>
      <c r="KTE87" s="916"/>
      <c r="KTF87" s="916"/>
      <c r="KTG87" s="916"/>
      <c r="KTH87" s="916"/>
      <c r="KTI87" s="916"/>
      <c r="KTJ87" s="916"/>
      <c r="KTK87" s="916"/>
      <c r="KTL87" s="916"/>
      <c r="KTM87" s="916"/>
      <c r="KTN87" s="916"/>
      <c r="KTO87" s="916"/>
      <c r="KTP87" s="916"/>
      <c r="KTQ87" s="916"/>
      <c r="KTR87" s="916"/>
      <c r="KTS87" s="916"/>
      <c r="KTT87" s="916"/>
      <c r="KTU87" s="916"/>
      <c r="KTV87" s="916"/>
      <c r="KTW87" s="916"/>
      <c r="KTX87" s="916"/>
      <c r="KTY87" s="916"/>
      <c r="KTZ87" s="916"/>
      <c r="KUA87" s="916"/>
      <c r="KUB87" s="916"/>
      <c r="KUC87" s="916"/>
      <c r="KUD87" s="916"/>
      <c r="KUE87" s="916"/>
      <c r="KUF87" s="916"/>
      <c r="KUG87" s="916"/>
      <c r="KUH87" s="916"/>
      <c r="KUI87" s="916"/>
      <c r="KUJ87" s="916"/>
      <c r="KUK87" s="916"/>
      <c r="KUL87" s="916"/>
      <c r="KUM87" s="916"/>
      <c r="KUN87" s="916"/>
      <c r="KUO87" s="916"/>
      <c r="KUP87" s="916"/>
      <c r="KUQ87" s="916"/>
      <c r="KUR87" s="916"/>
      <c r="KUS87" s="916"/>
      <c r="KUT87" s="916"/>
      <c r="KUU87" s="916"/>
      <c r="KUV87" s="916"/>
      <c r="KUW87" s="916"/>
      <c r="KUX87" s="916"/>
      <c r="KUY87" s="916"/>
      <c r="KUZ87" s="916"/>
      <c r="KVA87" s="916"/>
      <c r="KVB87" s="916"/>
      <c r="KVC87" s="916"/>
      <c r="KVD87" s="916"/>
      <c r="KVE87" s="916"/>
      <c r="KVF87" s="916"/>
      <c r="KVG87" s="916"/>
      <c r="KVH87" s="916"/>
      <c r="KVI87" s="916"/>
      <c r="KVJ87" s="916"/>
      <c r="KVK87" s="916"/>
      <c r="KVL87" s="916"/>
      <c r="KVM87" s="916"/>
      <c r="KVN87" s="916"/>
      <c r="KVO87" s="916"/>
      <c r="KVP87" s="916"/>
      <c r="KVQ87" s="916"/>
      <c r="KVR87" s="916"/>
      <c r="KVS87" s="916"/>
      <c r="KVT87" s="916"/>
      <c r="KVU87" s="916"/>
      <c r="KVV87" s="916"/>
      <c r="KVW87" s="916"/>
      <c r="KVX87" s="916"/>
      <c r="KVY87" s="916"/>
      <c r="KVZ87" s="916"/>
      <c r="KWA87" s="916"/>
      <c r="KWB87" s="916"/>
      <c r="KWC87" s="916"/>
      <c r="KWD87" s="916"/>
      <c r="KWE87" s="916"/>
      <c r="KWF87" s="916"/>
      <c r="KWG87" s="916"/>
      <c r="KWH87" s="916"/>
      <c r="KWI87" s="916"/>
      <c r="KWJ87" s="916"/>
      <c r="KWK87" s="916"/>
      <c r="KWL87" s="916"/>
      <c r="KWM87" s="916"/>
      <c r="KWN87" s="916"/>
      <c r="KWO87" s="916"/>
      <c r="KWP87" s="916"/>
      <c r="KWQ87" s="916"/>
      <c r="KWR87" s="916"/>
      <c r="KWS87" s="916"/>
      <c r="KWT87" s="916"/>
      <c r="KWU87" s="916"/>
      <c r="KWV87" s="916"/>
      <c r="KWW87" s="916"/>
      <c r="KWX87" s="916"/>
      <c r="KWY87" s="916"/>
      <c r="KWZ87" s="916"/>
      <c r="KXA87" s="916"/>
      <c r="KXB87" s="916"/>
      <c r="KXC87" s="916"/>
      <c r="KXD87" s="916"/>
      <c r="KXE87" s="916"/>
      <c r="KXF87" s="916"/>
      <c r="KXG87" s="916"/>
      <c r="KXH87" s="916"/>
      <c r="KXI87" s="916"/>
      <c r="KXJ87" s="916"/>
      <c r="KXK87" s="916"/>
      <c r="KXL87" s="916"/>
      <c r="KXM87" s="916"/>
      <c r="KXN87" s="916"/>
      <c r="KXO87" s="916"/>
      <c r="KXP87" s="916"/>
      <c r="KXQ87" s="916"/>
      <c r="KXR87" s="916"/>
      <c r="KXS87" s="916"/>
      <c r="KXT87" s="916"/>
      <c r="KXU87" s="916"/>
      <c r="KXV87" s="916"/>
      <c r="KXW87" s="916"/>
      <c r="KXX87" s="916"/>
      <c r="KXY87" s="916"/>
      <c r="KXZ87" s="916"/>
      <c r="KYA87" s="916"/>
      <c r="KYB87" s="916"/>
      <c r="KYC87" s="916"/>
      <c r="KYD87" s="916"/>
      <c r="KYE87" s="916"/>
      <c r="KYF87" s="916"/>
      <c r="KYG87" s="916"/>
      <c r="KYH87" s="916"/>
      <c r="KYI87" s="916"/>
      <c r="KYJ87" s="916"/>
      <c r="KYK87" s="916"/>
      <c r="KYL87" s="916"/>
      <c r="KYM87" s="916"/>
      <c r="KYN87" s="916"/>
      <c r="KYO87" s="916"/>
      <c r="KYP87" s="916"/>
      <c r="KYQ87" s="916"/>
      <c r="KYR87" s="916"/>
      <c r="KYS87" s="916"/>
      <c r="KYT87" s="916"/>
      <c r="KYU87" s="916"/>
      <c r="KYV87" s="916"/>
      <c r="KYW87" s="916"/>
      <c r="KYX87" s="916"/>
      <c r="KYY87" s="916"/>
      <c r="KYZ87" s="916"/>
      <c r="KZA87" s="916"/>
      <c r="KZB87" s="916"/>
      <c r="KZC87" s="916"/>
      <c r="KZD87" s="916"/>
      <c r="KZE87" s="916"/>
      <c r="KZF87" s="916"/>
      <c r="KZG87" s="916"/>
      <c r="KZH87" s="916"/>
      <c r="KZI87" s="916"/>
      <c r="KZJ87" s="916"/>
      <c r="KZK87" s="916"/>
      <c r="KZL87" s="916"/>
      <c r="KZM87" s="916"/>
      <c r="KZN87" s="916"/>
      <c r="KZO87" s="916"/>
      <c r="KZP87" s="916"/>
      <c r="KZQ87" s="916"/>
      <c r="KZR87" s="916"/>
      <c r="KZS87" s="916"/>
      <c r="KZT87" s="916"/>
      <c r="KZU87" s="916"/>
      <c r="KZV87" s="916"/>
      <c r="KZW87" s="916"/>
      <c r="KZX87" s="916"/>
      <c r="KZY87" s="916"/>
      <c r="KZZ87" s="916"/>
      <c r="LAA87" s="916"/>
      <c r="LAB87" s="916"/>
      <c r="LAC87" s="916"/>
      <c r="LAD87" s="916"/>
      <c r="LAE87" s="916"/>
      <c r="LAF87" s="916"/>
      <c r="LAG87" s="916"/>
      <c r="LAH87" s="916"/>
      <c r="LAI87" s="916"/>
      <c r="LAJ87" s="916"/>
      <c r="LAK87" s="916"/>
      <c r="LAL87" s="916"/>
      <c r="LAM87" s="916"/>
      <c r="LAN87" s="916"/>
      <c r="LAO87" s="916"/>
      <c r="LAP87" s="916"/>
      <c r="LAQ87" s="916"/>
      <c r="LAR87" s="916"/>
      <c r="LAS87" s="916"/>
      <c r="LAT87" s="916"/>
      <c r="LAU87" s="916"/>
      <c r="LAV87" s="916"/>
      <c r="LAW87" s="916"/>
      <c r="LAX87" s="916"/>
      <c r="LAY87" s="916"/>
      <c r="LAZ87" s="916"/>
      <c r="LBA87" s="916"/>
      <c r="LBB87" s="916"/>
      <c r="LBC87" s="916"/>
      <c r="LBD87" s="916"/>
      <c r="LBE87" s="916"/>
      <c r="LBF87" s="916"/>
      <c r="LBG87" s="916"/>
      <c r="LBH87" s="916"/>
      <c r="LBI87" s="916"/>
      <c r="LBJ87" s="916"/>
      <c r="LBK87" s="916"/>
      <c r="LBL87" s="916"/>
      <c r="LBM87" s="916"/>
      <c r="LBN87" s="916"/>
      <c r="LBO87" s="916"/>
      <c r="LBP87" s="916"/>
      <c r="LBQ87" s="916"/>
      <c r="LBR87" s="916"/>
      <c r="LBS87" s="916"/>
      <c r="LBT87" s="916"/>
      <c r="LBU87" s="916"/>
      <c r="LBV87" s="916"/>
      <c r="LBW87" s="916"/>
      <c r="LBX87" s="916"/>
      <c r="LBY87" s="916"/>
      <c r="LBZ87" s="916"/>
      <c r="LCA87" s="916"/>
      <c r="LCB87" s="916"/>
      <c r="LCC87" s="916"/>
      <c r="LCD87" s="916"/>
      <c r="LCE87" s="916"/>
      <c r="LCF87" s="916"/>
      <c r="LCG87" s="916"/>
      <c r="LCH87" s="916"/>
      <c r="LCI87" s="916"/>
      <c r="LCJ87" s="916"/>
      <c r="LCK87" s="916"/>
      <c r="LCL87" s="916"/>
      <c r="LCM87" s="916"/>
      <c r="LCN87" s="916"/>
      <c r="LCO87" s="916"/>
      <c r="LCP87" s="916"/>
      <c r="LCQ87" s="916"/>
      <c r="LCR87" s="916"/>
      <c r="LCS87" s="916"/>
      <c r="LCT87" s="916"/>
      <c r="LCU87" s="916"/>
      <c r="LCV87" s="916"/>
      <c r="LCW87" s="916"/>
      <c r="LCX87" s="916"/>
      <c r="LCY87" s="916"/>
      <c r="LCZ87" s="916"/>
      <c r="LDA87" s="916"/>
      <c r="LDB87" s="916"/>
      <c r="LDC87" s="916"/>
      <c r="LDD87" s="916"/>
      <c r="LDE87" s="916"/>
      <c r="LDF87" s="916"/>
      <c r="LDG87" s="916"/>
      <c r="LDH87" s="916"/>
      <c r="LDI87" s="916"/>
      <c r="LDJ87" s="916"/>
      <c r="LDK87" s="916"/>
      <c r="LDL87" s="916"/>
      <c r="LDM87" s="916"/>
      <c r="LDN87" s="916"/>
      <c r="LDO87" s="916"/>
      <c r="LDP87" s="916"/>
      <c r="LDQ87" s="916"/>
      <c r="LDR87" s="916"/>
      <c r="LDS87" s="916"/>
      <c r="LDT87" s="916"/>
      <c r="LDU87" s="916"/>
      <c r="LDV87" s="916"/>
      <c r="LDW87" s="916"/>
      <c r="LDX87" s="916"/>
      <c r="LDY87" s="916"/>
      <c r="LDZ87" s="916"/>
      <c r="LEA87" s="916"/>
      <c r="LEB87" s="916"/>
      <c r="LEC87" s="916"/>
      <c r="LED87" s="916"/>
      <c r="LEE87" s="916"/>
      <c r="LEF87" s="916"/>
      <c r="LEG87" s="916"/>
      <c r="LEH87" s="916"/>
      <c r="LEI87" s="916"/>
      <c r="LEJ87" s="916"/>
      <c r="LEK87" s="916"/>
      <c r="LEL87" s="916"/>
      <c r="LEM87" s="916"/>
      <c r="LEN87" s="916"/>
      <c r="LEO87" s="916"/>
      <c r="LEP87" s="916"/>
      <c r="LEQ87" s="916"/>
      <c r="LER87" s="916"/>
      <c r="LES87" s="916"/>
      <c r="LET87" s="916"/>
      <c r="LEU87" s="916"/>
      <c r="LEV87" s="916"/>
      <c r="LEW87" s="916"/>
      <c r="LEX87" s="916"/>
      <c r="LEY87" s="916"/>
      <c r="LEZ87" s="916"/>
      <c r="LFA87" s="916"/>
      <c r="LFB87" s="916"/>
      <c r="LFC87" s="916"/>
      <c r="LFD87" s="916"/>
      <c r="LFE87" s="916"/>
      <c r="LFF87" s="916"/>
      <c r="LFG87" s="916"/>
      <c r="LFH87" s="916"/>
      <c r="LFI87" s="916"/>
      <c r="LFJ87" s="916"/>
      <c r="LFK87" s="916"/>
      <c r="LFL87" s="916"/>
      <c r="LFM87" s="916"/>
      <c r="LFN87" s="916"/>
      <c r="LFO87" s="916"/>
      <c r="LFP87" s="916"/>
      <c r="LFQ87" s="916"/>
      <c r="LFR87" s="916"/>
      <c r="LFS87" s="916"/>
      <c r="LFT87" s="916"/>
      <c r="LFU87" s="916"/>
      <c r="LFV87" s="916"/>
      <c r="LFW87" s="916"/>
      <c r="LFX87" s="916"/>
      <c r="LFY87" s="916"/>
      <c r="LFZ87" s="916"/>
      <c r="LGA87" s="916"/>
      <c r="LGB87" s="916"/>
      <c r="LGC87" s="916"/>
      <c r="LGD87" s="916"/>
      <c r="LGE87" s="916"/>
      <c r="LGF87" s="916"/>
      <c r="LGG87" s="916"/>
      <c r="LGH87" s="916"/>
      <c r="LGI87" s="916"/>
      <c r="LGJ87" s="916"/>
      <c r="LGK87" s="916"/>
      <c r="LGL87" s="916"/>
      <c r="LGM87" s="916"/>
      <c r="LGN87" s="916"/>
      <c r="LGO87" s="916"/>
      <c r="LGP87" s="916"/>
      <c r="LGQ87" s="916"/>
      <c r="LGR87" s="916"/>
      <c r="LGS87" s="916"/>
      <c r="LGT87" s="916"/>
      <c r="LGU87" s="916"/>
      <c r="LGV87" s="916"/>
      <c r="LGW87" s="916"/>
      <c r="LGX87" s="916"/>
      <c r="LGY87" s="916"/>
      <c r="LGZ87" s="916"/>
      <c r="LHA87" s="916"/>
      <c r="LHB87" s="916"/>
      <c r="LHC87" s="916"/>
      <c r="LHD87" s="916"/>
      <c r="LHE87" s="916"/>
      <c r="LHF87" s="916"/>
      <c r="LHG87" s="916"/>
      <c r="LHH87" s="916"/>
      <c r="LHI87" s="916"/>
      <c r="LHJ87" s="916"/>
      <c r="LHK87" s="916"/>
      <c r="LHL87" s="916"/>
      <c r="LHM87" s="916"/>
      <c r="LHN87" s="916"/>
      <c r="LHO87" s="916"/>
      <c r="LHP87" s="916"/>
      <c r="LHQ87" s="916"/>
      <c r="LHR87" s="916"/>
      <c r="LHS87" s="916"/>
      <c r="LHT87" s="916"/>
      <c r="LHU87" s="916"/>
      <c r="LHV87" s="916"/>
      <c r="LHW87" s="916"/>
      <c r="LHX87" s="916"/>
      <c r="LHY87" s="916"/>
      <c r="LHZ87" s="916"/>
      <c r="LIA87" s="916"/>
      <c r="LIB87" s="916"/>
      <c r="LIC87" s="916"/>
      <c r="LID87" s="916"/>
      <c r="LIE87" s="916"/>
      <c r="LIF87" s="916"/>
      <c r="LIG87" s="916"/>
      <c r="LIH87" s="916"/>
      <c r="LII87" s="916"/>
      <c r="LIJ87" s="916"/>
      <c r="LIK87" s="916"/>
      <c r="LIL87" s="916"/>
      <c r="LIM87" s="916"/>
      <c r="LIN87" s="916"/>
      <c r="LIO87" s="916"/>
      <c r="LIP87" s="916"/>
      <c r="LIQ87" s="916"/>
      <c r="LIR87" s="916"/>
      <c r="LIS87" s="916"/>
      <c r="LIT87" s="916"/>
      <c r="LIU87" s="916"/>
      <c r="LIV87" s="916"/>
      <c r="LIW87" s="916"/>
      <c r="LIX87" s="916"/>
      <c r="LIY87" s="916"/>
      <c r="LIZ87" s="916"/>
      <c r="LJA87" s="916"/>
      <c r="LJB87" s="916"/>
      <c r="LJC87" s="916"/>
      <c r="LJD87" s="916"/>
      <c r="LJE87" s="916"/>
      <c r="LJF87" s="916"/>
      <c r="LJG87" s="916"/>
      <c r="LJH87" s="916"/>
      <c r="LJI87" s="916"/>
      <c r="LJJ87" s="916"/>
      <c r="LJK87" s="916"/>
      <c r="LJL87" s="916"/>
      <c r="LJM87" s="916"/>
      <c r="LJN87" s="916"/>
      <c r="LJO87" s="916"/>
      <c r="LJP87" s="916"/>
      <c r="LJQ87" s="916"/>
      <c r="LJR87" s="916"/>
      <c r="LJS87" s="916"/>
      <c r="LJT87" s="916"/>
      <c r="LJU87" s="916"/>
      <c r="LJV87" s="916"/>
      <c r="LJW87" s="916"/>
      <c r="LJX87" s="916"/>
      <c r="LJY87" s="916"/>
      <c r="LJZ87" s="916"/>
      <c r="LKA87" s="916"/>
      <c r="LKB87" s="916"/>
      <c r="LKC87" s="916"/>
      <c r="LKD87" s="916"/>
      <c r="LKE87" s="916"/>
      <c r="LKF87" s="916"/>
      <c r="LKG87" s="916"/>
      <c r="LKH87" s="916"/>
      <c r="LKI87" s="916"/>
      <c r="LKJ87" s="916"/>
      <c r="LKK87" s="916"/>
      <c r="LKL87" s="916"/>
      <c r="LKM87" s="916"/>
      <c r="LKN87" s="916"/>
      <c r="LKO87" s="916"/>
      <c r="LKP87" s="916"/>
      <c r="LKQ87" s="916"/>
      <c r="LKR87" s="916"/>
      <c r="LKS87" s="916"/>
      <c r="LKT87" s="916"/>
      <c r="LKU87" s="916"/>
      <c r="LKV87" s="916"/>
      <c r="LKW87" s="916"/>
      <c r="LKX87" s="916"/>
      <c r="LKY87" s="916"/>
      <c r="LKZ87" s="916"/>
      <c r="LLA87" s="916"/>
      <c r="LLB87" s="916"/>
      <c r="LLC87" s="916"/>
      <c r="LLD87" s="916"/>
      <c r="LLE87" s="916"/>
      <c r="LLF87" s="916"/>
      <c r="LLG87" s="916"/>
      <c r="LLH87" s="916"/>
      <c r="LLI87" s="916"/>
      <c r="LLJ87" s="916"/>
      <c r="LLK87" s="916"/>
      <c r="LLL87" s="916"/>
      <c r="LLM87" s="916"/>
      <c r="LLN87" s="916"/>
      <c r="LLO87" s="916"/>
      <c r="LLP87" s="916"/>
      <c r="LLQ87" s="916"/>
      <c r="LLR87" s="916"/>
      <c r="LLS87" s="916"/>
      <c r="LLT87" s="916"/>
      <c r="LLU87" s="916"/>
      <c r="LLV87" s="916"/>
      <c r="LLW87" s="916"/>
      <c r="LLX87" s="916"/>
      <c r="LLY87" s="916"/>
      <c r="LLZ87" s="916"/>
      <c r="LMA87" s="916"/>
      <c r="LMB87" s="916"/>
      <c r="LMC87" s="916"/>
      <c r="LMD87" s="916"/>
      <c r="LME87" s="916"/>
      <c r="LMF87" s="916"/>
      <c r="LMG87" s="916"/>
      <c r="LMH87" s="916"/>
      <c r="LMI87" s="916"/>
      <c r="LMJ87" s="916"/>
      <c r="LMK87" s="916"/>
      <c r="LML87" s="916"/>
      <c r="LMM87" s="916"/>
      <c r="LMN87" s="916"/>
      <c r="LMO87" s="916"/>
      <c r="LMP87" s="916"/>
      <c r="LMQ87" s="916"/>
      <c r="LMR87" s="916"/>
      <c r="LMS87" s="916"/>
      <c r="LMT87" s="916"/>
      <c r="LMU87" s="916"/>
      <c r="LMV87" s="916"/>
      <c r="LMW87" s="916"/>
      <c r="LMX87" s="916"/>
      <c r="LMY87" s="916"/>
      <c r="LMZ87" s="916"/>
      <c r="LNA87" s="916"/>
      <c r="LNB87" s="916"/>
      <c r="LNC87" s="916"/>
      <c r="LND87" s="916"/>
      <c r="LNE87" s="916"/>
      <c r="LNF87" s="916"/>
      <c r="LNG87" s="916"/>
      <c r="LNH87" s="916"/>
      <c r="LNI87" s="916"/>
      <c r="LNJ87" s="916"/>
      <c r="LNK87" s="916"/>
      <c r="LNL87" s="916"/>
      <c r="LNM87" s="916"/>
      <c r="LNN87" s="916"/>
      <c r="LNO87" s="916"/>
      <c r="LNP87" s="916"/>
      <c r="LNQ87" s="916"/>
      <c r="LNR87" s="916"/>
      <c r="LNS87" s="916"/>
      <c r="LNT87" s="916"/>
      <c r="LNU87" s="916"/>
      <c r="LNV87" s="916"/>
      <c r="LNW87" s="916"/>
      <c r="LNX87" s="916"/>
      <c r="LNY87" s="916"/>
      <c r="LNZ87" s="916"/>
      <c r="LOA87" s="916"/>
      <c r="LOB87" s="916"/>
      <c r="LOC87" s="916"/>
      <c r="LOD87" s="916"/>
      <c r="LOE87" s="916"/>
      <c r="LOF87" s="916"/>
      <c r="LOG87" s="916"/>
      <c r="LOH87" s="916"/>
      <c r="LOI87" s="916"/>
      <c r="LOJ87" s="916"/>
      <c r="LOK87" s="916"/>
      <c r="LOL87" s="916"/>
      <c r="LOM87" s="916"/>
      <c r="LON87" s="916"/>
      <c r="LOO87" s="916"/>
      <c r="LOP87" s="916"/>
      <c r="LOQ87" s="916"/>
      <c r="LOR87" s="916"/>
      <c r="LOS87" s="916"/>
      <c r="LOT87" s="916"/>
      <c r="LOU87" s="916"/>
      <c r="LOV87" s="916"/>
      <c r="LOW87" s="916"/>
      <c r="LOX87" s="916"/>
      <c r="LOY87" s="916"/>
      <c r="LOZ87" s="916"/>
      <c r="LPA87" s="916"/>
      <c r="LPB87" s="916"/>
      <c r="LPC87" s="916"/>
      <c r="LPD87" s="916"/>
      <c r="LPE87" s="916"/>
      <c r="LPF87" s="916"/>
      <c r="LPG87" s="916"/>
      <c r="LPH87" s="916"/>
      <c r="LPI87" s="916"/>
      <c r="LPJ87" s="916"/>
      <c r="LPK87" s="916"/>
      <c r="LPL87" s="916"/>
      <c r="LPM87" s="916"/>
      <c r="LPN87" s="916"/>
      <c r="LPO87" s="916"/>
      <c r="LPP87" s="916"/>
      <c r="LPQ87" s="916"/>
      <c r="LPR87" s="916"/>
      <c r="LPS87" s="916"/>
      <c r="LPT87" s="916"/>
      <c r="LPU87" s="916"/>
      <c r="LPV87" s="916"/>
      <c r="LPW87" s="916"/>
      <c r="LPX87" s="916"/>
      <c r="LPY87" s="916"/>
      <c r="LPZ87" s="916"/>
      <c r="LQA87" s="916"/>
      <c r="LQB87" s="916"/>
      <c r="LQC87" s="916"/>
      <c r="LQD87" s="916"/>
      <c r="LQE87" s="916"/>
      <c r="LQF87" s="916"/>
      <c r="LQG87" s="916"/>
      <c r="LQH87" s="916"/>
      <c r="LQI87" s="916"/>
      <c r="LQJ87" s="916"/>
      <c r="LQK87" s="916"/>
      <c r="LQL87" s="916"/>
      <c r="LQM87" s="916"/>
      <c r="LQN87" s="916"/>
      <c r="LQO87" s="916"/>
      <c r="LQP87" s="916"/>
      <c r="LQQ87" s="916"/>
      <c r="LQR87" s="916"/>
      <c r="LQS87" s="916"/>
      <c r="LQT87" s="916"/>
      <c r="LQU87" s="916"/>
      <c r="LQV87" s="916"/>
      <c r="LQW87" s="916"/>
      <c r="LQX87" s="916"/>
      <c r="LQY87" s="916"/>
      <c r="LQZ87" s="916"/>
      <c r="LRA87" s="916"/>
      <c r="LRB87" s="916"/>
      <c r="LRC87" s="916"/>
      <c r="LRD87" s="916"/>
      <c r="LRE87" s="916"/>
      <c r="LRF87" s="916"/>
      <c r="LRG87" s="916"/>
      <c r="LRH87" s="916"/>
      <c r="LRI87" s="916"/>
      <c r="LRJ87" s="916"/>
      <c r="LRK87" s="916"/>
      <c r="LRL87" s="916"/>
      <c r="LRM87" s="916"/>
      <c r="LRN87" s="916"/>
      <c r="LRO87" s="916"/>
      <c r="LRP87" s="916"/>
      <c r="LRQ87" s="916"/>
      <c r="LRR87" s="916"/>
      <c r="LRS87" s="916"/>
      <c r="LRT87" s="916"/>
      <c r="LRU87" s="916"/>
      <c r="LRV87" s="916"/>
      <c r="LRW87" s="916"/>
      <c r="LRX87" s="916"/>
      <c r="LRY87" s="916"/>
      <c r="LRZ87" s="916"/>
      <c r="LSA87" s="916"/>
      <c r="LSB87" s="916"/>
      <c r="LSC87" s="916"/>
      <c r="LSD87" s="916"/>
      <c r="LSE87" s="916"/>
      <c r="LSF87" s="916"/>
      <c r="LSG87" s="916"/>
      <c r="LSH87" s="916"/>
      <c r="LSI87" s="916"/>
      <c r="LSJ87" s="916"/>
      <c r="LSK87" s="916"/>
      <c r="LSL87" s="916"/>
      <c r="LSM87" s="916"/>
      <c r="LSN87" s="916"/>
      <c r="LSO87" s="916"/>
      <c r="LSP87" s="916"/>
      <c r="LSQ87" s="916"/>
      <c r="LSR87" s="916"/>
      <c r="LSS87" s="916"/>
      <c r="LST87" s="916"/>
      <c r="LSU87" s="916"/>
      <c r="LSV87" s="916"/>
      <c r="LSW87" s="916"/>
      <c r="LSX87" s="916"/>
      <c r="LSY87" s="916"/>
      <c r="LSZ87" s="916"/>
      <c r="LTA87" s="916"/>
      <c r="LTB87" s="916"/>
      <c r="LTC87" s="916"/>
      <c r="LTD87" s="916"/>
      <c r="LTE87" s="916"/>
      <c r="LTF87" s="916"/>
      <c r="LTG87" s="916"/>
      <c r="LTH87" s="916"/>
      <c r="LTI87" s="916"/>
      <c r="LTJ87" s="916"/>
      <c r="LTK87" s="916"/>
      <c r="LTL87" s="916"/>
      <c r="LTM87" s="916"/>
      <c r="LTN87" s="916"/>
      <c r="LTO87" s="916"/>
      <c r="LTP87" s="916"/>
      <c r="LTQ87" s="916"/>
      <c r="LTR87" s="916"/>
      <c r="LTS87" s="916"/>
      <c r="LTT87" s="916"/>
      <c r="LTU87" s="916"/>
      <c r="LTV87" s="916"/>
      <c r="LTW87" s="916"/>
      <c r="LTX87" s="916"/>
      <c r="LTY87" s="916"/>
      <c r="LTZ87" s="916"/>
      <c r="LUA87" s="916"/>
      <c r="LUB87" s="916"/>
      <c r="LUC87" s="916"/>
      <c r="LUD87" s="916"/>
      <c r="LUE87" s="916"/>
      <c r="LUF87" s="916"/>
      <c r="LUG87" s="916"/>
      <c r="LUH87" s="916"/>
      <c r="LUI87" s="916"/>
      <c r="LUJ87" s="916"/>
      <c r="LUK87" s="916"/>
      <c r="LUL87" s="916"/>
      <c r="LUM87" s="916"/>
      <c r="LUN87" s="916"/>
      <c r="LUO87" s="916"/>
      <c r="LUP87" s="916"/>
      <c r="LUQ87" s="916"/>
      <c r="LUR87" s="916"/>
      <c r="LUS87" s="916"/>
      <c r="LUT87" s="916"/>
      <c r="LUU87" s="916"/>
      <c r="LUV87" s="916"/>
      <c r="LUW87" s="916"/>
      <c r="LUX87" s="916"/>
      <c r="LUY87" s="916"/>
      <c r="LUZ87" s="916"/>
      <c r="LVA87" s="916"/>
      <c r="LVB87" s="916"/>
      <c r="LVC87" s="916"/>
      <c r="LVD87" s="916"/>
      <c r="LVE87" s="916"/>
      <c r="LVF87" s="916"/>
      <c r="LVG87" s="916"/>
      <c r="LVH87" s="916"/>
      <c r="LVI87" s="916"/>
      <c r="LVJ87" s="916"/>
      <c r="LVK87" s="916"/>
      <c r="LVL87" s="916"/>
      <c r="LVM87" s="916"/>
      <c r="LVN87" s="916"/>
      <c r="LVO87" s="916"/>
      <c r="LVP87" s="916"/>
      <c r="LVQ87" s="916"/>
      <c r="LVR87" s="916"/>
      <c r="LVS87" s="916"/>
      <c r="LVT87" s="916"/>
      <c r="LVU87" s="916"/>
      <c r="LVV87" s="916"/>
      <c r="LVW87" s="916"/>
      <c r="LVX87" s="916"/>
      <c r="LVY87" s="916"/>
      <c r="LVZ87" s="916"/>
      <c r="LWA87" s="916"/>
      <c r="LWB87" s="916"/>
      <c r="LWC87" s="916"/>
      <c r="LWD87" s="916"/>
      <c r="LWE87" s="916"/>
      <c r="LWF87" s="916"/>
      <c r="LWG87" s="916"/>
      <c r="LWH87" s="916"/>
      <c r="LWI87" s="916"/>
      <c r="LWJ87" s="916"/>
      <c r="LWK87" s="916"/>
      <c r="LWL87" s="916"/>
      <c r="LWM87" s="916"/>
      <c r="LWN87" s="916"/>
      <c r="LWO87" s="916"/>
      <c r="LWP87" s="916"/>
      <c r="LWQ87" s="916"/>
      <c r="LWR87" s="916"/>
      <c r="LWS87" s="916"/>
      <c r="LWT87" s="916"/>
      <c r="LWU87" s="916"/>
      <c r="LWV87" s="916"/>
      <c r="LWW87" s="916"/>
      <c r="LWX87" s="916"/>
      <c r="LWY87" s="916"/>
      <c r="LWZ87" s="916"/>
      <c r="LXA87" s="916"/>
      <c r="LXB87" s="916"/>
      <c r="LXC87" s="916"/>
      <c r="LXD87" s="916"/>
      <c r="LXE87" s="916"/>
      <c r="LXF87" s="916"/>
      <c r="LXG87" s="916"/>
      <c r="LXH87" s="916"/>
      <c r="LXI87" s="916"/>
      <c r="LXJ87" s="916"/>
      <c r="LXK87" s="916"/>
      <c r="LXL87" s="916"/>
      <c r="LXM87" s="916"/>
      <c r="LXN87" s="916"/>
      <c r="LXO87" s="916"/>
      <c r="LXP87" s="916"/>
      <c r="LXQ87" s="916"/>
      <c r="LXR87" s="916"/>
      <c r="LXS87" s="916"/>
      <c r="LXT87" s="916"/>
      <c r="LXU87" s="916"/>
      <c r="LXV87" s="916"/>
      <c r="LXW87" s="916"/>
      <c r="LXX87" s="916"/>
      <c r="LXY87" s="916"/>
      <c r="LXZ87" s="916"/>
      <c r="LYA87" s="916"/>
      <c r="LYB87" s="916"/>
      <c r="LYC87" s="916"/>
      <c r="LYD87" s="916"/>
      <c r="LYE87" s="916"/>
      <c r="LYF87" s="916"/>
      <c r="LYG87" s="916"/>
      <c r="LYH87" s="916"/>
      <c r="LYI87" s="916"/>
      <c r="LYJ87" s="916"/>
      <c r="LYK87" s="916"/>
      <c r="LYL87" s="916"/>
      <c r="LYM87" s="916"/>
      <c r="LYN87" s="916"/>
      <c r="LYO87" s="916"/>
      <c r="LYP87" s="916"/>
      <c r="LYQ87" s="916"/>
      <c r="LYR87" s="916"/>
      <c r="LYS87" s="916"/>
      <c r="LYT87" s="916"/>
      <c r="LYU87" s="916"/>
      <c r="LYV87" s="916"/>
      <c r="LYW87" s="916"/>
      <c r="LYX87" s="916"/>
      <c r="LYY87" s="916"/>
      <c r="LYZ87" s="916"/>
      <c r="LZA87" s="916"/>
      <c r="LZB87" s="916"/>
      <c r="LZC87" s="916"/>
      <c r="LZD87" s="916"/>
      <c r="LZE87" s="916"/>
      <c r="LZF87" s="916"/>
      <c r="LZG87" s="916"/>
      <c r="LZH87" s="916"/>
      <c r="LZI87" s="916"/>
      <c r="LZJ87" s="916"/>
      <c r="LZK87" s="916"/>
      <c r="LZL87" s="916"/>
      <c r="LZM87" s="916"/>
      <c r="LZN87" s="916"/>
      <c r="LZO87" s="916"/>
      <c r="LZP87" s="916"/>
      <c r="LZQ87" s="916"/>
      <c r="LZR87" s="916"/>
      <c r="LZS87" s="916"/>
      <c r="LZT87" s="916"/>
      <c r="LZU87" s="916"/>
      <c r="LZV87" s="916"/>
      <c r="LZW87" s="916"/>
      <c r="LZX87" s="916"/>
      <c r="LZY87" s="916"/>
      <c r="LZZ87" s="916"/>
      <c r="MAA87" s="916"/>
      <c r="MAB87" s="916"/>
      <c r="MAC87" s="916"/>
      <c r="MAD87" s="916"/>
      <c r="MAE87" s="916"/>
      <c r="MAF87" s="916"/>
      <c r="MAG87" s="916"/>
      <c r="MAH87" s="916"/>
      <c r="MAI87" s="916"/>
      <c r="MAJ87" s="916"/>
      <c r="MAK87" s="916"/>
      <c r="MAL87" s="916"/>
      <c r="MAM87" s="916"/>
      <c r="MAN87" s="916"/>
      <c r="MAO87" s="916"/>
      <c r="MAP87" s="916"/>
      <c r="MAQ87" s="916"/>
      <c r="MAR87" s="916"/>
      <c r="MAS87" s="916"/>
      <c r="MAT87" s="916"/>
      <c r="MAU87" s="916"/>
      <c r="MAV87" s="916"/>
      <c r="MAW87" s="916"/>
      <c r="MAX87" s="916"/>
      <c r="MAY87" s="916"/>
      <c r="MAZ87" s="916"/>
      <c r="MBA87" s="916"/>
      <c r="MBB87" s="916"/>
      <c r="MBC87" s="916"/>
      <c r="MBD87" s="916"/>
      <c r="MBE87" s="916"/>
      <c r="MBF87" s="916"/>
      <c r="MBG87" s="916"/>
      <c r="MBH87" s="916"/>
      <c r="MBI87" s="916"/>
      <c r="MBJ87" s="916"/>
      <c r="MBK87" s="916"/>
      <c r="MBL87" s="916"/>
      <c r="MBM87" s="916"/>
      <c r="MBN87" s="916"/>
      <c r="MBO87" s="916"/>
      <c r="MBP87" s="916"/>
      <c r="MBQ87" s="916"/>
      <c r="MBR87" s="916"/>
      <c r="MBS87" s="916"/>
      <c r="MBT87" s="916"/>
      <c r="MBU87" s="916"/>
      <c r="MBV87" s="916"/>
      <c r="MBW87" s="916"/>
      <c r="MBX87" s="916"/>
      <c r="MBY87" s="916"/>
      <c r="MBZ87" s="916"/>
      <c r="MCA87" s="916"/>
      <c r="MCB87" s="916"/>
      <c r="MCC87" s="916"/>
      <c r="MCD87" s="916"/>
      <c r="MCE87" s="916"/>
      <c r="MCF87" s="916"/>
      <c r="MCG87" s="916"/>
      <c r="MCH87" s="916"/>
      <c r="MCI87" s="916"/>
      <c r="MCJ87" s="916"/>
      <c r="MCK87" s="916"/>
      <c r="MCL87" s="916"/>
      <c r="MCM87" s="916"/>
      <c r="MCN87" s="916"/>
      <c r="MCO87" s="916"/>
      <c r="MCP87" s="916"/>
      <c r="MCQ87" s="916"/>
      <c r="MCR87" s="916"/>
      <c r="MCS87" s="916"/>
      <c r="MCT87" s="916"/>
      <c r="MCU87" s="916"/>
      <c r="MCV87" s="916"/>
      <c r="MCW87" s="916"/>
      <c r="MCX87" s="916"/>
      <c r="MCY87" s="916"/>
      <c r="MCZ87" s="916"/>
      <c r="MDA87" s="916"/>
      <c r="MDB87" s="916"/>
      <c r="MDC87" s="916"/>
      <c r="MDD87" s="916"/>
      <c r="MDE87" s="916"/>
      <c r="MDF87" s="916"/>
      <c r="MDG87" s="916"/>
      <c r="MDH87" s="916"/>
      <c r="MDI87" s="916"/>
      <c r="MDJ87" s="916"/>
      <c r="MDK87" s="916"/>
      <c r="MDL87" s="916"/>
      <c r="MDM87" s="916"/>
      <c r="MDN87" s="916"/>
      <c r="MDO87" s="916"/>
      <c r="MDP87" s="916"/>
      <c r="MDQ87" s="916"/>
      <c r="MDR87" s="916"/>
      <c r="MDS87" s="916"/>
      <c r="MDT87" s="916"/>
      <c r="MDU87" s="916"/>
      <c r="MDV87" s="916"/>
      <c r="MDW87" s="916"/>
      <c r="MDX87" s="916"/>
      <c r="MDY87" s="916"/>
      <c r="MDZ87" s="916"/>
      <c r="MEA87" s="916"/>
      <c r="MEB87" s="916"/>
      <c r="MEC87" s="916"/>
      <c r="MED87" s="916"/>
      <c r="MEE87" s="916"/>
      <c r="MEF87" s="916"/>
      <c r="MEG87" s="916"/>
      <c r="MEH87" s="916"/>
      <c r="MEI87" s="916"/>
      <c r="MEJ87" s="916"/>
      <c r="MEK87" s="916"/>
      <c r="MEL87" s="916"/>
      <c r="MEM87" s="916"/>
      <c r="MEN87" s="916"/>
      <c r="MEO87" s="916"/>
      <c r="MEP87" s="916"/>
      <c r="MEQ87" s="916"/>
      <c r="MER87" s="916"/>
      <c r="MES87" s="916"/>
      <c r="MET87" s="916"/>
      <c r="MEU87" s="916"/>
      <c r="MEV87" s="916"/>
      <c r="MEW87" s="916"/>
      <c r="MEX87" s="916"/>
      <c r="MEY87" s="916"/>
      <c r="MEZ87" s="916"/>
      <c r="MFA87" s="916"/>
      <c r="MFB87" s="916"/>
      <c r="MFC87" s="916"/>
      <c r="MFD87" s="916"/>
      <c r="MFE87" s="916"/>
      <c r="MFF87" s="916"/>
      <c r="MFG87" s="916"/>
      <c r="MFH87" s="916"/>
      <c r="MFI87" s="916"/>
      <c r="MFJ87" s="916"/>
      <c r="MFK87" s="916"/>
      <c r="MFL87" s="916"/>
      <c r="MFM87" s="916"/>
      <c r="MFN87" s="916"/>
      <c r="MFO87" s="916"/>
      <c r="MFP87" s="916"/>
      <c r="MFQ87" s="916"/>
      <c r="MFR87" s="916"/>
      <c r="MFS87" s="916"/>
      <c r="MFT87" s="916"/>
      <c r="MFU87" s="916"/>
      <c r="MFV87" s="916"/>
      <c r="MFW87" s="916"/>
      <c r="MFX87" s="916"/>
      <c r="MFY87" s="916"/>
      <c r="MFZ87" s="916"/>
      <c r="MGA87" s="916"/>
      <c r="MGB87" s="916"/>
      <c r="MGC87" s="916"/>
      <c r="MGD87" s="916"/>
      <c r="MGE87" s="916"/>
      <c r="MGF87" s="916"/>
      <c r="MGG87" s="916"/>
      <c r="MGH87" s="916"/>
      <c r="MGI87" s="916"/>
      <c r="MGJ87" s="916"/>
      <c r="MGK87" s="916"/>
      <c r="MGL87" s="916"/>
      <c r="MGM87" s="916"/>
      <c r="MGN87" s="916"/>
      <c r="MGO87" s="916"/>
      <c r="MGP87" s="916"/>
      <c r="MGQ87" s="916"/>
      <c r="MGR87" s="916"/>
      <c r="MGS87" s="916"/>
      <c r="MGT87" s="916"/>
      <c r="MGU87" s="916"/>
      <c r="MGV87" s="916"/>
      <c r="MGW87" s="916"/>
      <c r="MGX87" s="916"/>
      <c r="MGY87" s="916"/>
      <c r="MGZ87" s="916"/>
      <c r="MHA87" s="916"/>
      <c r="MHB87" s="916"/>
      <c r="MHC87" s="916"/>
      <c r="MHD87" s="916"/>
      <c r="MHE87" s="916"/>
      <c r="MHF87" s="916"/>
      <c r="MHG87" s="916"/>
      <c r="MHH87" s="916"/>
      <c r="MHI87" s="916"/>
      <c r="MHJ87" s="916"/>
      <c r="MHK87" s="916"/>
      <c r="MHL87" s="916"/>
      <c r="MHM87" s="916"/>
      <c r="MHN87" s="916"/>
      <c r="MHO87" s="916"/>
      <c r="MHP87" s="916"/>
      <c r="MHQ87" s="916"/>
      <c r="MHR87" s="916"/>
      <c r="MHS87" s="916"/>
      <c r="MHT87" s="916"/>
      <c r="MHU87" s="916"/>
      <c r="MHV87" s="916"/>
      <c r="MHW87" s="916"/>
      <c r="MHX87" s="916"/>
      <c r="MHY87" s="916"/>
      <c r="MHZ87" s="916"/>
      <c r="MIA87" s="916"/>
      <c r="MIB87" s="916"/>
      <c r="MIC87" s="916"/>
      <c r="MID87" s="916"/>
      <c r="MIE87" s="916"/>
      <c r="MIF87" s="916"/>
      <c r="MIG87" s="916"/>
      <c r="MIH87" s="916"/>
      <c r="MII87" s="916"/>
      <c r="MIJ87" s="916"/>
      <c r="MIK87" s="916"/>
      <c r="MIL87" s="916"/>
      <c r="MIM87" s="916"/>
      <c r="MIN87" s="916"/>
      <c r="MIO87" s="916"/>
      <c r="MIP87" s="916"/>
      <c r="MIQ87" s="916"/>
      <c r="MIR87" s="916"/>
      <c r="MIS87" s="916"/>
      <c r="MIT87" s="916"/>
      <c r="MIU87" s="916"/>
      <c r="MIV87" s="916"/>
      <c r="MIW87" s="916"/>
      <c r="MIX87" s="916"/>
      <c r="MIY87" s="916"/>
      <c r="MIZ87" s="916"/>
      <c r="MJA87" s="916"/>
      <c r="MJB87" s="916"/>
      <c r="MJC87" s="916"/>
      <c r="MJD87" s="916"/>
      <c r="MJE87" s="916"/>
      <c r="MJF87" s="916"/>
      <c r="MJG87" s="916"/>
      <c r="MJH87" s="916"/>
      <c r="MJI87" s="916"/>
      <c r="MJJ87" s="916"/>
      <c r="MJK87" s="916"/>
      <c r="MJL87" s="916"/>
      <c r="MJM87" s="916"/>
      <c r="MJN87" s="916"/>
      <c r="MJO87" s="916"/>
      <c r="MJP87" s="916"/>
      <c r="MJQ87" s="916"/>
      <c r="MJR87" s="916"/>
      <c r="MJS87" s="916"/>
      <c r="MJT87" s="916"/>
      <c r="MJU87" s="916"/>
      <c r="MJV87" s="916"/>
      <c r="MJW87" s="916"/>
      <c r="MJX87" s="916"/>
      <c r="MJY87" s="916"/>
      <c r="MJZ87" s="916"/>
      <c r="MKA87" s="916"/>
      <c r="MKB87" s="916"/>
      <c r="MKC87" s="916"/>
      <c r="MKD87" s="916"/>
      <c r="MKE87" s="916"/>
      <c r="MKF87" s="916"/>
      <c r="MKG87" s="916"/>
      <c r="MKH87" s="916"/>
      <c r="MKI87" s="916"/>
      <c r="MKJ87" s="916"/>
      <c r="MKK87" s="916"/>
      <c r="MKL87" s="916"/>
      <c r="MKM87" s="916"/>
      <c r="MKN87" s="916"/>
      <c r="MKO87" s="916"/>
      <c r="MKP87" s="916"/>
      <c r="MKQ87" s="916"/>
      <c r="MKR87" s="916"/>
      <c r="MKS87" s="916"/>
      <c r="MKT87" s="916"/>
      <c r="MKU87" s="916"/>
      <c r="MKV87" s="916"/>
      <c r="MKW87" s="916"/>
      <c r="MKX87" s="916"/>
      <c r="MKY87" s="916"/>
      <c r="MKZ87" s="916"/>
      <c r="MLA87" s="916"/>
      <c r="MLB87" s="916"/>
      <c r="MLC87" s="916"/>
      <c r="MLD87" s="916"/>
      <c r="MLE87" s="916"/>
      <c r="MLF87" s="916"/>
      <c r="MLG87" s="916"/>
      <c r="MLH87" s="916"/>
      <c r="MLI87" s="916"/>
      <c r="MLJ87" s="916"/>
      <c r="MLK87" s="916"/>
      <c r="MLL87" s="916"/>
      <c r="MLM87" s="916"/>
      <c r="MLN87" s="916"/>
      <c r="MLO87" s="916"/>
      <c r="MLP87" s="916"/>
      <c r="MLQ87" s="916"/>
      <c r="MLR87" s="916"/>
      <c r="MLS87" s="916"/>
      <c r="MLT87" s="916"/>
      <c r="MLU87" s="916"/>
      <c r="MLV87" s="916"/>
      <c r="MLW87" s="916"/>
      <c r="MLX87" s="916"/>
      <c r="MLY87" s="916"/>
      <c r="MLZ87" s="916"/>
      <c r="MMA87" s="916"/>
      <c r="MMB87" s="916"/>
      <c r="MMC87" s="916"/>
      <c r="MMD87" s="916"/>
      <c r="MME87" s="916"/>
      <c r="MMF87" s="916"/>
      <c r="MMG87" s="916"/>
      <c r="MMH87" s="916"/>
      <c r="MMI87" s="916"/>
      <c r="MMJ87" s="916"/>
      <c r="MMK87" s="916"/>
      <c r="MML87" s="916"/>
      <c r="MMM87" s="916"/>
      <c r="MMN87" s="916"/>
      <c r="MMO87" s="916"/>
      <c r="MMP87" s="916"/>
      <c r="MMQ87" s="916"/>
      <c r="MMR87" s="916"/>
      <c r="MMS87" s="916"/>
      <c r="MMT87" s="916"/>
      <c r="MMU87" s="916"/>
      <c r="MMV87" s="916"/>
      <c r="MMW87" s="916"/>
      <c r="MMX87" s="916"/>
      <c r="MMY87" s="916"/>
      <c r="MMZ87" s="916"/>
      <c r="MNA87" s="916"/>
      <c r="MNB87" s="916"/>
      <c r="MNC87" s="916"/>
      <c r="MND87" s="916"/>
      <c r="MNE87" s="916"/>
      <c r="MNF87" s="916"/>
      <c r="MNG87" s="916"/>
      <c r="MNH87" s="916"/>
      <c r="MNI87" s="916"/>
      <c r="MNJ87" s="916"/>
      <c r="MNK87" s="916"/>
      <c r="MNL87" s="916"/>
      <c r="MNM87" s="916"/>
      <c r="MNN87" s="916"/>
      <c r="MNO87" s="916"/>
      <c r="MNP87" s="916"/>
      <c r="MNQ87" s="916"/>
      <c r="MNR87" s="916"/>
      <c r="MNS87" s="916"/>
      <c r="MNT87" s="916"/>
      <c r="MNU87" s="916"/>
      <c r="MNV87" s="916"/>
      <c r="MNW87" s="916"/>
      <c r="MNX87" s="916"/>
      <c r="MNY87" s="916"/>
      <c r="MNZ87" s="916"/>
      <c r="MOA87" s="916"/>
      <c r="MOB87" s="916"/>
      <c r="MOC87" s="916"/>
      <c r="MOD87" s="916"/>
      <c r="MOE87" s="916"/>
      <c r="MOF87" s="916"/>
      <c r="MOG87" s="916"/>
      <c r="MOH87" s="916"/>
      <c r="MOI87" s="916"/>
      <c r="MOJ87" s="916"/>
      <c r="MOK87" s="916"/>
      <c r="MOL87" s="916"/>
      <c r="MOM87" s="916"/>
      <c r="MON87" s="916"/>
      <c r="MOO87" s="916"/>
      <c r="MOP87" s="916"/>
      <c r="MOQ87" s="916"/>
      <c r="MOR87" s="916"/>
      <c r="MOS87" s="916"/>
      <c r="MOT87" s="916"/>
      <c r="MOU87" s="916"/>
      <c r="MOV87" s="916"/>
      <c r="MOW87" s="916"/>
      <c r="MOX87" s="916"/>
      <c r="MOY87" s="916"/>
      <c r="MOZ87" s="916"/>
      <c r="MPA87" s="916"/>
      <c r="MPB87" s="916"/>
      <c r="MPC87" s="916"/>
      <c r="MPD87" s="916"/>
      <c r="MPE87" s="916"/>
      <c r="MPF87" s="916"/>
      <c r="MPG87" s="916"/>
      <c r="MPH87" s="916"/>
      <c r="MPI87" s="916"/>
      <c r="MPJ87" s="916"/>
      <c r="MPK87" s="916"/>
      <c r="MPL87" s="916"/>
      <c r="MPM87" s="916"/>
      <c r="MPN87" s="916"/>
      <c r="MPO87" s="916"/>
      <c r="MPP87" s="916"/>
      <c r="MPQ87" s="916"/>
      <c r="MPR87" s="916"/>
      <c r="MPS87" s="916"/>
      <c r="MPT87" s="916"/>
      <c r="MPU87" s="916"/>
      <c r="MPV87" s="916"/>
      <c r="MPW87" s="916"/>
      <c r="MPX87" s="916"/>
      <c r="MPY87" s="916"/>
      <c r="MPZ87" s="916"/>
      <c r="MQA87" s="916"/>
      <c r="MQB87" s="916"/>
      <c r="MQC87" s="916"/>
      <c r="MQD87" s="916"/>
      <c r="MQE87" s="916"/>
      <c r="MQF87" s="916"/>
      <c r="MQG87" s="916"/>
      <c r="MQH87" s="916"/>
      <c r="MQI87" s="916"/>
      <c r="MQJ87" s="916"/>
      <c r="MQK87" s="916"/>
      <c r="MQL87" s="916"/>
      <c r="MQM87" s="916"/>
      <c r="MQN87" s="916"/>
      <c r="MQO87" s="916"/>
      <c r="MQP87" s="916"/>
      <c r="MQQ87" s="916"/>
      <c r="MQR87" s="916"/>
      <c r="MQS87" s="916"/>
      <c r="MQT87" s="916"/>
      <c r="MQU87" s="916"/>
      <c r="MQV87" s="916"/>
      <c r="MQW87" s="916"/>
      <c r="MQX87" s="916"/>
      <c r="MQY87" s="916"/>
      <c r="MQZ87" s="916"/>
      <c r="MRA87" s="916"/>
      <c r="MRB87" s="916"/>
      <c r="MRC87" s="916"/>
      <c r="MRD87" s="916"/>
      <c r="MRE87" s="916"/>
      <c r="MRF87" s="916"/>
      <c r="MRG87" s="916"/>
      <c r="MRH87" s="916"/>
      <c r="MRI87" s="916"/>
      <c r="MRJ87" s="916"/>
      <c r="MRK87" s="916"/>
      <c r="MRL87" s="916"/>
      <c r="MRM87" s="916"/>
      <c r="MRN87" s="916"/>
      <c r="MRO87" s="916"/>
      <c r="MRP87" s="916"/>
      <c r="MRQ87" s="916"/>
      <c r="MRR87" s="916"/>
      <c r="MRS87" s="916"/>
      <c r="MRT87" s="916"/>
      <c r="MRU87" s="916"/>
      <c r="MRV87" s="916"/>
      <c r="MRW87" s="916"/>
      <c r="MRX87" s="916"/>
      <c r="MRY87" s="916"/>
      <c r="MRZ87" s="916"/>
      <c r="MSA87" s="916"/>
      <c r="MSB87" s="916"/>
      <c r="MSC87" s="916"/>
      <c r="MSD87" s="916"/>
      <c r="MSE87" s="916"/>
      <c r="MSF87" s="916"/>
      <c r="MSG87" s="916"/>
      <c r="MSH87" s="916"/>
      <c r="MSI87" s="916"/>
      <c r="MSJ87" s="916"/>
      <c r="MSK87" s="916"/>
      <c r="MSL87" s="916"/>
      <c r="MSM87" s="916"/>
      <c r="MSN87" s="916"/>
      <c r="MSO87" s="916"/>
      <c r="MSP87" s="916"/>
      <c r="MSQ87" s="916"/>
      <c r="MSR87" s="916"/>
      <c r="MSS87" s="916"/>
      <c r="MST87" s="916"/>
      <c r="MSU87" s="916"/>
      <c r="MSV87" s="916"/>
      <c r="MSW87" s="916"/>
      <c r="MSX87" s="916"/>
      <c r="MSY87" s="916"/>
      <c r="MSZ87" s="916"/>
      <c r="MTA87" s="916"/>
      <c r="MTB87" s="916"/>
      <c r="MTC87" s="916"/>
      <c r="MTD87" s="916"/>
      <c r="MTE87" s="916"/>
      <c r="MTF87" s="916"/>
      <c r="MTG87" s="916"/>
      <c r="MTH87" s="916"/>
      <c r="MTI87" s="916"/>
      <c r="MTJ87" s="916"/>
      <c r="MTK87" s="916"/>
      <c r="MTL87" s="916"/>
      <c r="MTM87" s="916"/>
      <c r="MTN87" s="916"/>
      <c r="MTO87" s="916"/>
      <c r="MTP87" s="916"/>
      <c r="MTQ87" s="916"/>
      <c r="MTR87" s="916"/>
      <c r="MTS87" s="916"/>
      <c r="MTT87" s="916"/>
      <c r="MTU87" s="916"/>
      <c r="MTV87" s="916"/>
      <c r="MTW87" s="916"/>
      <c r="MTX87" s="916"/>
      <c r="MTY87" s="916"/>
      <c r="MTZ87" s="916"/>
      <c r="MUA87" s="916"/>
      <c r="MUB87" s="916"/>
      <c r="MUC87" s="916"/>
      <c r="MUD87" s="916"/>
      <c r="MUE87" s="916"/>
      <c r="MUF87" s="916"/>
      <c r="MUG87" s="916"/>
      <c r="MUH87" s="916"/>
      <c r="MUI87" s="916"/>
      <c r="MUJ87" s="916"/>
      <c r="MUK87" s="916"/>
      <c r="MUL87" s="916"/>
      <c r="MUM87" s="916"/>
      <c r="MUN87" s="916"/>
      <c r="MUO87" s="916"/>
      <c r="MUP87" s="916"/>
      <c r="MUQ87" s="916"/>
      <c r="MUR87" s="916"/>
      <c r="MUS87" s="916"/>
      <c r="MUT87" s="916"/>
      <c r="MUU87" s="916"/>
      <c r="MUV87" s="916"/>
      <c r="MUW87" s="916"/>
      <c r="MUX87" s="916"/>
      <c r="MUY87" s="916"/>
      <c r="MUZ87" s="916"/>
      <c r="MVA87" s="916"/>
      <c r="MVB87" s="916"/>
      <c r="MVC87" s="916"/>
      <c r="MVD87" s="916"/>
      <c r="MVE87" s="916"/>
      <c r="MVF87" s="916"/>
      <c r="MVG87" s="916"/>
      <c r="MVH87" s="916"/>
      <c r="MVI87" s="916"/>
      <c r="MVJ87" s="916"/>
      <c r="MVK87" s="916"/>
      <c r="MVL87" s="916"/>
      <c r="MVM87" s="916"/>
      <c r="MVN87" s="916"/>
      <c r="MVO87" s="916"/>
      <c r="MVP87" s="916"/>
      <c r="MVQ87" s="916"/>
      <c r="MVR87" s="916"/>
      <c r="MVS87" s="916"/>
      <c r="MVT87" s="916"/>
      <c r="MVU87" s="916"/>
      <c r="MVV87" s="916"/>
      <c r="MVW87" s="916"/>
      <c r="MVX87" s="916"/>
      <c r="MVY87" s="916"/>
      <c r="MVZ87" s="916"/>
      <c r="MWA87" s="916"/>
      <c r="MWB87" s="916"/>
      <c r="MWC87" s="916"/>
      <c r="MWD87" s="916"/>
      <c r="MWE87" s="916"/>
      <c r="MWF87" s="916"/>
      <c r="MWG87" s="916"/>
      <c r="MWH87" s="916"/>
      <c r="MWI87" s="916"/>
      <c r="MWJ87" s="916"/>
      <c r="MWK87" s="916"/>
      <c r="MWL87" s="916"/>
      <c r="MWM87" s="916"/>
      <c r="MWN87" s="916"/>
      <c r="MWO87" s="916"/>
      <c r="MWP87" s="916"/>
      <c r="MWQ87" s="916"/>
      <c r="MWR87" s="916"/>
      <c r="MWS87" s="916"/>
      <c r="MWT87" s="916"/>
      <c r="MWU87" s="916"/>
      <c r="MWV87" s="916"/>
      <c r="MWW87" s="916"/>
      <c r="MWX87" s="916"/>
      <c r="MWY87" s="916"/>
      <c r="MWZ87" s="916"/>
      <c r="MXA87" s="916"/>
      <c r="MXB87" s="916"/>
      <c r="MXC87" s="916"/>
      <c r="MXD87" s="916"/>
      <c r="MXE87" s="916"/>
      <c r="MXF87" s="916"/>
      <c r="MXG87" s="916"/>
      <c r="MXH87" s="916"/>
      <c r="MXI87" s="916"/>
      <c r="MXJ87" s="916"/>
      <c r="MXK87" s="916"/>
      <c r="MXL87" s="916"/>
      <c r="MXM87" s="916"/>
      <c r="MXN87" s="916"/>
      <c r="MXO87" s="916"/>
      <c r="MXP87" s="916"/>
      <c r="MXQ87" s="916"/>
      <c r="MXR87" s="916"/>
      <c r="MXS87" s="916"/>
      <c r="MXT87" s="916"/>
      <c r="MXU87" s="916"/>
      <c r="MXV87" s="916"/>
      <c r="MXW87" s="916"/>
      <c r="MXX87" s="916"/>
      <c r="MXY87" s="916"/>
      <c r="MXZ87" s="916"/>
      <c r="MYA87" s="916"/>
      <c r="MYB87" s="916"/>
      <c r="MYC87" s="916"/>
      <c r="MYD87" s="916"/>
      <c r="MYE87" s="916"/>
      <c r="MYF87" s="916"/>
      <c r="MYG87" s="916"/>
      <c r="MYH87" s="916"/>
      <c r="MYI87" s="916"/>
      <c r="MYJ87" s="916"/>
      <c r="MYK87" s="916"/>
      <c r="MYL87" s="916"/>
      <c r="MYM87" s="916"/>
      <c r="MYN87" s="916"/>
      <c r="MYO87" s="916"/>
      <c r="MYP87" s="916"/>
      <c r="MYQ87" s="916"/>
      <c r="MYR87" s="916"/>
      <c r="MYS87" s="916"/>
      <c r="MYT87" s="916"/>
      <c r="MYU87" s="916"/>
      <c r="MYV87" s="916"/>
      <c r="MYW87" s="916"/>
      <c r="MYX87" s="916"/>
      <c r="MYY87" s="916"/>
      <c r="MYZ87" s="916"/>
      <c r="MZA87" s="916"/>
      <c r="MZB87" s="916"/>
      <c r="MZC87" s="916"/>
      <c r="MZD87" s="916"/>
      <c r="MZE87" s="916"/>
      <c r="MZF87" s="916"/>
      <c r="MZG87" s="916"/>
      <c r="MZH87" s="916"/>
      <c r="MZI87" s="916"/>
      <c r="MZJ87" s="916"/>
      <c r="MZK87" s="916"/>
      <c r="MZL87" s="916"/>
      <c r="MZM87" s="916"/>
      <c r="MZN87" s="916"/>
      <c r="MZO87" s="916"/>
      <c r="MZP87" s="916"/>
      <c r="MZQ87" s="916"/>
      <c r="MZR87" s="916"/>
      <c r="MZS87" s="916"/>
      <c r="MZT87" s="916"/>
      <c r="MZU87" s="916"/>
      <c r="MZV87" s="916"/>
      <c r="MZW87" s="916"/>
      <c r="MZX87" s="916"/>
      <c r="MZY87" s="916"/>
      <c r="MZZ87" s="916"/>
      <c r="NAA87" s="916"/>
      <c r="NAB87" s="916"/>
      <c r="NAC87" s="916"/>
      <c r="NAD87" s="916"/>
      <c r="NAE87" s="916"/>
      <c r="NAF87" s="916"/>
      <c r="NAG87" s="916"/>
      <c r="NAH87" s="916"/>
      <c r="NAI87" s="916"/>
      <c r="NAJ87" s="916"/>
      <c r="NAK87" s="916"/>
      <c r="NAL87" s="916"/>
      <c r="NAM87" s="916"/>
      <c r="NAN87" s="916"/>
      <c r="NAO87" s="916"/>
      <c r="NAP87" s="916"/>
      <c r="NAQ87" s="916"/>
      <c r="NAR87" s="916"/>
      <c r="NAS87" s="916"/>
      <c r="NAT87" s="916"/>
      <c r="NAU87" s="916"/>
      <c r="NAV87" s="916"/>
      <c r="NAW87" s="916"/>
      <c r="NAX87" s="916"/>
      <c r="NAY87" s="916"/>
      <c r="NAZ87" s="916"/>
      <c r="NBA87" s="916"/>
      <c r="NBB87" s="916"/>
      <c r="NBC87" s="916"/>
      <c r="NBD87" s="916"/>
      <c r="NBE87" s="916"/>
      <c r="NBF87" s="916"/>
      <c r="NBG87" s="916"/>
      <c r="NBH87" s="916"/>
      <c r="NBI87" s="916"/>
      <c r="NBJ87" s="916"/>
      <c r="NBK87" s="916"/>
      <c r="NBL87" s="916"/>
      <c r="NBM87" s="916"/>
      <c r="NBN87" s="916"/>
      <c r="NBO87" s="916"/>
      <c r="NBP87" s="916"/>
      <c r="NBQ87" s="916"/>
      <c r="NBR87" s="916"/>
      <c r="NBS87" s="916"/>
      <c r="NBT87" s="916"/>
      <c r="NBU87" s="916"/>
      <c r="NBV87" s="916"/>
      <c r="NBW87" s="916"/>
      <c r="NBX87" s="916"/>
      <c r="NBY87" s="916"/>
      <c r="NBZ87" s="916"/>
      <c r="NCA87" s="916"/>
      <c r="NCB87" s="916"/>
      <c r="NCC87" s="916"/>
      <c r="NCD87" s="916"/>
      <c r="NCE87" s="916"/>
      <c r="NCF87" s="916"/>
      <c r="NCG87" s="916"/>
      <c r="NCH87" s="916"/>
      <c r="NCI87" s="916"/>
      <c r="NCJ87" s="916"/>
      <c r="NCK87" s="916"/>
      <c r="NCL87" s="916"/>
      <c r="NCM87" s="916"/>
      <c r="NCN87" s="916"/>
      <c r="NCO87" s="916"/>
      <c r="NCP87" s="916"/>
      <c r="NCQ87" s="916"/>
      <c r="NCR87" s="916"/>
      <c r="NCS87" s="916"/>
      <c r="NCT87" s="916"/>
      <c r="NCU87" s="916"/>
      <c r="NCV87" s="916"/>
      <c r="NCW87" s="916"/>
      <c r="NCX87" s="916"/>
      <c r="NCY87" s="916"/>
      <c r="NCZ87" s="916"/>
      <c r="NDA87" s="916"/>
      <c r="NDB87" s="916"/>
      <c r="NDC87" s="916"/>
      <c r="NDD87" s="916"/>
      <c r="NDE87" s="916"/>
      <c r="NDF87" s="916"/>
      <c r="NDG87" s="916"/>
      <c r="NDH87" s="916"/>
      <c r="NDI87" s="916"/>
      <c r="NDJ87" s="916"/>
      <c r="NDK87" s="916"/>
      <c r="NDL87" s="916"/>
      <c r="NDM87" s="916"/>
      <c r="NDN87" s="916"/>
      <c r="NDO87" s="916"/>
      <c r="NDP87" s="916"/>
      <c r="NDQ87" s="916"/>
      <c r="NDR87" s="916"/>
      <c r="NDS87" s="916"/>
      <c r="NDT87" s="916"/>
      <c r="NDU87" s="916"/>
      <c r="NDV87" s="916"/>
      <c r="NDW87" s="916"/>
      <c r="NDX87" s="916"/>
      <c r="NDY87" s="916"/>
      <c r="NDZ87" s="916"/>
      <c r="NEA87" s="916"/>
      <c r="NEB87" s="916"/>
      <c r="NEC87" s="916"/>
      <c r="NED87" s="916"/>
      <c r="NEE87" s="916"/>
      <c r="NEF87" s="916"/>
      <c r="NEG87" s="916"/>
      <c r="NEH87" s="916"/>
      <c r="NEI87" s="916"/>
      <c r="NEJ87" s="916"/>
      <c r="NEK87" s="916"/>
      <c r="NEL87" s="916"/>
      <c r="NEM87" s="916"/>
      <c r="NEN87" s="916"/>
      <c r="NEO87" s="916"/>
      <c r="NEP87" s="916"/>
      <c r="NEQ87" s="916"/>
      <c r="NER87" s="916"/>
      <c r="NES87" s="916"/>
      <c r="NET87" s="916"/>
      <c r="NEU87" s="916"/>
      <c r="NEV87" s="916"/>
      <c r="NEW87" s="916"/>
      <c r="NEX87" s="916"/>
      <c r="NEY87" s="916"/>
      <c r="NEZ87" s="916"/>
      <c r="NFA87" s="916"/>
      <c r="NFB87" s="916"/>
      <c r="NFC87" s="916"/>
      <c r="NFD87" s="916"/>
      <c r="NFE87" s="916"/>
      <c r="NFF87" s="916"/>
      <c r="NFG87" s="916"/>
      <c r="NFH87" s="916"/>
      <c r="NFI87" s="916"/>
      <c r="NFJ87" s="916"/>
      <c r="NFK87" s="916"/>
      <c r="NFL87" s="916"/>
      <c r="NFM87" s="916"/>
      <c r="NFN87" s="916"/>
      <c r="NFO87" s="916"/>
      <c r="NFP87" s="916"/>
      <c r="NFQ87" s="916"/>
      <c r="NFR87" s="916"/>
      <c r="NFS87" s="916"/>
      <c r="NFT87" s="916"/>
      <c r="NFU87" s="916"/>
      <c r="NFV87" s="916"/>
      <c r="NFW87" s="916"/>
      <c r="NFX87" s="916"/>
      <c r="NFY87" s="916"/>
      <c r="NFZ87" s="916"/>
      <c r="NGA87" s="916"/>
      <c r="NGB87" s="916"/>
      <c r="NGC87" s="916"/>
      <c r="NGD87" s="916"/>
      <c r="NGE87" s="916"/>
      <c r="NGF87" s="916"/>
      <c r="NGG87" s="916"/>
      <c r="NGH87" s="916"/>
      <c r="NGI87" s="916"/>
      <c r="NGJ87" s="916"/>
      <c r="NGK87" s="916"/>
      <c r="NGL87" s="916"/>
      <c r="NGM87" s="916"/>
      <c r="NGN87" s="916"/>
      <c r="NGO87" s="916"/>
      <c r="NGP87" s="916"/>
      <c r="NGQ87" s="916"/>
      <c r="NGR87" s="916"/>
      <c r="NGS87" s="916"/>
      <c r="NGT87" s="916"/>
      <c r="NGU87" s="916"/>
      <c r="NGV87" s="916"/>
      <c r="NGW87" s="916"/>
      <c r="NGX87" s="916"/>
      <c r="NGY87" s="916"/>
      <c r="NGZ87" s="916"/>
      <c r="NHA87" s="916"/>
      <c r="NHB87" s="916"/>
      <c r="NHC87" s="916"/>
      <c r="NHD87" s="916"/>
      <c r="NHE87" s="916"/>
      <c r="NHF87" s="916"/>
      <c r="NHG87" s="916"/>
      <c r="NHH87" s="916"/>
      <c r="NHI87" s="916"/>
      <c r="NHJ87" s="916"/>
      <c r="NHK87" s="916"/>
      <c r="NHL87" s="916"/>
      <c r="NHM87" s="916"/>
      <c r="NHN87" s="916"/>
      <c r="NHO87" s="916"/>
      <c r="NHP87" s="916"/>
      <c r="NHQ87" s="916"/>
      <c r="NHR87" s="916"/>
      <c r="NHS87" s="916"/>
      <c r="NHT87" s="916"/>
      <c r="NHU87" s="916"/>
      <c r="NHV87" s="916"/>
      <c r="NHW87" s="916"/>
      <c r="NHX87" s="916"/>
      <c r="NHY87" s="916"/>
      <c r="NHZ87" s="916"/>
      <c r="NIA87" s="916"/>
      <c r="NIB87" s="916"/>
      <c r="NIC87" s="916"/>
      <c r="NID87" s="916"/>
      <c r="NIE87" s="916"/>
      <c r="NIF87" s="916"/>
      <c r="NIG87" s="916"/>
      <c r="NIH87" s="916"/>
      <c r="NII87" s="916"/>
      <c r="NIJ87" s="916"/>
      <c r="NIK87" s="916"/>
      <c r="NIL87" s="916"/>
      <c r="NIM87" s="916"/>
      <c r="NIN87" s="916"/>
      <c r="NIO87" s="916"/>
      <c r="NIP87" s="916"/>
      <c r="NIQ87" s="916"/>
      <c r="NIR87" s="916"/>
      <c r="NIS87" s="916"/>
      <c r="NIT87" s="916"/>
      <c r="NIU87" s="916"/>
      <c r="NIV87" s="916"/>
      <c r="NIW87" s="916"/>
      <c r="NIX87" s="916"/>
      <c r="NIY87" s="916"/>
      <c r="NIZ87" s="916"/>
      <c r="NJA87" s="916"/>
      <c r="NJB87" s="916"/>
      <c r="NJC87" s="916"/>
      <c r="NJD87" s="916"/>
      <c r="NJE87" s="916"/>
      <c r="NJF87" s="916"/>
      <c r="NJG87" s="916"/>
      <c r="NJH87" s="916"/>
      <c r="NJI87" s="916"/>
      <c r="NJJ87" s="916"/>
      <c r="NJK87" s="916"/>
      <c r="NJL87" s="916"/>
      <c r="NJM87" s="916"/>
      <c r="NJN87" s="916"/>
      <c r="NJO87" s="916"/>
      <c r="NJP87" s="916"/>
      <c r="NJQ87" s="916"/>
      <c r="NJR87" s="916"/>
      <c r="NJS87" s="916"/>
      <c r="NJT87" s="916"/>
      <c r="NJU87" s="916"/>
      <c r="NJV87" s="916"/>
      <c r="NJW87" s="916"/>
      <c r="NJX87" s="916"/>
      <c r="NJY87" s="916"/>
      <c r="NJZ87" s="916"/>
      <c r="NKA87" s="916"/>
      <c r="NKB87" s="916"/>
      <c r="NKC87" s="916"/>
      <c r="NKD87" s="916"/>
      <c r="NKE87" s="916"/>
      <c r="NKF87" s="916"/>
      <c r="NKG87" s="916"/>
      <c r="NKH87" s="916"/>
      <c r="NKI87" s="916"/>
      <c r="NKJ87" s="916"/>
      <c r="NKK87" s="916"/>
      <c r="NKL87" s="916"/>
      <c r="NKM87" s="916"/>
      <c r="NKN87" s="916"/>
      <c r="NKO87" s="916"/>
      <c r="NKP87" s="916"/>
      <c r="NKQ87" s="916"/>
      <c r="NKR87" s="916"/>
      <c r="NKS87" s="916"/>
      <c r="NKT87" s="916"/>
      <c r="NKU87" s="916"/>
      <c r="NKV87" s="916"/>
      <c r="NKW87" s="916"/>
      <c r="NKX87" s="916"/>
      <c r="NKY87" s="916"/>
      <c r="NKZ87" s="916"/>
      <c r="NLA87" s="916"/>
      <c r="NLB87" s="916"/>
      <c r="NLC87" s="916"/>
      <c r="NLD87" s="916"/>
      <c r="NLE87" s="916"/>
      <c r="NLF87" s="916"/>
      <c r="NLG87" s="916"/>
      <c r="NLH87" s="916"/>
      <c r="NLI87" s="916"/>
      <c r="NLJ87" s="916"/>
      <c r="NLK87" s="916"/>
      <c r="NLL87" s="916"/>
      <c r="NLM87" s="916"/>
      <c r="NLN87" s="916"/>
      <c r="NLO87" s="916"/>
      <c r="NLP87" s="916"/>
      <c r="NLQ87" s="916"/>
      <c r="NLR87" s="916"/>
      <c r="NLS87" s="916"/>
      <c r="NLT87" s="916"/>
      <c r="NLU87" s="916"/>
      <c r="NLV87" s="916"/>
      <c r="NLW87" s="916"/>
      <c r="NLX87" s="916"/>
      <c r="NLY87" s="916"/>
      <c r="NLZ87" s="916"/>
      <c r="NMA87" s="916"/>
      <c r="NMB87" s="916"/>
      <c r="NMC87" s="916"/>
      <c r="NMD87" s="916"/>
      <c r="NME87" s="916"/>
      <c r="NMF87" s="916"/>
      <c r="NMG87" s="916"/>
      <c r="NMH87" s="916"/>
      <c r="NMI87" s="916"/>
      <c r="NMJ87" s="916"/>
      <c r="NMK87" s="916"/>
      <c r="NML87" s="916"/>
      <c r="NMM87" s="916"/>
      <c r="NMN87" s="916"/>
      <c r="NMO87" s="916"/>
      <c r="NMP87" s="916"/>
      <c r="NMQ87" s="916"/>
      <c r="NMR87" s="916"/>
      <c r="NMS87" s="916"/>
      <c r="NMT87" s="916"/>
      <c r="NMU87" s="916"/>
      <c r="NMV87" s="916"/>
      <c r="NMW87" s="916"/>
      <c r="NMX87" s="916"/>
      <c r="NMY87" s="916"/>
      <c r="NMZ87" s="916"/>
      <c r="NNA87" s="916"/>
      <c r="NNB87" s="916"/>
      <c r="NNC87" s="916"/>
      <c r="NND87" s="916"/>
      <c r="NNE87" s="916"/>
      <c r="NNF87" s="916"/>
      <c r="NNG87" s="916"/>
      <c r="NNH87" s="916"/>
      <c r="NNI87" s="916"/>
      <c r="NNJ87" s="916"/>
      <c r="NNK87" s="916"/>
      <c r="NNL87" s="916"/>
      <c r="NNM87" s="916"/>
      <c r="NNN87" s="916"/>
      <c r="NNO87" s="916"/>
      <c r="NNP87" s="916"/>
      <c r="NNQ87" s="916"/>
      <c r="NNR87" s="916"/>
      <c r="NNS87" s="916"/>
      <c r="NNT87" s="916"/>
      <c r="NNU87" s="916"/>
      <c r="NNV87" s="916"/>
      <c r="NNW87" s="916"/>
      <c r="NNX87" s="916"/>
      <c r="NNY87" s="916"/>
      <c r="NNZ87" s="916"/>
      <c r="NOA87" s="916"/>
      <c r="NOB87" s="916"/>
      <c r="NOC87" s="916"/>
      <c r="NOD87" s="916"/>
      <c r="NOE87" s="916"/>
      <c r="NOF87" s="916"/>
      <c r="NOG87" s="916"/>
      <c r="NOH87" s="916"/>
      <c r="NOI87" s="916"/>
      <c r="NOJ87" s="916"/>
      <c r="NOK87" s="916"/>
      <c r="NOL87" s="916"/>
      <c r="NOM87" s="916"/>
      <c r="NON87" s="916"/>
      <c r="NOO87" s="916"/>
      <c r="NOP87" s="916"/>
      <c r="NOQ87" s="916"/>
      <c r="NOR87" s="916"/>
      <c r="NOS87" s="916"/>
      <c r="NOT87" s="916"/>
      <c r="NOU87" s="916"/>
      <c r="NOV87" s="916"/>
      <c r="NOW87" s="916"/>
      <c r="NOX87" s="916"/>
      <c r="NOY87" s="916"/>
      <c r="NOZ87" s="916"/>
      <c r="NPA87" s="916"/>
      <c r="NPB87" s="916"/>
      <c r="NPC87" s="916"/>
      <c r="NPD87" s="916"/>
      <c r="NPE87" s="916"/>
      <c r="NPF87" s="916"/>
      <c r="NPG87" s="916"/>
      <c r="NPH87" s="916"/>
      <c r="NPI87" s="916"/>
      <c r="NPJ87" s="916"/>
      <c r="NPK87" s="916"/>
      <c r="NPL87" s="916"/>
      <c r="NPM87" s="916"/>
      <c r="NPN87" s="916"/>
      <c r="NPO87" s="916"/>
      <c r="NPP87" s="916"/>
      <c r="NPQ87" s="916"/>
      <c r="NPR87" s="916"/>
      <c r="NPS87" s="916"/>
      <c r="NPT87" s="916"/>
      <c r="NPU87" s="916"/>
      <c r="NPV87" s="916"/>
      <c r="NPW87" s="916"/>
      <c r="NPX87" s="916"/>
      <c r="NPY87" s="916"/>
      <c r="NPZ87" s="916"/>
      <c r="NQA87" s="916"/>
      <c r="NQB87" s="916"/>
      <c r="NQC87" s="916"/>
      <c r="NQD87" s="916"/>
      <c r="NQE87" s="916"/>
      <c r="NQF87" s="916"/>
      <c r="NQG87" s="916"/>
      <c r="NQH87" s="916"/>
      <c r="NQI87" s="916"/>
      <c r="NQJ87" s="916"/>
      <c r="NQK87" s="916"/>
      <c r="NQL87" s="916"/>
      <c r="NQM87" s="916"/>
      <c r="NQN87" s="916"/>
      <c r="NQO87" s="916"/>
      <c r="NQP87" s="916"/>
      <c r="NQQ87" s="916"/>
      <c r="NQR87" s="916"/>
      <c r="NQS87" s="916"/>
      <c r="NQT87" s="916"/>
      <c r="NQU87" s="916"/>
      <c r="NQV87" s="916"/>
      <c r="NQW87" s="916"/>
      <c r="NQX87" s="916"/>
      <c r="NQY87" s="916"/>
      <c r="NQZ87" s="916"/>
      <c r="NRA87" s="916"/>
      <c r="NRB87" s="916"/>
      <c r="NRC87" s="916"/>
      <c r="NRD87" s="916"/>
      <c r="NRE87" s="916"/>
      <c r="NRF87" s="916"/>
      <c r="NRG87" s="916"/>
      <c r="NRH87" s="916"/>
      <c r="NRI87" s="916"/>
      <c r="NRJ87" s="916"/>
      <c r="NRK87" s="916"/>
      <c r="NRL87" s="916"/>
      <c r="NRM87" s="916"/>
      <c r="NRN87" s="916"/>
      <c r="NRO87" s="916"/>
      <c r="NRP87" s="916"/>
      <c r="NRQ87" s="916"/>
      <c r="NRR87" s="916"/>
      <c r="NRS87" s="916"/>
      <c r="NRT87" s="916"/>
      <c r="NRU87" s="916"/>
      <c r="NRV87" s="916"/>
      <c r="NRW87" s="916"/>
      <c r="NRX87" s="916"/>
      <c r="NRY87" s="916"/>
      <c r="NRZ87" s="916"/>
      <c r="NSA87" s="916"/>
      <c r="NSB87" s="916"/>
      <c r="NSC87" s="916"/>
      <c r="NSD87" s="916"/>
      <c r="NSE87" s="916"/>
      <c r="NSF87" s="916"/>
      <c r="NSG87" s="916"/>
      <c r="NSH87" s="916"/>
      <c r="NSI87" s="916"/>
      <c r="NSJ87" s="916"/>
      <c r="NSK87" s="916"/>
      <c r="NSL87" s="916"/>
      <c r="NSM87" s="916"/>
      <c r="NSN87" s="916"/>
      <c r="NSO87" s="916"/>
      <c r="NSP87" s="916"/>
      <c r="NSQ87" s="916"/>
      <c r="NSR87" s="916"/>
      <c r="NSS87" s="916"/>
      <c r="NST87" s="916"/>
      <c r="NSU87" s="916"/>
      <c r="NSV87" s="916"/>
      <c r="NSW87" s="916"/>
      <c r="NSX87" s="916"/>
      <c r="NSY87" s="916"/>
      <c r="NSZ87" s="916"/>
      <c r="NTA87" s="916"/>
      <c r="NTB87" s="916"/>
      <c r="NTC87" s="916"/>
      <c r="NTD87" s="916"/>
      <c r="NTE87" s="916"/>
      <c r="NTF87" s="916"/>
      <c r="NTG87" s="916"/>
      <c r="NTH87" s="916"/>
      <c r="NTI87" s="916"/>
      <c r="NTJ87" s="916"/>
      <c r="NTK87" s="916"/>
      <c r="NTL87" s="916"/>
      <c r="NTM87" s="916"/>
      <c r="NTN87" s="916"/>
      <c r="NTO87" s="916"/>
      <c r="NTP87" s="916"/>
      <c r="NTQ87" s="916"/>
      <c r="NTR87" s="916"/>
      <c r="NTS87" s="916"/>
      <c r="NTT87" s="916"/>
      <c r="NTU87" s="916"/>
      <c r="NTV87" s="916"/>
      <c r="NTW87" s="916"/>
      <c r="NTX87" s="916"/>
      <c r="NTY87" s="916"/>
      <c r="NTZ87" s="916"/>
      <c r="NUA87" s="916"/>
      <c r="NUB87" s="916"/>
      <c r="NUC87" s="916"/>
      <c r="NUD87" s="916"/>
      <c r="NUE87" s="916"/>
      <c r="NUF87" s="916"/>
      <c r="NUG87" s="916"/>
      <c r="NUH87" s="916"/>
      <c r="NUI87" s="916"/>
      <c r="NUJ87" s="916"/>
      <c r="NUK87" s="916"/>
      <c r="NUL87" s="916"/>
      <c r="NUM87" s="916"/>
      <c r="NUN87" s="916"/>
      <c r="NUO87" s="916"/>
      <c r="NUP87" s="916"/>
      <c r="NUQ87" s="916"/>
      <c r="NUR87" s="916"/>
      <c r="NUS87" s="916"/>
      <c r="NUT87" s="916"/>
      <c r="NUU87" s="916"/>
      <c r="NUV87" s="916"/>
      <c r="NUW87" s="916"/>
      <c r="NUX87" s="916"/>
      <c r="NUY87" s="916"/>
      <c r="NUZ87" s="916"/>
      <c r="NVA87" s="916"/>
      <c r="NVB87" s="916"/>
      <c r="NVC87" s="916"/>
      <c r="NVD87" s="916"/>
      <c r="NVE87" s="916"/>
      <c r="NVF87" s="916"/>
      <c r="NVG87" s="916"/>
      <c r="NVH87" s="916"/>
      <c r="NVI87" s="916"/>
      <c r="NVJ87" s="916"/>
      <c r="NVK87" s="916"/>
      <c r="NVL87" s="916"/>
      <c r="NVM87" s="916"/>
      <c r="NVN87" s="916"/>
      <c r="NVO87" s="916"/>
      <c r="NVP87" s="916"/>
      <c r="NVQ87" s="916"/>
      <c r="NVR87" s="916"/>
      <c r="NVS87" s="916"/>
      <c r="NVT87" s="916"/>
      <c r="NVU87" s="916"/>
      <c r="NVV87" s="916"/>
      <c r="NVW87" s="916"/>
      <c r="NVX87" s="916"/>
      <c r="NVY87" s="916"/>
      <c r="NVZ87" s="916"/>
      <c r="NWA87" s="916"/>
      <c r="NWB87" s="916"/>
      <c r="NWC87" s="916"/>
      <c r="NWD87" s="916"/>
      <c r="NWE87" s="916"/>
      <c r="NWF87" s="916"/>
      <c r="NWG87" s="916"/>
      <c r="NWH87" s="916"/>
      <c r="NWI87" s="916"/>
      <c r="NWJ87" s="916"/>
      <c r="NWK87" s="916"/>
      <c r="NWL87" s="916"/>
      <c r="NWM87" s="916"/>
      <c r="NWN87" s="916"/>
      <c r="NWO87" s="916"/>
      <c r="NWP87" s="916"/>
      <c r="NWQ87" s="916"/>
      <c r="NWR87" s="916"/>
      <c r="NWS87" s="916"/>
      <c r="NWT87" s="916"/>
      <c r="NWU87" s="916"/>
      <c r="NWV87" s="916"/>
      <c r="NWW87" s="916"/>
      <c r="NWX87" s="916"/>
      <c r="NWY87" s="916"/>
      <c r="NWZ87" s="916"/>
      <c r="NXA87" s="916"/>
      <c r="NXB87" s="916"/>
      <c r="NXC87" s="916"/>
      <c r="NXD87" s="916"/>
      <c r="NXE87" s="916"/>
      <c r="NXF87" s="916"/>
      <c r="NXG87" s="916"/>
      <c r="NXH87" s="916"/>
      <c r="NXI87" s="916"/>
      <c r="NXJ87" s="916"/>
      <c r="NXK87" s="916"/>
      <c r="NXL87" s="916"/>
      <c r="NXM87" s="916"/>
      <c r="NXN87" s="916"/>
      <c r="NXO87" s="916"/>
      <c r="NXP87" s="916"/>
      <c r="NXQ87" s="916"/>
      <c r="NXR87" s="916"/>
      <c r="NXS87" s="916"/>
      <c r="NXT87" s="916"/>
      <c r="NXU87" s="916"/>
      <c r="NXV87" s="916"/>
      <c r="NXW87" s="916"/>
      <c r="NXX87" s="916"/>
      <c r="NXY87" s="916"/>
      <c r="NXZ87" s="916"/>
      <c r="NYA87" s="916"/>
      <c r="NYB87" s="916"/>
      <c r="NYC87" s="916"/>
      <c r="NYD87" s="916"/>
      <c r="NYE87" s="916"/>
      <c r="NYF87" s="916"/>
      <c r="NYG87" s="916"/>
      <c r="NYH87" s="916"/>
      <c r="NYI87" s="916"/>
      <c r="NYJ87" s="916"/>
      <c r="NYK87" s="916"/>
      <c r="NYL87" s="916"/>
      <c r="NYM87" s="916"/>
      <c r="NYN87" s="916"/>
      <c r="NYO87" s="916"/>
      <c r="NYP87" s="916"/>
      <c r="NYQ87" s="916"/>
      <c r="NYR87" s="916"/>
      <c r="NYS87" s="916"/>
      <c r="NYT87" s="916"/>
      <c r="NYU87" s="916"/>
      <c r="NYV87" s="916"/>
      <c r="NYW87" s="916"/>
      <c r="NYX87" s="916"/>
      <c r="NYY87" s="916"/>
      <c r="NYZ87" s="916"/>
      <c r="NZA87" s="916"/>
      <c r="NZB87" s="916"/>
      <c r="NZC87" s="916"/>
      <c r="NZD87" s="916"/>
      <c r="NZE87" s="916"/>
      <c r="NZF87" s="916"/>
      <c r="NZG87" s="916"/>
      <c r="NZH87" s="916"/>
      <c r="NZI87" s="916"/>
      <c r="NZJ87" s="916"/>
      <c r="NZK87" s="916"/>
      <c r="NZL87" s="916"/>
      <c r="NZM87" s="916"/>
      <c r="NZN87" s="916"/>
      <c r="NZO87" s="916"/>
      <c r="NZP87" s="916"/>
      <c r="NZQ87" s="916"/>
      <c r="NZR87" s="916"/>
      <c r="NZS87" s="916"/>
      <c r="NZT87" s="916"/>
      <c r="NZU87" s="916"/>
      <c r="NZV87" s="916"/>
      <c r="NZW87" s="916"/>
      <c r="NZX87" s="916"/>
      <c r="NZY87" s="916"/>
      <c r="NZZ87" s="916"/>
      <c r="OAA87" s="916"/>
      <c r="OAB87" s="916"/>
      <c r="OAC87" s="916"/>
      <c r="OAD87" s="916"/>
      <c r="OAE87" s="916"/>
      <c r="OAF87" s="916"/>
      <c r="OAG87" s="916"/>
      <c r="OAH87" s="916"/>
      <c r="OAI87" s="916"/>
      <c r="OAJ87" s="916"/>
      <c r="OAK87" s="916"/>
      <c r="OAL87" s="916"/>
      <c r="OAM87" s="916"/>
      <c r="OAN87" s="916"/>
      <c r="OAO87" s="916"/>
      <c r="OAP87" s="916"/>
      <c r="OAQ87" s="916"/>
      <c r="OAR87" s="916"/>
      <c r="OAS87" s="916"/>
      <c r="OAT87" s="916"/>
      <c r="OAU87" s="916"/>
      <c r="OAV87" s="916"/>
      <c r="OAW87" s="916"/>
      <c r="OAX87" s="916"/>
      <c r="OAY87" s="916"/>
      <c r="OAZ87" s="916"/>
      <c r="OBA87" s="916"/>
      <c r="OBB87" s="916"/>
      <c r="OBC87" s="916"/>
      <c r="OBD87" s="916"/>
      <c r="OBE87" s="916"/>
      <c r="OBF87" s="916"/>
      <c r="OBG87" s="916"/>
      <c r="OBH87" s="916"/>
      <c r="OBI87" s="916"/>
      <c r="OBJ87" s="916"/>
      <c r="OBK87" s="916"/>
      <c r="OBL87" s="916"/>
      <c r="OBM87" s="916"/>
      <c r="OBN87" s="916"/>
      <c r="OBO87" s="916"/>
      <c r="OBP87" s="916"/>
      <c r="OBQ87" s="916"/>
      <c r="OBR87" s="916"/>
      <c r="OBS87" s="916"/>
      <c r="OBT87" s="916"/>
      <c r="OBU87" s="916"/>
      <c r="OBV87" s="916"/>
      <c r="OBW87" s="916"/>
      <c r="OBX87" s="916"/>
      <c r="OBY87" s="916"/>
      <c r="OBZ87" s="916"/>
      <c r="OCA87" s="916"/>
      <c r="OCB87" s="916"/>
      <c r="OCC87" s="916"/>
      <c r="OCD87" s="916"/>
      <c r="OCE87" s="916"/>
      <c r="OCF87" s="916"/>
      <c r="OCG87" s="916"/>
      <c r="OCH87" s="916"/>
      <c r="OCI87" s="916"/>
      <c r="OCJ87" s="916"/>
      <c r="OCK87" s="916"/>
      <c r="OCL87" s="916"/>
      <c r="OCM87" s="916"/>
      <c r="OCN87" s="916"/>
      <c r="OCO87" s="916"/>
      <c r="OCP87" s="916"/>
      <c r="OCQ87" s="916"/>
      <c r="OCR87" s="916"/>
      <c r="OCS87" s="916"/>
      <c r="OCT87" s="916"/>
      <c r="OCU87" s="916"/>
      <c r="OCV87" s="916"/>
      <c r="OCW87" s="916"/>
      <c r="OCX87" s="916"/>
      <c r="OCY87" s="916"/>
      <c r="OCZ87" s="916"/>
      <c r="ODA87" s="916"/>
      <c r="ODB87" s="916"/>
      <c r="ODC87" s="916"/>
      <c r="ODD87" s="916"/>
      <c r="ODE87" s="916"/>
      <c r="ODF87" s="916"/>
      <c r="ODG87" s="916"/>
      <c r="ODH87" s="916"/>
      <c r="ODI87" s="916"/>
      <c r="ODJ87" s="916"/>
      <c r="ODK87" s="916"/>
      <c r="ODL87" s="916"/>
      <c r="ODM87" s="916"/>
      <c r="ODN87" s="916"/>
      <c r="ODO87" s="916"/>
      <c r="ODP87" s="916"/>
      <c r="ODQ87" s="916"/>
      <c r="ODR87" s="916"/>
      <c r="ODS87" s="916"/>
      <c r="ODT87" s="916"/>
      <c r="ODU87" s="916"/>
      <c r="ODV87" s="916"/>
      <c r="ODW87" s="916"/>
      <c r="ODX87" s="916"/>
      <c r="ODY87" s="916"/>
      <c r="ODZ87" s="916"/>
      <c r="OEA87" s="916"/>
      <c r="OEB87" s="916"/>
      <c r="OEC87" s="916"/>
      <c r="OED87" s="916"/>
      <c r="OEE87" s="916"/>
      <c r="OEF87" s="916"/>
      <c r="OEG87" s="916"/>
      <c r="OEH87" s="916"/>
      <c r="OEI87" s="916"/>
      <c r="OEJ87" s="916"/>
      <c r="OEK87" s="916"/>
      <c r="OEL87" s="916"/>
      <c r="OEM87" s="916"/>
      <c r="OEN87" s="916"/>
      <c r="OEO87" s="916"/>
      <c r="OEP87" s="916"/>
      <c r="OEQ87" s="916"/>
      <c r="OER87" s="916"/>
      <c r="OES87" s="916"/>
      <c r="OET87" s="916"/>
      <c r="OEU87" s="916"/>
      <c r="OEV87" s="916"/>
      <c r="OEW87" s="916"/>
      <c r="OEX87" s="916"/>
      <c r="OEY87" s="916"/>
      <c r="OEZ87" s="916"/>
      <c r="OFA87" s="916"/>
      <c r="OFB87" s="916"/>
      <c r="OFC87" s="916"/>
      <c r="OFD87" s="916"/>
      <c r="OFE87" s="916"/>
      <c r="OFF87" s="916"/>
      <c r="OFG87" s="916"/>
      <c r="OFH87" s="916"/>
      <c r="OFI87" s="916"/>
      <c r="OFJ87" s="916"/>
      <c r="OFK87" s="916"/>
      <c r="OFL87" s="916"/>
      <c r="OFM87" s="916"/>
      <c r="OFN87" s="916"/>
      <c r="OFO87" s="916"/>
      <c r="OFP87" s="916"/>
      <c r="OFQ87" s="916"/>
      <c r="OFR87" s="916"/>
      <c r="OFS87" s="916"/>
      <c r="OFT87" s="916"/>
      <c r="OFU87" s="916"/>
      <c r="OFV87" s="916"/>
      <c r="OFW87" s="916"/>
      <c r="OFX87" s="916"/>
      <c r="OFY87" s="916"/>
      <c r="OFZ87" s="916"/>
      <c r="OGA87" s="916"/>
      <c r="OGB87" s="916"/>
      <c r="OGC87" s="916"/>
      <c r="OGD87" s="916"/>
      <c r="OGE87" s="916"/>
      <c r="OGF87" s="916"/>
      <c r="OGG87" s="916"/>
      <c r="OGH87" s="916"/>
      <c r="OGI87" s="916"/>
      <c r="OGJ87" s="916"/>
      <c r="OGK87" s="916"/>
      <c r="OGL87" s="916"/>
      <c r="OGM87" s="916"/>
      <c r="OGN87" s="916"/>
      <c r="OGO87" s="916"/>
      <c r="OGP87" s="916"/>
      <c r="OGQ87" s="916"/>
      <c r="OGR87" s="916"/>
      <c r="OGS87" s="916"/>
      <c r="OGT87" s="916"/>
      <c r="OGU87" s="916"/>
      <c r="OGV87" s="916"/>
      <c r="OGW87" s="916"/>
      <c r="OGX87" s="916"/>
      <c r="OGY87" s="916"/>
      <c r="OGZ87" s="916"/>
      <c r="OHA87" s="916"/>
      <c r="OHB87" s="916"/>
      <c r="OHC87" s="916"/>
      <c r="OHD87" s="916"/>
      <c r="OHE87" s="916"/>
      <c r="OHF87" s="916"/>
      <c r="OHG87" s="916"/>
      <c r="OHH87" s="916"/>
      <c r="OHI87" s="916"/>
      <c r="OHJ87" s="916"/>
      <c r="OHK87" s="916"/>
      <c r="OHL87" s="916"/>
      <c r="OHM87" s="916"/>
      <c r="OHN87" s="916"/>
      <c r="OHO87" s="916"/>
      <c r="OHP87" s="916"/>
      <c r="OHQ87" s="916"/>
      <c r="OHR87" s="916"/>
      <c r="OHS87" s="916"/>
      <c r="OHT87" s="916"/>
      <c r="OHU87" s="916"/>
      <c r="OHV87" s="916"/>
      <c r="OHW87" s="916"/>
      <c r="OHX87" s="916"/>
      <c r="OHY87" s="916"/>
      <c r="OHZ87" s="916"/>
      <c r="OIA87" s="916"/>
      <c r="OIB87" s="916"/>
      <c r="OIC87" s="916"/>
      <c r="OID87" s="916"/>
      <c r="OIE87" s="916"/>
      <c r="OIF87" s="916"/>
      <c r="OIG87" s="916"/>
      <c r="OIH87" s="916"/>
      <c r="OII87" s="916"/>
      <c r="OIJ87" s="916"/>
      <c r="OIK87" s="916"/>
      <c r="OIL87" s="916"/>
      <c r="OIM87" s="916"/>
      <c r="OIN87" s="916"/>
      <c r="OIO87" s="916"/>
      <c r="OIP87" s="916"/>
      <c r="OIQ87" s="916"/>
      <c r="OIR87" s="916"/>
      <c r="OIS87" s="916"/>
      <c r="OIT87" s="916"/>
      <c r="OIU87" s="916"/>
      <c r="OIV87" s="916"/>
      <c r="OIW87" s="916"/>
      <c r="OIX87" s="916"/>
      <c r="OIY87" s="916"/>
      <c r="OIZ87" s="916"/>
      <c r="OJA87" s="916"/>
      <c r="OJB87" s="916"/>
      <c r="OJC87" s="916"/>
      <c r="OJD87" s="916"/>
      <c r="OJE87" s="916"/>
      <c r="OJF87" s="916"/>
      <c r="OJG87" s="916"/>
      <c r="OJH87" s="916"/>
      <c r="OJI87" s="916"/>
      <c r="OJJ87" s="916"/>
      <c r="OJK87" s="916"/>
      <c r="OJL87" s="916"/>
      <c r="OJM87" s="916"/>
      <c r="OJN87" s="916"/>
      <c r="OJO87" s="916"/>
      <c r="OJP87" s="916"/>
      <c r="OJQ87" s="916"/>
      <c r="OJR87" s="916"/>
      <c r="OJS87" s="916"/>
      <c r="OJT87" s="916"/>
      <c r="OJU87" s="916"/>
      <c r="OJV87" s="916"/>
      <c r="OJW87" s="916"/>
      <c r="OJX87" s="916"/>
      <c r="OJY87" s="916"/>
      <c r="OJZ87" s="916"/>
      <c r="OKA87" s="916"/>
      <c r="OKB87" s="916"/>
      <c r="OKC87" s="916"/>
      <c r="OKD87" s="916"/>
      <c r="OKE87" s="916"/>
      <c r="OKF87" s="916"/>
      <c r="OKG87" s="916"/>
      <c r="OKH87" s="916"/>
      <c r="OKI87" s="916"/>
      <c r="OKJ87" s="916"/>
      <c r="OKK87" s="916"/>
      <c r="OKL87" s="916"/>
      <c r="OKM87" s="916"/>
      <c r="OKN87" s="916"/>
      <c r="OKO87" s="916"/>
      <c r="OKP87" s="916"/>
      <c r="OKQ87" s="916"/>
      <c r="OKR87" s="916"/>
      <c r="OKS87" s="916"/>
      <c r="OKT87" s="916"/>
      <c r="OKU87" s="916"/>
      <c r="OKV87" s="916"/>
      <c r="OKW87" s="916"/>
      <c r="OKX87" s="916"/>
      <c r="OKY87" s="916"/>
      <c r="OKZ87" s="916"/>
      <c r="OLA87" s="916"/>
      <c r="OLB87" s="916"/>
      <c r="OLC87" s="916"/>
      <c r="OLD87" s="916"/>
      <c r="OLE87" s="916"/>
      <c r="OLF87" s="916"/>
      <c r="OLG87" s="916"/>
      <c r="OLH87" s="916"/>
      <c r="OLI87" s="916"/>
      <c r="OLJ87" s="916"/>
      <c r="OLK87" s="916"/>
      <c r="OLL87" s="916"/>
      <c r="OLM87" s="916"/>
      <c r="OLN87" s="916"/>
      <c r="OLO87" s="916"/>
      <c r="OLP87" s="916"/>
      <c r="OLQ87" s="916"/>
      <c r="OLR87" s="916"/>
      <c r="OLS87" s="916"/>
      <c r="OLT87" s="916"/>
      <c r="OLU87" s="916"/>
      <c r="OLV87" s="916"/>
      <c r="OLW87" s="916"/>
      <c r="OLX87" s="916"/>
      <c r="OLY87" s="916"/>
      <c r="OLZ87" s="916"/>
      <c r="OMA87" s="916"/>
      <c r="OMB87" s="916"/>
      <c r="OMC87" s="916"/>
      <c r="OMD87" s="916"/>
      <c r="OME87" s="916"/>
      <c r="OMF87" s="916"/>
      <c r="OMG87" s="916"/>
      <c r="OMH87" s="916"/>
      <c r="OMI87" s="916"/>
      <c r="OMJ87" s="916"/>
      <c r="OMK87" s="916"/>
      <c r="OML87" s="916"/>
      <c r="OMM87" s="916"/>
      <c r="OMN87" s="916"/>
      <c r="OMO87" s="916"/>
      <c r="OMP87" s="916"/>
      <c r="OMQ87" s="916"/>
      <c r="OMR87" s="916"/>
      <c r="OMS87" s="916"/>
      <c r="OMT87" s="916"/>
      <c r="OMU87" s="916"/>
      <c r="OMV87" s="916"/>
      <c r="OMW87" s="916"/>
      <c r="OMX87" s="916"/>
      <c r="OMY87" s="916"/>
      <c r="OMZ87" s="916"/>
      <c r="ONA87" s="916"/>
      <c r="ONB87" s="916"/>
      <c r="ONC87" s="916"/>
      <c r="OND87" s="916"/>
      <c r="ONE87" s="916"/>
      <c r="ONF87" s="916"/>
      <c r="ONG87" s="916"/>
      <c r="ONH87" s="916"/>
      <c r="ONI87" s="916"/>
      <c r="ONJ87" s="916"/>
      <c r="ONK87" s="916"/>
      <c r="ONL87" s="916"/>
      <c r="ONM87" s="916"/>
      <c r="ONN87" s="916"/>
      <c r="ONO87" s="916"/>
      <c r="ONP87" s="916"/>
      <c r="ONQ87" s="916"/>
      <c r="ONR87" s="916"/>
      <c r="ONS87" s="916"/>
      <c r="ONT87" s="916"/>
      <c r="ONU87" s="916"/>
      <c r="ONV87" s="916"/>
      <c r="ONW87" s="916"/>
      <c r="ONX87" s="916"/>
      <c r="ONY87" s="916"/>
      <c r="ONZ87" s="916"/>
      <c r="OOA87" s="916"/>
      <c r="OOB87" s="916"/>
      <c r="OOC87" s="916"/>
      <c r="OOD87" s="916"/>
      <c r="OOE87" s="916"/>
      <c r="OOF87" s="916"/>
      <c r="OOG87" s="916"/>
      <c r="OOH87" s="916"/>
      <c r="OOI87" s="916"/>
      <c r="OOJ87" s="916"/>
      <c r="OOK87" s="916"/>
      <c r="OOL87" s="916"/>
      <c r="OOM87" s="916"/>
      <c r="OON87" s="916"/>
      <c r="OOO87" s="916"/>
      <c r="OOP87" s="916"/>
      <c r="OOQ87" s="916"/>
      <c r="OOR87" s="916"/>
      <c r="OOS87" s="916"/>
      <c r="OOT87" s="916"/>
      <c r="OOU87" s="916"/>
      <c r="OOV87" s="916"/>
      <c r="OOW87" s="916"/>
      <c r="OOX87" s="916"/>
      <c r="OOY87" s="916"/>
      <c r="OOZ87" s="916"/>
      <c r="OPA87" s="916"/>
      <c r="OPB87" s="916"/>
      <c r="OPC87" s="916"/>
      <c r="OPD87" s="916"/>
      <c r="OPE87" s="916"/>
      <c r="OPF87" s="916"/>
      <c r="OPG87" s="916"/>
      <c r="OPH87" s="916"/>
      <c r="OPI87" s="916"/>
      <c r="OPJ87" s="916"/>
      <c r="OPK87" s="916"/>
      <c r="OPL87" s="916"/>
      <c r="OPM87" s="916"/>
      <c r="OPN87" s="916"/>
      <c r="OPO87" s="916"/>
      <c r="OPP87" s="916"/>
      <c r="OPQ87" s="916"/>
      <c r="OPR87" s="916"/>
      <c r="OPS87" s="916"/>
      <c r="OPT87" s="916"/>
      <c r="OPU87" s="916"/>
      <c r="OPV87" s="916"/>
      <c r="OPW87" s="916"/>
      <c r="OPX87" s="916"/>
      <c r="OPY87" s="916"/>
      <c r="OPZ87" s="916"/>
      <c r="OQA87" s="916"/>
      <c r="OQB87" s="916"/>
      <c r="OQC87" s="916"/>
      <c r="OQD87" s="916"/>
      <c r="OQE87" s="916"/>
      <c r="OQF87" s="916"/>
      <c r="OQG87" s="916"/>
      <c r="OQH87" s="916"/>
      <c r="OQI87" s="916"/>
      <c r="OQJ87" s="916"/>
      <c r="OQK87" s="916"/>
      <c r="OQL87" s="916"/>
      <c r="OQM87" s="916"/>
      <c r="OQN87" s="916"/>
      <c r="OQO87" s="916"/>
      <c r="OQP87" s="916"/>
      <c r="OQQ87" s="916"/>
      <c r="OQR87" s="916"/>
      <c r="OQS87" s="916"/>
      <c r="OQT87" s="916"/>
      <c r="OQU87" s="916"/>
      <c r="OQV87" s="916"/>
      <c r="OQW87" s="916"/>
      <c r="OQX87" s="916"/>
      <c r="OQY87" s="916"/>
      <c r="OQZ87" s="916"/>
      <c r="ORA87" s="916"/>
      <c r="ORB87" s="916"/>
      <c r="ORC87" s="916"/>
      <c r="ORD87" s="916"/>
      <c r="ORE87" s="916"/>
      <c r="ORF87" s="916"/>
      <c r="ORG87" s="916"/>
      <c r="ORH87" s="916"/>
      <c r="ORI87" s="916"/>
      <c r="ORJ87" s="916"/>
      <c r="ORK87" s="916"/>
      <c r="ORL87" s="916"/>
      <c r="ORM87" s="916"/>
      <c r="ORN87" s="916"/>
      <c r="ORO87" s="916"/>
      <c r="ORP87" s="916"/>
      <c r="ORQ87" s="916"/>
      <c r="ORR87" s="916"/>
      <c r="ORS87" s="916"/>
      <c r="ORT87" s="916"/>
      <c r="ORU87" s="916"/>
      <c r="ORV87" s="916"/>
      <c r="ORW87" s="916"/>
      <c r="ORX87" s="916"/>
      <c r="ORY87" s="916"/>
      <c r="ORZ87" s="916"/>
      <c r="OSA87" s="916"/>
      <c r="OSB87" s="916"/>
      <c r="OSC87" s="916"/>
      <c r="OSD87" s="916"/>
      <c r="OSE87" s="916"/>
      <c r="OSF87" s="916"/>
      <c r="OSG87" s="916"/>
      <c r="OSH87" s="916"/>
      <c r="OSI87" s="916"/>
      <c r="OSJ87" s="916"/>
      <c r="OSK87" s="916"/>
      <c r="OSL87" s="916"/>
      <c r="OSM87" s="916"/>
      <c r="OSN87" s="916"/>
      <c r="OSO87" s="916"/>
      <c r="OSP87" s="916"/>
      <c r="OSQ87" s="916"/>
      <c r="OSR87" s="916"/>
      <c r="OSS87" s="916"/>
      <c r="OST87" s="916"/>
      <c r="OSU87" s="916"/>
      <c r="OSV87" s="916"/>
      <c r="OSW87" s="916"/>
      <c r="OSX87" s="916"/>
      <c r="OSY87" s="916"/>
      <c r="OSZ87" s="916"/>
      <c r="OTA87" s="916"/>
      <c r="OTB87" s="916"/>
      <c r="OTC87" s="916"/>
      <c r="OTD87" s="916"/>
      <c r="OTE87" s="916"/>
      <c r="OTF87" s="916"/>
      <c r="OTG87" s="916"/>
      <c r="OTH87" s="916"/>
      <c r="OTI87" s="916"/>
      <c r="OTJ87" s="916"/>
      <c r="OTK87" s="916"/>
      <c r="OTL87" s="916"/>
      <c r="OTM87" s="916"/>
      <c r="OTN87" s="916"/>
      <c r="OTO87" s="916"/>
      <c r="OTP87" s="916"/>
      <c r="OTQ87" s="916"/>
      <c r="OTR87" s="916"/>
      <c r="OTS87" s="916"/>
      <c r="OTT87" s="916"/>
      <c r="OTU87" s="916"/>
      <c r="OTV87" s="916"/>
      <c r="OTW87" s="916"/>
      <c r="OTX87" s="916"/>
      <c r="OTY87" s="916"/>
      <c r="OTZ87" s="916"/>
      <c r="OUA87" s="916"/>
      <c r="OUB87" s="916"/>
      <c r="OUC87" s="916"/>
      <c r="OUD87" s="916"/>
      <c r="OUE87" s="916"/>
      <c r="OUF87" s="916"/>
      <c r="OUG87" s="916"/>
      <c r="OUH87" s="916"/>
      <c r="OUI87" s="916"/>
      <c r="OUJ87" s="916"/>
      <c r="OUK87" s="916"/>
      <c r="OUL87" s="916"/>
      <c r="OUM87" s="916"/>
      <c r="OUN87" s="916"/>
      <c r="OUO87" s="916"/>
      <c r="OUP87" s="916"/>
      <c r="OUQ87" s="916"/>
      <c r="OUR87" s="916"/>
      <c r="OUS87" s="916"/>
      <c r="OUT87" s="916"/>
      <c r="OUU87" s="916"/>
      <c r="OUV87" s="916"/>
      <c r="OUW87" s="916"/>
      <c r="OUX87" s="916"/>
      <c r="OUY87" s="916"/>
      <c r="OUZ87" s="916"/>
      <c r="OVA87" s="916"/>
      <c r="OVB87" s="916"/>
      <c r="OVC87" s="916"/>
      <c r="OVD87" s="916"/>
      <c r="OVE87" s="916"/>
      <c r="OVF87" s="916"/>
      <c r="OVG87" s="916"/>
      <c r="OVH87" s="916"/>
      <c r="OVI87" s="916"/>
      <c r="OVJ87" s="916"/>
      <c r="OVK87" s="916"/>
      <c r="OVL87" s="916"/>
      <c r="OVM87" s="916"/>
      <c r="OVN87" s="916"/>
      <c r="OVO87" s="916"/>
      <c r="OVP87" s="916"/>
      <c r="OVQ87" s="916"/>
      <c r="OVR87" s="916"/>
      <c r="OVS87" s="916"/>
      <c r="OVT87" s="916"/>
      <c r="OVU87" s="916"/>
      <c r="OVV87" s="916"/>
      <c r="OVW87" s="916"/>
      <c r="OVX87" s="916"/>
      <c r="OVY87" s="916"/>
      <c r="OVZ87" s="916"/>
      <c r="OWA87" s="916"/>
      <c r="OWB87" s="916"/>
      <c r="OWC87" s="916"/>
      <c r="OWD87" s="916"/>
      <c r="OWE87" s="916"/>
      <c r="OWF87" s="916"/>
      <c r="OWG87" s="916"/>
      <c r="OWH87" s="916"/>
      <c r="OWI87" s="916"/>
      <c r="OWJ87" s="916"/>
      <c r="OWK87" s="916"/>
      <c r="OWL87" s="916"/>
      <c r="OWM87" s="916"/>
      <c r="OWN87" s="916"/>
      <c r="OWO87" s="916"/>
      <c r="OWP87" s="916"/>
      <c r="OWQ87" s="916"/>
      <c r="OWR87" s="916"/>
      <c r="OWS87" s="916"/>
      <c r="OWT87" s="916"/>
      <c r="OWU87" s="916"/>
      <c r="OWV87" s="916"/>
      <c r="OWW87" s="916"/>
      <c r="OWX87" s="916"/>
      <c r="OWY87" s="916"/>
      <c r="OWZ87" s="916"/>
      <c r="OXA87" s="916"/>
      <c r="OXB87" s="916"/>
      <c r="OXC87" s="916"/>
      <c r="OXD87" s="916"/>
      <c r="OXE87" s="916"/>
      <c r="OXF87" s="916"/>
      <c r="OXG87" s="916"/>
      <c r="OXH87" s="916"/>
      <c r="OXI87" s="916"/>
      <c r="OXJ87" s="916"/>
      <c r="OXK87" s="916"/>
      <c r="OXL87" s="916"/>
      <c r="OXM87" s="916"/>
      <c r="OXN87" s="916"/>
      <c r="OXO87" s="916"/>
      <c r="OXP87" s="916"/>
      <c r="OXQ87" s="916"/>
      <c r="OXR87" s="916"/>
      <c r="OXS87" s="916"/>
      <c r="OXT87" s="916"/>
      <c r="OXU87" s="916"/>
      <c r="OXV87" s="916"/>
      <c r="OXW87" s="916"/>
      <c r="OXX87" s="916"/>
      <c r="OXY87" s="916"/>
      <c r="OXZ87" s="916"/>
      <c r="OYA87" s="916"/>
      <c r="OYB87" s="916"/>
      <c r="OYC87" s="916"/>
      <c r="OYD87" s="916"/>
      <c r="OYE87" s="916"/>
      <c r="OYF87" s="916"/>
      <c r="OYG87" s="916"/>
      <c r="OYH87" s="916"/>
      <c r="OYI87" s="916"/>
      <c r="OYJ87" s="916"/>
      <c r="OYK87" s="916"/>
      <c r="OYL87" s="916"/>
      <c r="OYM87" s="916"/>
      <c r="OYN87" s="916"/>
      <c r="OYO87" s="916"/>
      <c r="OYP87" s="916"/>
      <c r="OYQ87" s="916"/>
      <c r="OYR87" s="916"/>
      <c r="OYS87" s="916"/>
      <c r="OYT87" s="916"/>
      <c r="OYU87" s="916"/>
      <c r="OYV87" s="916"/>
      <c r="OYW87" s="916"/>
      <c r="OYX87" s="916"/>
      <c r="OYY87" s="916"/>
      <c r="OYZ87" s="916"/>
      <c r="OZA87" s="916"/>
      <c r="OZB87" s="916"/>
      <c r="OZC87" s="916"/>
      <c r="OZD87" s="916"/>
      <c r="OZE87" s="916"/>
      <c r="OZF87" s="916"/>
      <c r="OZG87" s="916"/>
      <c r="OZH87" s="916"/>
      <c r="OZI87" s="916"/>
      <c r="OZJ87" s="916"/>
      <c r="OZK87" s="916"/>
      <c r="OZL87" s="916"/>
      <c r="OZM87" s="916"/>
      <c r="OZN87" s="916"/>
      <c r="OZO87" s="916"/>
      <c r="OZP87" s="916"/>
      <c r="OZQ87" s="916"/>
      <c r="OZR87" s="916"/>
      <c r="OZS87" s="916"/>
      <c r="OZT87" s="916"/>
      <c r="OZU87" s="916"/>
      <c r="OZV87" s="916"/>
      <c r="OZW87" s="916"/>
      <c r="OZX87" s="916"/>
      <c r="OZY87" s="916"/>
      <c r="OZZ87" s="916"/>
      <c r="PAA87" s="916"/>
      <c r="PAB87" s="916"/>
      <c r="PAC87" s="916"/>
      <c r="PAD87" s="916"/>
      <c r="PAE87" s="916"/>
      <c r="PAF87" s="916"/>
      <c r="PAG87" s="916"/>
      <c r="PAH87" s="916"/>
      <c r="PAI87" s="916"/>
      <c r="PAJ87" s="916"/>
      <c r="PAK87" s="916"/>
      <c r="PAL87" s="916"/>
      <c r="PAM87" s="916"/>
      <c r="PAN87" s="916"/>
      <c r="PAO87" s="916"/>
      <c r="PAP87" s="916"/>
      <c r="PAQ87" s="916"/>
      <c r="PAR87" s="916"/>
      <c r="PAS87" s="916"/>
      <c r="PAT87" s="916"/>
      <c r="PAU87" s="916"/>
      <c r="PAV87" s="916"/>
      <c r="PAW87" s="916"/>
      <c r="PAX87" s="916"/>
      <c r="PAY87" s="916"/>
      <c r="PAZ87" s="916"/>
      <c r="PBA87" s="916"/>
      <c r="PBB87" s="916"/>
      <c r="PBC87" s="916"/>
      <c r="PBD87" s="916"/>
      <c r="PBE87" s="916"/>
      <c r="PBF87" s="916"/>
      <c r="PBG87" s="916"/>
      <c r="PBH87" s="916"/>
      <c r="PBI87" s="916"/>
      <c r="PBJ87" s="916"/>
      <c r="PBK87" s="916"/>
      <c r="PBL87" s="916"/>
      <c r="PBM87" s="916"/>
      <c r="PBN87" s="916"/>
      <c r="PBO87" s="916"/>
      <c r="PBP87" s="916"/>
      <c r="PBQ87" s="916"/>
      <c r="PBR87" s="916"/>
      <c r="PBS87" s="916"/>
      <c r="PBT87" s="916"/>
      <c r="PBU87" s="916"/>
      <c r="PBV87" s="916"/>
      <c r="PBW87" s="916"/>
      <c r="PBX87" s="916"/>
      <c r="PBY87" s="916"/>
      <c r="PBZ87" s="916"/>
      <c r="PCA87" s="916"/>
      <c r="PCB87" s="916"/>
      <c r="PCC87" s="916"/>
      <c r="PCD87" s="916"/>
      <c r="PCE87" s="916"/>
      <c r="PCF87" s="916"/>
      <c r="PCG87" s="916"/>
      <c r="PCH87" s="916"/>
      <c r="PCI87" s="916"/>
      <c r="PCJ87" s="916"/>
      <c r="PCK87" s="916"/>
      <c r="PCL87" s="916"/>
      <c r="PCM87" s="916"/>
      <c r="PCN87" s="916"/>
      <c r="PCO87" s="916"/>
      <c r="PCP87" s="916"/>
      <c r="PCQ87" s="916"/>
      <c r="PCR87" s="916"/>
      <c r="PCS87" s="916"/>
      <c r="PCT87" s="916"/>
      <c r="PCU87" s="916"/>
      <c r="PCV87" s="916"/>
      <c r="PCW87" s="916"/>
      <c r="PCX87" s="916"/>
      <c r="PCY87" s="916"/>
      <c r="PCZ87" s="916"/>
      <c r="PDA87" s="916"/>
      <c r="PDB87" s="916"/>
      <c r="PDC87" s="916"/>
      <c r="PDD87" s="916"/>
      <c r="PDE87" s="916"/>
      <c r="PDF87" s="916"/>
      <c r="PDG87" s="916"/>
      <c r="PDH87" s="916"/>
      <c r="PDI87" s="916"/>
      <c r="PDJ87" s="916"/>
      <c r="PDK87" s="916"/>
      <c r="PDL87" s="916"/>
      <c r="PDM87" s="916"/>
      <c r="PDN87" s="916"/>
      <c r="PDO87" s="916"/>
      <c r="PDP87" s="916"/>
      <c r="PDQ87" s="916"/>
      <c r="PDR87" s="916"/>
      <c r="PDS87" s="916"/>
      <c r="PDT87" s="916"/>
      <c r="PDU87" s="916"/>
      <c r="PDV87" s="916"/>
      <c r="PDW87" s="916"/>
      <c r="PDX87" s="916"/>
      <c r="PDY87" s="916"/>
      <c r="PDZ87" s="916"/>
      <c r="PEA87" s="916"/>
      <c r="PEB87" s="916"/>
      <c r="PEC87" s="916"/>
      <c r="PED87" s="916"/>
      <c r="PEE87" s="916"/>
      <c r="PEF87" s="916"/>
      <c r="PEG87" s="916"/>
      <c r="PEH87" s="916"/>
      <c r="PEI87" s="916"/>
      <c r="PEJ87" s="916"/>
      <c r="PEK87" s="916"/>
      <c r="PEL87" s="916"/>
      <c r="PEM87" s="916"/>
      <c r="PEN87" s="916"/>
      <c r="PEO87" s="916"/>
      <c r="PEP87" s="916"/>
      <c r="PEQ87" s="916"/>
      <c r="PER87" s="916"/>
      <c r="PES87" s="916"/>
      <c r="PET87" s="916"/>
      <c r="PEU87" s="916"/>
      <c r="PEV87" s="916"/>
      <c r="PEW87" s="916"/>
      <c r="PEX87" s="916"/>
      <c r="PEY87" s="916"/>
      <c r="PEZ87" s="916"/>
      <c r="PFA87" s="916"/>
      <c r="PFB87" s="916"/>
      <c r="PFC87" s="916"/>
      <c r="PFD87" s="916"/>
      <c r="PFE87" s="916"/>
      <c r="PFF87" s="916"/>
      <c r="PFG87" s="916"/>
      <c r="PFH87" s="916"/>
      <c r="PFI87" s="916"/>
      <c r="PFJ87" s="916"/>
      <c r="PFK87" s="916"/>
      <c r="PFL87" s="916"/>
      <c r="PFM87" s="916"/>
      <c r="PFN87" s="916"/>
      <c r="PFO87" s="916"/>
      <c r="PFP87" s="916"/>
      <c r="PFQ87" s="916"/>
      <c r="PFR87" s="916"/>
      <c r="PFS87" s="916"/>
      <c r="PFT87" s="916"/>
      <c r="PFU87" s="916"/>
      <c r="PFV87" s="916"/>
      <c r="PFW87" s="916"/>
      <c r="PFX87" s="916"/>
      <c r="PFY87" s="916"/>
      <c r="PFZ87" s="916"/>
      <c r="PGA87" s="916"/>
      <c r="PGB87" s="916"/>
      <c r="PGC87" s="916"/>
      <c r="PGD87" s="916"/>
      <c r="PGE87" s="916"/>
      <c r="PGF87" s="916"/>
      <c r="PGG87" s="916"/>
      <c r="PGH87" s="916"/>
      <c r="PGI87" s="916"/>
      <c r="PGJ87" s="916"/>
      <c r="PGK87" s="916"/>
      <c r="PGL87" s="916"/>
      <c r="PGM87" s="916"/>
      <c r="PGN87" s="916"/>
      <c r="PGO87" s="916"/>
      <c r="PGP87" s="916"/>
      <c r="PGQ87" s="916"/>
      <c r="PGR87" s="916"/>
      <c r="PGS87" s="916"/>
      <c r="PGT87" s="916"/>
      <c r="PGU87" s="916"/>
      <c r="PGV87" s="916"/>
      <c r="PGW87" s="916"/>
      <c r="PGX87" s="916"/>
      <c r="PGY87" s="916"/>
      <c r="PGZ87" s="916"/>
      <c r="PHA87" s="916"/>
      <c r="PHB87" s="916"/>
      <c r="PHC87" s="916"/>
      <c r="PHD87" s="916"/>
      <c r="PHE87" s="916"/>
      <c r="PHF87" s="916"/>
      <c r="PHG87" s="916"/>
      <c r="PHH87" s="916"/>
      <c r="PHI87" s="916"/>
      <c r="PHJ87" s="916"/>
      <c r="PHK87" s="916"/>
      <c r="PHL87" s="916"/>
      <c r="PHM87" s="916"/>
      <c r="PHN87" s="916"/>
      <c r="PHO87" s="916"/>
      <c r="PHP87" s="916"/>
      <c r="PHQ87" s="916"/>
      <c r="PHR87" s="916"/>
      <c r="PHS87" s="916"/>
      <c r="PHT87" s="916"/>
      <c r="PHU87" s="916"/>
      <c r="PHV87" s="916"/>
      <c r="PHW87" s="916"/>
      <c r="PHX87" s="916"/>
      <c r="PHY87" s="916"/>
      <c r="PHZ87" s="916"/>
      <c r="PIA87" s="916"/>
      <c r="PIB87" s="916"/>
      <c r="PIC87" s="916"/>
      <c r="PID87" s="916"/>
      <c r="PIE87" s="916"/>
      <c r="PIF87" s="916"/>
      <c r="PIG87" s="916"/>
      <c r="PIH87" s="916"/>
      <c r="PII87" s="916"/>
      <c r="PIJ87" s="916"/>
      <c r="PIK87" s="916"/>
      <c r="PIL87" s="916"/>
      <c r="PIM87" s="916"/>
      <c r="PIN87" s="916"/>
      <c r="PIO87" s="916"/>
      <c r="PIP87" s="916"/>
      <c r="PIQ87" s="916"/>
      <c r="PIR87" s="916"/>
      <c r="PIS87" s="916"/>
      <c r="PIT87" s="916"/>
      <c r="PIU87" s="916"/>
      <c r="PIV87" s="916"/>
      <c r="PIW87" s="916"/>
      <c r="PIX87" s="916"/>
      <c r="PIY87" s="916"/>
      <c r="PIZ87" s="916"/>
      <c r="PJA87" s="916"/>
      <c r="PJB87" s="916"/>
      <c r="PJC87" s="916"/>
      <c r="PJD87" s="916"/>
      <c r="PJE87" s="916"/>
      <c r="PJF87" s="916"/>
      <c r="PJG87" s="916"/>
      <c r="PJH87" s="916"/>
      <c r="PJI87" s="916"/>
      <c r="PJJ87" s="916"/>
      <c r="PJK87" s="916"/>
      <c r="PJL87" s="916"/>
      <c r="PJM87" s="916"/>
      <c r="PJN87" s="916"/>
      <c r="PJO87" s="916"/>
      <c r="PJP87" s="916"/>
      <c r="PJQ87" s="916"/>
      <c r="PJR87" s="916"/>
      <c r="PJS87" s="916"/>
      <c r="PJT87" s="916"/>
      <c r="PJU87" s="916"/>
      <c r="PJV87" s="916"/>
      <c r="PJW87" s="916"/>
      <c r="PJX87" s="916"/>
      <c r="PJY87" s="916"/>
      <c r="PJZ87" s="916"/>
      <c r="PKA87" s="916"/>
      <c r="PKB87" s="916"/>
      <c r="PKC87" s="916"/>
      <c r="PKD87" s="916"/>
      <c r="PKE87" s="916"/>
      <c r="PKF87" s="916"/>
      <c r="PKG87" s="916"/>
      <c r="PKH87" s="916"/>
      <c r="PKI87" s="916"/>
      <c r="PKJ87" s="916"/>
      <c r="PKK87" s="916"/>
      <c r="PKL87" s="916"/>
      <c r="PKM87" s="916"/>
      <c r="PKN87" s="916"/>
      <c r="PKO87" s="916"/>
      <c r="PKP87" s="916"/>
      <c r="PKQ87" s="916"/>
      <c r="PKR87" s="916"/>
      <c r="PKS87" s="916"/>
      <c r="PKT87" s="916"/>
      <c r="PKU87" s="916"/>
      <c r="PKV87" s="916"/>
      <c r="PKW87" s="916"/>
      <c r="PKX87" s="916"/>
      <c r="PKY87" s="916"/>
      <c r="PKZ87" s="916"/>
      <c r="PLA87" s="916"/>
      <c r="PLB87" s="916"/>
      <c r="PLC87" s="916"/>
      <c r="PLD87" s="916"/>
      <c r="PLE87" s="916"/>
      <c r="PLF87" s="916"/>
      <c r="PLG87" s="916"/>
      <c r="PLH87" s="916"/>
      <c r="PLI87" s="916"/>
      <c r="PLJ87" s="916"/>
      <c r="PLK87" s="916"/>
      <c r="PLL87" s="916"/>
      <c r="PLM87" s="916"/>
      <c r="PLN87" s="916"/>
      <c r="PLO87" s="916"/>
      <c r="PLP87" s="916"/>
      <c r="PLQ87" s="916"/>
      <c r="PLR87" s="916"/>
      <c r="PLS87" s="916"/>
      <c r="PLT87" s="916"/>
      <c r="PLU87" s="916"/>
      <c r="PLV87" s="916"/>
      <c r="PLW87" s="916"/>
      <c r="PLX87" s="916"/>
      <c r="PLY87" s="916"/>
      <c r="PLZ87" s="916"/>
      <c r="PMA87" s="916"/>
      <c r="PMB87" s="916"/>
      <c r="PMC87" s="916"/>
      <c r="PMD87" s="916"/>
      <c r="PME87" s="916"/>
      <c r="PMF87" s="916"/>
      <c r="PMG87" s="916"/>
      <c r="PMH87" s="916"/>
      <c r="PMI87" s="916"/>
      <c r="PMJ87" s="916"/>
      <c r="PMK87" s="916"/>
      <c r="PML87" s="916"/>
      <c r="PMM87" s="916"/>
      <c r="PMN87" s="916"/>
      <c r="PMO87" s="916"/>
      <c r="PMP87" s="916"/>
      <c r="PMQ87" s="916"/>
      <c r="PMR87" s="916"/>
      <c r="PMS87" s="916"/>
      <c r="PMT87" s="916"/>
      <c r="PMU87" s="916"/>
      <c r="PMV87" s="916"/>
      <c r="PMW87" s="916"/>
      <c r="PMX87" s="916"/>
      <c r="PMY87" s="916"/>
      <c r="PMZ87" s="916"/>
      <c r="PNA87" s="916"/>
      <c r="PNB87" s="916"/>
      <c r="PNC87" s="916"/>
      <c r="PND87" s="916"/>
      <c r="PNE87" s="916"/>
      <c r="PNF87" s="916"/>
      <c r="PNG87" s="916"/>
      <c r="PNH87" s="916"/>
      <c r="PNI87" s="916"/>
      <c r="PNJ87" s="916"/>
      <c r="PNK87" s="916"/>
      <c r="PNL87" s="916"/>
      <c r="PNM87" s="916"/>
      <c r="PNN87" s="916"/>
      <c r="PNO87" s="916"/>
      <c r="PNP87" s="916"/>
      <c r="PNQ87" s="916"/>
      <c r="PNR87" s="916"/>
      <c r="PNS87" s="916"/>
      <c r="PNT87" s="916"/>
      <c r="PNU87" s="916"/>
      <c r="PNV87" s="916"/>
      <c r="PNW87" s="916"/>
      <c r="PNX87" s="916"/>
      <c r="PNY87" s="916"/>
      <c r="PNZ87" s="916"/>
      <c r="POA87" s="916"/>
      <c r="POB87" s="916"/>
      <c r="POC87" s="916"/>
      <c r="POD87" s="916"/>
      <c r="POE87" s="916"/>
      <c r="POF87" s="916"/>
      <c r="POG87" s="916"/>
      <c r="POH87" s="916"/>
      <c r="POI87" s="916"/>
      <c r="POJ87" s="916"/>
      <c r="POK87" s="916"/>
      <c r="POL87" s="916"/>
      <c r="POM87" s="916"/>
      <c r="PON87" s="916"/>
      <c r="POO87" s="916"/>
      <c r="POP87" s="916"/>
      <c r="POQ87" s="916"/>
      <c r="POR87" s="916"/>
      <c r="POS87" s="916"/>
      <c r="POT87" s="916"/>
      <c r="POU87" s="916"/>
      <c r="POV87" s="916"/>
      <c r="POW87" s="916"/>
      <c r="POX87" s="916"/>
      <c r="POY87" s="916"/>
      <c r="POZ87" s="916"/>
      <c r="PPA87" s="916"/>
      <c r="PPB87" s="916"/>
      <c r="PPC87" s="916"/>
      <c r="PPD87" s="916"/>
      <c r="PPE87" s="916"/>
      <c r="PPF87" s="916"/>
      <c r="PPG87" s="916"/>
      <c r="PPH87" s="916"/>
      <c r="PPI87" s="916"/>
      <c r="PPJ87" s="916"/>
      <c r="PPK87" s="916"/>
      <c r="PPL87" s="916"/>
      <c r="PPM87" s="916"/>
      <c r="PPN87" s="916"/>
      <c r="PPO87" s="916"/>
      <c r="PPP87" s="916"/>
      <c r="PPQ87" s="916"/>
      <c r="PPR87" s="916"/>
      <c r="PPS87" s="916"/>
      <c r="PPT87" s="916"/>
      <c r="PPU87" s="916"/>
      <c r="PPV87" s="916"/>
      <c r="PPW87" s="916"/>
      <c r="PPX87" s="916"/>
      <c r="PPY87" s="916"/>
      <c r="PPZ87" s="916"/>
      <c r="PQA87" s="916"/>
      <c r="PQB87" s="916"/>
      <c r="PQC87" s="916"/>
      <c r="PQD87" s="916"/>
      <c r="PQE87" s="916"/>
      <c r="PQF87" s="916"/>
      <c r="PQG87" s="916"/>
      <c r="PQH87" s="916"/>
      <c r="PQI87" s="916"/>
      <c r="PQJ87" s="916"/>
      <c r="PQK87" s="916"/>
      <c r="PQL87" s="916"/>
      <c r="PQM87" s="916"/>
      <c r="PQN87" s="916"/>
      <c r="PQO87" s="916"/>
      <c r="PQP87" s="916"/>
      <c r="PQQ87" s="916"/>
      <c r="PQR87" s="916"/>
      <c r="PQS87" s="916"/>
      <c r="PQT87" s="916"/>
      <c r="PQU87" s="916"/>
      <c r="PQV87" s="916"/>
      <c r="PQW87" s="916"/>
      <c r="PQX87" s="916"/>
      <c r="PQY87" s="916"/>
      <c r="PQZ87" s="916"/>
      <c r="PRA87" s="916"/>
      <c r="PRB87" s="916"/>
      <c r="PRC87" s="916"/>
      <c r="PRD87" s="916"/>
      <c r="PRE87" s="916"/>
      <c r="PRF87" s="916"/>
      <c r="PRG87" s="916"/>
      <c r="PRH87" s="916"/>
      <c r="PRI87" s="916"/>
      <c r="PRJ87" s="916"/>
      <c r="PRK87" s="916"/>
      <c r="PRL87" s="916"/>
      <c r="PRM87" s="916"/>
      <c r="PRN87" s="916"/>
      <c r="PRO87" s="916"/>
      <c r="PRP87" s="916"/>
      <c r="PRQ87" s="916"/>
      <c r="PRR87" s="916"/>
      <c r="PRS87" s="916"/>
      <c r="PRT87" s="916"/>
      <c r="PRU87" s="916"/>
      <c r="PRV87" s="916"/>
      <c r="PRW87" s="916"/>
      <c r="PRX87" s="916"/>
      <c r="PRY87" s="916"/>
      <c r="PRZ87" s="916"/>
      <c r="PSA87" s="916"/>
      <c r="PSB87" s="916"/>
      <c r="PSC87" s="916"/>
      <c r="PSD87" s="916"/>
      <c r="PSE87" s="916"/>
      <c r="PSF87" s="916"/>
      <c r="PSG87" s="916"/>
      <c r="PSH87" s="916"/>
      <c r="PSI87" s="916"/>
      <c r="PSJ87" s="916"/>
      <c r="PSK87" s="916"/>
      <c r="PSL87" s="916"/>
      <c r="PSM87" s="916"/>
      <c r="PSN87" s="916"/>
      <c r="PSO87" s="916"/>
      <c r="PSP87" s="916"/>
      <c r="PSQ87" s="916"/>
      <c r="PSR87" s="916"/>
      <c r="PSS87" s="916"/>
      <c r="PST87" s="916"/>
      <c r="PSU87" s="916"/>
      <c r="PSV87" s="916"/>
      <c r="PSW87" s="916"/>
      <c r="PSX87" s="916"/>
      <c r="PSY87" s="916"/>
      <c r="PSZ87" s="916"/>
      <c r="PTA87" s="916"/>
      <c r="PTB87" s="916"/>
      <c r="PTC87" s="916"/>
      <c r="PTD87" s="916"/>
      <c r="PTE87" s="916"/>
      <c r="PTF87" s="916"/>
      <c r="PTG87" s="916"/>
      <c r="PTH87" s="916"/>
      <c r="PTI87" s="916"/>
      <c r="PTJ87" s="916"/>
      <c r="PTK87" s="916"/>
      <c r="PTL87" s="916"/>
      <c r="PTM87" s="916"/>
      <c r="PTN87" s="916"/>
      <c r="PTO87" s="916"/>
      <c r="PTP87" s="916"/>
      <c r="PTQ87" s="916"/>
      <c r="PTR87" s="916"/>
      <c r="PTS87" s="916"/>
      <c r="PTT87" s="916"/>
      <c r="PTU87" s="916"/>
      <c r="PTV87" s="916"/>
      <c r="PTW87" s="916"/>
      <c r="PTX87" s="916"/>
      <c r="PTY87" s="916"/>
      <c r="PTZ87" s="916"/>
      <c r="PUA87" s="916"/>
      <c r="PUB87" s="916"/>
      <c r="PUC87" s="916"/>
      <c r="PUD87" s="916"/>
      <c r="PUE87" s="916"/>
      <c r="PUF87" s="916"/>
      <c r="PUG87" s="916"/>
      <c r="PUH87" s="916"/>
      <c r="PUI87" s="916"/>
      <c r="PUJ87" s="916"/>
      <c r="PUK87" s="916"/>
      <c r="PUL87" s="916"/>
      <c r="PUM87" s="916"/>
      <c r="PUN87" s="916"/>
      <c r="PUO87" s="916"/>
      <c r="PUP87" s="916"/>
      <c r="PUQ87" s="916"/>
      <c r="PUR87" s="916"/>
      <c r="PUS87" s="916"/>
      <c r="PUT87" s="916"/>
      <c r="PUU87" s="916"/>
      <c r="PUV87" s="916"/>
      <c r="PUW87" s="916"/>
      <c r="PUX87" s="916"/>
      <c r="PUY87" s="916"/>
      <c r="PUZ87" s="916"/>
      <c r="PVA87" s="916"/>
      <c r="PVB87" s="916"/>
      <c r="PVC87" s="916"/>
      <c r="PVD87" s="916"/>
      <c r="PVE87" s="916"/>
      <c r="PVF87" s="916"/>
      <c r="PVG87" s="916"/>
      <c r="PVH87" s="916"/>
      <c r="PVI87" s="916"/>
      <c r="PVJ87" s="916"/>
      <c r="PVK87" s="916"/>
      <c r="PVL87" s="916"/>
      <c r="PVM87" s="916"/>
      <c r="PVN87" s="916"/>
      <c r="PVO87" s="916"/>
      <c r="PVP87" s="916"/>
      <c r="PVQ87" s="916"/>
      <c r="PVR87" s="916"/>
      <c r="PVS87" s="916"/>
      <c r="PVT87" s="916"/>
      <c r="PVU87" s="916"/>
      <c r="PVV87" s="916"/>
      <c r="PVW87" s="916"/>
      <c r="PVX87" s="916"/>
      <c r="PVY87" s="916"/>
      <c r="PVZ87" s="916"/>
      <c r="PWA87" s="916"/>
      <c r="PWB87" s="916"/>
      <c r="PWC87" s="916"/>
      <c r="PWD87" s="916"/>
      <c r="PWE87" s="916"/>
      <c r="PWF87" s="916"/>
      <c r="PWG87" s="916"/>
      <c r="PWH87" s="916"/>
      <c r="PWI87" s="916"/>
      <c r="PWJ87" s="916"/>
      <c r="PWK87" s="916"/>
      <c r="PWL87" s="916"/>
      <c r="PWM87" s="916"/>
      <c r="PWN87" s="916"/>
      <c r="PWO87" s="916"/>
      <c r="PWP87" s="916"/>
      <c r="PWQ87" s="916"/>
      <c r="PWR87" s="916"/>
      <c r="PWS87" s="916"/>
      <c r="PWT87" s="916"/>
      <c r="PWU87" s="916"/>
      <c r="PWV87" s="916"/>
      <c r="PWW87" s="916"/>
      <c r="PWX87" s="916"/>
      <c r="PWY87" s="916"/>
      <c r="PWZ87" s="916"/>
      <c r="PXA87" s="916"/>
      <c r="PXB87" s="916"/>
      <c r="PXC87" s="916"/>
      <c r="PXD87" s="916"/>
      <c r="PXE87" s="916"/>
      <c r="PXF87" s="916"/>
      <c r="PXG87" s="916"/>
      <c r="PXH87" s="916"/>
      <c r="PXI87" s="916"/>
      <c r="PXJ87" s="916"/>
      <c r="PXK87" s="916"/>
      <c r="PXL87" s="916"/>
      <c r="PXM87" s="916"/>
      <c r="PXN87" s="916"/>
      <c r="PXO87" s="916"/>
      <c r="PXP87" s="916"/>
      <c r="PXQ87" s="916"/>
      <c r="PXR87" s="916"/>
      <c r="PXS87" s="916"/>
      <c r="PXT87" s="916"/>
      <c r="PXU87" s="916"/>
      <c r="PXV87" s="916"/>
      <c r="PXW87" s="916"/>
      <c r="PXX87" s="916"/>
      <c r="PXY87" s="916"/>
      <c r="PXZ87" s="916"/>
      <c r="PYA87" s="916"/>
      <c r="PYB87" s="916"/>
      <c r="PYC87" s="916"/>
      <c r="PYD87" s="916"/>
      <c r="PYE87" s="916"/>
      <c r="PYF87" s="916"/>
      <c r="PYG87" s="916"/>
      <c r="PYH87" s="916"/>
      <c r="PYI87" s="916"/>
      <c r="PYJ87" s="916"/>
      <c r="PYK87" s="916"/>
      <c r="PYL87" s="916"/>
      <c r="PYM87" s="916"/>
      <c r="PYN87" s="916"/>
      <c r="PYO87" s="916"/>
      <c r="PYP87" s="916"/>
      <c r="PYQ87" s="916"/>
      <c r="PYR87" s="916"/>
      <c r="PYS87" s="916"/>
      <c r="PYT87" s="916"/>
      <c r="PYU87" s="916"/>
      <c r="PYV87" s="916"/>
      <c r="PYW87" s="916"/>
      <c r="PYX87" s="916"/>
      <c r="PYY87" s="916"/>
      <c r="PYZ87" s="916"/>
      <c r="PZA87" s="916"/>
      <c r="PZB87" s="916"/>
      <c r="PZC87" s="916"/>
      <c r="PZD87" s="916"/>
      <c r="PZE87" s="916"/>
      <c r="PZF87" s="916"/>
      <c r="PZG87" s="916"/>
      <c r="PZH87" s="916"/>
      <c r="PZI87" s="916"/>
      <c r="PZJ87" s="916"/>
      <c r="PZK87" s="916"/>
      <c r="PZL87" s="916"/>
      <c r="PZM87" s="916"/>
      <c r="PZN87" s="916"/>
      <c r="PZO87" s="916"/>
      <c r="PZP87" s="916"/>
      <c r="PZQ87" s="916"/>
      <c r="PZR87" s="916"/>
      <c r="PZS87" s="916"/>
      <c r="PZT87" s="916"/>
      <c r="PZU87" s="916"/>
      <c r="PZV87" s="916"/>
      <c r="PZW87" s="916"/>
      <c r="PZX87" s="916"/>
      <c r="PZY87" s="916"/>
      <c r="PZZ87" s="916"/>
      <c r="QAA87" s="916"/>
      <c r="QAB87" s="916"/>
      <c r="QAC87" s="916"/>
      <c r="QAD87" s="916"/>
      <c r="QAE87" s="916"/>
      <c r="QAF87" s="916"/>
      <c r="QAG87" s="916"/>
      <c r="QAH87" s="916"/>
      <c r="QAI87" s="916"/>
      <c r="QAJ87" s="916"/>
      <c r="QAK87" s="916"/>
      <c r="QAL87" s="916"/>
      <c r="QAM87" s="916"/>
      <c r="QAN87" s="916"/>
      <c r="QAO87" s="916"/>
      <c r="QAP87" s="916"/>
      <c r="QAQ87" s="916"/>
      <c r="QAR87" s="916"/>
      <c r="QAS87" s="916"/>
      <c r="QAT87" s="916"/>
      <c r="QAU87" s="916"/>
      <c r="QAV87" s="916"/>
      <c r="QAW87" s="916"/>
      <c r="QAX87" s="916"/>
      <c r="QAY87" s="916"/>
      <c r="QAZ87" s="916"/>
      <c r="QBA87" s="916"/>
      <c r="QBB87" s="916"/>
      <c r="QBC87" s="916"/>
      <c r="QBD87" s="916"/>
      <c r="QBE87" s="916"/>
      <c r="QBF87" s="916"/>
      <c r="QBG87" s="916"/>
      <c r="QBH87" s="916"/>
      <c r="QBI87" s="916"/>
      <c r="QBJ87" s="916"/>
      <c r="QBK87" s="916"/>
      <c r="QBL87" s="916"/>
      <c r="QBM87" s="916"/>
      <c r="QBN87" s="916"/>
      <c r="QBO87" s="916"/>
      <c r="QBP87" s="916"/>
      <c r="QBQ87" s="916"/>
      <c r="QBR87" s="916"/>
      <c r="QBS87" s="916"/>
      <c r="QBT87" s="916"/>
      <c r="QBU87" s="916"/>
      <c r="QBV87" s="916"/>
      <c r="QBW87" s="916"/>
      <c r="QBX87" s="916"/>
      <c r="QBY87" s="916"/>
      <c r="QBZ87" s="916"/>
      <c r="QCA87" s="916"/>
      <c r="QCB87" s="916"/>
      <c r="QCC87" s="916"/>
      <c r="QCD87" s="916"/>
      <c r="QCE87" s="916"/>
      <c r="QCF87" s="916"/>
      <c r="QCG87" s="916"/>
      <c r="QCH87" s="916"/>
      <c r="QCI87" s="916"/>
      <c r="QCJ87" s="916"/>
      <c r="QCK87" s="916"/>
      <c r="QCL87" s="916"/>
      <c r="QCM87" s="916"/>
      <c r="QCN87" s="916"/>
      <c r="QCO87" s="916"/>
      <c r="QCP87" s="916"/>
      <c r="QCQ87" s="916"/>
      <c r="QCR87" s="916"/>
      <c r="QCS87" s="916"/>
      <c r="QCT87" s="916"/>
      <c r="QCU87" s="916"/>
      <c r="QCV87" s="916"/>
      <c r="QCW87" s="916"/>
      <c r="QCX87" s="916"/>
      <c r="QCY87" s="916"/>
      <c r="QCZ87" s="916"/>
      <c r="QDA87" s="916"/>
      <c r="QDB87" s="916"/>
      <c r="QDC87" s="916"/>
      <c r="QDD87" s="916"/>
      <c r="QDE87" s="916"/>
      <c r="QDF87" s="916"/>
      <c r="QDG87" s="916"/>
      <c r="QDH87" s="916"/>
      <c r="QDI87" s="916"/>
      <c r="QDJ87" s="916"/>
      <c r="QDK87" s="916"/>
      <c r="QDL87" s="916"/>
      <c r="QDM87" s="916"/>
      <c r="QDN87" s="916"/>
      <c r="QDO87" s="916"/>
      <c r="QDP87" s="916"/>
      <c r="QDQ87" s="916"/>
      <c r="QDR87" s="916"/>
      <c r="QDS87" s="916"/>
      <c r="QDT87" s="916"/>
      <c r="QDU87" s="916"/>
      <c r="QDV87" s="916"/>
      <c r="QDW87" s="916"/>
      <c r="QDX87" s="916"/>
      <c r="QDY87" s="916"/>
      <c r="QDZ87" s="916"/>
      <c r="QEA87" s="916"/>
      <c r="QEB87" s="916"/>
      <c r="QEC87" s="916"/>
      <c r="QED87" s="916"/>
      <c r="QEE87" s="916"/>
      <c r="QEF87" s="916"/>
      <c r="QEG87" s="916"/>
      <c r="QEH87" s="916"/>
      <c r="QEI87" s="916"/>
      <c r="QEJ87" s="916"/>
      <c r="QEK87" s="916"/>
      <c r="QEL87" s="916"/>
      <c r="QEM87" s="916"/>
      <c r="QEN87" s="916"/>
      <c r="QEO87" s="916"/>
      <c r="QEP87" s="916"/>
      <c r="QEQ87" s="916"/>
      <c r="QER87" s="916"/>
      <c r="QES87" s="916"/>
      <c r="QET87" s="916"/>
      <c r="QEU87" s="916"/>
      <c r="QEV87" s="916"/>
      <c r="QEW87" s="916"/>
      <c r="QEX87" s="916"/>
      <c r="QEY87" s="916"/>
      <c r="QEZ87" s="916"/>
      <c r="QFA87" s="916"/>
      <c r="QFB87" s="916"/>
      <c r="QFC87" s="916"/>
      <c r="QFD87" s="916"/>
      <c r="QFE87" s="916"/>
      <c r="QFF87" s="916"/>
      <c r="QFG87" s="916"/>
      <c r="QFH87" s="916"/>
      <c r="QFI87" s="916"/>
      <c r="QFJ87" s="916"/>
      <c r="QFK87" s="916"/>
      <c r="QFL87" s="916"/>
      <c r="QFM87" s="916"/>
      <c r="QFN87" s="916"/>
      <c r="QFO87" s="916"/>
      <c r="QFP87" s="916"/>
      <c r="QFQ87" s="916"/>
      <c r="QFR87" s="916"/>
      <c r="QFS87" s="916"/>
      <c r="QFT87" s="916"/>
      <c r="QFU87" s="916"/>
      <c r="QFV87" s="916"/>
      <c r="QFW87" s="916"/>
      <c r="QFX87" s="916"/>
      <c r="QFY87" s="916"/>
      <c r="QFZ87" s="916"/>
      <c r="QGA87" s="916"/>
      <c r="QGB87" s="916"/>
      <c r="QGC87" s="916"/>
      <c r="QGD87" s="916"/>
      <c r="QGE87" s="916"/>
      <c r="QGF87" s="916"/>
      <c r="QGG87" s="916"/>
      <c r="QGH87" s="916"/>
      <c r="QGI87" s="916"/>
      <c r="QGJ87" s="916"/>
      <c r="QGK87" s="916"/>
      <c r="QGL87" s="916"/>
      <c r="QGM87" s="916"/>
      <c r="QGN87" s="916"/>
      <c r="QGO87" s="916"/>
      <c r="QGP87" s="916"/>
      <c r="QGQ87" s="916"/>
      <c r="QGR87" s="916"/>
      <c r="QGS87" s="916"/>
      <c r="QGT87" s="916"/>
      <c r="QGU87" s="916"/>
      <c r="QGV87" s="916"/>
      <c r="QGW87" s="916"/>
      <c r="QGX87" s="916"/>
      <c r="QGY87" s="916"/>
      <c r="QGZ87" s="916"/>
      <c r="QHA87" s="916"/>
      <c r="QHB87" s="916"/>
      <c r="QHC87" s="916"/>
      <c r="QHD87" s="916"/>
      <c r="QHE87" s="916"/>
      <c r="QHF87" s="916"/>
      <c r="QHG87" s="916"/>
      <c r="QHH87" s="916"/>
      <c r="QHI87" s="916"/>
      <c r="QHJ87" s="916"/>
      <c r="QHK87" s="916"/>
      <c r="QHL87" s="916"/>
      <c r="QHM87" s="916"/>
      <c r="QHN87" s="916"/>
      <c r="QHO87" s="916"/>
      <c r="QHP87" s="916"/>
      <c r="QHQ87" s="916"/>
      <c r="QHR87" s="916"/>
      <c r="QHS87" s="916"/>
      <c r="QHT87" s="916"/>
      <c r="QHU87" s="916"/>
      <c r="QHV87" s="916"/>
      <c r="QHW87" s="916"/>
      <c r="QHX87" s="916"/>
      <c r="QHY87" s="916"/>
      <c r="QHZ87" s="916"/>
      <c r="QIA87" s="916"/>
      <c r="QIB87" s="916"/>
      <c r="QIC87" s="916"/>
      <c r="QID87" s="916"/>
      <c r="QIE87" s="916"/>
      <c r="QIF87" s="916"/>
      <c r="QIG87" s="916"/>
      <c r="QIH87" s="916"/>
      <c r="QII87" s="916"/>
      <c r="QIJ87" s="916"/>
      <c r="QIK87" s="916"/>
      <c r="QIL87" s="916"/>
      <c r="QIM87" s="916"/>
      <c r="QIN87" s="916"/>
      <c r="QIO87" s="916"/>
      <c r="QIP87" s="916"/>
      <c r="QIQ87" s="916"/>
      <c r="QIR87" s="916"/>
      <c r="QIS87" s="916"/>
      <c r="QIT87" s="916"/>
      <c r="QIU87" s="916"/>
      <c r="QIV87" s="916"/>
      <c r="QIW87" s="916"/>
      <c r="QIX87" s="916"/>
      <c r="QIY87" s="916"/>
      <c r="QIZ87" s="916"/>
      <c r="QJA87" s="916"/>
      <c r="QJB87" s="916"/>
      <c r="QJC87" s="916"/>
      <c r="QJD87" s="916"/>
      <c r="QJE87" s="916"/>
      <c r="QJF87" s="916"/>
      <c r="QJG87" s="916"/>
      <c r="QJH87" s="916"/>
      <c r="QJI87" s="916"/>
      <c r="QJJ87" s="916"/>
      <c r="QJK87" s="916"/>
      <c r="QJL87" s="916"/>
      <c r="QJM87" s="916"/>
      <c r="QJN87" s="916"/>
      <c r="QJO87" s="916"/>
      <c r="QJP87" s="916"/>
      <c r="QJQ87" s="916"/>
      <c r="QJR87" s="916"/>
      <c r="QJS87" s="916"/>
      <c r="QJT87" s="916"/>
      <c r="QJU87" s="916"/>
      <c r="QJV87" s="916"/>
      <c r="QJW87" s="916"/>
      <c r="QJX87" s="916"/>
      <c r="QJY87" s="916"/>
      <c r="QJZ87" s="916"/>
      <c r="QKA87" s="916"/>
      <c r="QKB87" s="916"/>
      <c r="QKC87" s="916"/>
      <c r="QKD87" s="916"/>
      <c r="QKE87" s="916"/>
      <c r="QKF87" s="916"/>
      <c r="QKG87" s="916"/>
      <c r="QKH87" s="916"/>
      <c r="QKI87" s="916"/>
      <c r="QKJ87" s="916"/>
      <c r="QKK87" s="916"/>
      <c r="QKL87" s="916"/>
      <c r="QKM87" s="916"/>
      <c r="QKN87" s="916"/>
      <c r="QKO87" s="916"/>
      <c r="QKP87" s="916"/>
      <c r="QKQ87" s="916"/>
      <c r="QKR87" s="916"/>
      <c r="QKS87" s="916"/>
      <c r="QKT87" s="916"/>
      <c r="QKU87" s="916"/>
      <c r="QKV87" s="916"/>
      <c r="QKW87" s="916"/>
      <c r="QKX87" s="916"/>
      <c r="QKY87" s="916"/>
      <c r="QKZ87" s="916"/>
      <c r="QLA87" s="916"/>
      <c r="QLB87" s="916"/>
      <c r="QLC87" s="916"/>
      <c r="QLD87" s="916"/>
      <c r="QLE87" s="916"/>
      <c r="QLF87" s="916"/>
      <c r="QLG87" s="916"/>
      <c r="QLH87" s="916"/>
      <c r="QLI87" s="916"/>
      <c r="QLJ87" s="916"/>
      <c r="QLK87" s="916"/>
      <c r="QLL87" s="916"/>
      <c r="QLM87" s="916"/>
      <c r="QLN87" s="916"/>
      <c r="QLO87" s="916"/>
      <c r="QLP87" s="916"/>
      <c r="QLQ87" s="916"/>
      <c r="QLR87" s="916"/>
      <c r="QLS87" s="916"/>
      <c r="QLT87" s="916"/>
      <c r="QLU87" s="916"/>
      <c r="QLV87" s="916"/>
      <c r="QLW87" s="916"/>
      <c r="QLX87" s="916"/>
      <c r="QLY87" s="916"/>
      <c r="QLZ87" s="916"/>
      <c r="QMA87" s="916"/>
      <c r="QMB87" s="916"/>
      <c r="QMC87" s="916"/>
      <c r="QMD87" s="916"/>
      <c r="QME87" s="916"/>
      <c r="QMF87" s="916"/>
      <c r="QMG87" s="916"/>
      <c r="QMH87" s="916"/>
      <c r="QMI87" s="916"/>
      <c r="QMJ87" s="916"/>
      <c r="QMK87" s="916"/>
      <c r="QML87" s="916"/>
      <c r="QMM87" s="916"/>
      <c r="QMN87" s="916"/>
      <c r="QMO87" s="916"/>
      <c r="QMP87" s="916"/>
      <c r="QMQ87" s="916"/>
      <c r="QMR87" s="916"/>
      <c r="QMS87" s="916"/>
      <c r="QMT87" s="916"/>
      <c r="QMU87" s="916"/>
      <c r="QMV87" s="916"/>
      <c r="QMW87" s="916"/>
      <c r="QMX87" s="916"/>
      <c r="QMY87" s="916"/>
      <c r="QMZ87" s="916"/>
      <c r="QNA87" s="916"/>
      <c r="QNB87" s="916"/>
      <c r="QNC87" s="916"/>
      <c r="QND87" s="916"/>
      <c r="QNE87" s="916"/>
      <c r="QNF87" s="916"/>
      <c r="QNG87" s="916"/>
      <c r="QNH87" s="916"/>
      <c r="QNI87" s="916"/>
      <c r="QNJ87" s="916"/>
      <c r="QNK87" s="916"/>
      <c r="QNL87" s="916"/>
      <c r="QNM87" s="916"/>
      <c r="QNN87" s="916"/>
      <c r="QNO87" s="916"/>
      <c r="QNP87" s="916"/>
      <c r="QNQ87" s="916"/>
      <c r="QNR87" s="916"/>
      <c r="QNS87" s="916"/>
      <c r="QNT87" s="916"/>
      <c r="QNU87" s="916"/>
      <c r="QNV87" s="916"/>
      <c r="QNW87" s="916"/>
      <c r="QNX87" s="916"/>
      <c r="QNY87" s="916"/>
      <c r="QNZ87" s="916"/>
      <c r="QOA87" s="916"/>
      <c r="QOB87" s="916"/>
      <c r="QOC87" s="916"/>
      <c r="QOD87" s="916"/>
      <c r="QOE87" s="916"/>
      <c r="QOF87" s="916"/>
      <c r="QOG87" s="916"/>
      <c r="QOH87" s="916"/>
      <c r="QOI87" s="916"/>
      <c r="QOJ87" s="916"/>
      <c r="QOK87" s="916"/>
      <c r="QOL87" s="916"/>
      <c r="QOM87" s="916"/>
      <c r="QON87" s="916"/>
      <c r="QOO87" s="916"/>
      <c r="QOP87" s="916"/>
      <c r="QOQ87" s="916"/>
      <c r="QOR87" s="916"/>
      <c r="QOS87" s="916"/>
      <c r="QOT87" s="916"/>
      <c r="QOU87" s="916"/>
      <c r="QOV87" s="916"/>
      <c r="QOW87" s="916"/>
      <c r="QOX87" s="916"/>
      <c r="QOY87" s="916"/>
      <c r="QOZ87" s="916"/>
      <c r="QPA87" s="916"/>
      <c r="QPB87" s="916"/>
      <c r="QPC87" s="916"/>
      <c r="QPD87" s="916"/>
      <c r="QPE87" s="916"/>
      <c r="QPF87" s="916"/>
      <c r="QPG87" s="916"/>
      <c r="QPH87" s="916"/>
      <c r="QPI87" s="916"/>
      <c r="QPJ87" s="916"/>
      <c r="QPK87" s="916"/>
      <c r="QPL87" s="916"/>
      <c r="QPM87" s="916"/>
      <c r="QPN87" s="916"/>
      <c r="QPO87" s="916"/>
      <c r="QPP87" s="916"/>
      <c r="QPQ87" s="916"/>
      <c r="QPR87" s="916"/>
      <c r="QPS87" s="916"/>
      <c r="QPT87" s="916"/>
      <c r="QPU87" s="916"/>
      <c r="QPV87" s="916"/>
      <c r="QPW87" s="916"/>
      <c r="QPX87" s="916"/>
      <c r="QPY87" s="916"/>
      <c r="QPZ87" s="916"/>
      <c r="QQA87" s="916"/>
      <c r="QQB87" s="916"/>
      <c r="QQC87" s="916"/>
      <c r="QQD87" s="916"/>
      <c r="QQE87" s="916"/>
      <c r="QQF87" s="916"/>
      <c r="QQG87" s="916"/>
      <c r="QQH87" s="916"/>
      <c r="QQI87" s="916"/>
      <c r="QQJ87" s="916"/>
      <c r="QQK87" s="916"/>
      <c r="QQL87" s="916"/>
      <c r="QQM87" s="916"/>
      <c r="QQN87" s="916"/>
      <c r="QQO87" s="916"/>
      <c r="QQP87" s="916"/>
      <c r="QQQ87" s="916"/>
      <c r="QQR87" s="916"/>
      <c r="QQS87" s="916"/>
      <c r="QQT87" s="916"/>
      <c r="QQU87" s="916"/>
      <c r="QQV87" s="916"/>
      <c r="QQW87" s="916"/>
      <c r="QQX87" s="916"/>
      <c r="QQY87" s="916"/>
      <c r="QQZ87" s="916"/>
      <c r="QRA87" s="916"/>
      <c r="QRB87" s="916"/>
      <c r="QRC87" s="916"/>
      <c r="QRD87" s="916"/>
      <c r="QRE87" s="916"/>
      <c r="QRF87" s="916"/>
      <c r="QRG87" s="916"/>
      <c r="QRH87" s="916"/>
      <c r="QRI87" s="916"/>
      <c r="QRJ87" s="916"/>
      <c r="QRK87" s="916"/>
      <c r="QRL87" s="916"/>
      <c r="QRM87" s="916"/>
      <c r="QRN87" s="916"/>
      <c r="QRO87" s="916"/>
      <c r="QRP87" s="916"/>
      <c r="QRQ87" s="916"/>
      <c r="QRR87" s="916"/>
      <c r="QRS87" s="916"/>
      <c r="QRT87" s="916"/>
      <c r="QRU87" s="916"/>
      <c r="QRV87" s="916"/>
      <c r="QRW87" s="916"/>
      <c r="QRX87" s="916"/>
      <c r="QRY87" s="916"/>
      <c r="QRZ87" s="916"/>
      <c r="QSA87" s="916"/>
      <c r="QSB87" s="916"/>
      <c r="QSC87" s="916"/>
      <c r="QSD87" s="916"/>
      <c r="QSE87" s="916"/>
      <c r="QSF87" s="916"/>
      <c r="QSG87" s="916"/>
      <c r="QSH87" s="916"/>
      <c r="QSI87" s="916"/>
      <c r="QSJ87" s="916"/>
      <c r="QSK87" s="916"/>
      <c r="QSL87" s="916"/>
      <c r="QSM87" s="916"/>
      <c r="QSN87" s="916"/>
      <c r="QSO87" s="916"/>
      <c r="QSP87" s="916"/>
      <c r="QSQ87" s="916"/>
      <c r="QSR87" s="916"/>
      <c r="QSS87" s="916"/>
      <c r="QST87" s="916"/>
      <c r="QSU87" s="916"/>
      <c r="QSV87" s="916"/>
      <c r="QSW87" s="916"/>
      <c r="QSX87" s="916"/>
      <c r="QSY87" s="916"/>
      <c r="QSZ87" s="916"/>
      <c r="QTA87" s="916"/>
      <c r="QTB87" s="916"/>
      <c r="QTC87" s="916"/>
      <c r="QTD87" s="916"/>
      <c r="QTE87" s="916"/>
      <c r="QTF87" s="916"/>
      <c r="QTG87" s="916"/>
      <c r="QTH87" s="916"/>
      <c r="QTI87" s="916"/>
      <c r="QTJ87" s="916"/>
      <c r="QTK87" s="916"/>
      <c r="QTL87" s="916"/>
      <c r="QTM87" s="916"/>
      <c r="QTN87" s="916"/>
      <c r="QTO87" s="916"/>
      <c r="QTP87" s="916"/>
      <c r="QTQ87" s="916"/>
      <c r="QTR87" s="916"/>
      <c r="QTS87" s="916"/>
      <c r="QTT87" s="916"/>
      <c r="QTU87" s="916"/>
      <c r="QTV87" s="916"/>
      <c r="QTW87" s="916"/>
      <c r="QTX87" s="916"/>
      <c r="QTY87" s="916"/>
      <c r="QTZ87" s="916"/>
      <c r="QUA87" s="916"/>
      <c r="QUB87" s="916"/>
      <c r="QUC87" s="916"/>
      <c r="QUD87" s="916"/>
      <c r="QUE87" s="916"/>
      <c r="QUF87" s="916"/>
      <c r="QUG87" s="916"/>
      <c r="QUH87" s="916"/>
      <c r="QUI87" s="916"/>
      <c r="QUJ87" s="916"/>
      <c r="QUK87" s="916"/>
      <c r="QUL87" s="916"/>
      <c r="QUM87" s="916"/>
      <c r="QUN87" s="916"/>
      <c r="QUO87" s="916"/>
      <c r="QUP87" s="916"/>
      <c r="QUQ87" s="916"/>
      <c r="QUR87" s="916"/>
      <c r="QUS87" s="916"/>
      <c r="QUT87" s="916"/>
      <c r="QUU87" s="916"/>
      <c r="QUV87" s="916"/>
      <c r="QUW87" s="916"/>
      <c r="QUX87" s="916"/>
      <c r="QUY87" s="916"/>
      <c r="QUZ87" s="916"/>
      <c r="QVA87" s="916"/>
      <c r="QVB87" s="916"/>
      <c r="QVC87" s="916"/>
      <c r="QVD87" s="916"/>
      <c r="QVE87" s="916"/>
      <c r="QVF87" s="916"/>
      <c r="QVG87" s="916"/>
      <c r="QVH87" s="916"/>
      <c r="QVI87" s="916"/>
      <c r="QVJ87" s="916"/>
      <c r="QVK87" s="916"/>
      <c r="QVL87" s="916"/>
      <c r="QVM87" s="916"/>
      <c r="QVN87" s="916"/>
      <c r="QVO87" s="916"/>
      <c r="QVP87" s="916"/>
      <c r="QVQ87" s="916"/>
      <c r="QVR87" s="916"/>
      <c r="QVS87" s="916"/>
      <c r="QVT87" s="916"/>
      <c r="QVU87" s="916"/>
      <c r="QVV87" s="916"/>
      <c r="QVW87" s="916"/>
      <c r="QVX87" s="916"/>
      <c r="QVY87" s="916"/>
      <c r="QVZ87" s="916"/>
      <c r="QWA87" s="916"/>
      <c r="QWB87" s="916"/>
      <c r="QWC87" s="916"/>
      <c r="QWD87" s="916"/>
      <c r="QWE87" s="916"/>
      <c r="QWF87" s="916"/>
      <c r="QWG87" s="916"/>
      <c r="QWH87" s="916"/>
      <c r="QWI87" s="916"/>
      <c r="QWJ87" s="916"/>
      <c r="QWK87" s="916"/>
      <c r="QWL87" s="916"/>
      <c r="QWM87" s="916"/>
      <c r="QWN87" s="916"/>
      <c r="QWO87" s="916"/>
      <c r="QWP87" s="916"/>
      <c r="QWQ87" s="916"/>
      <c r="QWR87" s="916"/>
      <c r="QWS87" s="916"/>
      <c r="QWT87" s="916"/>
      <c r="QWU87" s="916"/>
      <c r="QWV87" s="916"/>
      <c r="QWW87" s="916"/>
      <c r="QWX87" s="916"/>
      <c r="QWY87" s="916"/>
      <c r="QWZ87" s="916"/>
      <c r="QXA87" s="916"/>
      <c r="QXB87" s="916"/>
      <c r="QXC87" s="916"/>
      <c r="QXD87" s="916"/>
      <c r="QXE87" s="916"/>
      <c r="QXF87" s="916"/>
      <c r="QXG87" s="916"/>
      <c r="QXH87" s="916"/>
      <c r="QXI87" s="916"/>
      <c r="QXJ87" s="916"/>
      <c r="QXK87" s="916"/>
      <c r="QXL87" s="916"/>
      <c r="QXM87" s="916"/>
      <c r="QXN87" s="916"/>
      <c r="QXO87" s="916"/>
      <c r="QXP87" s="916"/>
      <c r="QXQ87" s="916"/>
      <c r="QXR87" s="916"/>
      <c r="QXS87" s="916"/>
      <c r="QXT87" s="916"/>
      <c r="QXU87" s="916"/>
      <c r="QXV87" s="916"/>
      <c r="QXW87" s="916"/>
      <c r="QXX87" s="916"/>
      <c r="QXY87" s="916"/>
      <c r="QXZ87" s="916"/>
      <c r="QYA87" s="916"/>
      <c r="QYB87" s="916"/>
      <c r="QYC87" s="916"/>
      <c r="QYD87" s="916"/>
      <c r="QYE87" s="916"/>
      <c r="QYF87" s="916"/>
      <c r="QYG87" s="916"/>
      <c r="QYH87" s="916"/>
      <c r="QYI87" s="916"/>
      <c r="QYJ87" s="916"/>
      <c r="QYK87" s="916"/>
      <c r="QYL87" s="916"/>
      <c r="QYM87" s="916"/>
      <c r="QYN87" s="916"/>
      <c r="QYO87" s="916"/>
      <c r="QYP87" s="916"/>
      <c r="QYQ87" s="916"/>
      <c r="QYR87" s="916"/>
      <c r="QYS87" s="916"/>
      <c r="QYT87" s="916"/>
      <c r="QYU87" s="916"/>
      <c r="QYV87" s="916"/>
      <c r="QYW87" s="916"/>
      <c r="QYX87" s="916"/>
      <c r="QYY87" s="916"/>
      <c r="QYZ87" s="916"/>
      <c r="QZA87" s="916"/>
      <c r="QZB87" s="916"/>
      <c r="QZC87" s="916"/>
      <c r="QZD87" s="916"/>
      <c r="QZE87" s="916"/>
      <c r="QZF87" s="916"/>
      <c r="QZG87" s="916"/>
      <c r="QZH87" s="916"/>
      <c r="QZI87" s="916"/>
      <c r="QZJ87" s="916"/>
      <c r="QZK87" s="916"/>
      <c r="QZL87" s="916"/>
      <c r="QZM87" s="916"/>
      <c r="QZN87" s="916"/>
      <c r="QZO87" s="916"/>
      <c r="QZP87" s="916"/>
      <c r="QZQ87" s="916"/>
      <c r="QZR87" s="916"/>
      <c r="QZS87" s="916"/>
      <c r="QZT87" s="916"/>
      <c r="QZU87" s="916"/>
      <c r="QZV87" s="916"/>
      <c r="QZW87" s="916"/>
      <c r="QZX87" s="916"/>
      <c r="QZY87" s="916"/>
      <c r="QZZ87" s="916"/>
      <c r="RAA87" s="916"/>
      <c r="RAB87" s="916"/>
      <c r="RAC87" s="916"/>
      <c r="RAD87" s="916"/>
      <c r="RAE87" s="916"/>
      <c r="RAF87" s="916"/>
      <c r="RAG87" s="916"/>
      <c r="RAH87" s="916"/>
      <c r="RAI87" s="916"/>
      <c r="RAJ87" s="916"/>
      <c r="RAK87" s="916"/>
      <c r="RAL87" s="916"/>
      <c r="RAM87" s="916"/>
      <c r="RAN87" s="916"/>
      <c r="RAO87" s="916"/>
      <c r="RAP87" s="916"/>
      <c r="RAQ87" s="916"/>
      <c r="RAR87" s="916"/>
      <c r="RAS87" s="916"/>
      <c r="RAT87" s="916"/>
      <c r="RAU87" s="916"/>
      <c r="RAV87" s="916"/>
      <c r="RAW87" s="916"/>
      <c r="RAX87" s="916"/>
      <c r="RAY87" s="916"/>
      <c r="RAZ87" s="916"/>
      <c r="RBA87" s="916"/>
      <c r="RBB87" s="916"/>
      <c r="RBC87" s="916"/>
      <c r="RBD87" s="916"/>
      <c r="RBE87" s="916"/>
      <c r="RBF87" s="916"/>
      <c r="RBG87" s="916"/>
      <c r="RBH87" s="916"/>
      <c r="RBI87" s="916"/>
      <c r="RBJ87" s="916"/>
      <c r="RBK87" s="916"/>
      <c r="RBL87" s="916"/>
      <c r="RBM87" s="916"/>
      <c r="RBN87" s="916"/>
      <c r="RBO87" s="916"/>
      <c r="RBP87" s="916"/>
      <c r="RBQ87" s="916"/>
      <c r="RBR87" s="916"/>
      <c r="RBS87" s="916"/>
      <c r="RBT87" s="916"/>
      <c r="RBU87" s="916"/>
      <c r="RBV87" s="916"/>
      <c r="RBW87" s="916"/>
      <c r="RBX87" s="916"/>
      <c r="RBY87" s="916"/>
      <c r="RBZ87" s="916"/>
      <c r="RCA87" s="916"/>
      <c r="RCB87" s="916"/>
      <c r="RCC87" s="916"/>
      <c r="RCD87" s="916"/>
      <c r="RCE87" s="916"/>
      <c r="RCF87" s="916"/>
      <c r="RCG87" s="916"/>
      <c r="RCH87" s="916"/>
      <c r="RCI87" s="916"/>
      <c r="RCJ87" s="916"/>
      <c r="RCK87" s="916"/>
      <c r="RCL87" s="916"/>
      <c r="RCM87" s="916"/>
      <c r="RCN87" s="916"/>
      <c r="RCO87" s="916"/>
      <c r="RCP87" s="916"/>
      <c r="RCQ87" s="916"/>
      <c r="RCR87" s="916"/>
      <c r="RCS87" s="916"/>
      <c r="RCT87" s="916"/>
      <c r="RCU87" s="916"/>
      <c r="RCV87" s="916"/>
      <c r="RCW87" s="916"/>
      <c r="RCX87" s="916"/>
      <c r="RCY87" s="916"/>
      <c r="RCZ87" s="916"/>
      <c r="RDA87" s="916"/>
      <c r="RDB87" s="916"/>
      <c r="RDC87" s="916"/>
      <c r="RDD87" s="916"/>
      <c r="RDE87" s="916"/>
      <c r="RDF87" s="916"/>
      <c r="RDG87" s="916"/>
      <c r="RDH87" s="916"/>
      <c r="RDI87" s="916"/>
      <c r="RDJ87" s="916"/>
      <c r="RDK87" s="916"/>
      <c r="RDL87" s="916"/>
      <c r="RDM87" s="916"/>
      <c r="RDN87" s="916"/>
      <c r="RDO87" s="916"/>
      <c r="RDP87" s="916"/>
      <c r="RDQ87" s="916"/>
      <c r="RDR87" s="916"/>
      <c r="RDS87" s="916"/>
      <c r="RDT87" s="916"/>
      <c r="RDU87" s="916"/>
      <c r="RDV87" s="916"/>
      <c r="RDW87" s="916"/>
      <c r="RDX87" s="916"/>
      <c r="RDY87" s="916"/>
      <c r="RDZ87" s="916"/>
      <c r="REA87" s="916"/>
      <c r="REB87" s="916"/>
      <c r="REC87" s="916"/>
      <c r="RED87" s="916"/>
      <c r="REE87" s="916"/>
      <c r="REF87" s="916"/>
      <c r="REG87" s="916"/>
      <c r="REH87" s="916"/>
      <c r="REI87" s="916"/>
      <c r="REJ87" s="916"/>
      <c r="REK87" s="916"/>
      <c r="REL87" s="916"/>
      <c r="REM87" s="916"/>
      <c r="REN87" s="916"/>
      <c r="REO87" s="916"/>
      <c r="REP87" s="916"/>
      <c r="REQ87" s="916"/>
      <c r="RER87" s="916"/>
      <c r="RES87" s="916"/>
      <c r="RET87" s="916"/>
      <c r="REU87" s="916"/>
      <c r="REV87" s="916"/>
      <c r="REW87" s="916"/>
      <c r="REX87" s="916"/>
      <c r="REY87" s="916"/>
      <c r="REZ87" s="916"/>
      <c r="RFA87" s="916"/>
      <c r="RFB87" s="916"/>
      <c r="RFC87" s="916"/>
      <c r="RFD87" s="916"/>
      <c r="RFE87" s="916"/>
      <c r="RFF87" s="916"/>
      <c r="RFG87" s="916"/>
      <c r="RFH87" s="916"/>
      <c r="RFI87" s="916"/>
      <c r="RFJ87" s="916"/>
      <c r="RFK87" s="916"/>
      <c r="RFL87" s="916"/>
      <c r="RFM87" s="916"/>
      <c r="RFN87" s="916"/>
      <c r="RFO87" s="916"/>
      <c r="RFP87" s="916"/>
      <c r="RFQ87" s="916"/>
      <c r="RFR87" s="916"/>
      <c r="RFS87" s="916"/>
      <c r="RFT87" s="916"/>
      <c r="RFU87" s="916"/>
      <c r="RFV87" s="916"/>
      <c r="RFW87" s="916"/>
      <c r="RFX87" s="916"/>
      <c r="RFY87" s="916"/>
      <c r="RFZ87" s="916"/>
      <c r="RGA87" s="916"/>
      <c r="RGB87" s="916"/>
      <c r="RGC87" s="916"/>
      <c r="RGD87" s="916"/>
      <c r="RGE87" s="916"/>
      <c r="RGF87" s="916"/>
      <c r="RGG87" s="916"/>
      <c r="RGH87" s="916"/>
      <c r="RGI87" s="916"/>
      <c r="RGJ87" s="916"/>
      <c r="RGK87" s="916"/>
      <c r="RGL87" s="916"/>
      <c r="RGM87" s="916"/>
      <c r="RGN87" s="916"/>
      <c r="RGO87" s="916"/>
      <c r="RGP87" s="916"/>
      <c r="RGQ87" s="916"/>
      <c r="RGR87" s="916"/>
      <c r="RGS87" s="916"/>
      <c r="RGT87" s="916"/>
      <c r="RGU87" s="916"/>
      <c r="RGV87" s="916"/>
      <c r="RGW87" s="916"/>
      <c r="RGX87" s="916"/>
      <c r="RGY87" s="916"/>
      <c r="RGZ87" s="916"/>
      <c r="RHA87" s="916"/>
      <c r="RHB87" s="916"/>
      <c r="RHC87" s="916"/>
      <c r="RHD87" s="916"/>
      <c r="RHE87" s="916"/>
      <c r="RHF87" s="916"/>
      <c r="RHG87" s="916"/>
      <c r="RHH87" s="916"/>
      <c r="RHI87" s="916"/>
      <c r="RHJ87" s="916"/>
      <c r="RHK87" s="916"/>
      <c r="RHL87" s="916"/>
      <c r="RHM87" s="916"/>
      <c r="RHN87" s="916"/>
      <c r="RHO87" s="916"/>
      <c r="RHP87" s="916"/>
      <c r="RHQ87" s="916"/>
      <c r="RHR87" s="916"/>
      <c r="RHS87" s="916"/>
      <c r="RHT87" s="916"/>
      <c r="RHU87" s="916"/>
      <c r="RHV87" s="916"/>
      <c r="RHW87" s="916"/>
      <c r="RHX87" s="916"/>
      <c r="RHY87" s="916"/>
      <c r="RHZ87" s="916"/>
      <c r="RIA87" s="916"/>
      <c r="RIB87" s="916"/>
      <c r="RIC87" s="916"/>
      <c r="RID87" s="916"/>
      <c r="RIE87" s="916"/>
      <c r="RIF87" s="916"/>
      <c r="RIG87" s="916"/>
      <c r="RIH87" s="916"/>
      <c r="RII87" s="916"/>
      <c r="RIJ87" s="916"/>
      <c r="RIK87" s="916"/>
      <c r="RIL87" s="916"/>
      <c r="RIM87" s="916"/>
      <c r="RIN87" s="916"/>
      <c r="RIO87" s="916"/>
      <c r="RIP87" s="916"/>
      <c r="RIQ87" s="916"/>
      <c r="RIR87" s="916"/>
      <c r="RIS87" s="916"/>
      <c r="RIT87" s="916"/>
      <c r="RIU87" s="916"/>
      <c r="RIV87" s="916"/>
      <c r="RIW87" s="916"/>
      <c r="RIX87" s="916"/>
      <c r="RIY87" s="916"/>
      <c r="RIZ87" s="916"/>
      <c r="RJA87" s="916"/>
      <c r="RJB87" s="916"/>
      <c r="RJC87" s="916"/>
      <c r="RJD87" s="916"/>
      <c r="RJE87" s="916"/>
      <c r="RJF87" s="916"/>
      <c r="RJG87" s="916"/>
      <c r="RJH87" s="916"/>
      <c r="RJI87" s="916"/>
      <c r="RJJ87" s="916"/>
      <c r="RJK87" s="916"/>
      <c r="RJL87" s="916"/>
      <c r="RJM87" s="916"/>
      <c r="RJN87" s="916"/>
      <c r="RJO87" s="916"/>
      <c r="RJP87" s="916"/>
      <c r="RJQ87" s="916"/>
      <c r="RJR87" s="916"/>
      <c r="RJS87" s="916"/>
      <c r="RJT87" s="916"/>
      <c r="RJU87" s="916"/>
      <c r="RJV87" s="916"/>
      <c r="RJW87" s="916"/>
      <c r="RJX87" s="916"/>
      <c r="RJY87" s="916"/>
      <c r="RJZ87" s="916"/>
      <c r="RKA87" s="916"/>
      <c r="RKB87" s="916"/>
      <c r="RKC87" s="916"/>
      <c r="RKD87" s="916"/>
      <c r="RKE87" s="916"/>
      <c r="RKF87" s="916"/>
      <c r="RKG87" s="916"/>
      <c r="RKH87" s="916"/>
      <c r="RKI87" s="916"/>
      <c r="RKJ87" s="916"/>
      <c r="RKK87" s="916"/>
      <c r="RKL87" s="916"/>
      <c r="RKM87" s="916"/>
      <c r="RKN87" s="916"/>
      <c r="RKO87" s="916"/>
      <c r="RKP87" s="916"/>
      <c r="RKQ87" s="916"/>
      <c r="RKR87" s="916"/>
      <c r="RKS87" s="916"/>
      <c r="RKT87" s="916"/>
      <c r="RKU87" s="916"/>
      <c r="RKV87" s="916"/>
      <c r="RKW87" s="916"/>
      <c r="RKX87" s="916"/>
      <c r="RKY87" s="916"/>
      <c r="RKZ87" s="916"/>
      <c r="RLA87" s="916"/>
      <c r="RLB87" s="916"/>
      <c r="RLC87" s="916"/>
      <c r="RLD87" s="916"/>
      <c r="RLE87" s="916"/>
      <c r="RLF87" s="916"/>
      <c r="RLG87" s="916"/>
      <c r="RLH87" s="916"/>
      <c r="RLI87" s="916"/>
      <c r="RLJ87" s="916"/>
      <c r="RLK87" s="916"/>
      <c r="RLL87" s="916"/>
      <c r="RLM87" s="916"/>
      <c r="RLN87" s="916"/>
      <c r="RLO87" s="916"/>
      <c r="RLP87" s="916"/>
      <c r="RLQ87" s="916"/>
      <c r="RLR87" s="916"/>
      <c r="RLS87" s="916"/>
      <c r="RLT87" s="916"/>
      <c r="RLU87" s="916"/>
      <c r="RLV87" s="916"/>
      <c r="RLW87" s="916"/>
      <c r="RLX87" s="916"/>
      <c r="RLY87" s="916"/>
      <c r="RLZ87" s="916"/>
      <c r="RMA87" s="916"/>
      <c r="RMB87" s="916"/>
      <c r="RMC87" s="916"/>
      <c r="RMD87" s="916"/>
      <c r="RME87" s="916"/>
      <c r="RMF87" s="916"/>
      <c r="RMG87" s="916"/>
      <c r="RMH87" s="916"/>
      <c r="RMI87" s="916"/>
      <c r="RMJ87" s="916"/>
      <c r="RMK87" s="916"/>
      <c r="RML87" s="916"/>
      <c r="RMM87" s="916"/>
      <c r="RMN87" s="916"/>
      <c r="RMO87" s="916"/>
      <c r="RMP87" s="916"/>
      <c r="RMQ87" s="916"/>
      <c r="RMR87" s="916"/>
      <c r="RMS87" s="916"/>
      <c r="RMT87" s="916"/>
      <c r="RMU87" s="916"/>
      <c r="RMV87" s="916"/>
      <c r="RMW87" s="916"/>
      <c r="RMX87" s="916"/>
      <c r="RMY87" s="916"/>
      <c r="RMZ87" s="916"/>
      <c r="RNA87" s="916"/>
      <c r="RNB87" s="916"/>
      <c r="RNC87" s="916"/>
      <c r="RND87" s="916"/>
      <c r="RNE87" s="916"/>
      <c r="RNF87" s="916"/>
      <c r="RNG87" s="916"/>
      <c r="RNH87" s="916"/>
      <c r="RNI87" s="916"/>
      <c r="RNJ87" s="916"/>
      <c r="RNK87" s="916"/>
      <c r="RNL87" s="916"/>
      <c r="RNM87" s="916"/>
      <c r="RNN87" s="916"/>
      <c r="RNO87" s="916"/>
      <c r="RNP87" s="916"/>
      <c r="RNQ87" s="916"/>
      <c r="RNR87" s="916"/>
      <c r="RNS87" s="916"/>
      <c r="RNT87" s="916"/>
      <c r="RNU87" s="916"/>
      <c r="RNV87" s="916"/>
      <c r="RNW87" s="916"/>
      <c r="RNX87" s="916"/>
      <c r="RNY87" s="916"/>
      <c r="RNZ87" s="916"/>
      <c r="ROA87" s="916"/>
      <c r="ROB87" s="916"/>
      <c r="ROC87" s="916"/>
      <c r="ROD87" s="916"/>
      <c r="ROE87" s="916"/>
      <c r="ROF87" s="916"/>
      <c r="ROG87" s="916"/>
      <c r="ROH87" s="916"/>
      <c r="ROI87" s="916"/>
      <c r="ROJ87" s="916"/>
      <c r="ROK87" s="916"/>
      <c r="ROL87" s="916"/>
      <c r="ROM87" s="916"/>
      <c r="RON87" s="916"/>
      <c r="ROO87" s="916"/>
      <c r="ROP87" s="916"/>
      <c r="ROQ87" s="916"/>
      <c r="ROR87" s="916"/>
      <c r="ROS87" s="916"/>
      <c r="ROT87" s="916"/>
      <c r="ROU87" s="916"/>
      <c r="ROV87" s="916"/>
      <c r="ROW87" s="916"/>
      <c r="ROX87" s="916"/>
      <c r="ROY87" s="916"/>
      <c r="ROZ87" s="916"/>
      <c r="RPA87" s="916"/>
      <c r="RPB87" s="916"/>
      <c r="RPC87" s="916"/>
      <c r="RPD87" s="916"/>
      <c r="RPE87" s="916"/>
      <c r="RPF87" s="916"/>
      <c r="RPG87" s="916"/>
      <c r="RPH87" s="916"/>
      <c r="RPI87" s="916"/>
      <c r="RPJ87" s="916"/>
      <c r="RPK87" s="916"/>
      <c r="RPL87" s="916"/>
      <c r="RPM87" s="916"/>
      <c r="RPN87" s="916"/>
      <c r="RPO87" s="916"/>
      <c r="RPP87" s="916"/>
      <c r="RPQ87" s="916"/>
      <c r="RPR87" s="916"/>
      <c r="RPS87" s="916"/>
      <c r="RPT87" s="916"/>
      <c r="RPU87" s="916"/>
      <c r="RPV87" s="916"/>
      <c r="RPW87" s="916"/>
      <c r="RPX87" s="916"/>
      <c r="RPY87" s="916"/>
      <c r="RPZ87" s="916"/>
      <c r="RQA87" s="916"/>
      <c r="RQB87" s="916"/>
      <c r="RQC87" s="916"/>
      <c r="RQD87" s="916"/>
      <c r="RQE87" s="916"/>
      <c r="RQF87" s="916"/>
      <c r="RQG87" s="916"/>
      <c r="RQH87" s="916"/>
      <c r="RQI87" s="916"/>
      <c r="RQJ87" s="916"/>
      <c r="RQK87" s="916"/>
      <c r="RQL87" s="916"/>
      <c r="RQM87" s="916"/>
      <c r="RQN87" s="916"/>
      <c r="RQO87" s="916"/>
      <c r="RQP87" s="916"/>
      <c r="RQQ87" s="916"/>
      <c r="RQR87" s="916"/>
      <c r="RQS87" s="916"/>
      <c r="RQT87" s="916"/>
      <c r="RQU87" s="916"/>
      <c r="RQV87" s="916"/>
      <c r="RQW87" s="916"/>
      <c r="RQX87" s="916"/>
      <c r="RQY87" s="916"/>
      <c r="RQZ87" s="916"/>
      <c r="RRA87" s="916"/>
      <c r="RRB87" s="916"/>
      <c r="RRC87" s="916"/>
      <c r="RRD87" s="916"/>
      <c r="RRE87" s="916"/>
      <c r="RRF87" s="916"/>
      <c r="RRG87" s="916"/>
      <c r="RRH87" s="916"/>
      <c r="RRI87" s="916"/>
      <c r="RRJ87" s="916"/>
      <c r="RRK87" s="916"/>
      <c r="RRL87" s="916"/>
      <c r="RRM87" s="916"/>
      <c r="RRN87" s="916"/>
      <c r="RRO87" s="916"/>
      <c r="RRP87" s="916"/>
      <c r="RRQ87" s="916"/>
      <c r="RRR87" s="916"/>
      <c r="RRS87" s="916"/>
      <c r="RRT87" s="916"/>
      <c r="RRU87" s="916"/>
      <c r="RRV87" s="916"/>
      <c r="RRW87" s="916"/>
      <c r="RRX87" s="916"/>
      <c r="RRY87" s="916"/>
      <c r="RRZ87" s="916"/>
      <c r="RSA87" s="916"/>
      <c r="RSB87" s="916"/>
      <c r="RSC87" s="916"/>
      <c r="RSD87" s="916"/>
      <c r="RSE87" s="916"/>
      <c r="RSF87" s="916"/>
      <c r="RSG87" s="916"/>
      <c r="RSH87" s="916"/>
      <c r="RSI87" s="916"/>
      <c r="RSJ87" s="916"/>
      <c r="RSK87" s="916"/>
      <c r="RSL87" s="916"/>
      <c r="RSM87" s="916"/>
      <c r="RSN87" s="916"/>
      <c r="RSO87" s="916"/>
      <c r="RSP87" s="916"/>
      <c r="RSQ87" s="916"/>
      <c r="RSR87" s="916"/>
      <c r="RSS87" s="916"/>
      <c r="RST87" s="916"/>
      <c r="RSU87" s="916"/>
      <c r="RSV87" s="916"/>
      <c r="RSW87" s="916"/>
      <c r="RSX87" s="916"/>
      <c r="RSY87" s="916"/>
      <c r="RSZ87" s="916"/>
      <c r="RTA87" s="916"/>
      <c r="RTB87" s="916"/>
      <c r="RTC87" s="916"/>
      <c r="RTD87" s="916"/>
      <c r="RTE87" s="916"/>
      <c r="RTF87" s="916"/>
      <c r="RTG87" s="916"/>
      <c r="RTH87" s="916"/>
      <c r="RTI87" s="916"/>
      <c r="RTJ87" s="916"/>
      <c r="RTK87" s="916"/>
      <c r="RTL87" s="916"/>
      <c r="RTM87" s="916"/>
      <c r="RTN87" s="916"/>
      <c r="RTO87" s="916"/>
      <c r="RTP87" s="916"/>
      <c r="RTQ87" s="916"/>
      <c r="RTR87" s="916"/>
      <c r="RTS87" s="916"/>
      <c r="RTT87" s="916"/>
      <c r="RTU87" s="916"/>
      <c r="RTV87" s="916"/>
      <c r="RTW87" s="916"/>
      <c r="RTX87" s="916"/>
      <c r="RTY87" s="916"/>
      <c r="RTZ87" s="916"/>
      <c r="RUA87" s="916"/>
      <c r="RUB87" s="916"/>
      <c r="RUC87" s="916"/>
      <c r="RUD87" s="916"/>
      <c r="RUE87" s="916"/>
      <c r="RUF87" s="916"/>
      <c r="RUG87" s="916"/>
      <c r="RUH87" s="916"/>
      <c r="RUI87" s="916"/>
      <c r="RUJ87" s="916"/>
      <c r="RUK87" s="916"/>
      <c r="RUL87" s="916"/>
      <c r="RUM87" s="916"/>
      <c r="RUN87" s="916"/>
      <c r="RUO87" s="916"/>
      <c r="RUP87" s="916"/>
      <c r="RUQ87" s="916"/>
      <c r="RUR87" s="916"/>
      <c r="RUS87" s="916"/>
      <c r="RUT87" s="916"/>
      <c r="RUU87" s="916"/>
      <c r="RUV87" s="916"/>
      <c r="RUW87" s="916"/>
      <c r="RUX87" s="916"/>
      <c r="RUY87" s="916"/>
      <c r="RUZ87" s="916"/>
      <c r="RVA87" s="916"/>
      <c r="RVB87" s="916"/>
      <c r="RVC87" s="916"/>
      <c r="RVD87" s="916"/>
      <c r="RVE87" s="916"/>
      <c r="RVF87" s="916"/>
      <c r="RVG87" s="916"/>
      <c r="RVH87" s="916"/>
      <c r="RVI87" s="916"/>
      <c r="RVJ87" s="916"/>
      <c r="RVK87" s="916"/>
      <c r="RVL87" s="916"/>
      <c r="RVM87" s="916"/>
      <c r="RVN87" s="916"/>
      <c r="RVO87" s="916"/>
      <c r="RVP87" s="916"/>
      <c r="RVQ87" s="916"/>
      <c r="RVR87" s="916"/>
      <c r="RVS87" s="916"/>
      <c r="RVT87" s="916"/>
      <c r="RVU87" s="916"/>
      <c r="RVV87" s="916"/>
      <c r="RVW87" s="916"/>
      <c r="RVX87" s="916"/>
      <c r="RVY87" s="916"/>
      <c r="RVZ87" s="916"/>
      <c r="RWA87" s="916"/>
      <c r="RWB87" s="916"/>
      <c r="RWC87" s="916"/>
      <c r="RWD87" s="916"/>
      <c r="RWE87" s="916"/>
      <c r="RWF87" s="916"/>
      <c r="RWG87" s="916"/>
      <c r="RWH87" s="916"/>
      <c r="RWI87" s="916"/>
      <c r="RWJ87" s="916"/>
      <c r="RWK87" s="916"/>
      <c r="RWL87" s="916"/>
      <c r="RWM87" s="916"/>
      <c r="RWN87" s="916"/>
      <c r="RWO87" s="916"/>
      <c r="RWP87" s="916"/>
      <c r="RWQ87" s="916"/>
      <c r="RWR87" s="916"/>
      <c r="RWS87" s="916"/>
      <c r="RWT87" s="916"/>
      <c r="RWU87" s="916"/>
      <c r="RWV87" s="916"/>
      <c r="RWW87" s="916"/>
      <c r="RWX87" s="916"/>
      <c r="RWY87" s="916"/>
      <c r="RWZ87" s="916"/>
      <c r="RXA87" s="916"/>
      <c r="RXB87" s="916"/>
      <c r="RXC87" s="916"/>
      <c r="RXD87" s="916"/>
      <c r="RXE87" s="916"/>
      <c r="RXF87" s="916"/>
      <c r="RXG87" s="916"/>
      <c r="RXH87" s="916"/>
      <c r="RXI87" s="916"/>
      <c r="RXJ87" s="916"/>
      <c r="RXK87" s="916"/>
      <c r="RXL87" s="916"/>
      <c r="RXM87" s="916"/>
      <c r="RXN87" s="916"/>
      <c r="RXO87" s="916"/>
      <c r="RXP87" s="916"/>
      <c r="RXQ87" s="916"/>
      <c r="RXR87" s="916"/>
      <c r="RXS87" s="916"/>
      <c r="RXT87" s="916"/>
      <c r="RXU87" s="916"/>
      <c r="RXV87" s="916"/>
      <c r="RXW87" s="916"/>
      <c r="RXX87" s="916"/>
      <c r="RXY87" s="916"/>
      <c r="RXZ87" s="916"/>
      <c r="RYA87" s="916"/>
      <c r="RYB87" s="916"/>
      <c r="RYC87" s="916"/>
      <c r="RYD87" s="916"/>
      <c r="RYE87" s="916"/>
      <c r="RYF87" s="916"/>
      <c r="RYG87" s="916"/>
      <c r="RYH87" s="916"/>
      <c r="RYI87" s="916"/>
      <c r="RYJ87" s="916"/>
      <c r="RYK87" s="916"/>
      <c r="RYL87" s="916"/>
      <c r="RYM87" s="916"/>
      <c r="RYN87" s="916"/>
      <c r="RYO87" s="916"/>
      <c r="RYP87" s="916"/>
      <c r="RYQ87" s="916"/>
      <c r="RYR87" s="916"/>
      <c r="RYS87" s="916"/>
      <c r="RYT87" s="916"/>
      <c r="RYU87" s="916"/>
      <c r="RYV87" s="916"/>
      <c r="RYW87" s="916"/>
      <c r="RYX87" s="916"/>
      <c r="RYY87" s="916"/>
      <c r="RYZ87" s="916"/>
      <c r="RZA87" s="916"/>
      <c r="RZB87" s="916"/>
      <c r="RZC87" s="916"/>
      <c r="RZD87" s="916"/>
      <c r="RZE87" s="916"/>
      <c r="RZF87" s="916"/>
      <c r="RZG87" s="916"/>
      <c r="RZH87" s="916"/>
      <c r="RZI87" s="916"/>
      <c r="RZJ87" s="916"/>
      <c r="RZK87" s="916"/>
      <c r="RZL87" s="916"/>
      <c r="RZM87" s="916"/>
      <c r="RZN87" s="916"/>
      <c r="RZO87" s="916"/>
      <c r="RZP87" s="916"/>
      <c r="RZQ87" s="916"/>
      <c r="RZR87" s="916"/>
      <c r="RZS87" s="916"/>
      <c r="RZT87" s="916"/>
      <c r="RZU87" s="916"/>
      <c r="RZV87" s="916"/>
      <c r="RZW87" s="916"/>
      <c r="RZX87" s="916"/>
      <c r="RZY87" s="916"/>
      <c r="RZZ87" s="916"/>
      <c r="SAA87" s="916"/>
      <c r="SAB87" s="916"/>
      <c r="SAC87" s="916"/>
      <c r="SAD87" s="916"/>
      <c r="SAE87" s="916"/>
      <c r="SAF87" s="916"/>
      <c r="SAG87" s="916"/>
      <c r="SAH87" s="916"/>
      <c r="SAI87" s="916"/>
      <c r="SAJ87" s="916"/>
      <c r="SAK87" s="916"/>
      <c r="SAL87" s="916"/>
      <c r="SAM87" s="916"/>
      <c r="SAN87" s="916"/>
      <c r="SAO87" s="916"/>
      <c r="SAP87" s="916"/>
      <c r="SAQ87" s="916"/>
      <c r="SAR87" s="916"/>
      <c r="SAS87" s="916"/>
      <c r="SAT87" s="916"/>
      <c r="SAU87" s="916"/>
      <c r="SAV87" s="916"/>
      <c r="SAW87" s="916"/>
      <c r="SAX87" s="916"/>
      <c r="SAY87" s="916"/>
      <c r="SAZ87" s="916"/>
      <c r="SBA87" s="916"/>
      <c r="SBB87" s="916"/>
      <c r="SBC87" s="916"/>
      <c r="SBD87" s="916"/>
      <c r="SBE87" s="916"/>
      <c r="SBF87" s="916"/>
      <c r="SBG87" s="916"/>
      <c r="SBH87" s="916"/>
      <c r="SBI87" s="916"/>
      <c r="SBJ87" s="916"/>
      <c r="SBK87" s="916"/>
      <c r="SBL87" s="916"/>
      <c r="SBM87" s="916"/>
      <c r="SBN87" s="916"/>
      <c r="SBO87" s="916"/>
      <c r="SBP87" s="916"/>
      <c r="SBQ87" s="916"/>
      <c r="SBR87" s="916"/>
      <c r="SBS87" s="916"/>
      <c r="SBT87" s="916"/>
      <c r="SBU87" s="916"/>
      <c r="SBV87" s="916"/>
      <c r="SBW87" s="916"/>
      <c r="SBX87" s="916"/>
      <c r="SBY87" s="916"/>
      <c r="SBZ87" s="916"/>
      <c r="SCA87" s="916"/>
      <c r="SCB87" s="916"/>
      <c r="SCC87" s="916"/>
      <c r="SCD87" s="916"/>
      <c r="SCE87" s="916"/>
      <c r="SCF87" s="916"/>
      <c r="SCG87" s="916"/>
      <c r="SCH87" s="916"/>
      <c r="SCI87" s="916"/>
      <c r="SCJ87" s="916"/>
      <c r="SCK87" s="916"/>
      <c r="SCL87" s="916"/>
      <c r="SCM87" s="916"/>
      <c r="SCN87" s="916"/>
      <c r="SCO87" s="916"/>
      <c r="SCP87" s="916"/>
      <c r="SCQ87" s="916"/>
      <c r="SCR87" s="916"/>
      <c r="SCS87" s="916"/>
      <c r="SCT87" s="916"/>
      <c r="SCU87" s="916"/>
      <c r="SCV87" s="916"/>
      <c r="SCW87" s="916"/>
      <c r="SCX87" s="916"/>
      <c r="SCY87" s="916"/>
      <c r="SCZ87" s="916"/>
      <c r="SDA87" s="916"/>
      <c r="SDB87" s="916"/>
      <c r="SDC87" s="916"/>
      <c r="SDD87" s="916"/>
      <c r="SDE87" s="916"/>
      <c r="SDF87" s="916"/>
      <c r="SDG87" s="916"/>
      <c r="SDH87" s="916"/>
      <c r="SDI87" s="916"/>
      <c r="SDJ87" s="916"/>
      <c r="SDK87" s="916"/>
      <c r="SDL87" s="916"/>
      <c r="SDM87" s="916"/>
      <c r="SDN87" s="916"/>
      <c r="SDO87" s="916"/>
      <c r="SDP87" s="916"/>
      <c r="SDQ87" s="916"/>
      <c r="SDR87" s="916"/>
      <c r="SDS87" s="916"/>
      <c r="SDT87" s="916"/>
      <c r="SDU87" s="916"/>
      <c r="SDV87" s="916"/>
      <c r="SDW87" s="916"/>
      <c r="SDX87" s="916"/>
      <c r="SDY87" s="916"/>
      <c r="SDZ87" s="916"/>
      <c r="SEA87" s="916"/>
      <c r="SEB87" s="916"/>
      <c r="SEC87" s="916"/>
      <c r="SED87" s="916"/>
      <c r="SEE87" s="916"/>
      <c r="SEF87" s="916"/>
      <c r="SEG87" s="916"/>
      <c r="SEH87" s="916"/>
      <c r="SEI87" s="916"/>
      <c r="SEJ87" s="916"/>
      <c r="SEK87" s="916"/>
      <c r="SEL87" s="916"/>
      <c r="SEM87" s="916"/>
      <c r="SEN87" s="916"/>
      <c r="SEO87" s="916"/>
      <c r="SEP87" s="916"/>
      <c r="SEQ87" s="916"/>
      <c r="SER87" s="916"/>
      <c r="SES87" s="916"/>
      <c r="SET87" s="916"/>
      <c r="SEU87" s="916"/>
      <c r="SEV87" s="916"/>
      <c r="SEW87" s="916"/>
      <c r="SEX87" s="916"/>
      <c r="SEY87" s="916"/>
      <c r="SEZ87" s="916"/>
      <c r="SFA87" s="916"/>
      <c r="SFB87" s="916"/>
      <c r="SFC87" s="916"/>
      <c r="SFD87" s="916"/>
      <c r="SFE87" s="916"/>
      <c r="SFF87" s="916"/>
      <c r="SFG87" s="916"/>
      <c r="SFH87" s="916"/>
      <c r="SFI87" s="916"/>
      <c r="SFJ87" s="916"/>
      <c r="SFK87" s="916"/>
      <c r="SFL87" s="916"/>
      <c r="SFM87" s="916"/>
      <c r="SFN87" s="916"/>
      <c r="SFO87" s="916"/>
      <c r="SFP87" s="916"/>
      <c r="SFQ87" s="916"/>
      <c r="SFR87" s="916"/>
      <c r="SFS87" s="916"/>
      <c r="SFT87" s="916"/>
      <c r="SFU87" s="916"/>
      <c r="SFV87" s="916"/>
      <c r="SFW87" s="916"/>
      <c r="SFX87" s="916"/>
      <c r="SFY87" s="916"/>
      <c r="SFZ87" s="916"/>
      <c r="SGA87" s="916"/>
      <c r="SGB87" s="916"/>
      <c r="SGC87" s="916"/>
      <c r="SGD87" s="916"/>
      <c r="SGE87" s="916"/>
      <c r="SGF87" s="916"/>
      <c r="SGG87" s="916"/>
      <c r="SGH87" s="916"/>
      <c r="SGI87" s="916"/>
      <c r="SGJ87" s="916"/>
      <c r="SGK87" s="916"/>
      <c r="SGL87" s="916"/>
      <c r="SGM87" s="916"/>
      <c r="SGN87" s="916"/>
      <c r="SGO87" s="916"/>
      <c r="SGP87" s="916"/>
      <c r="SGQ87" s="916"/>
      <c r="SGR87" s="916"/>
      <c r="SGS87" s="916"/>
      <c r="SGT87" s="916"/>
      <c r="SGU87" s="916"/>
      <c r="SGV87" s="916"/>
      <c r="SGW87" s="916"/>
      <c r="SGX87" s="916"/>
      <c r="SGY87" s="916"/>
      <c r="SGZ87" s="916"/>
      <c r="SHA87" s="916"/>
      <c r="SHB87" s="916"/>
      <c r="SHC87" s="916"/>
      <c r="SHD87" s="916"/>
      <c r="SHE87" s="916"/>
      <c r="SHF87" s="916"/>
      <c r="SHG87" s="916"/>
      <c r="SHH87" s="916"/>
      <c r="SHI87" s="916"/>
      <c r="SHJ87" s="916"/>
      <c r="SHK87" s="916"/>
      <c r="SHL87" s="916"/>
      <c r="SHM87" s="916"/>
      <c r="SHN87" s="916"/>
      <c r="SHO87" s="916"/>
      <c r="SHP87" s="916"/>
      <c r="SHQ87" s="916"/>
      <c r="SHR87" s="916"/>
      <c r="SHS87" s="916"/>
      <c r="SHT87" s="916"/>
      <c r="SHU87" s="916"/>
      <c r="SHV87" s="916"/>
      <c r="SHW87" s="916"/>
      <c r="SHX87" s="916"/>
      <c r="SHY87" s="916"/>
      <c r="SHZ87" s="916"/>
      <c r="SIA87" s="916"/>
      <c r="SIB87" s="916"/>
      <c r="SIC87" s="916"/>
      <c r="SID87" s="916"/>
      <c r="SIE87" s="916"/>
      <c r="SIF87" s="916"/>
      <c r="SIG87" s="916"/>
      <c r="SIH87" s="916"/>
      <c r="SII87" s="916"/>
      <c r="SIJ87" s="916"/>
      <c r="SIK87" s="916"/>
      <c r="SIL87" s="916"/>
      <c r="SIM87" s="916"/>
      <c r="SIN87" s="916"/>
      <c r="SIO87" s="916"/>
      <c r="SIP87" s="916"/>
      <c r="SIQ87" s="916"/>
      <c r="SIR87" s="916"/>
      <c r="SIS87" s="916"/>
      <c r="SIT87" s="916"/>
      <c r="SIU87" s="916"/>
      <c r="SIV87" s="916"/>
      <c r="SIW87" s="916"/>
      <c r="SIX87" s="916"/>
      <c r="SIY87" s="916"/>
      <c r="SIZ87" s="916"/>
      <c r="SJA87" s="916"/>
      <c r="SJB87" s="916"/>
      <c r="SJC87" s="916"/>
      <c r="SJD87" s="916"/>
      <c r="SJE87" s="916"/>
      <c r="SJF87" s="916"/>
      <c r="SJG87" s="916"/>
      <c r="SJH87" s="916"/>
      <c r="SJI87" s="916"/>
      <c r="SJJ87" s="916"/>
      <c r="SJK87" s="916"/>
      <c r="SJL87" s="916"/>
      <c r="SJM87" s="916"/>
      <c r="SJN87" s="916"/>
      <c r="SJO87" s="916"/>
      <c r="SJP87" s="916"/>
      <c r="SJQ87" s="916"/>
      <c r="SJR87" s="916"/>
      <c r="SJS87" s="916"/>
      <c r="SJT87" s="916"/>
      <c r="SJU87" s="916"/>
      <c r="SJV87" s="916"/>
      <c r="SJW87" s="916"/>
      <c r="SJX87" s="916"/>
      <c r="SJY87" s="916"/>
      <c r="SJZ87" s="916"/>
      <c r="SKA87" s="916"/>
      <c r="SKB87" s="916"/>
      <c r="SKC87" s="916"/>
      <c r="SKD87" s="916"/>
      <c r="SKE87" s="916"/>
      <c r="SKF87" s="916"/>
      <c r="SKG87" s="916"/>
      <c r="SKH87" s="916"/>
      <c r="SKI87" s="916"/>
      <c r="SKJ87" s="916"/>
      <c r="SKK87" s="916"/>
      <c r="SKL87" s="916"/>
      <c r="SKM87" s="916"/>
      <c r="SKN87" s="916"/>
      <c r="SKO87" s="916"/>
      <c r="SKP87" s="916"/>
      <c r="SKQ87" s="916"/>
      <c r="SKR87" s="916"/>
      <c r="SKS87" s="916"/>
      <c r="SKT87" s="916"/>
      <c r="SKU87" s="916"/>
      <c r="SKV87" s="916"/>
      <c r="SKW87" s="916"/>
      <c r="SKX87" s="916"/>
      <c r="SKY87" s="916"/>
      <c r="SKZ87" s="916"/>
      <c r="SLA87" s="916"/>
      <c r="SLB87" s="916"/>
      <c r="SLC87" s="916"/>
      <c r="SLD87" s="916"/>
      <c r="SLE87" s="916"/>
      <c r="SLF87" s="916"/>
      <c r="SLG87" s="916"/>
      <c r="SLH87" s="916"/>
      <c r="SLI87" s="916"/>
      <c r="SLJ87" s="916"/>
      <c r="SLK87" s="916"/>
      <c r="SLL87" s="916"/>
      <c r="SLM87" s="916"/>
      <c r="SLN87" s="916"/>
      <c r="SLO87" s="916"/>
      <c r="SLP87" s="916"/>
      <c r="SLQ87" s="916"/>
      <c r="SLR87" s="916"/>
      <c r="SLS87" s="916"/>
      <c r="SLT87" s="916"/>
      <c r="SLU87" s="916"/>
      <c r="SLV87" s="916"/>
      <c r="SLW87" s="916"/>
      <c r="SLX87" s="916"/>
      <c r="SLY87" s="916"/>
      <c r="SLZ87" s="916"/>
      <c r="SMA87" s="916"/>
      <c r="SMB87" s="916"/>
      <c r="SMC87" s="916"/>
      <c r="SMD87" s="916"/>
      <c r="SME87" s="916"/>
      <c r="SMF87" s="916"/>
      <c r="SMG87" s="916"/>
      <c r="SMH87" s="916"/>
      <c r="SMI87" s="916"/>
      <c r="SMJ87" s="916"/>
      <c r="SMK87" s="916"/>
      <c r="SML87" s="916"/>
      <c r="SMM87" s="916"/>
      <c r="SMN87" s="916"/>
      <c r="SMO87" s="916"/>
      <c r="SMP87" s="916"/>
      <c r="SMQ87" s="916"/>
      <c r="SMR87" s="916"/>
      <c r="SMS87" s="916"/>
      <c r="SMT87" s="916"/>
      <c r="SMU87" s="916"/>
      <c r="SMV87" s="916"/>
      <c r="SMW87" s="916"/>
      <c r="SMX87" s="916"/>
      <c r="SMY87" s="916"/>
      <c r="SMZ87" s="916"/>
      <c r="SNA87" s="916"/>
      <c r="SNB87" s="916"/>
      <c r="SNC87" s="916"/>
      <c r="SND87" s="916"/>
      <c r="SNE87" s="916"/>
      <c r="SNF87" s="916"/>
      <c r="SNG87" s="916"/>
      <c r="SNH87" s="916"/>
      <c r="SNI87" s="916"/>
      <c r="SNJ87" s="916"/>
      <c r="SNK87" s="916"/>
      <c r="SNL87" s="916"/>
      <c r="SNM87" s="916"/>
      <c r="SNN87" s="916"/>
      <c r="SNO87" s="916"/>
      <c r="SNP87" s="916"/>
      <c r="SNQ87" s="916"/>
      <c r="SNR87" s="916"/>
      <c r="SNS87" s="916"/>
      <c r="SNT87" s="916"/>
      <c r="SNU87" s="916"/>
      <c r="SNV87" s="916"/>
      <c r="SNW87" s="916"/>
      <c r="SNX87" s="916"/>
      <c r="SNY87" s="916"/>
      <c r="SNZ87" s="916"/>
      <c r="SOA87" s="916"/>
      <c r="SOB87" s="916"/>
      <c r="SOC87" s="916"/>
      <c r="SOD87" s="916"/>
      <c r="SOE87" s="916"/>
      <c r="SOF87" s="916"/>
      <c r="SOG87" s="916"/>
      <c r="SOH87" s="916"/>
      <c r="SOI87" s="916"/>
      <c r="SOJ87" s="916"/>
      <c r="SOK87" s="916"/>
      <c r="SOL87" s="916"/>
      <c r="SOM87" s="916"/>
      <c r="SON87" s="916"/>
      <c r="SOO87" s="916"/>
      <c r="SOP87" s="916"/>
      <c r="SOQ87" s="916"/>
      <c r="SOR87" s="916"/>
      <c r="SOS87" s="916"/>
      <c r="SOT87" s="916"/>
      <c r="SOU87" s="916"/>
      <c r="SOV87" s="916"/>
      <c r="SOW87" s="916"/>
      <c r="SOX87" s="916"/>
      <c r="SOY87" s="916"/>
      <c r="SOZ87" s="916"/>
      <c r="SPA87" s="916"/>
      <c r="SPB87" s="916"/>
      <c r="SPC87" s="916"/>
      <c r="SPD87" s="916"/>
      <c r="SPE87" s="916"/>
      <c r="SPF87" s="916"/>
      <c r="SPG87" s="916"/>
      <c r="SPH87" s="916"/>
      <c r="SPI87" s="916"/>
      <c r="SPJ87" s="916"/>
      <c r="SPK87" s="916"/>
      <c r="SPL87" s="916"/>
      <c r="SPM87" s="916"/>
      <c r="SPN87" s="916"/>
      <c r="SPO87" s="916"/>
      <c r="SPP87" s="916"/>
      <c r="SPQ87" s="916"/>
      <c r="SPR87" s="916"/>
      <c r="SPS87" s="916"/>
      <c r="SPT87" s="916"/>
      <c r="SPU87" s="916"/>
      <c r="SPV87" s="916"/>
      <c r="SPW87" s="916"/>
      <c r="SPX87" s="916"/>
      <c r="SPY87" s="916"/>
      <c r="SPZ87" s="916"/>
      <c r="SQA87" s="916"/>
      <c r="SQB87" s="916"/>
      <c r="SQC87" s="916"/>
      <c r="SQD87" s="916"/>
      <c r="SQE87" s="916"/>
      <c r="SQF87" s="916"/>
      <c r="SQG87" s="916"/>
      <c r="SQH87" s="916"/>
      <c r="SQI87" s="916"/>
      <c r="SQJ87" s="916"/>
      <c r="SQK87" s="916"/>
      <c r="SQL87" s="916"/>
      <c r="SQM87" s="916"/>
      <c r="SQN87" s="916"/>
      <c r="SQO87" s="916"/>
      <c r="SQP87" s="916"/>
      <c r="SQQ87" s="916"/>
      <c r="SQR87" s="916"/>
      <c r="SQS87" s="916"/>
      <c r="SQT87" s="916"/>
      <c r="SQU87" s="916"/>
      <c r="SQV87" s="916"/>
      <c r="SQW87" s="916"/>
      <c r="SQX87" s="916"/>
      <c r="SQY87" s="916"/>
      <c r="SQZ87" s="916"/>
      <c r="SRA87" s="916"/>
      <c r="SRB87" s="916"/>
      <c r="SRC87" s="916"/>
      <c r="SRD87" s="916"/>
      <c r="SRE87" s="916"/>
      <c r="SRF87" s="916"/>
      <c r="SRG87" s="916"/>
      <c r="SRH87" s="916"/>
      <c r="SRI87" s="916"/>
      <c r="SRJ87" s="916"/>
      <c r="SRK87" s="916"/>
      <c r="SRL87" s="916"/>
      <c r="SRM87" s="916"/>
      <c r="SRN87" s="916"/>
      <c r="SRO87" s="916"/>
      <c r="SRP87" s="916"/>
      <c r="SRQ87" s="916"/>
      <c r="SRR87" s="916"/>
      <c r="SRS87" s="916"/>
      <c r="SRT87" s="916"/>
      <c r="SRU87" s="916"/>
      <c r="SRV87" s="916"/>
      <c r="SRW87" s="916"/>
      <c r="SRX87" s="916"/>
      <c r="SRY87" s="916"/>
      <c r="SRZ87" s="916"/>
      <c r="SSA87" s="916"/>
      <c r="SSB87" s="916"/>
      <c r="SSC87" s="916"/>
      <c r="SSD87" s="916"/>
      <c r="SSE87" s="916"/>
      <c r="SSF87" s="916"/>
      <c r="SSG87" s="916"/>
      <c r="SSH87" s="916"/>
      <c r="SSI87" s="916"/>
      <c r="SSJ87" s="916"/>
      <c r="SSK87" s="916"/>
      <c r="SSL87" s="916"/>
      <c r="SSM87" s="916"/>
      <c r="SSN87" s="916"/>
      <c r="SSO87" s="916"/>
      <c r="SSP87" s="916"/>
      <c r="SSQ87" s="916"/>
      <c r="SSR87" s="916"/>
      <c r="SSS87" s="916"/>
      <c r="SST87" s="916"/>
      <c r="SSU87" s="916"/>
      <c r="SSV87" s="916"/>
      <c r="SSW87" s="916"/>
      <c r="SSX87" s="916"/>
      <c r="SSY87" s="916"/>
      <c r="SSZ87" s="916"/>
      <c r="STA87" s="916"/>
      <c r="STB87" s="916"/>
      <c r="STC87" s="916"/>
      <c r="STD87" s="916"/>
      <c r="STE87" s="916"/>
      <c r="STF87" s="916"/>
      <c r="STG87" s="916"/>
      <c r="STH87" s="916"/>
      <c r="STI87" s="916"/>
      <c r="STJ87" s="916"/>
      <c r="STK87" s="916"/>
      <c r="STL87" s="916"/>
      <c r="STM87" s="916"/>
      <c r="STN87" s="916"/>
      <c r="STO87" s="916"/>
      <c r="STP87" s="916"/>
      <c r="STQ87" s="916"/>
      <c r="STR87" s="916"/>
      <c r="STS87" s="916"/>
      <c r="STT87" s="916"/>
      <c r="STU87" s="916"/>
      <c r="STV87" s="916"/>
      <c r="STW87" s="916"/>
      <c r="STX87" s="916"/>
      <c r="STY87" s="916"/>
      <c r="STZ87" s="916"/>
      <c r="SUA87" s="916"/>
      <c r="SUB87" s="916"/>
      <c r="SUC87" s="916"/>
      <c r="SUD87" s="916"/>
      <c r="SUE87" s="916"/>
      <c r="SUF87" s="916"/>
      <c r="SUG87" s="916"/>
      <c r="SUH87" s="916"/>
      <c r="SUI87" s="916"/>
      <c r="SUJ87" s="916"/>
      <c r="SUK87" s="916"/>
      <c r="SUL87" s="916"/>
      <c r="SUM87" s="916"/>
      <c r="SUN87" s="916"/>
      <c r="SUO87" s="916"/>
      <c r="SUP87" s="916"/>
      <c r="SUQ87" s="916"/>
      <c r="SUR87" s="916"/>
      <c r="SUS87" s="916"/>
      <c r="SUT87" s="916"/>
      <c r="SUU87" s="916"/>
      <c r="SUV87" s="916"/>
      <c r="SUW87" s="916"/>
      <c r="SUX87" s="916"/>
      <c r="SUY87" s="916"/>
      <c r="SUZ87" s="916"/>
      <c r="SVA87" s="916"/>
      <c r="SVB87" s="916"/>
      <c r="SVC87" s="916"/>
      <c r="SVD87" s="916"/>
      <c r="SVE87" s="916"/>
      <c r="SVF87" s="916"/>
      <c r="SVG87" s="916"/>
      <c r="SVH87" s="916"/>
      <c r="SVI87" s="916"/>
      <c r="SVJ87" s="916"/>
      <c r="SVK87" s="916"/>
      <c r="SVL87" s="916"/>
      <c r="SVM87" s="916"/>
      <c r="SVN87" s="916"/>
      <c r="SVO87" s="916"/>
      <c r="SVP87" s="916"/>
      <c r="SVQ87" s="916"/>
      <c r="SVR87" s="916"/>
      <c r="SVS87" s="916"/>
      <c r="SVT87" s="916"/>
      <c r="SVU87" s="916"/>
      <c r="SVV87" s="916"/>
      <c r="SVW87" s="916"/>
      <c r="SVX87" s="916"/>
      <c r="SVY87" s="916"/>
      <c r="SVZ87" s="916"/>
      <c r="SWA87" s="916"/>
      <c r="SWB87" s="916"/>
      <c r="SWC87" s="916"/>
      <c r="SWD87" s="916"/>
      <c r="SWE87" s="916"/>
      <c r="SWF87" s="916"/>
      <c r="SWG87" s="916"/>
      <c r="SWH87" s="916"/>
      <c r="SWI87" s="916"/>
      <c r="SWJ87" s="916"/>
      <c r="SWK87" s="916"/>
      <c r="SWL87" s="916"/>
      <c r="SWM87" s="916"/>
      <c r="SWN87" s="916"/>
      <c r="SWO87" s="916"/>
      <c r="SWP87" s="916"/>
      <c r="SWQ87" s="916"/>
      <c r="SWR87" s="916"/>
      <c r="SWS87" s="916"/>
      <c r="SWT87" s="916"/>
      <c r="SWU87" s="916"/>
      <c r="SWV87" s="916"/>
      <c r="SWW87" s="916"/>
      <c r="SWX87" s="916"/>
      <c r="SWY87" s="916"/>
      <c r="SWZ87" s="916"/>
      <c r="SXA87" s="916"/>
      <c r="SXB87" s="916"/>
      <c r="SXC87" s="916"/>
      <c r="SXD87" s="916"/>
      <c r="SXE87" s="916"/>
      <c r="SXF87" s="916"/>
      <c r="SXG87" s="916"/>
      <c r="SXH87" s="916"/>
      <c r="SXI87" s="916"/>
      <c r="SXJ87" s="916"/>
      <c r="SXK87" s="916"/>
      <c r="SXL87" s="916"/>
      <c r="SXM87" s="916"/>
      <c r="SXN87" s="916"/>
      <c r="SXO87" s="916"/>
      <c r="SXP87" s="916"/>
      <c r="SXQ87" s="916"/>
      <c r="SXR87" s="916"/>
      <c r="SXS87" s="916"/>
      <c r="SXT87" s="916"/>
      <c r="SXU87" s="916"/>
      <c r="SXV87" s="916"/>
      <c r="SXW87" s="916"/>
      <c r="SXX87" s="916"/>
      <c r="SXY87" s="916"/>
      <c r="SXZ87" s="916"/>
      <c r="SYA87" s="916"/>
      <c r="SYB87" s="916"/>
      <c r="SYC87" s="916"/>
      <c r="SYD87" s="916"/>
      <c r="SYE87" s="916"/>
      <c r="SYF87" s="916"/>
      <c r="SYG87" s="916"/>
      <c r="SYH87" s="916"/>
      <c r="SYI87" s="916"/>
      <c r="SYJ87" s="916"/>
      <c r="SYK87" s="916"/>
      <c r="SYL87" s="916"/>
      <c r="SYM87" s="916"/>
      <c r="SYN87" s="916"/>
      <c r="SYO87" s="916"/>
      <c r="SYP87" s="916"/>
      <c r="SYQ87" s="916"/>
      <c r="SYR87" s="916"/>
      <c r="SYS87" s="916"/>
      <c r="SYT87" s="916"/>
      <c r="SYU87" s="916"/>
      <c r="SYV87" s="916"/>
      <c r="SYW87" s="916"/>
      <c r="SYX87" s="916"/>
      <c r="SYY87" s="916"/>
      <c r="SYZ87" s="916"/>
      <c r="SZA87" s="916"/>
      <c r="SZB87" s="916"/>
      <c r="SZC87" s="916"/>
      <c r="SZD87" s="916"/>
      <c r="SZE87" s="916"/>
      <c r="SZF87" s="916"/>
      <c r="SZG87" s="916"/>
      <c r="SZH87" s="916"/>
      <c r="SZI87" s="916"/>
      <c r="SZJ87" s="916"/>
      <c r="SZK87" s="916"/>
      <c r="SZL87" s="916"/>
      <c r="SZM87" s="916"/>
      <c r="SZN87" s="916"/>
      <c r="SZO87" s="916"/>
      <c r="SZP87" s="916"/>
      <c r="SZQ87" s="916"/>
      <c r="SZR87" s="916"/>
      <c r="SZS87" s="916"/>
      <c r="SZT87" s="916"/>
      <c r="SZU87" s="916"/>
      <c r="SZV87" s="916"/>
      <c r="SZW87" s="916"/>
      <c r="SZX87" s="916"/>
      <c r="SZY87" s="916"/>
      <c r="SZZ87" s="916"/>
      <c r="TAA87" s="916"/>
      <c r="TAB87" s="916"/>
      <c r="TAC87" s="916"/>
      <c r="TAD87" s="916"/>
      <c r="TAE87" s="916"/>
      <c r="TAF87" s="916"/>
      <c r="TAG87" s="916"/>
      <c r="TAH87" s="916"/>
      <c r="TAI87" s="916"/>
      <c r="TAJ87" s="916"/>
      <c r="TAK87" s="916"/>
      <c r="TAL87" s="916"/>
      <c r="TAM87" s="916"/>
      <c r="TAN87" s="916"/>
      <c r="TAO87" s="916"/>
      <c r="TAP87" s="916"/>
      <c r="TAQ87" s="916"/>
      <c r="TAR87" s="916"/>
      <c r="TAS87" s="916"/>
      <c r="TAT87" s="916"/>
      <c r="TAU87" s="916"/>
      <c r="TAV87" s="916"/>
      <c r="TAW87" s="916"/>
      <c r="TAX87" s="916"/>
      <c r="TAY87" s="916"/>
      <c r="TAZ87" s="916"/>
      <c r="TBA87" s="916"/>
      <c r="TBB87" s="916"/>
      <c r="TBC87" s="916"/>
      <c r="TBD87" s="916"/>
      <c r="TBE87" s="916"/>
      <c r="TBF87" s="916"/>
      <c r="TBG87" s="916"/>
      <c r="TBH87" s="916"/>
      <c r="TBI87" s="916"/>
      <c r="TBJ87" s="916"/>
      <c r="TBK87" s="916"/>
      <c r="TBL87" s="916"/>
      <c r="TBM87" s="916"/>
      <c r="TBN87" s="916"/>
      <c r="TBO87" s="916"/>
      <c r="TBP87" s="916"/>
      <c r="TBQ87" s="916"/>
      <c r="TBR87" s="916"/>
      <c r="TBS87" s="916"/>
      <c r="TBT87" s="916"/>
      <c r="TBU87" s="916"/>
      <c r="TBV87" s="916"/>
      <c r="TBW87" s="916"/>
      <c r="TBX87" s="916"/>
      <c r="TBY87" s="916"/>
      <c r="TBZ87" s="916"/>
      <c r="TCA87" s="916"/>
      <c r="TCB87" s="916"/>
      <c r="TCC87" s="916"/>
      <c r="TCD87" s="916"/>
      <c r="TCE87" s="916"/>
      <c r="TCF87" s="916"/>
      <c r="TCG87" s="916"/>
      <c r="TCH87" s="916"/>
      <c r="TCI87" s="916"/>
      <c r="TCJ87" s="916"/>
      <c r="TCK87" s="916"/>
      <c r="TCL87" s="916"/>
      <c r="TCM87" s="916"/>
      <c r="TCN87" s="916"/>
      <c r="TCO87" s="916"/>
      <c r="TCP87" s="916"/>
      <c r="TCQ87" s="916"/>
      <c r="TCR87" s="916"/>
      <c r="TCS87" s="916"/>
      <c r="TCT87" s="916"/>
      <c r="TCU87" s="916"/>
      <c r="TCV87" s="916"/>
      <c r="TCW87" s="916"/>
      <c r="TCX87" s="916"/>
      <c r="TCY87" s="916"/>
      <c r="TCZ87" s="916"/>
      <c r="TDA87" s="916"/>
      <c r="TDB87" s="916"/>
      <c r="TDC87" s="916"/>
      <c r="TDD87" s="916"/>
      <c r="TDE87" s="916"/>
      <c r="TDF87" s="916"/>
      <c r="TDG87" s="916"/>
      <c r="TDH87" s="916"/>
      <c r="TDI87" s="916"/>
      <c r="TDJ87" s="916"/>
      <c r="TDK87" s="916"/>
      <c r="TDL87" s="916"/>
      <c r="TDM87" s="916"/>
      <c r="TDN87" s="916"/>
      <c r="TDO87" s="916"/>
      <c r="TDP87" s="916"/>
      <c r="TDQ87" s="916"/>
      <c r="TDR87" s="916"/>
      <c r="TDS87" s="916"/>
      <c r="TDT87" s="916"/>
      <c r="TDU87" s="916"/>
      <c r="TDV87" s="916"/>
      <c r="TDW87" s="916"/>
      <c r="TDX87" s="916"/>
      <c r="TDY87" s="916"/>
      <c r="TDZ87" s="916"/>
      <c r="TEA87" s="916"/>
      <c r="TEB87" s="916"/>
      <c r="TEC87" s="916"/>
      <c r="TED87" s="916"/>
      <c r="TEE87" s="916"/>
      <c r="TEF87" s="916"/>
      <c r="TEG87" s="916"/>
      <c r="TEH87" s="916"/>
      <c r="TEI87" s="916"/>
      <c r="TEJ87" s="916"/>
      <c r="TEK87" s="916"/>
      <c r="TEL87" s="916"/>
      <c r="TEM87" s="916"/>
      <c r="TEN87" s="916"/>
      <c r="TEO87" s="916"/>
      <c r="TEP87" s="916"/>
      <c r="TEQ87" s="916"/>
      <c r="TER87" s="916"/>
      <c r="TES87" s="916"/>
      <c r="TET87" s="916"/>
      <c r="TEU87" s="916"/>
      <c r="TEV87" s="916"/>
      <c r="TEW87" s="916"/>
      <c r="TEX87" s="916"/>
      <c r="TEY87" s="916"/>
      <c r="TEZ87" s="916"/>
      <c r="TFA87" s="916"/>
      <c r="TFB87" s="916"/>
      <c r="TFC87" s="916"/>
      <c r="TFD87" s="916"/>
      <c r="TFE87" s="916"/>
      <c r="TFF87" s="916"/>
      <c r="TFG87" s="916"/>
      <c r="TFH87" s="916"/>
      <c r="TFI87" s="916"/>
      <c r="TFJ87" s="916"/>
      <c r="TFK87" s="916"/>
      <c r="TFL87" s="916"/>
      <c r="TFM87" s="916"/>
      <c r="TFN87" s="916"/>
      <c r="TFO87" s="916"/>
      <c r="TFP87" s="916"/>
      <c r="TFQ87" s="916"/>
      <c r="TFR87" s="916"/>
      <c r="TFS87" s="916"/>
      <c r="TFT87" s="916"/>
      <c r="TFU87" s="916"/>
      <c r="TFV87" s="916"/>
      <c r="TFW87" s="916"/>
      <c r="TFX87" s="916"/>
      <c r="TFY87" s="916"/>
      <c r="TFZ87" s="916"/>
      <c r="TGA87" s="916"/>
      <c r="TGB87" s="916"/>
      <c r="TGC87" s="916"/>
      <c r="TGD87" s="916"/>
      <c r="TGE87" s="916"/>
      <c r="TGF87" s="916"/>
      <c r="TGG87" s="916"/>
      <c r="TGH87" s="916"/>
      <c r="TGI87" s="916"/>
      <c r="TGJ87" s="916"/>
      <c r="TGK87" s="916"/>
      <c r="TGL87" s="916"/>
      <c r="TGM87" s="916"/>
      <c r="TGN87" s="916"/>
      <c r="TGO87" s="916"/>
      <c r="TGP87" s="916"/>
      <c r="TGQ87" s="916"/>
      <c r="TGR87" s="916"/>
      <c r="TGS87" s="916"/>
      <c r="TGT87" s="916"/>
      <c r="TGU87" s="916"/>
      <c r="TGV87" s="916"/>
      <c r="TGW87" s="916"/>
      <c r="TGX87" s="916"/>
      <c r="TGY87" s="916"/>
      <c r="TGZ87" s="916"/>
      <c r="THA87" s="916"/>
      <c r="THB87" s="916"/>
      <c r="THC87" s="916"/>
      <c r="THD87" s="916"/>
      <c r="THE87" s="916"/>
      <c r="THF87" s="916"/>
      <c r="THG87" s="916"/>
      <c r="THH87" s="916"/>
      <c r="THI87" s="916"/>
      <c r="THJ87" s="916"/>
      <c r="THK87" s="916"/>
      <c r="THL87" s="916"/>
      <c r="THM87" s="916"/>
      <c r="THN87" s="916"/>
      <c r="THO87" s="916"/>
      <c r="THP87" s="916"/>
      <c r="THQ87" s="916"/>
      <c r="THR87" s="916"/>
      <c r="THS87" s="916"/>
      <c r="THT87" s="916"/>
      <c r="THU87" s="916"/>
      <c r="THV87" s="916"/>
      <c r="THW87" s="916"/>
      <c r="THX87" s="916"/>
      <c r="THY87" s="916"/>
      <c r="THZ87" s="916"/>
      <c r="TIA87" s="916"/>
      <c r="TIB87" s="916"/>
      <c r="TIC87" s="916"/>
      <c r="TID87" s="916"/>
      <c r="TIE87" s="916"/>
      <c r="TIF87" s="916"/>
      <c r="TIG87" s="916"/>
      <c r="TIH87" s="916"/>
      <c r="TII87" s="916"/>
      <c r="TIJ87" s="916"/>
      <c r="TIK87" s="916"/>
      <c r="TIL87" s="916"/>
      <c r="TIM87" s="916"/>
      <c r="TIN87" s="916"/>
      <c r="TIO87" s="916"/>
      <c r="TIP87" s="916"/>
      <c r="TIQ87" s="916"/>
      <c r="TIR87" s="916"/>
      <c r="TIS87" s="916"/>
      <c r="TIT87" s="916"/>
      <c r="TIU87" s="916"/>
      <c r="TIV87" s="916"/>
      <c r="TIW87" s="916"/>
      <c r="TIX87" s="916"/>
      <c r="TIY87" s="916"/>
      <c r="TIZ87" s="916"/>
      <c r="TJA87" s="916"/>
      <c r="TJB87" s="916"/>
      <c r="TJC87" s="916"/>
      <c r="TJD87" s="916"/>
      <c r="TJE87" s="916"/>
      <c r="TJF87" s="916"/>
      <c r="TJG87" s="916"/>
      <c r="TJH87" s="916"/>
      <c r="TJI87" s="916"/>
      <c r="TJJ87" s="916"/>
      <c r="TJK87" s="916"/>
      <c r="TJL87" s="916"/>
      <c r="TJM87" s="916"/>
      <c r="TJN87" s="916"/>
      <c r="TJO87" s="916"/>
      <c r="TJP87" s="916"/>
      <c r="TJQ87" s="916"/>
      <c r="TJR87" s="916"/>
      <c r="TJS87" s="916"/>
      <c r="TJT87" s="916"/>
      <c r="TJU87" s="916"/>
      <c r="TJV87" s="916"/>
      <c r="TJW87" s="916"/>
      <c r="TJX87" s="916"/>
      <c r="TJY87" s="916"/>
      <c r="TJZ87" s="916"/>
      <c r="TKA87" s="916"/>
      <c r="TKB87" s="916"/>
      <c r="TKC87" s="916"/>
      <c r="TKD87" s="916"/>
      <c r="TKE87" s="916"/>
      <c r="TKF87" s="916"/>
      <c r="TKG87" s="916"/>
      <c r="TKH87" s="916"/>
      <c r="TKI87" s="916"/>
      <c r="TKJ87" s="916"/>
      <c r="TKK87" s="916"/>
      <c r="TKL87" s="916"/>
      <c r="TKM87" s="916"/>
      <c r="TKN87" s="916"/>
      <c r="TKO87" s="916"/>
      <c r="TKP87" s="916"/>
      <c r="TKQ87" s="916"/>
      <c r="TKR87" s="916"/>
      <c r="TKS87" s="916"/>
      <c r="TKT87" s="916"/>
      <c r="TKU87" s="916"/>
      <c r="TKV87" s="916"/>
      <c r="TKW87" s="916"/>
      <c r="TKX87" s="916"/>
      <c r="TKY87" s="916"/>
      <c r="TKZ87" s="916"/>
      <c r="TLA87" s="916"/>
      <c r="TLB87" s="916"/>
      <c r="TLC87" s="916"/>
      <c r="TLD87" s="916"/>
      <c r="TLE87" s="916"/>
      <c r="TLF87" s="916"/>
      <c r="TLG87" s="916"/>
      <c r="TLH87" s="916"/>
      <c r="TLI87" s="916"/>
      <c r="TLJ87" s="916"/>
      <c r="TLK87" s="916"/>
      <c r="TLL87" s="916"/>
      <c r="TLM87" s="916"/>
      <c r="TLN87" s="916"/>
      <c r="TLO87" s="916"/>
      <c r="TLP87" s="916"/>
      <c r="TLQ87" s="916"/>
      <c r="TLR87" s="916"/>
      <c r="TLS87" s="916"/>
      <c r="TLT87" s="916"/>
      <c r="TLU87" s="916"/>
      <c r="TLV87" s="916"/>
      <c r="TLW87" s="916"/>
      <c r="TLX87" s="916"/>
      <c r="TLY87" s="916"/>
      <c r="TLZ87" s="916"/>
      <c r="TMA87" s="916"/>
      <c r="TMB87" s="916"/>
      <c r="TMC87" s="916"/>
      <c r="TMD87" s="916"/>
      <c r="TME87" s="916"/>
      <c r="TMF87" s="916"/>
      <c r="TMG87" s="916"/>
      <c r="TMH87" s="916"/>
      <c r="TMI87" s="916"/>
      <c r="TMJ87" s="916"/>
      <c r="TMK87" s="916"/>
      <c r="TML87" s="916"/>
      <c r="TMM87" s="916"/>
      <c r="TMN87" s="916"/>
      <c r="TMO87" s="916"/>
      <c r="TMP87" s="916"/>
      <c r="TMQ87" s="916"/>
      <c r="TMR87" s="916"/>
      <c r="TMS87" s="916"/>
      <c r="TMT87" s="916"/>
      <c r="TMU87" s="916"/>
      <c r="TMV87" s="916"/>
      <c r="TMW87" s="916"/>
      <c r="TMX87" s="916"/>
      <c r="TMY87" s="916"/>
      <c r="TMZ87" s="916"/>
      <c r="TNA87" s="916"/>
      <c r="TNB87" s="916"/>
      <c r="TNC87" s="916"/>
      <c r="TND87" s="916"/>
      <c r="TNE87" s="916"/>
      <c r="TNF87" s="916"/>
      <c r="TNG87" s="916"/>
      <c r="TNH87" s="916"/>
      <c r="TNI87" s="916"/>
      <c r="TNJ87" s="916"/>
      <c r="TNK87" s="916"/>
      <c r="TNL87" s="916"/>
      <c r="TNM87" s="916"/>
      <c r="TNN87" s="916"/>
      <c r="TNO87" s="916"/>
      <c r="TNP87" s="916"/>
      <c r="TNQ87" s="916"/>
      <c r="TNR87" s="916"/>
      <c r="TNS87" s="916"/>
      <c r="TNT87" s="916"/>
      <c r="TNU87" s="916"/>
      <c r="TNV87" s="916"/>
      <c r="TNW87" s="916"/>
      <c r="TNX87" s="916"/>
      <c r="TNY87" s="916"/>
      <c r="TNZ87" s="916"/>
      <c r="TOA87" s="916"/>
      <c r="TOB87" s="916"/>
      <c r="TOC87" s="916"/>
      <c r="TOD87" s="916"/>
      <c r="TOE87" s="916"/>
      <c r="TOF87" s="916"/>
      <c r="TOG87" s="916"/>
      <c r="TOH87" s="916"/>
      <c r="TOI87" s="916"/>
      <c r="TOJ87" s="916"/>
      <c r="TOK87" s="916"/>
      <c r="TOL87" s="916"/>
      <c r="TOM87" s="916"/>
      <c r="TON87" s="916"/>
      <c r="TOO87" s="916"/>
      <c r="TOP87" s="916"/>
      <c r="TOQ87" s="916"/>
      <c r="TOR87" s="916"/>
      <c r="TOS87" s="916"/>
      <c r="TOT87" s="916"/>
      <c r="TOU87" s="916"/>
      <c r="TOV87" s="916"/>
      <c r="TOW87" s="916"/>
      <c r="TOX87" s="916"/>
      <c r="TOY87" s="916"/>
      <c r="TOZ87" s="916"/>
      <c r="TPA87" s="916"/>
      <c r="TPB87" s="916"/>
      <c r="TPC87" s="916"/>
      <c r="TPD87" s="916"/>
      <c r="TPE87" s="916"/>
      <c r="TPF87" s="916"/>
      <c r="TPG87" s="916"/>
      <c r="TPH87" s="916"/>
      <c r="TPI87" s="916"/>
      <c r="TPJ87" s="916"/>
      <c r="TPK87" s="916"/>
      <c r="TPL87" s="916"/>
      <c r="TPM87" s="916"/>
      <c r="TPN87" s="916"/>
      <c r="TPO87" s="916"/>
      <c r="TPP87" s="916"/>
      <c r="TPQ87" s="916"/>
      <c r="TPR87" s="916"/>
      <c r="TPS87" s="916"/>
      <c r="TPT87" s="916"/>
      <c r="TPU87" s="916"/>
      <c r="TPV87" s="916"/>
      <c r="TPW87" s="916"/>
      <c r="TPX87" s="916"/>
      <c r="TPY87" s="916"/>
      <c r="TPZ87" s="916"/>
      <c r="TQA87" s="916"/>
      <c r="TQB87" s="916"/>
      <c r="TQC87" s="916"/>
      <c r="TQD87" s="916"/>
      <c r="TQE87" s="916"/>
      <c r="TQF87" s="916"/>
      <c r="TQG87" s="916"/>
      <c r="TQH87" s="916"/>
      <c r="TQI87" s="916"/>
      <c r="TQJ87" s="916"/>
      <c r="TQK87" s="916"/>
      <c r="TQL87" s="916"/>
      <c r="TQM87" s="916"/>
      <c r="TQN87" s="916"/>
      <c r="TQO87" s="916"/>
      <c r="TQP87" s="916"/>
      <c r="TQQ87" s="916"/>
      <c r="TQR87" s="916"/>
      <c r="TQS87" s="916"/>
      <c r="TQT87" s="916"/>
      <c r="TQU87" s="916"/>
      <c r="TQV87" s="916"/>
      <c r="TQW87" s="916"/>
      <c r="TQX87" s="916"/>
      <c r="TQY87" s="916"/>
      <c r="TQZ87" s="916"/>
      <c r="TRA87" s="916"/>
      <c r="TRB87" s="916"/>
      <c r="TRC87" s="916"/>
      <c r="TRD87" s="916"/>
      <c r="TRE87" s="916"/>
      <c r="TRF87" s="916"/>
      <c r="TRG87" s="916"/>
      <c r="TRH87" s="916"/>
      <c r="TRI87" s="916"/>
      <c r="TRJ87" s="916"/>
      <c r="TRK87" s="916"/>
      <c r="TRL87" s="916"/>
      <c r="TRM87" s="916"/>
      <c r="TRN87" s="916"/>
      <c r="TRO87" s="916"/>
      <c r="TRP87" s="916"/>
      <c r="TRQ87" s="916"/>
      <c r="TRR87" s="916"/>
      <c r="TRS87" s="916"/>
      <c r="TRT87" s="916"/>
      <c r="TRU87" s="916"/>
      <c r="TRV87" s="916"/>
      <c r="TRW87" s="916"/>
      <c r="TRX87" s="916"/>
      <c r="TRY87" s="916"/>
      <c r="TRZ87" s="916"/>
      <c r="TSA87" s="916"/>
      <c r="TSB87" s="916"/>
      <c r="TSC87" s="916"/>
      <c r="TSD87" s="916"/>
      <c r="TSE87" s="916"/>
      <c r="TSF87" s="916"/>
      <c r="TSG87" s="916"/>
      <c r="TSH87" s="916"/>
      <c r="TSI87" s="916"/>
      <c r="TSJ87" s="916"/>
      <c r="TSK87" s="916"/>
      <c r="TSL87" s="916"/>
      <c r="TSM87" s="916"/>
      <c r="TSN87" s="916"/>
      <c r="TSO87" s="916"/>
      <c r="TSP87" s="916"/>
      <c r="TSQ87" s="916"/>
      <c r="TSR87" s="916"/>
      <c r="TSS87" s="916"/>
      <c r="TST87" s="916"/>
      <c r="TSU87" s="916"/>
      <c r="TSV87" s="916"/>
      <c r="TSW87" s="916"/>
      <c r="TSX87" s="916"/>
      <c r="TSY87" s="916"/>
      <c r="TSZ87" s="916"/>
      <c r="TTA87" s="916"/>
      <c r="TTB87" s="916"/>
      <c r="TTC87" s="916"/>
      <c r="TTD87" s="916"/>
      <c r="TTE87" s="916"/>
      <c r="TTF87" s="916"/>
      <c r="TTG87" s="916"/>
      <c r="TTH87" s="916"/>
      <c r="TTI87" s="916"/>
      <c r="TTJ87" s="916"/>
      <c r="TTK87" s="916"/>
      <c r="TTL87" s="916"/>
      <c r="TTM87" s="916"/>
      <c r="TTN87" s="916"/>
      <c r="TTO87" s="916"/>
      <c r="TTP87" s="916"/>
      <c r="TTQ87" s="916"/>
      <c r="TTR87" s="916"/>
      <c r="TTS87" s="916"/>
      <c r="TTT87" s="916"/>
      <c r="TTU87" s="916"/>
      <c r="TTV87" s="916"/>
      <c r="TTW87" s="916"/>
      <c r="TTX87" s="916"/>
      <c r="TTY87" s="916"/>
      <c r="TTZ87" s="916"/>
      <c r="TUA87" s="916"/>
      <c r="TUB87" s="916"/>
      <c r="TUC87" s="916"/>
      <c r="TUD87" s="916"/>
      <c r="TUE87" s="916"/>
      <c r="TUF87" s="916"/>
      <c r="TUG87" s="916"/>
      <c r="TUH87" s="916"/>
      <c r="TUI87" s="916"/>
      <c r="TUJ87" s="916"/>
      <c r="TUK87" s="916"/>
      <c r="TUL87" s="916"/>
      <c r="TUM87" s="916"/>
      <c r="TUN87" s="916"/>
      <c r="TUO87" s="916"/>
      <c r="TUP87" s="916"/>
      <c r="TUQ87" s="916"/>
      <c r="TUR87" s="916"/>
      <c r="TUS87" s="916"/>
      <c r="TUT87" s="916"/>
      <c r="TUU87" s="916"/>
      <c r="TUV87" s="916"/>
      <c r="TUW87" s="916"/>
      <c r="TUX87" s="916"/>
      <c r="TUY87" s="916"/>
      <c r="TUZ87" s="916"/>
      <c r="TVA87" s="916"/>
      <c r="TVB87" s="916"/>
      <c r="TVC87" s="916"/>
      <c r="TVD87" s="916"/>
      <c r="TVE87" s="916"/>
      <c r="TVF87" s="916"/>
      <c r="TVG87" s="916"/>
      <c r="TVH87" s="916"/>
      <c r="TVI87" s="916"/>
      <c r="TVJ87" s="916"/>
      <c r="TVK87" s="916"/>
      <c r="TVL87" s="916"/>
      <c r="TVM87" s="916"/>
      <c r="TVN87" s="916"/>
      <c r="TVO87" s="916"/>
      <c r="TVP87" s="916"/>
      <c r="TVQ87" s="916"/>
      <c r="TVR87" s="916"/>
      <c r="TVS87" s="916"/>
      <c r="TVT87" s="916"/>
      <c r="TVU87" s="916"/>
      <c r="TVV87" s="916"/>
      <c r="TVW87" s="916"/>
      <c r="TVX87" s="916"/>
      <c r="TVY87" s="916"/>
      <c r="TVZ87" s="916"/>
      <c r="TWA87" s="916"/>
      <c r="TWB87" s="916"/>
      <c r="TWC87" s="916"/>
      <c r="TWD87" s="916"/>
      <c r="TWE87" s="916"/>
      <c r="TWF87" s="916"/>
      <c r="TWG87" s="916"/>
      <c r="TWH87" s="916"/>
      <c r="TWI87" s="916"/>
      <c r="TWJ87" s="916"/>
      <c r="TWK87" s="916"/>
      <c r="TWL87" s="916"/>
      <c r="TWM87" s="916"/>
      <c r="TWN87" s="916"/>
      <c r="TWO87" s="916"/>
      <c r="TWP87" s="916"/>
      <c r="TWQ87" s="916"/>
      <c r="TWR87" s="916"/>
      <c r="TWS87" s="916"/>
      <c r="TWT87" s="916"/>
      <c r="TWU87" s="916"/>
      <c r="TWV87" s="916"/>
      <c r="TWW87" s="916"/>
      <c r="TWX87" s="916"/>
      <c r="TWY87" s="916"/>
      <c r="TWZ87" s="916"/>
      <c r="TXA87" s="916"/>
      <c r="TXB87" s="916"/>
      <c r="TXC87" s="916"/>
      <c r="TXD87" s="916"/>
      <c r="TXE87" s="916"/>
      <c r="TXF87" s="916"/>
      <c r="TXG87" s="916"/>
      <c r="TXH87" s="916"/>
      <c r="TXI87" s="916"/>
      <c r="TXJ87" s="916"/>
      <c r="TXK87" s="916"/>
      <c r="TXL87" s="916"/>
      <c r="TXM87" s="916"/>
      <c r="TXN87" s="916"/>
      <c r="TXO87" s="916"/>
      <c r="TXP87" s="916"/>
      <c r="TXQ87" s="916"/>
      <c r="TXR87" s="916"/>
      <c r="TXS87" s="916"/>
      <c r="TXT87" s="916"/>
      <c r="TXU87" s="916"/>
      <c r="TXV87" s="916"/>
      <c r="TXW87" s="916"/>
      <c r="TXX87" s="916"/>
      <c r="TXY87" s="916"/>
      <c r="TXZ87" s="916"/>
      <c r="TYA87" s="916"/>
      <c r="TYB87" s="916"/>
      <c r="TYC87" s="916"/>
      <c r="TYD87" s="916"/>
      <c r="TYE87" s="916"/>
      <c r="TYF87" s="916"/>
      <c r="TYG87" s="916"/>
      <c r="TYH87" s="916"/>
      <c r="TYI87" s="916"/>
      <c r="TYJ87" s="916"/>
      <c r="TYK87" s="916"/>
      <c r="TYL87" s="916"/>
      <c r="TYM87" s="916"/>
      <c r="TYN87" s="916"/>
      <c r="TYO87" s="916"/>
      <c r="TYP87" s="916"/>
      <c r="TYQ87" s="916"/>
      <c r="TYR87" s="916"/>
      <c r="TYS87" s="916"/>
      <c r="TYT87" s="916"/>
      <c r="TYU87" s="916"/>
      <c r="TYV87" s="916"/>
      <c r="TYW87" s="916"/>
      <c r="TYX87" s="916"/>
      <c r="TYY87" s="916"/>
      <c r="TYZ87" s="916"/>
      <c r="TZA87" s="916"/>
      <c r="TZB87" s="916"/>
      <c r="TZC87" s="916"/>
      <c r="TZD87" s="916"/>
      <c r="TZE87" s="916"/>
      <c r="TZF87" s="916"/>
      <c r="TZG87" s="916"/>
      <c r="TZH87" s="916"/>
      <c r="TZI87" s="916"/>
      <c r="TZJ87" s="916"/>
      <c r="TZK87" s="916"/>
      <c r="TZL87" s="916"/>
      <c r="TZM87" s="916"/>
      <c r="TZN87" s="916"/>
      <c r="TZO87" s="916"/>
      <c r="TZP87" s="916"/>
      <c r="TZQ87" s="916"/>
      <c r="TZR87" s="916"/>
      <c r="TZS87" s="916"/>
      <c r="TZT87" s="916"/>
      <c r="TZU87" s="916"/>
      <c r="TZV87" s="916"/>
      <c r="TZW87" s="916"/>
      <c r="TZX87" s="916"/>
      <c r="TZY87" s="916"/>
      <c r="TZZ87" s="916"/>
      <c r="UAA87" s="916"/>
      <c r="UAB87" s="916"/>
      <c r="UAC87" s="916"/>
      <c r="UAD87" s="916"/>
      <c r="UAE87" s="916"/>
      <c r="UAF87" s="916"/>
      <c r="UAG87" s="916"/>
      <c r="UAH87" s="916"/>
      <c r="UAI87" s="916"/>
      <c r="UAJ87" s="916"/>
      <c r="UAK87" s="916"/>
      <c r="UAL87" s="916"/>
      <c r="UAM87" s="916"/>
      <c r="UAN87" s="916"/>
      <c r="UAO87" s="916"/>
      <c r="UAP87" s="916"/>
      <c r="UAQ87" s="916"/>
      <c r="UAR87" s="916"/>
      <c r="UAS87" s="916"/>
      <c r="UAT87" s="916"/>
      <c r="UAU87" s="916"/>
      <c r="UAV87" s="916"/>
      <c r="UAW87" s="916"/>
      <c r="UAX87" s="916"/>
      <c r="UAY87" s="916"/>
      <c r="UAZ87" s="916"/>
      <c r="UBA87" s="916"/>
      <c r="UBB87" s="916"/>
      <c r="UBC87" s="916"/>
      <c r="UBD87" s="916"/>
      <c r="UBE87" s="916"/>
      <c r="UBF87" s="916"/>
      <c r="UBG87" s="916"/>
      <c r="UBH87" s="916"/>
      <c r="UBI87" s="916"/>
      <c r="UBJ87" s="916"/>
      <c r="UBK87" s="916"/>
      <c r="UBL87" s="916"/>
      <c r="UBM87" s="916"/>
      <c r="UBN87" s="916"/>
      <c r="UBO87" s="916"/>
      <c r="UBP87" s="916"/>
      <c r="UBQ87" s="916"/>
      <c r="UBR87" s="916"/>
      <c r="UBS87" s="916"/>
      <c r="UBT87" s="916"/>
      <c r="UBU87" s="916"/>
      <c r="UBV87" s="916"/>
      <c r="UBW87" s="916"/>
      <c r="UBX87" s="916"/>
      <c r="UBY87" s="916"/>
      <c r="UBZ87" s="916"/>
      <c r="UCA87" s="916"/>
      <c r="UCB87" s="916"/>
      <c r="UCC87" s="916"/>
      <c r="UCD87" s="916"/>
      <c r="UCE87" s="916"/>
      <c r="UCF87" s="916"/>
      <c r="UCG87" s="916"/>
      <c r="UCH87" s="916"/>
      <c r="UCI87" s="916"/>
      <c r="UCJ87" s="916"/>
      <c r="UCK87" s="916"/>
      <c r="UCL87" s="916"/>
      <c r="UCM87" s="916"/>
      <c r="UCN87" s="916"/>
      <c r="UCO87" s="916"/>
      <c r="UCP87" s="916"/>
      <c r="UCQ87" s="916"/>
      <c r="UCR87" s="916"/>
      <c r="UCS87" s="916"/>
      <c r="UCT87" s="916"/>
      <c r="UCU87" s="916"/>
      <c r="UCV87" s="916"/>
      <c r="UCW87" s="916"/>
      <c r="UCX87" s="916"/>
      <c r="UCY87" s="916"/>
      <c r="UCZ87" s="916"/>
      <c r="UDA87" s="916"/>
      <c r="UDB87" s="916"/>
      <c r="UDC87" s="916"/>
      <c r="UDD87" s="916"/>
      <c r="UDE87" s="916"/>
      <c r="UDF87" s="916"/>
      <c r="UDG87" s="916"/>
      <c r="UDH87" s="916"/>
      <c r="UDI87" s="916"/>
      <c r="UDJ87" s="916"/>
      <c r="UDK87" s="916"/>
      <c r="UDL87" s="916"/>
      <c r="UDM87" s="916"/>
      <c r="UDN87" s="916"/>
      <c r="UDO87" s="916"/>
      <c r="UDP87" s="916"/>
      <c r="UDQ87" s="916"/>
      <c r="UDR87" s="916"/>
      <c r="UDS87" s="916"/>
      <c r="UDT87" s="916"/>
      <c r="UDU87" s="916"/>
      <c r="UDV87" s="916"/>
      <c r="UDW87" s="916"/>
      <c r="UDX87" s="916"/>
      <c r="UDY87" s="916"/>
      <c r="UDZ87" s="916"/>
      <c r="UEA87" s="916"/>
      <c r="UEB87" s="916"/>
      <c r="UEC87" s="916"/>
      <c r="UED87" s="916"/>
      <c r="UEE87" s="916"/>
      <c r="UEF87" s="916"/>
      <c r="UEG87" s="916"/>
      <c r="UEH87" s="916"/>
      <c r="UEI87" s="916"/>
      <c r="UEJ87" s="916"/>
      <c r="UEK87" s="916"/>
      <c r="UEL87" s="916"/>
      <c r="UEM87" s="916"/>
      <c r="UEN87" s="916"/>
      <c r="UEO87" s="916"/>
      <c r="UEP87" s="916"/>
      <c r="UEQ87" s="916"/>
      <c r="UER87" s="916"/>
      <c r="UES87" s="916"/>
      <c r="UET87" s="916"/>
      <c r="UEU87" s="916"/>
      <c r="UEV87" s="916"/>
      <c r="UEW87" s="916"/>
      <c r="UEX87" s="916"/>
      <c r="UEY87" s="916"/>
      <c r="UEZ87" s="916"/>
      <c r="UFA87" s="916"/>
      <c r="UFB87" s="916"/>
      <c r="UFC87" s="916"/>
      <c r="UFD87" s="916"/>
      <c r="UFE87" s="916"/>
      <c r="UFF87" s="916"/>
      <c r="UFG87" s="916"/>
      <c r="UFH87" s="916"/>
      <c r="UFI87" s="916"/>
      <c r="UFJ87" s="916"/>
      <c r="UFK87" s="916"/>
      <c r="UFL87" s="916"/>
      <c r="UFM87" s="916"/>
      <c r="UFN87" s="916"/>
      <c r="UFO87" s="916"/>
      <c r="UFP87" s="916"/>
      <c r="UFQ87" s="916"/>
      <c r="UFR87" s="916"/>
      <c r="UFS87" s="916"/>
      <c r="UFT87" s="916"/>
      <c r="UFU87" s="916"/>
      <c r="UFV87" s="916"/>
      <c r="UFW87" s="916"/>
      <c r="UFX87" s="916"/>
      <c r="UFY87" s="916"/>
      <c r="UFZ87" s="916"/>
      <c r="UGA87" s="916"/>
      <c r="UGB87" s="916"/>
      <c r="UGC87" s="916"/>
      <c r="UGD87" s="916"/>
      <c r="UGE87" s="916"/>
      <c r="UGF87" s="916"/>
      <c r="UGG87" s="916"/>
      <c r="UGH87" s="916"/>
      <c r="UGI87" s="916"/>
      <c r="UGJ87" s="916"/>
      <c r="UGK87" s="916"/>
      <c r="UGL87" s="916"/>
      <c r="UGM87" s="916"/>
      <c r="UGN87" s="916"/>
      <c r="UGO87" s="916"/>
      <c r="UGP87" s="916"/>
      <c r="UGQ87" s="916"/>
      <c r="UGR87" s="916"/>
      <c r="UGS87" s="916"/>
      <c r="UGT87" s="916"/>
      <c r="UGU87" s="916"/>
      <c r="UGV87" s="916"/>
      <c r="UGW87" s="916"/>
      <c r="UGX87" s="916"/>
      <c r="UGY87" s="916"/>
      <c r="UGZ87" s="916"/>
      <c r="UHA87" s="916"/>
      <c r="UHB87" s="916"/>
      <c r="UHC87" s="916"/>
      <c r="UHD87" s="916"/>
      <c r="UHE87" s="916"/>
      <c r="UHF87" s="916"/>
      <c r="UHG87" s="916"/>
      <c r="UHH87" s="916"/>
      <c r="UHI87" s="916"/>
      <c r="UHJ87" s="916"/>
      <c r="UHK87" s="916"/>
      <c r="UHL87" s="916"/>
      <c r="UHM87" s="916"/>
      <c r="UHN87" s="916"/>
      <c r="UHO87" s="916"/>
      <c r="UHP87" s="916"/>
      <c r="UHQ87" s="916"/>
      <c r="UHR87" s="916"/>
      <c r="UHS87" s="916"/>
      <c r="UHT87" s="916"/>
      <c r="UHU87" s="916"/>
      <c r="UHV87" s="916"/>
      <c r="UHW87" s="916"/>
      <c r="UHX87" s="916"/>
      <c r="UHY87" s="916"/>
      <c r="UHZ87" s="916"/>
      <c r="UIA87" s="916"/>
      <c r="UIB87" s="916"/>
      <c r="UIC87" s="916"/>
      <c r="UID87" s="916"/>
      <c r="UIE87" s="916"/>
      <c r="UIF87" s="916"/>
      <c r="UIG87" s="916"/>
      <c r="UIH87" s="916"/>
      <c r="UII87" s="916"/>
      <c r="UIJ87" s="916"/>
      <c r="UIK87" s="916"/>
      <c r="UIL87" s="916"/>
      <c r="UIM87" s="916"/>
      <c r="UIN87" s="916"/>
      <c r="UIO87" s="916"/>
      <c r="UIP87" s="916"/>
      <c r="UIQ87" s="916"/>
      <c r="UIR87" s="916"/>
      <c r="UIS87" s="916"/>
      <c r="UIT87" s="916"/>
      <c r="UIU87" s="916"/>
      <c r="UIV87" s="916"/>
      <c r="UIW87" s="916"/>
      <c r="UIX87" s="916"/>
      <c r="UIY87" s="916"/>
      <c r="UIZ87" s="916"/>
      <c r="UJA87" s="916"/>
      <c r="UJB87" s="916"/>
      <c r="UJC87" s="916"/>
      <c r="UJD87" s="916"/>
      <c r="UJE87" s="916"/>
      <c r="UJF87" s="916"/>
      <c r="UJG87" s="916"/>
      <c r="UJH87" s="916"/>
      <c r="UJI87" s="916"/>
      <c r="UJJ87" s="916"/>
      <c r="UJK87" s="916"/>
      <c r="UJL87" s="916"/>
      <c r="UJM87" s="916"/>
      <c r="UJN87" s="916"/>
      <c r="UJO87" s="916"/>
      <c r="UJP87" s="916"/>
      <c r="UJQ87" s="916"/>
      <c r="UJR87" s="916"/>
      <c r="UJS87" s="916"/>
      <c r="UJT87" s="916"/>
      <c r="UJU87" s="916"/>
      <c r="UJV87" s="916"/>
      <c r="UJW87" s="916"/>
      <c r="UJX87" s="916"/>
      <c r="UJY87" s="916"/>
      <c r="UJZ87" s="916"/>
      <c r="UKA87" s="916"/>
      <c r="UKB87" s="916"/>
      <c r="UKC87" s="916"/>
      <c r="UKD87" s="916"/>
      <c r="UKE87" s="916"/>
      <c r="UKF87" s="916"/>
      <c r="UKG87" s="916"/>
      <c r="UKH87" s="916"/>
      <c r="UKI87" s="916"/>
      <c r="UKJ87" s="916"/>
      <c r="UKK87" s="916"/>
      <c r="UKL87" s="916"/>
      <c r="UKM87" s="916"/>
      <c r="UKN87" s="916"/>
      <c r="UKO87" s="916"/>
      <c r="UKP87" s="916"/>
      <c r="UKQ87" s="916"/>
      <c r="UKR87" s="916"/>
      <c r="UKS87" s="916"/>
      <c r="UKT87" s="916"/>
      <c r="UKU87" s="916"/>
      <c r="UKV87" s="916"/>
      <c r="UKW87" s="916"/>
      <c r="UKX87" s="916"/>
      <c r="UKY87" s="916"/>
      <c r="UKZ87" s="916"/>
      <c r="ULA87" s="916"/>
      <c r="ULB87" s="916"/>
      <c r="ULC87" s="916"/>
      <c r="ULD87" s="916"/>
      <c r="ULE87" s="916"/>
      <c r="ULF87" s="916"/>
      <c r="ULG87" s="916"/>
      <c r="ULH87" s="916"/>
      <c r="ULI87" s="916"/>
      <c r="ULJ87" s="916"/>
      <c r="ULK87" s="916"/>
      <c r="ULL87" s="916"/>
      <c r="ULM87" s="916"/>
      <c r="ULN87" s="916"/>
      <c r="ULO87" s="916"/>
      <c r="ULP87" s="916"/>
      <c r="ULQ87" s="916"/>
      <c r="ULR87" s="916"/>
      <c r="ULS87" s="916"/>
      <c r="ULT87" s="916"/>
      <c r="ULU87" s="916"/>
      <c r="ULV87" s="916"/>
      <c r="ULW87" s="916"/>
      <c r="ULX87" s="916"/>
      <c r="ULY87" s="916"/>
      <c r="ULZ87" s="916"/>
      <c r="UMA87" s="916"/>
      <c r="UMB87" s="916"/>
      <c r="UMC87" s="916"/>
      <c r="UMD87" s="916"/>
      <c r="UME87" s="916"/>
      <c r="UMF87" s="916"/>
      <c r="UMG87" s="916"/>
      <c r="UMH87" s="916"/>
      <c r="UMI87" s="916"/>
      <c r="UMJ87" s="916"/>
      <c r="UMK87" s="916"/>
      <c r="UML87" s="916"/>
      <c r="UMM87" s="916"/>
      <c r="UMN87" s="916"/>
      <c r="UMO87" s="916"/>
      <c r="UMP87" s="916"/>
      <c r="UMQ87" s="916"/>
      <c r="UMR87" s="916"/>
      <c r="UMS87" s="916"/>
      <c r="UMT87" s="916"/>
      <c r="UMU87" s="916"/>
      <c r="UMV87" s="916"/>
      <c r="UMW87" s="916"/>
      <c r="UMX87" s="916"/>
      <c r="UMY87" s="916"/>
      <c r="UMZ87" s="916"/>
      <c r="UNA87" s="916"/>
      <c r="UNB87" s="916"/>
      <c r="UNC87" s="916"/>
      <c r="UND87" s="916"/>
      <c r="UNE87" s="916"/>
      <c r="UNF87" s="916"/>
      <c r="UNG87" s="916"/>
      <c r="UNH87" s="916"/>
      <c r="UNI87" s="916"/>
      <c r="UNJ87" s="916"/>
      <c r="UNK87" s="916"/>
      <c r="UNL87" s="916"/>
      <c r="UNM87" s="916"/>
      <c r="UNN87" s="916"/>
      <c r="UNO87" s="916"/>
      <c r="UNP87" s="916"/>
      <c r="UNQ87" s="916"/>
      <c r="UNR87" s="916"/>
      <c r="UNS87" s="916"/>
      <c r="UNT87" s="916"/>
      <c r="UNU87" s="916"/>
      <c r="UNV87" s="916"/>
      <c r="UNW87" s="916"/>
      <c r="UNX87" s="916"/>
      <c r="UNY87" s="916"/>
      <c r="UNZ87" s="916"/>
      <c r="UOA87" s="916"/>
      <c r="UOB87" s="916"/>
      <c r="UOC87" s="916"/>
      <c r="UOD87" s="916"/>
      <c r="UOE87" s="916"/>
      <c r="UOF87" s="916"/>
      <c r="UOG87" s="916"/>
      <c r="UOH87" s="916"/>
      <c r="UOI87" s="916"/>
      <c r="UOJ87" s="916"/>
      <c r="UOK87" s="916"/>
      <c r="UOL87" s="916"/>
      <c r="UOM87" s="916"/>
      <c r="UON87" s="916"/>
      <c r="UOO87" s="916"/>
      <c r="UOP87" s="916"/>
      <c r="UOQ87" s="916"/>
      <c r="UOR87" s="916"/>
      <c r="UOS87" s="916"/>
      <c r="UOT87" s="916"/>
      <c r="UOU87" s="916"/>
      <c r="UOV87" s="916"/>
      <c r="UOW87" s="916"/>
      <c r="UOX87" s="916"/>
      <c r="UOY87" s="916"/>
      <c r="UOZ87" s="916"/>
      <c r="UPA87" s="916"/>
      <c r="UPB87" s="916"/>
      <c r="UPC87" s="916"/>
      <c r="UPD87" s="916"/>
      <c r="UPE87" s="916"/>
      <c r="UPF87" s="916"/>
      <c r="UPG87" s="916"/>
      <c r="UPH87" s="916"/>
      <c r="UPI87" s="916"/>
      <c r="UPJ87" s="916"/>
      <c r="UPK87" s="916"/>
      <c r="UPL87" s="916"/>
      <c r="UPM87" s="916"/>
      <c r="UPN87" s="916"/>
      <c r="UPO87" s="916"/>
      <c r="UPP87" s="916"/>
      <c r="UPQ87" s="916"/>
      <c r="UPR87" s="916"/>
      <c r="UPS87" s="916"/>
      <c r="UPT87" s="916"/>
      <c r="UPU87" s="916"/>
      <c r="UPV87" s="916"/>
      <c r="UPW87" s="916"/>
      <c r="UPX87" s="916"/>
      <c r="UPY87" s="916"/>
      <c r="UPZ87" s="916"/>
      <c r="UQA87" s="916"/>
      <c r="UQB87" s="916"/>
      <c r="UQC87" s="916"/>
      <c r="UQD87" s="916"/>
      <c r="UQE87" s="916"/>
      <c r="UQF87" s="916"/>
      <c r="UQG87" s="916"/>
      <c r="UQH87" s="916"/>
      <c r="UQI87" s="916"/>
      <c r="UQJ87" s="916"/>
      <c r="UQK87" s="916"/>
      <c r="UQL87" s="916"/>
      <c r="UQM87" s="916"/>
      <c r="UQN87" s="916"/>
      <c r="UQO87" s="916"/>
      <c r="UQP87" s="916"/>
      <c r="UQQ87" s="916"/>
      <c r="UQR87" s="916"/>
      <c r="UQS87" s="916"/>
      <c r="UQT87" s="916"/>
      <c r="UQU87" s="916"/>
      <c r="UQV87" s="916"/>
      <c r="UQW87" s="916"/>
      <c r="UQX87" s="916"/>
      <c r="UQY87" s="916"/>
      <c r="UQZ87" s="916"/>
      <c r="URA87" s="916"/>
      <c r="URB87" s="916"/>
      <c r="URC87" s="916"/>
      <c r="URD87" s="916"/>
      <c r="URE87" s="916"/>
      <c r="URF87" s="916"/>
      <c r="URG87" s="916"/>
      <c r="URH87" s="916"/>
      <c r="URI87" s="916"/>
      <c r="URJ87" s="916"/>
      <c r="URK87" s="916"/>
      <c r="URL87" s="916"/>
      <c r="URM87" s="916"/>
      <c r="URN87" s="916"/>
      <c r="URO87" s="916"/>
      <c r="URP87" s="916"/>
      <c r="URQ87" s="916"/>
      <c r="URR87" s="916"/>
      <c r="URS87" s="916"/>
      <c r="URT87" s="916"/>
      <c r="URU87" s="916"/>
      <c r="URV87" s="916"/>
      <c r="URW87" s="916"/>
      <c r="URX87" s="916"/>
      <c r="URY87" s="916"/>
      <c r="URZ87" s="916"/>
      <c r="USA87" s="916"/>
      <c r="USB87" s="916"/>
      <c r="USC87" s="916"/>
      <c r="USD87" s="916"/>
      <c r="USE87" s="916"/>
      <c r="USF87" s="916"/>
      <c r="USG87" s="916"/>
      <c r="USH87" s="916"/>
      <c r="USI87" s="916"/>
      <c r="USJ87" s="916"/>
      <c r="USK87" s="916"/>
      <c r="USL87" s="916"/>
      <c r="USM87" s="916"/>
      <c r="USN87" s="916"/>
      <c r="USO87" s="916"/>
      <c r="USP87" s="916"/>
      <c r="USQ87" s="916"/>
      <c r="USR87" s="916"/>
      <c r="USS87" s="916"/>
      <c r="UST87" s="916"/>
      <c r="USU87" s="916"/>
      <c r="USV87" s="916"/>
      <c r="USW87" s="916"/>
      <c r="USX87" s="916"/>
      <c r="USY87" s="916"/>
      <c r="USZ87" s="916"/>
      <c r="UTA87" s="916"/>
      <c r="UTB87" s="916"/>
      <c r="UTC87" s="916"/>
      <c r="UTD87" s="916"/>
      <c r="UTE87" s="916"/>
      <c r="UTF87" s="916"/>
      <c r="UTG87" s="916"/>
      <c r="UTH87" s="916"/>
      <c r="UTI87" s="916"/>
      <c r="UTJ87" s="916"/>
      <c r="UTK87" s="916"/>
      <c r="UTL87" s="916"/>
      <c r="UTM87" s="916"/>
      <c r="UTN87" s="916"/>
      <c r="UTO87" s="916"/>
      <c r="UTP87" s="916"/>
      <c r="UTQ87" s="916"/>
      <c r="UTR87" s="916"/>
      <c r="UTS87" s="916"/>
      <c r="UTT87" s="916"/>
      <c r="UTU87" s="916"/>
      <c r="UTV87" s="916"/>
      <c r="UTW87" s="916"/>
      <c r="UTX87" s="916"/>
      <c r="UTY87" s="916"/>
      <c r="UTZ87" s="916"/>
      <c r="UUA87" s="916"/>
      <c r="UUB87" s="916"/>
      <c r="UUC87" s="916"/>
      <c r="UUD87" s="916"/>
      <c r="UUE87" s="916"/>
      <c r="UUF87" s="916"/>
      <c r="UUG87" s="916"/>
      <c r="UUH87" s="916"/>
      <c r="UUI87" s="916"/>
      <c r="UUJ87" s="916"/>
      <c r="UUK87" s="916"/>
      <c r="UUL87" s="916"/>
      <c r="UUM87" s="916"/>
      <c r="UUN87" s="916"/>
      <c r="UUO87" s="916"/>
      <c r="UUP87" s="916"/>
      <c r="UUQ87" s="916"/>
      <c r="UUR87" s="916"/>
      <c r="UUS87" s="916"/>
      <c r="UUT87" s="916"/>
      <c r="UUU87" s="916"/>
      <c r="UUV87" s="916"/>
      <c r="UUW87" s="916"/>
      <c r="UUX87" s="916"/>
      <c r="UUY87" s="916"/>
      <c r="UUZ87" s="916"/>
      <c r="UVA87" s="916"/>
      <c r="UVB87" s="916"/>
      <c r="UVC87" s="916"/>
      <c r="UVD87" s="916"/>
      <c r="UVE87" s="916"/>
      <c r="UVF87" s="916"/>
      <c r="UVG87" s="916"/>
      <c r="UVH87" s="916"/>
      <c r="UVI87" s="916"/>
      <c r="UVJ87" s="916"/>
      <c r="UVK87" s="916"/>
      <c r="UVL87" s="916"/>
      <c r="UVM87" s="916"/>
      <c r="UVN87" s="916"/>
      <c r="UVO87" s="916"/>
      <c r="UVP87" s="916"/>
      <c r="UVQ87" s="916"/>
      <c r="UVR87" s="916"/>
      <c r="UVS87" s="916"/>
      <c r="UVT87" s="916"/>
      <c r="UVU87" s="916"/>
      <c r="UVV87" s="916"/>
      <c r="UVW87" s="916"/>
      <c r="UVX87" s="916"/>
      <c r="UVY87" s="916"/>
      <c r="UVZ87" s="916"/>
      <c r="UWA87" s="916"/>
      <c r="UWB87" s="916"/>
      <c r="UWC87" s="916"/>
      <c r="UWD87" s="916"/>
      <c r="UWE87" s="916"/>
      <c r="UWF87" s="916"/>
      <c r="UWG87" s="916"/>
      <c r="UWH87" s="916"/>
      <c r="UWI87" s="916"/>
      <c r="UWJ87" s="916"/>
      <c r="UWK87" s="916"/>
      <c r="UWL87" s="916"/>
      <c r="UWM87" s="916"/>
      <c r="UWN87" s="916"/>
      <c r="UWO87" s="916"/>
      <c r="UWP87" s="916"/>
      <c r="UWQ87" s="916"/>
      <c r="UWR87" s="916"/>
      <c r="UWS87" s="916"/>
      <c r="UWT87" s="916"/>
      <c r="UWU87" s="916"/>
      <c r="UWV87" s="916"/>
      <c r="UWW87" s="916"/>
      <c r="UWX87" s="916"/>
      <c r="UWY87" s="916"/>
      <c r="UWZ87" s="916"/>
      <c r="UXA87" s="916"/>
      <c r="UXB87" s="916"/>
      <c r="UXC87" s="916"/>
      <c r="UXD87" s="916"/>
      <c r="UXE87" s="916"/>
      <c r="UXF87" s="916"/>
      <c r="UXG87" s="916"/>
      <c r="UXH87" s="916"/>
      <c r="UXI87" s="916"/>
      <c r="UXJ87" s="916"/>
      <c r="UXK87" s="916"/>
      <c r="UXL87" s="916"/>
      <c r="UXM87" s="916"/>
      <c r="UXN87" s="916"/>
      <c r="UXO87" s="916"/>
      <c r="UXP87" s="916"/>
      <c r="UXQ87" s="916"/>
      <c r="UXR87" s="916"/>
      <c r="UXS87" s="916"/>
      <c r="UXT87" s="916"/>
      <c r="UXU87" s="916"/>
      <c r="UXV87" s="916"/>
      <c r="UXW87" s="916"/>
      <c r="UXX87" s="916"/>
      <c r="UXY87" s="916"/>
      <c r="UXZ87" s="916"/>
      <c r="UYA87" s="916"/>
      <c r="UYB87" s="916"/>
      <c r="UYC87" s="916"/>
      <c r="UYD87" s="916"/>
      <c r="UYE87" s="916"/>
      <c r="UYF87" s="916"/>
      <c r="UYG87" s="916"/>
      <c r="UYH87" s="916"/>
      <c r="UYI87" s="916"/>
      <c r="UYJ87" s="916"/>
      <c r="UYK87" s="916"/>
      <c r="UYL87" s="916"/>
      <c r="UYM87" s="916"/>
      <c r="UYN87" s="916"/>
      <c r="UYO87" s="916"/>
      <c r="UYP87" s="916"/>
      <c r="UYQ87" s="916"/>
      <c r="UYR87" s="916"/>
      <c r="UYS87" s="916"/>
      <c r="UYT87" s="916"/>
      <c r="UYU87" s="916"/>
      <c r="UYV87" s="916"/>
      <c r="UYW87" s="916"/>
      <c r="UYX87" s="916"/>
      <c r="UYY87" s="916"/>
      <c r="UYZ87" s="916"/>
      <c r="UZA87" s="916"/>
      <c r="UZB87" s="916"/>
      <c r="UZC87" s="916"/>
      <c r="UZD87" s="916"/>
      <c r="UZE87" s="916"/>
      <c r="UZF87" s="916"/>
      <c r="UZG87" s="916"/>
      <c r="UZH87" s="916"/>
      <c r="UZI87" s="916"/>
      <c r="UZJ87" s="916"/>
      <c r="UZK87" s="916"/>
      <c r="UZL87" s="916"/>
      <c r="UZM87" s="916"/>
      <c r="UZN87" s="916"/>
      <c r="UZO87" s="916"/>
      <c r="UZP87" s="916"/>
      <c r="UZQ87" s="916"/>
      <c r="UZR87" s="916"/>
      <c r="UZS87" s="916"/>
      <c r="UZT87" s="916"/>
      <c r="UZU87" s="916"/>
      <c r="UZV87" s="916"/>
      <c r="UZW87" s="916"/>
      <c r="UZX87" s="916"/>
      <c r="UZY87" s="916"/>
      <c r="UZZ87" s="916"/>
      <c r="VAA87" s="916"/>
      <c r="VAB87" s="916"/>
      <c r="VAC87" s="916"/>
      <c r="VAD87" s="916"/>
      <c r="VAE87" s="916"/>
      <c r="VAF87" s="916"/>
      <c r="VAG87" s="916"/>
      <c r="VAH87" s="916"/>
      <c r="VAI87" s="916"/>
      <c r="VAJ87" s="916"/>
      <c r="VAK87" s="916"/>
      <c r="VAL87" s="916"/>
      <c r="VAM87" s="916"/>
      <c r="VAN87" s="916"/>
      <c r="VAO87" s="916"/>
      <c r="VAP87" s="916"/>
      <c r="VAQ87" s="916"/>
      <c r="VAR87" s="916"/>
      <c r="VAS87" s="916"/>
      <c r="VAT87" s="916"/>
      <c r="VAU87" s="916"/>
      <c r="VAV87" s="916"/>
      <c r="VAW87" s="916"/>
      <c r="VAX87" s="916"/>
      <c r="VAY87" s="916"/>
      <c r="VAZ87" s="916"/>
      <c r="VBA87" s="916"/>
      <c r="VBB87" s="916"/>
      <c r="VBC87" s="916"/>
      <c r="VBD87" s="916"/>
      <c r="VBE87" s="916"/>
      <c r="VBF87" s="916"/>
      <c r="VBG87" s="916"/>
      <c r="VBH87" s="916"/>
      <c r="VBI87" s="916"/>
      <c r="VBJ87" s="916"/>
      <c r="VBK87" s="916"/>
      <c r="VBL87" s="916"/>
      <c r="VBM87" s="916"/>
      <c r="VBN87" s="916"/>
      <c r="VBO87" s="916"/>
      <c r="VBP87" s="916"/>
      <c r="VBQ87" s="916"/>
      <c r="VBR87" s="916"/>
      <c r="VBS87" s="916"/>
      <c r="VBT87" s="916"/>
      <c r="VBU87" s="916"/>
      <c r="VBV87" s="916"/>
      <c r="VBW87" s="916"/>
      <c r="VBX87" s="916"/>
      <c r="VBY87" s="916"/>
      <c r="VBZ87" s="916"/>
      <c r="VCA87" s="916"/>
      <c r="VCB87" s="916"/>
      <c r="VCC87" s="916"/>
      <c r="VCD87" s="916"/>
      <c r="VCE87" s="916"/>
      <c r="VCF87" s="916"/>
      <c r="VCG87" s="916"/>
      <c r="VCH87" s="916"/>
      <c r="VCI87" s="916"/>
      <c r="VCJ87" s="916"/>
      <c r="VCK87" s="916"/>
      <c r="VCL87" s="916"/>
      <c r="VCM87" s="916"/>
      <c r="VCN87" s="916"/>
      <c r="VCO87" s="916"/>
      <c r="VCP87" s="916"/>
      <c r="VCQ87" s="916"/>
      <c r="VCR87" s="916"/>
      <c r="VCS87" s="916"/>
      <c r="VCT87" s="916"/>
      <c r="VCU87" s="916"/>
      <c r="VCV87" s="916"/>
      <c r="VCW87" s="916"/>
      <c r="VCX87" s="916"/>
      <c r="VCY87" s="916"/>
      <c r="VCZ87" s="916"/>
      <c r="VDA87" s="916"/>
      <c r="VDB87" s="916"/>
      <c r="VDC87" s="916"/>
      <c r="VDD87" s="916"/>
      <c r="VDE87" s="916"/>
      <c r="VDF87" s="916"/>
      <c r="VDG87" s="916"/>
      <c r="VDH87" s="916"/>
      <c r="VDI87" s="916"/>
      <c r="VDJ87" s="916"/>
      <c r="VDK87" s="916"/>
      <c r="VDL87" s="916"/>
      <c r="VDM87" s="916"/>
      <c r="VDN87" s="916"/>
      <c r="VDO87" s="916"/>
      <c r="VDP87" s="916"/>
      <c r="VDQ87" s="916"/>
      <c r="VDR87" s="916"/>
      <c r="VDS87" s="916"/>
      <c r="VDT87" s="916"/>
      <c r="VDU87" s="916"/>
      <c r="VDV87" s="916"/>
      <c r="VDW87" s="916"/>
      <c r="VDX87" s="916"/>
      <c r="VDY87" s="916"/>
      <c r="VDZ87" s="916"/>
      <c r="VEA87" s="916"/>
      <c r="VEB87" s="916"/>
      <c r="VEC87" s="916"/>
      <c r="VED87" s="916"/>
      <c r="VEE87" s="916"/>
      <c r="VEF87" s="916"/>
      <c r="VEG87" s="916"/>
      <c r="VEH87" s="916"/>
      <c r="VEI87" s="916"/>
      <c r="VEJ87" s="916"/>
      <c r="VEK87" s="916"/>
      <c r="VEL87" s="916"/>
      <c r="VEM87" s="916"/>
      <c r="VEN87" s="916"/>
      <c r="VEO87" s="916"/>
      <c r="VEP87" s="916"/>
      <c r="VEQ87" s="916"/>
      <c r="VER87" s="916"/>
      <c r="VES87" s="916"/>
      <c r="VET87" s="916"/>
      <c r="VEU87" s="916"/>
      <c r="VEV87" s="916"/>
      <c r="VEW87" s="916"/>
      <c r="VEX87" s="916"/>
      <c r="VEY87" s="916"/>
      <c r="VEZ87" s="916"/>
      <c r="VFA87" s="916"/>
      <c r="VFB87" s="916"/>
      <c r="VFC87" s="916"/>
      <c r="VFD87" s="916"/>
      <c r="VFE87" s="916"/>
      <c r="VFF87" s="916"/>
      <c r="VFG87" s="916"/>
      <c r="VFH87" s="916"/>
      <c r="VFI87" s="916"/>
      <c r="VFJ87" s="916"/>
      <c r="VFK87" s="916"/>
      <c r="VFL87" s="916"/>
      <c r="VFM87" s="916"/>
      <c r="VFN87" s="916"/>
      <c r="VFO87" s="916"/>
      <c r="VFP87" s="916"/>
      <c r="VFQ87" s="916"/>
      <c r="VFR87" s="916"/>
      <c r="VFS87" s="916"/>
      <c r="VFT87" s="916"/>
      <c r="VFU87" s="916"/>
      <c r="VFV87" s="916"/>
      <c r="VFW87" s="916"/>
      <c r="VFX87" s="916"/>
      <c r="VFY87" s="916"/>
      <c r="VFZ87" s="916"/>
      <c r="VGA87" s="916"/>
      <c r="VGB87" s="916"/>
      <c r="VGC87" s="916"/>
      <c r="VGD87" s="916"/>
      <c r="VGE87" s="916"/>
      <c r="VGF87" s="916"/>
      <c r="VGG87" s="916"/>
      <c r="VGH87" s="916"/>
      <c r="VGI87" s="916"/>
      <c r="VGJ87" s="916"/>
      <c r="VGK87" s="916"/>
      <c r="VGL87" s="916"/>
      <c r="VGM87" s="916"/>
      <c r="VGN87" s="916"/>
      <c r="VGO87" s="916"/>
      <c r="VGP87" s="916"/>
      <c r="VGQ87" s="916"/>
      <c r="VGR87" s="916"/>
      <c r="VGS87" s="916"/>
      <c r="VGT87" s="916"/>
      <c r="VGU87" s="916"/>
      <c r="VGV87" s="916"/>
      <c r="VGW87" s="916"/>
      <c r="VGX87" s="916"/>
      <c r="VGY87" s="916"/>
      <c r="VGZ87" s="916"/>
      <c r="VHA87" s="916"/>
      <c r="VHB87" s="916"/>
      <c r="VHC87" s="916"/>
      <c r="VHD87" s="916"/>
      <c r="VHE87" s="916"/>
      <c r="VHF87" s="916"/>
      <c r="VHG87" s="916"/>
      <c r="VHH87" s="916"/>
      <c r="VHI87" s="916"/>
      <c r="VHJ87" s="916"/>
      <c r="VHK87" s="916"/>
      <c r="VHL87" s="916"/>
      <c r="VHM87" s="916"/>
      <c r="VHN87" s="916"/>
      <c r="VHO87" s="916"/>
      <c r="VHP87" s="916"/>
      <c r="VHQ87" s="916"/>
      <c r="VHR87" s="916"/>
      <c r="VHS87" s="916"/>
      <c r="VHT87" s="916"/>
      <c r="VHU87" s="916"/>
      <c r="VHV87" s="916"/>
      <c r="VHW87" s="916"/>
      <c r="VHX87" s="916"/>
      <c r="VHY87" s="916"/>
      <c r="VHZ87" s="916"/>
      <c r="VIA87" s="916"/>
      <c r="VIB87" s="916"/>
      <c r="VIC87" s="916"/>
      <c r="VID87" s="916"/>
      <c r="VIE87" s="916"/>
      <c r="VIF87" s="916"/>
      <c r="VIG87" s="916"/>
      <c r="VIH87" s="916"/>
      <c r="VII87" s="916"/>
      <c r="VIJ87" s="916"/>
      <c r="VIK87" s="916"/>
      <c r="VIL87" s="916"/>
      <c r="VIM87" s="916"/>
      <c r="VIN87" s="916"/>
      <c r="VIO87" s="916"/>
      <c r="VIP87" s="916"/>
      <c r="VIQ87" s="916"/>
      <c r="VIR87" s="916"/>
      <c r="VIS87" s="916"/>
      <c r="VIT87" s="916"/>
      <c r="VIU87" s="916"/>
      <c r="VIV87" s="916"/>
      <c r="VIW87" s="916"/>
      <c r="VIX87" s="916"/>
      <c r="VIY87" s="916"/>
      <c r="VIZ87" s="916"/>
      <c r="VJA87" s="916"/>
      <c r="VJB87" s="916"/>
      <c r="VJC87" s="916"/>
      <c r="VJD87" s="916"/>
      <c r="VJE87" s="916"/>
      <c r="VJF87" s="916"/>
      <c r="VJG87" s="916"/>
      <c r="VJH87" s="916"/>
      <c r="VJI87" s="916"/>
      <c r="VJJ87" s="916"/>
      <c r="VJK87" s="916"/>
      <c r="VJL87" s="916"/>
      <c r="VJM87" s="916"/>
      <c r="VJN87" s="916"/>
      <c r="VJO87" s="916"/>
      <c r="VJP87" s="916"/>
      <c r="VJQ87" s="916"/>
      <c r="VJR87" s="916"/>
      <c r="VJS87" s="916"/>
      <c r="VJT87" s="916"/>
      <c r="VJU87" s="916"/>
      <c r="VJV87" s="916"/>
      <c r="VJW87" s="916"/>
      <c r="VJX87" s="916"/>
      <c r="VJY87" s="916"/>
      <c r="VJZ87" s="916"/>
      <c r="VKA87" s="916"/>
      <c r="VKB87" s="916"/>
      <c r="VKC87" s="916"/>
      <c r="VKD87" s="916"/>
      <c r="VKE87" s="916"/>
      <c r="VKF87" s="916"/>
      <c r="VKG87" s="916"/>
      <c r="VKH87" s="916"/>
      <c r="VKI87" s="916"/>
      <c r="VKJ87" s="916"/>
      <c r="VKK87" s="916"/>
      <c r="VKL87" s="916"/>
      <c r="VKM87" s="916"/>
      <c r="VKN87" s="916"/>
      <c r="VKO87" s="916"/>
      <c r="VKP87" s="916"/>
      <c r="VKQ87" s="916"/>
      <c r="VKR87" s="916"/>
      <c r="VKS87" s="916"/>
      <c r="VKT87" s="916"/>
      <c r="VKU87" s="916"/>
      <c r="VKV87" s="916"/>
      <c r="VKW87" s="916"/>
      <c r="VKX87" s="916"/>
      <c r="VKY87" s="916"/>
      <c r="VKZ87" s="916"/>
      <c r="VLA87" s="916"/>
      <c r="VLB87" s="916"/>
      <c r="VLC87" s="916"/>
      <c r="VLD87" s="916"/>
      <c r="VLE87" s="916"/>
      <c r="VLF87" s="916"/>
      <c r="VLG87" s="916"/>
      <c r="VLH87" s="916"/>
      <c r="VLI87" s="916"/>
      <c r="VLJ87" s="916"/>
      <c r="VLK87" s="916"/>
      <c r="VLL87" s="916"/>
      <c r="VLM87" s="916"/>
      <c r="VLN87" s="916"/>
      <c r="VLO87" s="916"/>
      <c r="VLP87" s="916"/>
      <c r="VLQ87" s="916"/>
      <c r="VLR87" s="916"/>
      <c r="VLS87" s="916"/>
      <c r="VLT87" s="916"/>
      <c r="VLU87" s="916"/>
      <c r="VLV87" s="916"/>
      <c r="VLW87" s="916"/>
      <c r="VLX87" s="916"/>
      <c r="VLY87" s="916"/>
      <c r="VLZ87" s="916"/>
      <c r="VMA87" s="916"/>
      <c r="VMB87" s="916"/>
      <c r="VMC87" s="916"/>
      <c r="VMD87" s="916"/>
      <c r="VME87" s="916"/>
      <c r="VMF87" s="916"/>
      <c r="VMG87" s="916"/>
      <c r="VMH87" s="916"/>
      <c r="VMI87" s="916"/>
      <c r="VMJ87" s="916"/>
      <c r="VMK87" s="916"/>
      <c r="VML87" s="916"/>
      <c r="VMM87" s="916"/>
      <c r="VMN87" s="916"/>
      <c r="VMO87" s="916"/>
      <c r="VMP87" s="916"/>
      <c r="VMQ87" s="916"/>
      <c r="VMR87" s="916"/>
      <c r="VMS87" s="916"/>
      <c r="VMT87" s="916"/>
      <c r="VMU87" s="916"/>
      <c r="VMV87" s="916"/>
      <c r="VMW87" s="916"/>
      <c r="VMX87" s="916"/>
      <c r="VMY87" s="916"/>
      <c r="VMZ87" s="916"/>
      <c r="VNA87" s="916"/>
      <c r="VNB87" s="916"/>
      <c r="VNC87" s="916"/>
      <c r="VND87" s="916"/>
      <c r="VNE87" s="916"/>
      <c r="VNF87" s="916"/>
      <c r="VNG87" s="916"/>
      <c r="VNH87" s="916"/>
      <c r="VNI87" s="916"/>
      <c r="VNJ87" s="916"/>
      <c r="VNK87" s="916"/>
      <c r="VNL87" s="916"/>
      <c r="VNM87" s="916"/>
      <c r="VNN87" s="916"/>
      <c r="VNO87" s="916"/>
      <c r="VNP87" s="916"/>
      <c r="VNQ87" s="916"/>
      <c r="VNR87" s="916"/>
      <c r="VNS87" s="916"/>
      <c r="VNT87" s="916"/>
      <c r="VNU87" s="916"/>
      <c r="VNV87" s="916"/>
      <c r="VNW87" s="916"/>
      <c r="VNX87" s="916"/>
      <c r="VNY87" s="916"/>
      <c r="VNZ87" s="916"/>
      <c r="VOA87" s="916"/>
      <c r="VOB87" s="916"/>
      <c r="VOC87" s="916"/>
      <c r="VOD87" s="916"/>
      <c r="VOE87" s="916"/>
      <c r="VOF87" s="916"/>
      <c r="VOG87" s="916"/>
      <c r="VOH87" s="916"/>
      <c r="VOI87" s="916"/>
      <c r="VOJ87" s="916"/>
      <c r="VOK87" s="916"/>
      <c r="VOL87" s="916"/>
      <c r="VOM87" s="916"/>
      <c r="VON87" s="916"/>
      <c r="VOO87" s="916"/>
      <c r="VOP87" s="916"/>
      <c r="VOQ87" s="916"/>
      <c r="VOR87" s="916"/>
      <c r="VOS87" s="916"/>
      <c r="VOT87" s="916"/>
      <c r="VOU87" s="916"/>
      <c r="VOV87" s="916"/>
      <c r="VOW87" s="916"/>
      <c r="VOX87" s="916"/>
      <c r="VOY87" s="916"/>
      <c r="VOZ87" s="916"/>
      <c r="VPA87" s="916"/>
      <c r="VPB87" s="916"/>
      <c r="VPC87" s="916"/>
      <c r="VPD87" s="916"/>
      <c r="VPE87" s="916"/>
      <c r="VPF87" s="916"/>
      <c r="VPG87" s="916"/>
      <c r="VPH87" s="916"/>
      <c r="VPI87" s="916"/>
      <c r="VPJ87" s="916"/>
      <c r="VPK87" s="916"/>
      <c r="VPL87" s="916"/>
      <c r="VPM87" s="916"/>
      <c r="VPN87" s="916"/>
      <c r="VPO87" s="916"/>
      <c r="VPP87" s="916"/>
      <c r="VPQ87" s="916"/>
      <c r="VPR87" s="916"/>
      <c r="VPS87" s="916"/>
      <c r="VPT87" s="916"/>
      <c r="VPU87" s="916"/>
      <c r="VPV87" s="916"/>
      <c r="VPW87" s="916"/>
      <c r="VPX87" s="916"/>
      <c r="VPY87" s="916"/>
      <c r="VPZ87" s="916"/>
      <c r="VQA87" s="916"/>
      <c r="VQB87" s="916"/>
      <c r="VQC87" s="916"/>
      <c r="VQD87" s="916"/>
      <c r="VQE87" s="916"/>
      <c r="VQF87" s="916"/>
      <c r="VQG87" s="916"/>
      <c r="VQH87" s="916"/>
      <c r="VQI87" s="916"/>
      <c r="VQJ87" s="916"/>
      <c r="VQK87" s="916"/>
      <c r="VQL87" s="916"/>
      <c r="VQM87" s="916"/>
      <c r="VQN87" s="916"/>
      <c r="VQO87" s="916"/>
      <c r="VQP87" s="916"/>
      <c r="VQQ87" s="916"/>
      <c r="VQR87" s="916"/>
      <c r="VQS87" s="916"/>
      <c r="VQT87" s="916"/>
      <c r="VQU87" s="916"/>
      <c r="VQV87" s="916"/>
      <c r="VQW87" s="916"/>
      <c r="VQX87" s="916"/>
      <c r="VQY87" s="916"/>
      <c r="VQZ87" s="916"/>
      <c r="VRA87" s="916"/>
      <c r="VRB87" s="916"/>
      <c r="VRC87" s="916"/>
      <c r="VRD87" s="916"/>
      <c r="VRE87" s="916"/>
      <c r="VRF87" s="916"/>
      <c r="VRG87" s="916"/>
      <c r="VRH87" s="916"/>
      <c r="VRI87" s="916"/>
      <c r="VRJ87" s="916"/>
      <c r="VRK87" s="916"/>
      <c r="VRL87" s="916"/>
      <c r="VRM87" s="916"/>
      <c r="VRN87" s="916"/>
      <c r="VRO87" s="916"/>
      <c r="VRP87" s="916"/>
      <c r="VRQ87" s="916"/>
      <c r="VRR87" s="916"/>
      <c r="VRS87" s="916"/>
      <c r="VRT87" s="916"/>
      <c r="VRU87" s="916"/>
      <c r="VRV87" s="916"/>
      <c r="VRW87" s="916"/>
      <c r="VRX87" s="916"/>
      <c r="VRY87" s="916"/>
      <c r="VRZ87" s="916"/>
      <c r="VSA87" s="916"/>
      <c r="VSB87" s="916"/>
      <c r="VSC87" s="916"/>
      <c r="VSD87" s="916"/>
      <c r="VSE87" s="916"/>
      <c r="VSF87" s="916"/>
      <c r="VSG87" s="916"/>
      <c r="VSH87" s="916"/>
      <c r="VSI87" s="916"/>
      <c r="VSJ87" s="916"/>
      <c r="VSK87" s="916"/>
      <c r="VSL87" s="916"/>
      <c r="VSM87" s="916"/>
      <c r="VSN87" s="916"/>
      <c r="VSO87" s="916"/>
      <c r="VSP87" s="916"/>
      <c r="VSQ87" s="916"/>
      <c r="VSR87" s="916"/>
      <c r="VSS87" s="916"/>
      <c r="VST87" s="916"/>
      <c r="VSU87" s="916"/>
      <c r="VSV87" s="916"/>
      <c r="VSW87" s="916"/>
      <c r="VSX87" s="916"/>
      <c r="VSY87" s="916"/>
      <c r="VSZ87" s="916"/>
      <c r="VTA87" s="916"/>
      <c r="VTB87" s="916"/>
      <c r="VTC87" s="916"/>
      <c r="VTD87" s="916"/>
      <c r="VTE87" s="916"/>
      <c r="VTF87" s="916"/>
      <c r="VTG87" s="916"/>
      <c r="VTH87" s="916"/>
      <c r="VTI87" s="916"/>
      <c r="VTJ87" s="916"/>
      <c r="VTK87" s="916"/>
      <c r="VTL87" s="916"/>
      <c r="VTM87" s="916"/>
      <c r="VTN87" s="916"/>
      <c r="VTO87" s="916"/>
      <c r="VTP87" s="916"/>
      <c r="VTQ87" s="916"/>
      <c r="VTR87" s="916"/>
      <c r="VTS87" s="916"/>
      <c r="VTT87" s="916"/>
      <c r="VTU87" s="916"/>
      <c r="VTV87" s="916"/>
      <c r="VTW87" s="916"/>
      <c r="VTX87" s="916"/>
      <c r="VTY87" s="916"/>
      <c r="VTZ87" s="916"/>
      <c r="VUA87" s="916"/>
      <c r="VUB87" s="916"/>
      <c r="VUC87" s="916"/>
      <c r="VUD87" s="916"/>
      <c r="VUE87" s="916"/>
      <c r="VUF87" s="916"/>
      <c r="VUG87" s="916"/>
      <c r="VUH87" s="916"/>
      <c r="VUI87" s="916"/>
      <c r="VUJ87" s="916"/>
      <c r="VUK87" s="916"/>
      <c r="VUL87" s="916"/>
      <c r="VUM87" s="916"/>
      <c r="VUN87" s="916"/>
      <c r="VUO87" s="916"/>
      <c r="VUP87" s="916"/>
      <c r="VUQ87" s="916"/>
      <c r="VUR87" s="916"/>
      <c r="VUS87" s="916"/>
      <c r="VUT87" s="916"/>
      <c r="VUU87" s="916"/>
      <c r="VUV87" s="916"/>
      <c r="VUW87" s="916"/>
      <c r="VUX87" s="916"/>
      <c r="VUY87" s="916"/>
      <c r="VUZ87" s="916"/>
      <c r="VVA87" s="916"/>
      <c r="VVB87" s="916"/>
      <c r="VVC87" s="916"/>
      <c r="VVD87" s="916"/>
      <c r="VVE87" s="916"/>
      <c r="VVF87" s="916"/>
      <c r="VVG87" s="916"/>
      <c r="VVH87" s="916"/>
      <c r="VVI87" s="916"/>
      <c r="VVJ87" s="916"/>
      <c r="VVK87" s="916"/>
      <c r="VVL87" s="916"/>
      <c r="VVM87" s="916"/>
      <c r="VVN87" s="916"/>
      <c r="VVO87" s="916"/>
      <c r="VVP87" s="916"/>
      <c r="VVQ87" s="916"/>
      <c r="VVR87" s="916"/>
      <c r="VVS87" s="916"/>
      <c r="VVT87" s="916"/>
      <c r="VVU87" s="916"/>
      <c r="VVV87" s="916"/>
      <c r="VVW87" s="916"/>
      <c r="VVX87" s="916"/>
      <c r="VVY87" s="916"/>
      <c r="VVZ87" s="916"/>
      <c r="VWA87" s="916"/>
      <c r="VWB87" s="916"/>
      <c r="VWC87" s="916"/>
      <c r="VWD87" s="916"/>
      <c r="VWE87" s="916"/>
      <c r="VWF87" s="916"/>
      <c r="VWG87" s="916"/>
      <c r="VWH87" s="916"/>
      <c r="VWI87" s="916"/>
      <c r="VWJ87" s="916"/>
      <c r="VWK87" s="916"/>
      <c r="VWL87" s="916"/>
      <c r="VWM87" s="916"/>
      <c r="VWN87" s="916"/>
      <c r="VWO87" s="916"/>
      <c r="VWP87" s="916"/>
      <c r="VWQ87" s="916"/>
      <c r="VWR87" s="916"/>
      <c r="VWS87" s="916"/>
      <c r="VWT87" s="916"/>
      <c r="VWU87" s="916"/>
      <c r="VWV87" s="916"/>
      <c r="VWW87" s="916"/>
      <c r="VWX87" s="916"/>
      <c r="VWY87" s="916"/>
      <c r="VWZ87" s="916"/>
      <c r="VXA87" s="916"/>
      <c r="VXB87" s="916"/>
      <c r="VXC87" s="916"/>
      <c r="VXD87" s="916"/>
      <c r="VXE87" s="916"/>
      <c r="VXF87" s="916"/>
      <c r="VXG87" s="916"/>
      <c r="VXH87" s="916"/>
      <c r="VXI87" s="916"/>
      <c r="VXJ87" s="916"/>
      <c r="VXK87" s="916"/>
      <c r="VXL87" s="916"/>
      <c r="VXM87" s="916"/>
      <c r="VXN87" s="916"/>
      <c r="VXO87" s="916"/>
      <c r="VXP87" s="916"/>
      <c r="VXQ87" s="916"/>
      <c r="VXR87" s="916"/>
      <c r="VXS87" s="916"/>
      <c r="VXT87" s="916"/>
      <c r="VXU87" s="916"/>
      <c r="VXV87" s="916"/>
      <c r="VXW87" s="916"/>
      <c r="VXX87" s="916"/>
      <c r="VXY87" s="916"/>
      <c r="VXZ87" s="916"/>
      <c r="VYA87" s="916"/>
      <c r="VYB87" s="916"/>
      <c r="VYC87" s="916"/>
      <c r="VYD87" s="916"/>
      <c r="VYE87" s="916"/>
      <c r="VYF87" s="916"/>
      <c r="VYG87" s="916"/>
      <c r="VYH87" s="916"/>
      <c r="VYI87" s="916"/>
      <c r="VYJ87" s="916"/>
      <c r="VYK87" s="916"/>
      <c r="VYL87" s="916"/>
      <c r="VYM87" s="916"/>
      <c r="VYN87" s="916"/>
      <c r="VYO87" s="916"/>
      <c r="VYP87" s="916"/>
      <c r="VYQ87" s="916"/>
      <c r="VYR87" s="916"/>
      <c r="VYS87" s="916"/>
      <c r="VYT87" s="916"/>
      <c r="VYU87" s="916"/>
      <c r="VYV87" s="916"/>
      <c r="VYW87" s="916"/>
      <c r="VYX87" s="916"/>
      <c r="VYY87" s="916"/>
      <c r="VYZ87" s="916"/>
      <c r="VZA87" s="916"/>
      <c r="VZB87" s="916"/>
      <c r="VZC87" s="916"/>
      <c r="VZD87" s="916"/>
      <c r="VZE87" s="916"/>
      <c r="VZF87" s="916"/>
      <c r="VZG87" s="916"/>
      <c r="VZH87" s="916"/>
      <c r="VZI87" s="916"/>
      <c r="VZJ87" s="916"/>
      <c r="VZK87" s="916"/>
      <c r="VZL87" s="916"/>
      <c r="VZM87" s="916"/>
      <c r="VZN87" s="916"/>
      <c r="VZO87" s="916"/>
      <c r="VZP87" s="916"/>
      <c r="VZQ87" s="916"/>
      <c r="VZR87" s="916"/>
      <c r="VZS87" s="916"/>
      <c r="VZT87" s="916"/>
      <c r="VZU87" s="916"/>
      <c r="VZV87" s="916"/>
      <c r="VZW87" s="916"/>
      <c r="VZX87" s="916"/>
      <c r="VZY87" s="916"/>
      <c r="VZZ87" s="916"/>
      <c r="WAA87" s="916"/>
      <c r="WAB87" s="916"/>
      <c r="WAC87" s="916"/>
      <c r="WAD87" s="916"/>
      <c r="WAE87" s="916"/>
      <c r="WAF87" s="916"/>
      <c r="WAG87" s="916"/>
      <c r="WAH87" s="916"/>
      <c r="WAI87" s="916"/>
      <c r="WAJ87" s="916"/>
      <c r="WAK87" s="916"/>
      <c r="WAL87" s="916"/>
      <c r="WAM87" s="916"/>
      <c r="WAN87" s="916"/>
      <c r="WAO87" s="916"/>
      <c r="WAP87" s="916"/>
      <c r="WAQ87" s="916"/>
      <c r="WAR87" s="916"/>
      <c r="WAS87" s="916"/>
      <c r="WAT87" s="916"/>
      <c r="WAU87" s="916"/>
      <c r="WAV87" s="916"/>
      <c r="WAW87" s="916"/>
      <c r="WAX87" s="916"/>
      <c r="WAY87" s="916"/>
      <c r="WAZ87" s="916"/>
      <c r="WBA87" s="916"/>
      <c r="WBB87" s="916"/>
      <c r="WBC87" s="916"/>
      <c r="WBD87" s="916"/>
      <c r="WBE87" s="916"/>
      <c r="WBF87" s="916"/>
      <c r="WBG87" s="916"/>
      <c r="WBH87" s="916"/>
      <c r="WBI87" s="916"/>
      <c r="WBJ87" s="916"/>
      <c r="WBK87" s="916"/>
      <c r="WBL87" s="916"/>
      <c r="WBM87" s="916"/>
      <c r="WBN87" s="916"/>
      <c r="WBO87" s="916"/>
      <c r="WBP87" s="916"/>
      <c r="WBQ87" s="916"/>
      <c r="WBR87" s="916"/>
      <c r="WBS87" s="916"/>
      <c r="WBT87" s="916"/>
      <c r="WBU87" s="916"/>
      <c r="WBV87" s="916"/>
      <c r="WBW87" s="916"/>
      <c r="WBX87" s="916"/>
      <c r="WBY87" s="916"/>
      <c r="WBZ87" s="916"/>
      <c r="WCA87" s="916"/>
      <c r="WCB87" s="916"/>
      <c r="WCC87" s="916"/>
      <c r="WCD87" s="916"/>
      <c r="WCE87" s="916"/>
      <c r="WCF87" s="916"/>
      <c r="WCG87" s="916"/>
      <c r="WCH87" s="916"/>
      <c r="WCI87" s="916"/>
      <c r="WCJ87" s="916"/>
      <c r="WCK87" s="916"/>
      <c r="WCL87" s="916"/>
      <c r="WCM87" s="916"/>
      <c r="WCN87" s="916"/>
      <c r="WCO87" s="916"/>
      <c r="WCP87" s="916"/>
      <c r="WCQ87" s="916"/>
      <c r="WCR87" s="916"/>
      <c r="WCS87" s="916"/>
      <c r="WCT87" s="916"/>
      <c r="WCU87" s="916"/>
      <c r="WCV87" s="916"/>
      <c r="WCW87" s="916"/>
      <c r="WCX87" s="916"/>
      <c r="WCY87" s="916"/>
      <c r="WCZ87" s="916"/>
      <c r="WDA87" s="916"/>
      <c r="WDB87" s="916"/>
      <c r="WDC87" s="916"/>
      <c r="WDD87" s="916"/>
      <c r="WDE87" s="916"/>
      <c r="WDF87" s="916"/>
      <c r="WDG87" s="916"/>
      <c r="WDH87" s="916"/>
      <c r="WDI87" s="916"/>
      <c r="WDJ87" s="916"/>
      <c r="WDK87" s="916"/>
      <c r="WDL87" s="916"/>
      <c r="WDM87" s="916"/>
      <c r="WDN87" s="916"/>
      <c r="WDO87" s="916"/>
      <c r="WDP87" s="916"/>
      <c r="WDQ87" s="916"/>
      <c r="WDR87" s="916"/>
      <c r="WDS87" s="916"/>
      <c r="WDT87" s="916"/>
      <c r="WDU87" s="916"/>
      <c r="WDV87" s="916"/>
      <c r="WDW87" s="916"/>
      <c r="WDX87" s="916"/>
      <c r="WDY87" s="916"/>
      <c r="WDZ87" s="916"/>
      <c r="WEA87" s="916"/>
      <c r="WEB87" s="916"/>
      <c r="WEC87" s="916"/>
      <c r="WED87" s="916"/>
      <c r="WEE87" s="916"/>
      <c r="WEF87" s="916"/>
      <c r="WEG87" s="916"/>
      <c r="WEH87" s="916"/>
      <c r="WEI87" s="916"/>
      <c r="WEJ87" s="916"/>
      <c r="WEK87" s="916"/>
      <c r="WEL87" s="916"/>
      <c r="WEM87" s="916"/>
      <c r="WEN87" s="916"/>
      <c r="WEO87" s="916"/>
      <c r="WEP87" s="916"/>
      <c r="WEQ87" s="916"/>
      <c r="WER87" s="916"/>
      <c r="WES87" s="916"/>
      <c r="WET87" s="916"/>
      <c r="WEU87" s="916"/>
      <c r="WEV87" s="916"/>
      <c r="WEW87" s="916"/>
      <c r="WEX87" s="916"/>
      <c r="WEY87" s="916"/>
      <c r="WEZ87" s="916"/>
      <c r="WFA87" s="916"/>
      <c r="WFB87" s="916"/>
      <c r="WFC87" s="916"/>
      <c r="WFD87" s="916"/>
      <c r="WFE87" s="916"/>
      <c r="WFF87" s="916"/>
      <c r="WFG87" s="916"/>
      <c r="WFH87" s="916"/>
      <c r="WFI87" s="916"/>
      <c r="WFJ87" s="916"/>
      <c r="WFK87" s="916"/>
      <c r="WFL87" s="916"/>
      <c r="WFM87" s="916"/>
      <c r="WFN87" s="916"/>
      <c r="WFO87" s="916"/>
      <c r="WFP87" s="916"/>
      <c r="WFQ87" s="916"/>
      <c r="WFR87" s="916"/>
      <c r="WFS87" s="916"/>
      <c r="WFT87" s="916"/>
      <c r="WFU87" s="916"/>
      <c r="WFV87" s="916"/>
      <c r="WFW87" s="916"/>
      <c r="WFX87" s="916"/>
      <c r="WFY87" s="916"/>
      <c r="WFZ87" s="916"/>
      <c r="WGA87" s="916"/>
      <c r="WGB87" s="916"/>
      <c r="WGC87" s="916"/>
      <c r="WGD87" s="916"/>
      <c r="WGE87" s="916"/>
      <c r="WGF87" s="916"/>
      <c r="WGG87" s="916"/>
      <c r="WGH87" s="916"/>
      <c r="WGI87" s="916"/>
      <c r="WGJ87" s="916"/>
      <c r="WGK87" s="916"/>
      <c r="WGL87" s="916"/>
      <c r="WGM87" s="916"/>
      <c r="WGN87" s="916"/>
      <c r="WGO87" s="916"/>
      <c r="WGP87" s="916"/>
      <c r="WGQ87" s="916"/>
      <c r="WGR87" s="916"/>
      <c r="WGS87" s="916"/>
      <c r="WGT87" s="916"/>
      <c r="WGU87" s="916"/>
      <c r="WGV87" s="916"/>
      <c r="WGW87" s="916"/>
      <c r="WGX87" s="916"/>
      <c r="WGY87" s="916"/>
      <c r="WGZ87" s="916"/>
      <c r="WHA87" s="916"/>
      <c r="WHB87" s="916"/>
      <c r="WHC87" s="916"/>
      <c r="WHD87" s="916"/>
      <c r="WHE87" s="916"/>
      <c r="WHF87" s="916"/>
      <c r="WHG87" s="916"/>
      <c r="WHH87" s="916"/>
      <c r="WHI87" s="916"/>
      <c r="WHJ87" s="916"/>
      <c r="WHK87" s="916"/>
      <c r="WHL87" s="916"/>
      <c r="WHM87" s="916"/>
      <c r="WHN87" s="916"/>
      <c r="WHO87" s="916"/>
      <c r="WHP87" s="916"/>
      <c r="WHQ87" s="916"/>
      <c r="WHR87" s="916"/>
      <c r="WHS87" s="916"/>
      <c r="WHT87" s="916"/>
      <c r="WHU87" s="916"/>
      <c r="WHV87" s="916"/>
      <c r="WHW87" s="916"/>
      <c r="WHX87" s="916"/>
      <c r="WHY87" s="916"/>
      <c r="WHZ87" s="916"/>
      <c r="WIA87" s="916"/>
      <c r="WIB87" s="916"/>
      <c r="WIC87" s="916"/>
      <c r="WID87" s="916"/>
      <c r="WIE87" s="916"/>
      <c r="WIF87" s="916"/>
      <c r="WIG87" s="916"/>
      <c r="WIH87" s="916"/>
      <c r="WII87" s="916"/>
      <c r="WIJ87" s="916"/>
      <c r="WIK87" s="916"/>
      <c r="WIL87" s="916"/>
      <c r="WIM87" s="916"/>
      <c r="WIN87" s="916"/>
      <c r="WIO87" s="916"/>
      <c r="WIP87" s="916"/>
      <c r="WIQ87" s="916"/>
      <c r="WIR87" s="916"/>
      <c r="WIS87" s="916"/>
      <c r="WIT87" s="916"/>
      <c r="WIU87" s="916"/>
      <c r="WIV87" s="916"/>
      <c r="WIW87" s="916"/>
      <c r="WIX87" s="916"/>
      <c r="WIY87" s="916"/>
      <c r="WIZ87" s="916"/>
      <c r="WJA87" s="916"/>
      <c r="WJB87" s="916"/>
      <c r="WJC87" s="916"/>
      <c r="WJD87" s="916"/>
      <c r="WJE87" s="916"/>
      <c r="WJF87" s="916"/>
      <c r="WJG87" s="916"/>
      <c r="WJH87" s="916"/>
      <c r="WJI87" s="916"/>
      <c r="WJJ87" s="916"/>
      <c r="WJK87" s="916"/>
      <c r="WJL87" s="916"/>
      <c r="WJM87" s="916"/>
      <c r="WJN87" s="916"/>
      <c r="WJO87" s="916"/>
      <c r="WJP87" s="916"/>
      <c r="WJQ87" s="916"/>
      <c r="WJR87" s="916"/>
      <c r="WJS87" s="916"/>
      <c r="WJT87" s="916"/>
      <c r="WJU87" s="916"/>
      <c r="WJV87" s="916"/>
      <c r="WJW87" s="916"/>
      <c r="WJX87" s="916"/>
      <c r="WJY87" s="916"/>
      <c r="WJZ87" s="916"/>
      <c r="WKA87" s="916"/>
      <c r="WKB87" s="916"/>
      <c r="WKC87" s="916"/>
      <c r="WKD87" s="916"/>
      <c r="WKE87" s="916"/>
      <c r="WKF87" s="916"/>
      <c r="WKG87" s="916"/>
      <c r="WKH87" s="916"/>
      <c r="WKI87" s="916"/>
      <c r="WKJ87" s="916"/>
      <c r="WKK87" s="916"/>
      <c r="WKL87" s="916"/>
      <c r="WKM87" s="916"/>
      <c r="WKN87" s="916"/>
      <c r="WKO87" s="916"/>
      <c r="WKP87" s="916"/>
      <c r="WKQ87" s="916"/>
      <c r="WKR87" s="916"/>
      <c r="WKS87" s="916"/>
      <c r="WKT87" s="916"/>
      <c r="WKU87" s="916"/>
      <c r="WKV87" s="916"/>
      <c r="WKW87" s="916"/>
      <c r="WKX87" s="916"/>
      <c r="WKY87" s="916"/>
      <c r="WKZ87" s="916"/>
      <c r="WLA87" s="916"/>
      <c r="WLB87" s="916"/>
      <c r="WLC87" s="916"/>
      <c r="WLD87" s="916"/>
      <c r="WLE87" s="916"/>
      <c r="WLF87" s="916"/>
      <c r="WLG87" s="916"/>
      <c r="WLH87" s="916"/>
      <c r="WLI87" s="916"/>
      <c r="WLJ87" s="916"/>
      <c r="WLK87" s="916"/>
      <c r="WLL87" s="916"/>
      <c r="WLM87" s="916"/>
      <c r="WLN87" s="916"/>
      <c r="WLO87" s="916"/>
      <c r="WLP87" s="916"/>
      <c r="WLQ87" s="916"/>
      <c r="WLR87" s="916"/>
      <c r="WLS87" s="916"/>
      <c r="WLT87" s="916"/>
      <c r="WLU87" s="916"/>
      <c r="WLV87" s="916"/>
      <c r="WLW87" s="916"/>
      <c r="WLX87" s="916"/>
      <c r="WLY87" s="916"/>
      <c r="WLZ87" s="916"/>
      <c r="WMA87" s="916"/>
      <c r="WMB87" s="916"/>
      <c r="WMC87" s="916"/>
      <c r="WMD87" s="916"/>
      <c r="WME87" s="916"/>
      <c r="WMF87" s="916"/>
      <c r="WMG87" s="916"/>
      <c r="WMH87" s="916"/>
      <c r="WMI87" s="916"/>
      <c r="WMJ87" s="916"/>
      <c r="WMK87" s="916"/>
      <c r="WML87" s="916"/>
      <c r="WMM87" s="916"/>
      <c r="WMN87" s="916"/>
      <c r="WMO87" s="916"/>
      <c r="WMP87" s="916"/>
      <c r="WMQ87" s="916"/>
      <c r="WMR87" s="916"/>
      <c r="WMS87" s="916"/>
      <c r="WMT87" s="916"/>
      <c r="WMU87" s="916"/>
      <c r="WMV87" s="916"/>
      <c r="WMW87" s="916"/>
      <c r="WMX87" s="916"/>
      <c r="WMY87" s="916"/>
      <c r="WMZ87" s="916"/>
      <c r="WNA87" s="916"/>
      <c r="WNB87" s="916"/>
      <c r="WNC87" s="916"/>
      <c r="WND87" s="916"/>
      <c r="WNE87" s="916"/>
      <c r="WNF87" s="916"/>
      <c r="WNG87" s="916"/>
      <c r="WNH87" s="916"/>
      <c r="WNI87" s="916"/>
      <c r="WNJ87" s="916"/>
      <c r="WNK87" s="916"/>
      <c r="WNL87" s="916"/>
      <c r="WNM87" s="916"/>
      <c r="WNN87" s="916"/>
      <c r="WNO87" s="916"/>
      <c r="WNP87" s="916"/>
      <c r="WNQ87" s="916"/>
      <c r="WNR87" s="916"/>
      <c r="WNS87" s="916"/>
      <c r="WNT87" s="916"/>
      <c r="WNU87" s="916"/>
      <c r="WNV87" s="916"/>
      <c r="WNW87" s="916"/>
      <c r="WNX87" s="916"/>
      <c r="WNY87" s="916"/>
      <c r="WNZ87" s="916"/>
      <c r="WOA87" s="916"/>
      <c r="WOB87" s="916"/>
      <c r="WOC87" s="916"/>
      <c r="WOD87" s="916"/>
      <c r="WOE87" s="916"/>
      <c r="WOF87" s="916"/>
      <c r="WOG87" s="916"/>
      <c r="WOH87" s="916"/>
      <c r="WOI87" s="916"/>
      <c r="WOJ87" s="916"/>
      <c r="WOK87" s="916"/>
      <c r="WOL87" s="916"/>
      <c r="WOM87" s="916"/>
      <c r="WON87" s="916"/>
      <c r="WOO87" s="916"/>
      <c r="WOP87" s="916"/>
      <c r="WOQ87" s="916"/>
      <c r="WOR87" s="916"/>
      <c r="WOS87" s="916"/>
      <c r="WOT87" s="916"/>
      <c r="WOU87" s="916"/>
      <c r="WOV87" s="916"/>
      <c r="WOW87" s="916"/>
      <c r="WOX87" s="916"/>
      <c r="WOY87" s="916"/>
      <c r="WOZ87" s="916"/>
      <c r="WPA87" s="916"/>
      <c r="WPB87" s="916"/>
      <c r="WPC87" s="916"/>
      <c r="WPD87" s="916"/>
      <c r="WPE87" s="916"/>
      <c r="WPF87" s="916"/>
      <c r="WPG87" s="916"/>
      <c r="WPH87" s="916"/>
      <c r="WPI87" s="916"/>
      <c r="WPJ87" s="916"/>
      <c r="WPK87" s="916"/>
      <c r="WPL87" s="916"/>
      <c r="WPM87" s="916"/>
      <c r="WPN87" s="916"/>
      <c r="WPO87" s="916"/>
      <c r="WPP87" s="916"/>
      <c r="WPQ87" s="916"/>
      <c r="WPR87" s="916"/>
      <c r="WPS87" s="916"/>
      <c r="WPT87" s="916"/>
      <c r="WPU87" s="916"/>
      <c r="WPV87" s="916"/>
      <c r="WPW87" s="916"/>
      <c r="WPX87" s="916"/>
      <c r="WPY87" s="916"/>
      <c r="WPZ87" s="916"/>
      <c r="WQA87" s="916"/>
      <c r="WQB87" s="916"/>
      <c r="WQC87" s="916"/>
      <c r="WQD87" s="916"/>
      <c r="WQE87" s="916"/>
      <c r="WQF87" s="916"/>
      <c r="WQG87" s="916"/>
      <c r="WQH87" s="916"/>
      <c r="WQI87" s="916"/>
      <c r="WQJ87" s="916"/>
      <c r="WQK87" s="916"/>
      <c r="WQL87" s="916"/>
      <c r="WQM87" s="916"/>
      <c r="WQN87" s="916"/>
      <c r="WQO87" s="916"/>
      <c r="WQP87" s="916"/>
      <c r="WQQ87" s="916"/>
      <c r="WQR87" s="916"/>
      <c r="WQS87" s="916"/>
      <c r="WQT87" s="916"/>
      <c r="WQU87" s="916"/>
      <c r="WQV87" s="916"/>
      <c r="WQW87" s="916"/>
      <c r="WQX87" s="916"/>
      <c r="WQY87" s="916"/>
      <c r="WQZ87" s="916"/>
      <c r="WRA87" s="916"/>
      <c r="WRB87" s="916"/>
      <c r="WRC87" s="916"/>
      <c r="WRD87" s="916"/>
      <c r="WRE87" s="916"/>
      <c r="WRF87" s="916"/>
      <c r="WRG87" s="916"/>
      <c r="WRH87" s="916"/>
      <c r="WRI87" s="916"/>
      <c r="WRJ87" s="916"/>
      <c r="WRK87" s="916"/>
      <c r="WRL87" s="916"/>
      <c r="WRM87" s="916"/>
      <c r="WRN87" s="916"/>
      <c r="WRO87" s="916"/>
      <c r="WRP87" s="916"/>
      <c r="WRQ87" s="916"/>
      <c r="WRR87" s="916"/>
      <c r="WRS87" s="916"/>
      <c r="WRT87" s="916"/>
      <c r="WRU87" s="916"/>
      <c r="WRV87" s="916"/>
      <c r="WRW87" s="916"/>
      <c r="WRX87" s="916"/>
      <c r="WRY87" s="916"/>
      <c r="WRZ87" s="916"/>
      <c r="WSA87" s="916"/>
      <c r="WSB87" s="916"/>
      <c r="WSC87" s="916"/>
      <c r="WSD87" s="916"/>
      <c r="WSE87" s="916"/>
      <c r="WSF87" s="916"/>
      <c r="WSG87" s="916"/>
      <c r="WSH87" s="916"/>
      <c r="WSI87" s="916"/>
      <c r="WSJ87" s="916"/>
      <c r="WSK87" s="916"/>
      <c r="WSL87" s="916"/>
      <c r="WSM87" s="916"/>
      <c r="WSN87" s="916"/>
      <c r="WSO87" s="916"/>
      <c r="WSP87" s="916"/>
      <c r="WSQ87" s="916"/>
      <c r="WSR87" s="916"/>
      <c r="WSS87" s="916"/>
      <c r="WST87" s="916"/>
      <c r="WSU87" s="916"/>
      <c r="WSV87" s="916"/>
      <c r="WSW87" s="916"/>
      <c r="WSX87" s="916"/>
      <c r="WSY87" s="916"/>
      <c r="WSZ87" s="916"/>
      <c r="WTA87" s="916"/>
      <c r="WTB87" s="916"/>
      <c r="WTC87" s="916"/>
      <c r="WTD87" s="916"/>
      <c r="WTE87" s="916"/>
      <c r="WTF87" s="916"/>
      <c r="WTG87" s="916"/>
      <c r="WTH87" s="916"/>
      <c r="WTI87" s="916"/>
      <c r="WTJ87" s="916"/>
      <c r="WTK87" s="916"/>
      <c r="WTL87" s="916"/>
      <c r="WTM87" s="916"/>
      <c r="WTN87" s="916"/>
      <c r="WTO87" s="916"/>
      <c r="WTP87" s="916"/>
      <c r="WTQ87" s="916"/>
      <c r="WTR87" s="916"/>
      <c r="WTS87" s="916"/>
      <c r="WTT87" s="916"/>
      <c r="WTU87" s="916"/>
      <c r="WTV87" s="916"/>
      <c r="WTW87" s="916"/>
      <c r="WTX87" s="916"/>
      <c r="WTY87" s="916"/>
      <c r="WTZ87" s="916"/>
      <c r="WUA87" s="916"/>
      <c r="WUB87" s="916"/>
      <c r="WUC87" s="916"/>
      <c r="WUD87" s="916"/>
      <c r="WUE87" s="916"/>
      <c r="WUF87" s="916"/>
      <c r="WUG87" s="916"/>
      <c r="WUH87" s="916"/>
      <c r="WUI87" s="916"/>
      <c r="WUJ87" s="916"/>
      <c r="WUK87" s="916"/>
      <c r="WUL87" s="916"/>
      <c r="WUM87" s="916"/>
      <c r="WUN87" s="916"/>
      <c r="WUO87" s="916"/>
      <c r="WUP87" s="916"/>
      <c r="WUQ87" s="916"/>
      <c r="WUR87" s="916"/>
      <c r="WUS87" s="916"/>
      <c r="WUT87" s="916"/>
      <c r="WUU87" s="916"/>
      <c r="WUV87" s="916"/>
      <c r="WUW87" s="916"/>
      <c r="WUX87" s="916"/>
      <c r="WUY87" s="916"/>
      <c r="WUZ87" s="916"/>
      <c r="WVA87" s="916"/>
      <c r="WVB87" s="916"/>
      <c r="WVC87" s="916"/>
      <c r="WVD87" s="916"/>
      <c r="WVE87" s="916"/>
      <c r="WVF87" s="916"/>
      <c r="WVG87" s="916"/>
      <c r="WVH87" s="916"/>
      <c r="WVI87" s="916"/>
      <c r="WVJ87" s="916"/>
      <c r="WVK87" s="916"/>
      <c r="WVL87" s="916"/>
      <c r="WVM87" s="916"/>
      <c r="WVN87" s="916"/>
      <c r="WVO87" s="916"/>
      <c r="WVP87" s="916"/>
      <c r="WVQ87" s="916"/>
      <c r="WVR87" s="916"/>
      <c r="WVS87" s="916"/>
      <c r="WVT87" s="916"/>
      <c r="WVU87" s="916"/>
      <c r="WVV87" s="916"/>
      <c r="WVW87" s="916"/>
      <c r="WVX87" s="916"/>
      <c r="WVY87" s="916"/>
      <c r="WVZ87" s="916"/>
      <c r="WWA87" s="916"/>
      <c r="WWB87" s="916"/>
      <c r="WWC87" s="916"/>
      <c r="WWD87" s="916"/>
      <c r="WWE87" s="916"/>
      <c r="WWF87" s="916"/>
      <c r="WWG87" s="916"/>
      <c r="WWH87" s="916"/>
      <c r="WWI87" s="916"/>
      <c r="WWJ87" s="916"/>
      <c r="WWK87" s="916"/>
      <c r="WWL87" s="916"/>
      <c r="WWM87" s="916"/>
      <c r="WWN87" s="916"/>
      <c r="WWO87" s="916"/>
      <c r="WWP87" s="916"/>
      <c r="WWQ87" s="916"/>
      <c r="WWR87" s="916"/>
      <c r="WWS87" s="916"/>
      <c r="WWT87" s="916"/>
      <c r="WWU87" s="916"/>
      <c r="WWV87" s="916"/>
      <c r="WWW87" s="916"/>
      <c r="WWX87" s="916"/>
      <c r="WWY87" s="916"/>
      <c r="WWZ87" s="916"/>
      <c r="WXA87" s="916"/>
      <c r="WXB87" s="916"/>
      <c r="WXC87" s="916"/>
      <c r="WXD87" s="916"/>
      <c r="WXE87" s="916"/>
      <c r="WXF87" s="916"/>
      <c r="WXG87" s="916"/>
      <c r="WXH87" s="916"/>
      <c r="WXI87" s="916"/>
      <c r="WXJ87" s="916"/>
      <c r="WXK87" s="916"/>
      <c r="WXL87" s="916"/>
      <c r="WXM87" s="916"/>
      <c r="WXN87" s="916"/>
      <c r="WXO87" s="916"/>
      <c r="WXP87" s="916"/>
      <c r="WXQ87" s="916"/>
      <c r="WXR87" s="916"/>
      <c r="WXS87" s="916"/>
      <c r="WXT87" s="916"/>
      <c r="WXU87" s="916"/>
      <c r="WXV87" s="916"/>
      <c r="WXW87" s="916"/>
      <c r="WXX87" s="916"/>
      <c r="WXY87" s="916"/>
      <c r="WXZ87" s="916"/>
      <c r="WYA87" s="916"/>
      <c r="WYB87" s="916"/>
      <c r="WYC87" s="916"/>
      <c r="WYD87" s="916"/>
      <c r="WYE87" s="916"/>
      <c r="WYF87" s="916"/>
      <c r="WYG87" s="916"/>
      <c r="WYH87" s="916"/>
      <c r="WYI87" s="916"/>
      <c r="WYJ87" s="916"/>
      <c r="WYK87" s="916"/>
      <c r="WYL87" s="916"/>
      <c r="WYM87" s="916"/>
      <c r="WYN87" s="916"/>
      <c r="WYO87" s="916"/>
      <c r="WYP87" s="916"/>
      <c r="WYQ87" s="916"/>
      <c r="WYR87" s="916"/>
      <c r="WYS87" s="916"/>
      <c r="WYT87" s="916"/>
      <c r="WYU87" s="916"/>
      <c r="WYV87" s="916"/>
      <c r="WYW87" s="916"/>
      <c r="WYX87" s="916"/>
      <c r="WYY87" s="916"/>
      <c r="WYZ87" s="916"/>
      <c r="WZA87" s="916"/>
      <c r="WZB87" s="916"/>
      <c r="WZC87" s="916"/>
      <c r="WZD87" s="916"/>
      <c r="WZE87" s="916"/>
      <c r="WZF87" s="916"/>
      <c r="WZG87" s="916"/>
      <c r="WZH87" s="916"/>
      <c r="WZI87" s="916"/>
      <c r="WZJ87" s="916"/>
      <c r="WZK87" s="916"/>
      <c r="WZL87" s="916"/>
      <c r="WZM87" s="916"/>
      <c r="WZN87" s="916"/>
      <c r="WZO87" s="916"/>
      <c r="WZP87" s="916"/>
      <c r="WZQ87" s="916"/>
      <c r="WZR87" s="916"/>
      <c r="WZS87" s="916"/>
      <c r="WZT87" s="916"/>
      <c r="WZU87" s="916"/>
      <c r="WZV87" s="916"/>
      <c r="WZW87" s="916"/>
      <c r="WZX87" s="916"/>
      <c r="WZY87" s="916"/>
      <c r="WZZ87" s="916"/>
      <c r="XAA87" s="916"/>
      <c r="XAB87" s="916"/>
      <c r="XAC87" s="916"/>
      <c r="XAD87" s="916"/>
      <c r="XAE87" s="916"/>
      <c r="XAF87" s="916"/>
      <c r="XAG87" s="916"/>
      <c r="XAH87" s="916"/>
      <c r="XAI87" s="916"/>
      <c r="XAJ87" s="916"/>
      <c r="XAK87" s="916"/>
      <c r="XAL87" s="916"/>
      <c r="XAM87" s="916"/>
      <c r="XAN87" s="916"/>
      <c r="XAO87" s="916"/>
      <c r="XAP87" s="916"/>
      <c r="XAQ87" s="916"/>
      <c r="XAR87" s="916"/>
      <c r="XAS87" s="916"/>
      <c r="XAT87" s="916"/>
      <c r="XAU87" s="916"/>
      <c r="XAV87" s="916"/>
      <c r="XAW87" s="916"/>
      <c r="XAX87" s="916"/>
      <c r="XAY87" s="916"/>
      <c r="XAZ87" s="916"/>
      <c r="XBA87" s="916"/>
      <c r="XBB87" s="916"/>
      <c r="XBC87" s="916"/>
      <c r="XBD87" s="916"/>
      <c r="XBE87" s="916"/>
      <c r="XBF87" s="916"/>
      <c r="XBG87" s="916"/>
      <c r="XBH87" s="916"/>
      <c r="XBI87" s="916"/>
      <c r="XBJ87" s="916"/>
      <c r="XBK87" s="916"/>
      <c r="XBL87" s="916"/>
      <c r="XBM87" s="916"/>
      <c r="XBN87" s="916"/>
      <c r="XBO87" s="916"/>
      <c r="XBP87" s="916"/>
      <c r="XBQ87" s="916"/>
      <c r="XBR87" s="916"/>
      <c r="XBS87" s="916"/>
      <c r="XBT87" s="916"/>
      <c r="XBU87" s="916"/>
      <c r="XBV87" s="916"/>
      <c r="XBW87" s="916"/>
      <c r="XBX87" s="916"/>
      <c r="XBY87" s="916"/>
      <c r="XBZ87" s="916"/>
      <c r="XCA87" s="916"/>
      <c r="XCB87" s="916"/>
      <c r="XCC87" s="916"/>
      <c r="XCD87" s="916"/>
      <c r="XCE87" s="916"/>
      <c r="XCF87" s="916"/>
      <c r="XCG87" s="916"/>
      <c r="XCH87" s="916"/>
      <c r="XCI87" s="916"/>
      <c r="XCJ87" s="916"/>
      <c r="XCK87" s="916"/>
      <c r="XCL87" s="916"/>
      <c r="XCM87" s="916"/>
      <c r="XCN87" s="916"/>
      <c r="XCO87" s="916"/>
      <c r="XCP87" s="916"/>
      <c r="XCQ87" s="916"/>
      <c r="XCR87" s="916"/>
      <c r="XCS87" s="916"/>
      <c r="XCT87" s="916"/>
      <c r="XCU87" s="916"/>
      <c r="XCV87" s="916"/>
      <c r="XCW87" s="916"/>
      <c r="XCX87" s="916"/>
      <c r="XCY87" s="916"/>
      <c r="XCZ87" s="916"/>
      <c r="XDA87" s="916"/>
      <c r="XDB87" s="916"/>
      <c r="XDC87" s="916"/>
      <c r="XDD87" s="916"/>
      <c r="XDE87" s="916"/>
      <c r="XDF87" s="916"/>
      <c r="XDG87" s="916"/>
      <c r="XDH87" s="916"/>
      <c r="XDI87" s="916"/>
      <c r="XDJ87" s="916"/>
      <c r="XDK87" s="916"/>
      <c r="XDL87" s="916"/>
      <c r="XDM87" s="916"/>
      <c r="XDN87" s="916"/>
      <c r="XDO87" s="916"/>
      <c r="XDP87" s="916"/>
      <c r="XDQ87" s="916"/>
      <c r="XDR87" s="916"/>
      <c r="XDS87" s="916"/>
      <c r="XDT87" s="916"/>
      <c r="XDU87" s="916"/>
      <c r="XDV87" s="916"/>
      <c r="XDW87" s="916"/>
      <c r="XDX87" s="916"/>
      <c r="XDY87" s="916"/>
      <c r="XDZ87" s="916"/>
      <c r="XEA87" s="916"/>
      <c r="XEB87" s="916"/>
      <c r="XEC87" s="916"/>
      <c r="XED87" s="916"/>
      <c r="XEE87" s="916"/>
      <c r="XEF87" s="916"/>
      <c r="XEG87" s="916"/>
      <c r="XEH87" s="916"/>
      <c r="XEI87" s="916"/>
      <c r="XEJ87" s="916"/>
      <c r="XEK87" s="916"/>
      <c r="XEL87" s="916"/>
      <c r="XEM87" s="916"/>
      <c r="XEN87" s="916"/>
      <c r="XEO87" s="916"/>
      <c r="XEP87" s="916"/>
      <c r="XEQ87" s="916"/>
      <c r="XER87" s="916"/>
      <c r="XES87" s="916"/>
      <c r="XET87" s="916"/>
      <c r="XEU87" s="916"/>
      <c r="XEV87" s="916"/>
      <c r="XEW87" s="916"/>
      <c r="XEX87" s="916"/>
      <c r="XEY87" s="916"/>
      <c r="XEZ87" s="916"/>
      <c r="XFA87" s="916"/>
      <c r="XFB87" s="916"/>
      <c r="XFC87" s="916"/>
      <c r="XFD87" s="916"/>
    </row>
    <row r="88" spans="1:16384" s="913" customFormat="1" ht="31.5" customHeight="1">
      <c r="A88" s="895"/>
      <c r="B88" s="895"/>
      <c r="C88" s="895"/>
      <c r="D88" s="895"/>
      <c r="E88" s="896">
        <v>74</v>
      </c>
      <c r="F88" s="897" t="s">
        <v>1263</v>
      </c>
      <c r="G88" s="898" t="s">
        <v>1264</v>
      </c>
      <c r="H88" s="899" t="s">
        <v>192</v>
      </c>
      <c r="I88" s="899" t="s">
        <v>1265</v>
      </c>
      <c r="J88" s="900">
        <f t="shared" ref="J88:J106" si="12">(AB88-T88)/365</f>
        <v>9.9178082191780828</v>
      </c>
      <c r="K88" s="901" t="s">
        <v>465</v>
      </c>
      <c r="L88" s="902">
        <v>3000000</v>
      </c>
      <c r="M88" s="901" t="s">
        <v>466</v>
      </c>
      <c r="N88" s="903">
        <v>100</v>
      </c>
      <c r="O88" s="904">
        <v>6</v>
      </c>
      <c r="P88" s="897" t="s">
        <v>1276</v>
      </c>
      <c r="Q88" s="905"/>
      <c r="R88" s="906"/>
      <c r="S88" s="907">
        <v>41726</v>
      </c>
      <c r="T88" s="907">
        <v>41729</v>
      </c>
      <c r="U88" s="908" t="s">
        <v>683</v>
      </c>
      <c r="V88" s="908"/>
      <c r="W88" s="902">
        <v>3017000</v>
      </c>
      <c r="X88" s="909">
        <v>7.8</v>
      </c>
      <c r="Y88" s="909">
        <f t="shared" ref="Y88" si="13">X88*W88</f>
        <v>23532600</v>
      </c>
      <c r="Z88" s="909"/>
      <c r="AA88" s="910">
        <v>6</v>
      </c>
      <c r="AB88" s="911">
        <v>45349</v>
      </c>
      <c r="AC88" s="912">
        <f t="shared" ref="AC88:AC89" si="14">(AB88-S88)/365</f>
        <v>9.9260273972602739</v>
      </c>
      <c r="AD88" s="912" t="s">
        <v>1277</v>
      </c>
      <c r="AF88" s="914"/>
      <c r="AG88" s="915"/>
      <c r="AH88" s="909"/>
      <c r="AI88" s="916"/>
      <c r="AJ88" s="916"/>
      <c r="AK88" s="916"/>
      <c r="AL88" s="916"/>
      <c r="AM88" s="916"/>
      <c r="AN88" s="916"/>
      <c r="AO88" s="916"/>
      <c r="AP88" s="916"/>
      <c r="AQ88" s="916"/>
      <c r="AR88" s="916"/>
      <c r="AS88" s="916"/>
      <c r="AT88" s="916"/>
      <c r="AU88" s="916"/>
      <c r="AV88" s="916"/>
      <c r="AW88" s="916"/>
      <c r="AX88" s="916"/>
      <c r="AY88" s="916"/>
      <c r="AZ88" s="916"/>
      <c r="BA88" s="916"/>
      <c r="BB88" s="916"/>
      <c r="BC88" s="916"/>
      <c r="BD88" s="916"/>
      <c r="BE88" s="916"/>
      <c r="BF88" s="916"/>
      <c r="BG88" s="916"/>
      <c r="BH88" s="916"/>
      <c r="BI88" s="916"/>
      <c r="BJ88" s="916"/>
      <c r="BK88" s="916"/>
      <c r="BL88" s="916"/>
      <c r="BM88" s="916"/>
      <c r="BN88" s="916"/>
      <c r="BO88" s="916"/>
      <c r="BP88" s="916"/>
      <c r="BQ88" s="916"/>
      <c r="BR88" s="916"/>
      <c r="BS88" s="916"/>
      <c r="BT88" s="916"/>
      <c r="BU88" s="916"/>
      <c r="BV88" s="916"/>
      <c r="BW88" s="916"/>
      <c r="BX88" s="916"/>
      <c r="BY88" s="916"/>
      <c r="BZ88" s="916"/>
      <c r="CA88" s="916"/>
      <c r="CB88" s="916"/>
      <c r="CC88" s="916"/>
      <c r="CD88" s="916"/>
      <c r="CE88" s="916"/>
      <c r="CF88" s="916"/>
      <c r="CG88" s="916"/>
      <c r="CH88" s="916"/>
      <c r="CI88" s="916"/>
      <c r="CJ88" s="916"/>
      <c r="CK88" s="916"/>
      <c r="CL88" s="916"/>
      <c r="CM88" s="916"/>
      <c r="CN88" s="916"/>
      <c r="CO88" s="916"/>
      <c r="CP88" s="916"/>
      <c r="CQ88" s="916"/>
      <c r="CR88" s="916"/>
      <c r="CS88" s="916"/>
      <c r="CT88" s="916"/>
      <c r="CU88" s="916"/>
      <c r="CV88" s="916"/>
      <c r="CW88" s="916"/>
      <c r="CX88" s="916"/>
      <c r="CY88" s="916"/>
      <c r="CZ88" s="916"/>
      <c r="DA88" s="916"/>
      <c r="DB88" s="916"/>
      <c r="DC88" s="916"/>
      <c r="DD88" s="916"/>
      <c r="DE88" s="916"/>
      <c r="DF88" s="916"/>
      <c r="DG88" s="916"/>
      <c r="DH88" s="916"/>
      <c r="DI88" s="916"/>
      <c r="DJ88" s="916"/>
      <c r="DK88" s="916"/>
      <c r="DL88" s="916"/>
      <c r="DM88" s="916"/>
      <c r="DN88" s="916"/>
      <c r="DO88" s="916"/>
      <c r="DP88" s="916"/>
      <c r="DQ88" s="916"/>
      <c r="DR88" s="916"/>
      <c r="DS88" s="916"/>
      <c r="DT88" s="916"/>
      <c r="DU88" s="916"/>
      <c r="DV88" s="916"/>
      <c r="DW88" s="916"/>
      <c r="DX88" s="916"/>
      <c r="DY88" s="916"/>
      <c r="DZ88" s="916"/>
      <c r="EA88" s="916"/>
      <c r="EB88" s="916"/>
      <c r="EC88" s="916"/>
      <c r="ED88" s="916"/>
      <c r="EE88" s="916"/>
      <c r="EF88" s="916"/>
      <c r="EG88" s="916"/>
      <c r="EH88" s="916"/>
      <c r="EI88" s="916"/>
      <c r="EJ88" s="916"/>
      <c r="EK88" s="916"/>
      <c r="EL88" s="916"/>
      <c r="EM88" s="916"/>
      <c r="EN88" s="916"/>
      <c r="EO88" s="916"/>
      <c r="EP88" s="916"/>
      <c r="EQ88" s="916"/>
      <c r="ER88" s="916"/>
      <c r="ES88" s="916"/>
      <c r="ET88" s="916"/>
      <c r="EU88" s="916"/>
      <c r="EV88" s="916"/>
      <c r="EW88" s="916"/>
      <c r="EX88" s="916"/>
      <c r="EY88" s="916"/>
      <c r="EZ88" s="916"/>
      <c r="FA88" s="916"/>
      <c r="FB88" s="916"/>
      <c r="FC88" s="916"/>
      <c r="FD88" s="916"/>
      <c r="FE88" s="916"/>
      <c r="FF88" s="916"/>
      <c r="FG88" s="916"/>
      <c r="FH88" s="916"/>
      <c r="FI88" s="916"/>
      <c r="FJ88" s="916"/>
      <c r="FK88" s="916"/>
      <c r="FL88" s="916"/>
      <c r="FM88" s="916"/>
      <c r="FN88" s="916"/>
      <c r="FO88" s="916"/>
      <c r="FP88" s="916"/>
      <c r="FQ88" s="916"/>
      <c r="FR88" s="916"/>
      <c r="FS88" s="916"/>
      <c r="FT88" s="916"/>
      <c r="FU88" s="916"/>
      <c r="FV88" s="916"/>
      <c r="FW88" s="916"/>
      <c r="FX88" s="916"/>
      <c r="FY88" s="916"/>
      <c r="FZ88" s="916"/>
      <c r="GA88" s="916"/>
      <c r="GB88" s="916"/>
      <c r="GC88" s="916"/>
      <c r="GD88" s="916"/>
      <c r="GE88" s="916"/>
      <c r="GF88" s="916"/>
      <c r="GG88" s="916"/>
      <c r="GH88" s="916"/>
      <c r="GI88" s="916"/>
      <c r="GJ88" s="916"/>
      <c r="GK88" s="916"/>
      <c r="GL88" s="916"/>
      <c r="GM88" s="916"/>
      <c r="GN88" s="916"/>
      <c r="GO88" s="916"/>
      <c r="GP88" s="916"/>
      <c r="GQ88" s="916"/>
      <c r="GR88" s="916"/>
      <c r="GS88" s="916"/>
      <c r="GT88" s="916"/>
      <c r="GU88" s="916"/>
      <c r="GV88" s="916"/>
      <c r="GW88" s="916"/>
      <c r="GX88" s="916"/>
      <c r="GY88" s="916"/>
      <c r="GZ88" s="916"/>
      <c r="HA88" s="916"/>
      <c r="HB88" s="916"/>
      <c r="HC88" s="916"/>
      <c r="HD88" s="916"/>
      <c r="HE88" s="916"/>
      <c r="HF88" s="916"/>
      <c r="HG88" s="916"/>
      <c r="HH88" s="916"/>
      <c r="HI88" s="916"/>
      <c r="HJ88" s="916"/>
      <c r="HK88" s="916"/>
      <c r="HL88" s="916"/>
      <c r="HM88" s="916"/>
      <c r="HN88" s="916"/>
      <c r="HO88" s="916"/>
      <c r="HP88" s="916"/>
      <c r="HQ88" s="916"/>
      <c r="HR88" s="916"/>
      <c r="HS88" s="916"/>
      <c r="HT88" s="916"/>
      <c r="HU88" s="916"/>
      <c r="HV88" s="916"/>
      <c r="HW88" s="916"/>
      <c r="HX88" s="916"/>
      <c r="HY88" s="916"/>
      <c r="HZ88" s="916"/>
      <c r="IA88" s="916"/>
      <c r="IB88" s="916"/>
      <c r="IC88" s="916"/>
      <c r="ID88" s="916"/>
      <c r="IE88" s="916"/>
      <c r="IF88" s="916"/>
      <c r="IG88" s="916"/>
      <c r="IH88" s="916"/>
      <c r="II88" s="916"/>
      <c r="IJ88" s="916"/>
      <c r="IK88" s="916"/>
      <c r="IL88" s="916"/>
      <c r="IM88" s="916"/>
      <c r="IN88" s="916"/>
      <c r="IO88" s="916"/>
      <c r="IP88" s="916"/>
      <c r="IQ88" s="916"/>
      <c r="IR88" s="916"/>
      <c r="IS88" s="916"/>
      <c r="IT88" s="916"/>
      <c r="IU88" s="916"/>
      <c r="IV88" s="916"/>
      <c r="IW88" s="916"/>
      <c r="IX88" s="916"/>
      <c r="IY88" s="916"/>
      <c r="IZ88" s="916"/>
      <c r="JA88" s="916"/>
      <c r="JB88" s="916"/>
      <c r="JC88" s="916"/>
      <c r="JD88" s="916"/>
      <c r="JE88" s="916"/>
      <c r="JF88" s="916"/>
      <c r="JG88" s="916"/>
      <c r="JH88" s="916"/>
      <c r="JI88" s="916"/>
      <c r="JJ88" s="916"/>
      <c r="JK88" s="916"/>
      <c r="JL88" s="916"/>
      <c r="JM88" s="916"/>
      <c r="JN88" s="916"/>
      <c r="JO88" s="916"/>
      <c r="JP88" s="916"/>
      <c r="JQ88" s="916"/>
      <c r="JR88" s="916"/>
      <c r="JS88" s="916"/>
      <c r="JT88" s="916"/>
      <c r="JU88" s="916"/>
      <c r="JV88" s="916"/>
      <c r="JW88" s="916"/>
      <c r="JX88" s="916"/>
      <c r="JY88" s="916"/>
      <c r="JZ88" s="916"/>
      <c r="KA88" s="916"/>
      <c r="KB88" s="916"/>
      <c r="KC88" s="916"/>
      <c r="KD88" s="916"/>
      <c r="KE88" s="916"/>
      <c r="KF88" s="916"/>
      <c r="KG88" s="916"/>
      <c r="KH88" s="916"/>
      <c r="KI88" s="916"/>
      <c r="KJ88" s="916"/>
      <c r="KK88" s="916"/>
      <c r="KL88" s="916"/>
      <c r="KM88" s="916"/>
      <c r="KN88" s="916"/>
      <c r="KO88" s="916"/>
      <c r="KP88" s="916"/>
      <c r="KQ88" s="916"/>
      <c r="KR88" s="916"/>
      <c r="KS88" s="916"/>
      <c r="KT88" s="916"/>
      <c r="KU88" s="916"/>
      <c r="KV88" s="916"/>
      <c r="KW88" s="916"/>
      <c r="KX88" s="916"/>
      <c r="KY88" s="916"/>
      <c r="KZ88" s="916"/>
      <c r="LA88" s="916"/>
      <c r="LB88" s="916"/>
      <c r="LC88" s="916"/>
      <c r="LD88" s="916"/>
      <c r="LE88" s="916"/>
      <c r="LF88" s="916"/>
      <c r="LG88" s="916"/>
      <c r="LH88" s="916"/>
      <c r="LI88" s="916"/>
      <c r="LJ88" s="916"/>
      <c r="LK88" s="916"/>
      <c r="LL88" s="916"/>
      <c r="LM88" s="916"/>
      <c r="LN88" s="916"/>
      <c r="LO88" s="916"/>
      <c r="LP88" s="916"/>
      <c r="LQ88" s="916"/>
      <c r="LR88" s="916"/>
      <c r="LS88" s="916"/>
      <c r="LT88" s="916"/>
      <c r="LU88" s="916"/>
      <c r="LV88" s="916"/>
      <c r="LW88" s="916"/>
      <c r="LX88" s="916"/>
      <c r="LY88" s="916"/>
      <c r="LZ88" s="916"/>
      <c r="MA88" s="916"/>
      <c r="MB88" s="916"/>
      <c r="MC88" s="916"/>
      <c r="MD88" s="916"/>
      <c r="ME88" s="916"/>
      <c r="MF88" s="916"/>
      <c r="MG88" s="916"/>
      <c r="MH88" s="916"/>
      <c r="MI88" s="916"/>
      <c r="MJ88" s="916"/>
      <c r="MK88" s="916"/>
      <c r="ML88" s="916"/>
      <c r="MM88" s="916"/>
      <c r="MN88" s="916"/>
      <c r="MO88" s="916"/>
      <c r="MP88" s="916"/>
      <c r="MQ88" s="916"/>
      <c r="MR88" s="916"/>
      <c r="MS88" s="916"/>
      <c r="MT88" s="916"/>
      <c r="MU88" s="916"/>
      <c r="MV88" s="916"/>
      <c r="MW88" s="916"/>
      <c r="MX88" s="916"/>
      <c r="MY88" s="916"/>
      <c r="MZ88" s="916"/>
      <c r="NA88" s="916"/>
      <c r="NB88" s="916"/>
      <c r="NC88" s="916"/>
      <c r="ND88" s="916"/>
      <c r="NE88" s="916"/>
      <c r="NF88" s="916"/>
      <c r="NG88" s="916"/>
      <c r="NH88" s="916"/>
      <c r="NI88" s="916"/>
      <c r="NJ88" s="916"/>
      <c r="NK88" s="916"/>
      <c r="NL88" s="916"/>
      <c r="NM88" s="916"/>
      <c r="NN88" s="916"/>
      <c r="NO88" s="916"/>
      <c r="NP88" s="916"/>
      <c r="NQ88" s="916"/>
      <c r="NR88" s="916"/>
      <c r="NS88" s="916"/>
      <c r="NT88" s="916"/>
      <c r="NU88" s="916"/>
      <c r="NV88" s="916"/>
      <c r="NW88" s="916"/>
      <c r="NX88" s="916"/>
      <c r="NY88" s="916"/>
      <c r="NZ88" s="916"/>
      <c r="OA88" s="916"/>
      <c r="OB88" s="916"/>
      <c r="OC88" s="916"/>
      <c r="OD88" s="916"/>
      <c r="OE88" s="916"/>
      <c r="OF88" s="916"/>
      <c r="OG88" s="916"/>
      <c r="OH88" s="916"/>
      <c r="OI88" s="916"/>
      <c r="OJ88" s="916"/>
      <c r="OK88" s="916"/>
      <c r="OL88" s="916"/>
      <c r="OM88" s="916"/>
      <c r="ON88" s="916"/>
      <c r="OO88" s="916"/>
      <c r="OP88" s="916"/>
      <c r="OQ88" s="916"/>
      <c r="OR88" s="916"/>
      <c r="OS88" s="916"/>
      <c r="OT88" s="916"/>
      <c r="OU88" s="916"/>
      <c r="OV88" s="916"/>
      <c r="OW88" s="916"/>
      <c r="OX88" s="916"/>
      <c r="OY88" s="916"/>
      <c r="OZ88" s="916"/>
      <c r="PA88" s="916"/>
      <c r="PB88" s="916"/>
      <c r="PC88" s="916"/>
      <c r="PD88" s="916"/>
      <c r="PE88" s="916"/>
      <c r="PF88" s="916"/>
      <c r="PG88" s="916"/>
      <c r="PH88" s="916"/>
      <c r="PI88" s="916"/>
      <c r="PJ88" s="916"/>
      <c r="PK88" s="916"/>
      <c r="PL88" s="916"/>
      <c r="PM88" s="916"/>
      <c r="PN88" s="916"/>
      <c r="PO88" s="916"/>
      <c r="PP88" s="916"/>
      <c r="PQ88" s="916"/>
      <c r="PR88" s="916"/>
      <c r="PS88" s="916"/>
      <c r="PT88" s="916"/>
      <c r="PU88" s="916"/>
      <c r="PV88" s="916"/>
      <c r="PW88" s="916"/>
      <c r="PX88" s="916"/>
      <c r="PY88" s="916"/>
      <c r="PZ88" s="916"/>
      <c r="QA88" s="916"/>
      <c r="QB88" s="916"/>
      <c r="QC88" s="916"/>
      <c r="QD88" s="916"/>
      <c r="QE88" s="916"/>
      <c r="QF88" s="916"/>
      <c r="QG88" s="916"/>
      <c r="QH88" s="916"/>
      <c r="QI88" s="916"/>
      <c r="QJ88" s="916"/>
      <c r="QK88" s="916"/>
      <c r="QL88" s="916"/>
      <c r="QM88" s="916"/>
      <c r="QN88" s="916"/>
      <c r="QO88" s="916"/>
      <c r="QP88" s="916"/>
      <c r="QQ88" s="916"/>
      <c r="QR88" s="916"/>
      <c r="QS88" s="916"/>
      <c r="QT88" s="916"/>
      <c r="QU88" s="916"/>
      <c r="QV88" s="916"/>
      <c r="QW88" s="916"/>
      <c r="QX88" s="916"/>
      <c r="QY88" s="916"/>
      <c r="QZ88" s="916"/>
      <c r="RA88" s="916"/>
      <c r="RB88" s="916"/>
      <c r="RC88" s="916"/>
      <c r="RD88" s="916"/>
      <c r="RE88" s="916"/>
      <c r="RF88" s="916"/>
      <c r="RG88" s="916"/>
      <c r="RH88" s="916"/>
      <c r="RI88" s="916"/>
      <c r="RJ88" s="916"/>
      <c r="RK88" s="916"/>
      <c r="RL88" s="916"/>
      <c r="RM88" s="916"/>
      <c r="RN88" s="916"/>
      <c r="RO88" s="916"/>
      <c r="RP88" s="916"/>
      <c r="RQ88" s="916"/>
      <c r="RR88" s="916"/>
      <c r="RS88" s="916"/>
      <c r="RT88" s="916"/>
      <c r="RU88" s="916"/>
      <c r="RV88" s="916"/>
      <c r="RW88" s="916"/>
      <c r="RX88" s="916"/>
      <c r="RY88" s="916"/>
      <c r="RZ88" s="916"/>
      <c r="SA88" s="916"/>
      <c r="SB88" s="916"/>
      <c r="SC88" s="916"/>
      <c r="SD88" s="916"/>
      <c r="SE88" s="916"/>
      <c r="SF88" s="916"/>
      <c r="SG88" s="916"/>
      <c r="SH88" s="916"/>
      <c r="SI88" s="916"/>
      <c r="SJ88" s="916"/>
      <c r="SK88" s="916"/>
      <c r="SL88" s="916"/>
      <c r="SM88" s="916"/>
      <c r="SN88" s="916"/>
      <c r="SO88" s="916"/>
      <c r="SP88" s="916"/>
      <c r="SQ88" s="916"/>
      <c r="SR88" s="916"/>
      <c r="SS88" s="916"/>
      <c r="ST88" s="916"/>
      <c r="SU88" s="916"/>
      <c r="SV88" s="916"/>
      <c r="SW88" s="916"/>
      <c r="SX88" s="916"/>
      <c r="SY88" s="916"/>
      <c r="SZ88" s="916"/>
      <c r="TA88" s="916"/>
      <c r="TB88" s="916"/>
      <c r="TC88" s="916"/>
      <c r="TD88" s="916"/>
      <c r="TE88" s="916"/>
      <c r="TF88" s="916"/>
      <c r="TG88" s="916"/>
      <c r="TH88" s="916"/>
      <c r="TI88" s="916"/>
      <c r="TJ88" s="916"/>
      <c r="TK88" s="916"/>
      <c r="TL88" s="916"/>
      <c r="TM88" s="916"/>
      <c r="TN88" s="916"/>
      <c r="TO88" s="916"/>
      <c r="TP88" s="916"/>
      <c r="TQ88" s="916"/>
      <c r="TR88" s="916"/>
      <c r="TS88" s="916"/>
      <c r="TT88" s="916"/>
      <c r="TU88" s="916"/>
      <c r="TV88" s="916"/>
      <c r="TW88" s="916"/>
      <c r="TX88" s="916"/>
      <c r="TY88" s="916"/>
      <c r="TZ88" s="916"/>
      <c r="UA88" s="916"/>
      <c r="UB88" s="916"/>
      <c r="UC88" s="916"/>
      <c r="UD88" s="916"/>
      <c r="UE88" s="916"/>
      <c r="UF88" s="916"/>
      <c r="UG88" s="916"/>
      <c r="UH88" s="916"/>
      <c r="UI88" s="916"/>
      <c r="UJ88" s="916"/>
      <c r="UK88" s="916"/>
      <c r="UL88" s="916"/>
      <c r="UM88" s="916"/>
      <c r="UN88" s="916"/>
      <c r="UO88" s="916"/>
      <c r="UP88" s="916"/>
      <c r="UQ88" s="916"/>
      <c r="UR88" s="916"/>
      <c r="US88" s="916"/>
      <c r="UT88" s="916"/>
      <c r="UU88" s="916"/>
      <c r="UV88" s="916"/>
      <c r="UW88" s="916"/>
      <c r="UX88" s="916"/>
      <c r="UY88" s="916"/>
      <c r="UZ88" s="916"/>
      <c r="VA88" s="916"/>
      <c r="VB88" s="916"/>
      <c r="VC88" s="916"/>
      <c r="VD88" s="916"/>
      <c r="VE88" s="916"/>
      <c r="VF88" s="916"/>
      <c r="VG88" s="916"/>
      <c r="VH88" s="916"/>
      <c r="VI88" s="916"/>
      <c r="VJ88" s="916"/>
      <c r="VK88" s="916"/>
      <c r="VL88" s="916"/>
      <c r="VM88" s="916"/>
      <c r="VN88" s="916"/>
      <c r="VO88" s="916"/>
      <c r="VP88" s="916"/>
      <c r="VQ88" s="916"/>
      <c r="VR88" s="916"/>
      <c r="VS88" s="916"/>
      <c r="VT88" s="916"/>
      <c r="VU88" s="916"/>
      <c r="VV88" s="916"/>
      <c r="VW88" s="916"/>
      <c r="VX88" s="916"/>
      <c r="VY88" s="916"/>
      <c r="VZ88" s="916"/>
      <c r="WA88" s="916"/>
      <c r="WB88" s="916"/>
      <c r="WC88" s="916"/>
      <c r="WD88" s="916"/>
      <c r="WE88" s="916"/>
      <c r="WF88" s="916"/>
      <c r="WG88" s="916"/>
      <c r="WH88" s="916"/>
      <c r="WI88" s="916"/>
      <c r="WJ88" s="916"/>
      <c r="WK88" s="916"/>
      <c r="WL88" s="916"/>
      <c r="WM88" s="916"/>
      <c r="WN88" s="916"/>
      <c r="WO88" s="916"/>
      <c r="WP88" s="916"/>
      <c r="WQ88" s="916"/>
      <c r="WR88" s="916"/>
      <c r="WS88" s="916"/>
      <c r="WT88" s="916"/>
      <c r="WU88" s="916"/>
      <c r="WV88" s="916"/>
      <c r="WW88" s="916"/>
      <c r="WX88" s="916"/>
      <c r="WY88" s="916"/>
      <c r="WZ88" s="916"/>
      <c r="XA88" s="916"/>
      <c r="XB88" s="916"/>
      <c r="XC88" s="916"/>
      <c r="XD88" s="916"/>
      <c r="XE88" s="916"/>
      <c r="XF88" s="916"/>
      <c r="XG88" s="916"/>
      <c r="XH88" s="916"/>
      <c r="XI88" s="916"/>
      <c r="XJ88" s="916"/>
      <c r="XK88" s="916"/>
      <c r="XL88" s="916"/>
      <c r="XM88" s="916"/>
      <c r="XN88" s="916"/>
      <c r="XO88" s="916"/>
      <c r="XP88" s="916"/>
      <c r="XQ88" s="916"/>
      <c r="XR88" s="916"/>
      <c r="XS88" s="916"/>
      <c r="XT88" s="916"/>
      <c r="XU88" s="916"/>
      <c r="XV88" s="916"/>
      <c r="XW88" s="916"/>
      <c r="XX88" s="916"/>
      <c r="XY88" s="916"/>
      <c r="XZ88" s="916"/>
      <c r="YA88" s="916"/>
      <c r="YB88" s="916"/>
      <c r="YC88" s="916"/>
      <c r="YD88" s="916"/>
      <c r="YE88" s="916"/>
      <c r="YF88" s="916"/>
      <c r="YG88" s="916"/>
      <c r="YH88" s="916"/>
      <c r="YI88" s="916"/>
      <c r="YJ88" s="916"/>
      <c r="YK88" s="916"/>
      <c r="YL88" s="916"/>
      <c r="YM88" s="916"/>
      <c r="YN88" s="916"/>
      <c r="YO88" s="916"/>
      <c r="YP88" s="916"/>
      <c r="YQ88" s="916"/>
      <c r="YR88" s="916"/>
      <c r="YS88" s="916"/>
      <c r="YT88" s="916"/>
      <c r="YU88" s="916"/>
      <c r="YV88" s="916"/>
      <c r="YW88" s="916"/>
      <c r="YX88" s="916"/>
      <c r="YY88" s="916"/>
      <c r="YZ88" s="916"/>
      <c r="ZA88" s="916"/>
      <c r="ZB88" s="916"/>
      <c r="ZC88" s="916"/>
      <c r="ZD88" s="916"/>
      <c r="ZE88" s="916"/>
      <c r="ZF88" s="916"/>
      <c r="ZG88" s="916"/>
      <c r="ZH88" s="916"/>
      <c r="ZI88" s="916"/>
      <c r="ZJ88" s="916"/>
      <c r="ZK88" s="916"/>
      <c r="ZL88" s="916"/>
      <c r="ZM88" s="916"/>
      <c r="ZN88" s="916"/>
      <c r="ZO88" s="916"/>
      <c r="ZP88" s="916"/>
      <c r="ZQ88" s="916"/>
      <c r="ZR88" s="916"/>
      <c r="ZS88" s="916"/>
      <c r="ZT88" s="916"/>
      <c r="ZU88" s="916"/>
      <c r="ZV88" s="916"/>
      <c r="ZW88" s="916"/>
      <c r="ZX88" s="916"/>
      <c r="ZY88" s="916"/>
      <c r="ZZ88" s="916"/>
      <c r="AAA88" s="916"/>
      <c r="AAB88" s="916"/>
      <c r="AAC88" s="916"/>
      <c r="AAD88" s="916"/>
      <c r="AAE88" s="916"/>
      <c r="AAF88" s="916"/>
      <c r="AAG88" s="916"/>
      <c r="AAH88" s="916"/>
      <c r="AAI88" s="916"/>
      <c r="AAJ88" s="916"/>
      <c r="AAK88" s="916"/>
      <c r="AAL88" s="916"/>
      <c r="AAM88" s="916"/>
      <c r="AAN88" s="916"/>
      <c r="AAO88" s="916"/>
      <c r="AAP88" s="916"/>
      <c r="AAQ88" s="916"/>
      <c r="AAR88" s="916"/>
      <c r="AAS88" s="916"/>
      <c r="AAT88" s="916"/>
      <c r="AAU88" s="916"/>
      <c r="AAV88" s="916"/>
      <c r="AAW88" s="916"/>
      <c r="AAX88" s="916"/>
      <c r="AAY88" s="916"/>
      <c r="AAZ88" s="916"/>
      <c r="ABA88" s="916"/>
      <c r="ABB88" s="916"/>
      <c r="ABC88" s="916"/>
      <c r="ABD88" s="916"/>
      <c r="ABE88" s="916"/>
      <c r="ABF88" s="916"/>
      <c r="ABG88" s="916"/>
      <c r="ABH88" s="916"/>
      <c r="ABI88" s="916"/>
      <c r="ABJ88" s="916"/>
      <c r="ABK88" s="916"/>
      <c r="ABL88" s="916"/>
      <c r="ABM88" s="916"/>
      <c r="ABN88" s="916"/>
      <c r="ABO88" s="916"/>
      <c r="ABP88" s="916"/>
      <c r="ABQ88" s="916"/>
      <c r="ABR88" s="916"/>
      <c r="ABS88" s="916"/>
      <c r="ABT88" s="916"/>
      <c r="ABU88" s="916"/>
      <c r="ABV88" s="916"/>
      <c r="ABW88" s="916"/>
      <c r="ABX88" s="916"/>
      <c r="ABY88" s="916"/>
      <c r="ABZ88" s="916"/>
      <c r="ACA88" s="916"/>
      <c r="ACB88" s="916"/>
      <c r="ACC88" s="916"/>
      <c r="ACD88" s="916"/>
      <c r="ACE88" s="916"/>
      <c r="ACF88" s="916"/>
      <c r="ACG88" s="916"/>
      <c r="ACH88" s="916"/>
      <c r="ACI88" s="916"/>
      <c r="ACJ88" s="916"/>
      <c r="ACK88" s="916"/>
      <c r="ACL88" s="916"/>
      <c r="ACM88" s="916"/>
      <c r="ACN88" s="916"/>
      <c r="ACO88" s="916"/>
      <c r="ACP88" s="916"/>
      <c r="ACQ88" s="916"/>
      <c r="ACR88" s="916"/>
      <c r="ACS88" s="916"/>
      <c r="ACT88" s="916"/>
      <c r="ACU88" s="916"/>
      <c r="ACV88" s="916"/>
      <c r="ACW88" s="916"/>
      <c r="ACX88" s="916"/>
      <c r="ACY88" s="916"/>
      <c r="ACZ88" s="916"/>
      <c r="ADA88" s="916"/>
      <c r="ADB88" s="916"/>
      <c r="ADC88" s="916"/>
      <c r="ADD88" s="916"/>
      <c r="ADE88" s="916"/>
      <c r="ADF88" s="916"/>
      <c r="ADG88" s="916"/>
      <c r="ADH88" s="916"/>
      <c r="ADI88" s="916"/>
      <c r="ADJ88" s="916"/>
      <c r="ADK88" s="916"/>
      <c r="ADL88" s="916"/>
      <c r="ADM88" s="916"/>
      <c r="ADN88" s="916"/>
      <c r="ADO88" s="916"/>
      <c r="ADP88" s="916"/>
      <c r="ADQ88" s="916"/>
      <c r="ADR88" s="916"/>
      <c r="ADS88" s="916"/>
      <c r="ADT88" s="916"/>
      <c r="ADU88" s="916"/>
      <c r="ADV88" s="916"/>
      <c r="ADW88" s="916"/>
      <c r="ADX88" s="916"/>
      <c r="ADY88" s="916"/>
      <c r="ADZ88" s="916"/>
      <c r="AEA88" s="916"/>
      <c r="AEB88" s="916"/>
      <c r="AEC88" s="916"/>
      <c r="AED88" s="916"/>
      <c r="AEE88" s="916"/>
      <c r="AEF88" s="916"/>
      <c r="AEG88" s="916"/>
      <c r="AEH88" s="916"/>
      <c r="AEI88" s="916"/>
      <c r="AEJ88" s="916"/>
      <c r="AEK88" s="916"/>
      <c r="AEL88" s="916"/>
      <c r="AEM88" s="916"/>
      <c r="AEN88" s="916"/>
      <c r="AEO88" s="916"/>
      <c r="AEP88" s="916"/>
      <c r="AEQ88" s="916"/>
      <c r="AER88" s="916"/>
      <c r="AES88" s="916"/>
      <c r="AET88" s="916"/>
      <c r="AEU88" s="916"/>
      <c r="AEV88" s="916"/>
      <c r="AEW88" s="916"/>
      <c r="AEX88" s="916"/>
      <c r="AEY88" s="916"/>
      <c r="AEZ88" s="916"/>
      <c r="AFA88" s="916"/>
      <c r="AFB88" s="916"/>
      <c r="AFC88" s="916"/>
      <c r="AFD88" s="916"/>
      <c r="AFE88" s="916"/>
      <c r="AFF88" s="916"/>
      <c r="AFG88" s="916"/>
      <c r="AFH88" s="916"/>
      <c r="AFI88" s="916"/>
      <c r="AFJ88" s="916"/>
      <c r="AFK88" s="916"/>
      <c r="AFL88" s="916"/>
      <c r="AFM88" s="916"/>
      <c r="AFN88" s="916"/>
      <c r="AFO88" s="916"/>
      <c r="AFP88" s="916"/>
      <c r="AFQ88" s="916"/>
      <c r="AFR88" s="916"/>
      <c r="AFS88" s="916"/>
      <c r="AFT88" s="916"/>
      <c r="AFU88" s="916"/>
      <c r="AFV88" s="916"/>
      <c r="AFW88" s="916"/>
      <c r="AFX88" s="916"/>
      <c r="AFY88" s="916"/>
      <c r="AFZ88" s="916"/>
      <c r="AGA88" s="916"/>
      <c r="AGB88" s="916"/>
      <c r="AGC88" s="916"/>
      <c r="AGD88" s="916"/>
      <c r="AGE88" s="916"/>
      <c r="AGF88" s="916"/>
      <c r="AGG88" s="916"/>
      <c r="AGH88" s="916"/>
      <c r="AGI88" s="916"/>
      <c r="AGJ88" s="916"/>
      <c r="AGK88" s="916"/>
      <c r="AGL88" s="916"/>
      <c r="AGM88" s="916"/>
      <c r="AGN88" s="916"/>
      <c r="AGO88" s="916"/>
      <c r="AGP88" s="916"/>
      <c r="AGQ88" s="916"/>
      <c r="AGR88" s="916"/>
      <c r="AGS88" s="916"/>
      <c r="AGT88" s="916"/>
      <c r="AGU88" s="916"/>
      <c r="AGV88" s="916"/>
      <c r="AGW88" s="916"/>
      <c r="AGX88" s="916"/>
      <c r="AGY88" s="916"/>
      <c r="AGZ88" s="916"/>
      <c r="AHA88" s="916"/>
      <c r="AHB88" s="916"/>
      <c r="AHC88" s="916"/>
      <c r="AHD88" s="916"/>
      <c r="AHE88" s="916"/>
      <c r="AHF88" s="916"/>
      <c r="AHG88" s="916"/>
      <c r="AHH88" s="916"/>
      <c r="AHI88" s="916"/>
      <c r="AHJ88" s="916"/>
      <c r="AHK88" s="916"/>
      <c r="AHL88" s="916"/>
      <c r="AHM88" s="916"/>
      <c r="AHN88" s="916"/>
      <c r="AHO88" s="916"/>
      <c r="AHP88" s="916"/>
      <c r="AHQ88" s="916"/>
      <c r="AHR88" s="916"/>
      <c r="AHS88" s="916"/>
      <c r="AHT88" s="916"/>
      <c r="AHU88" s="916"/>
      <c r="AHV88" s="916"/>
      <c r="AHW88" s="916"/>
      <c r="AHX88" s="916"/>
      <c r="AHY88" s="916"/>
      <c r="AHZ88" s="916"/>
      <c r="AIA88" s="916"/>
      <c r="AIB88" s="916"/>
      <c r="AIC88" s="916"/>
      <c r="AID88" s="916"/>
      <c r="AIE88" s="916"/>
      <c r="AIF88" s="916"/>
      <c r="AIG88" s="916"/>
      <c r="AIH88" s="916"/>
      <c r="AII88" s="916"/>
      <c r="AIJ88" s="916"/>
      <c r="AIK88" s="916"/>
      <c r="AIL88" s="916"/>
      <c r="AIM88" s="916"/>
      <c r="AIN88" s="916"/>
      <c r="AIO88" s="916"/>
      <c r="AIP88" s="916"/>
      <c r="AIQ88" s="916"/>
      <c r="AIR88" s="916"/>
      <c r="AIS88" s="916"/>
      <c r="AIT88" s="916"/>
      <c r="AIU88" s="916"/>
      <c r="AIV88" s="916"/>
      <c r="AIW88" s="916"/>
      <c r="AIX88" s="916"/>
      <c r="AIY88" s="916"/>
      <c r="AIZ88" s="916"/>
      <c r="AJA88" s="916"/>
      <c r="AJB88" s="916"/>
      <c r="AJC88" s="916"/>
      <c r="AJD88" s="916"/>
      <c r="AJE88" s="916"/>
      <c r="AJF88" s="916"/>
      <c r="AJG88" s="916"/>
      <c r="AJH88" s="916"/>
      <c r="AJI88" s="916"/>
      <c r="AJJ88" s="916"/>
      <c r="AJK88" s="916"/>
      <c r="AJL88" s="916"/>
      <c r="AJM88" s="916"/>
      <c r="AJN88" s="916"/>
      <c r="AJO88" s="916"/>
      <c r="AJP88" s="916"/>
      <c r="AJQ88" s="916"/>
      <c r="AJR88" s="916"/>
      <c r="AJS88" s="916"/>
      <c r="AJT88" s="916"/>
      <c r="AJU88" s="916"/>
      <c r="AJV88" s="916"/>
      <c r="AJW88" s="916"/>
      <c r="AJX88" s="916"/>
      <c r="AJY88" s="916"/>
      <c r="AJZ88" s="916"/>
      <c r="AKA88" s="916"/>
      <c r="AKB88" s="916"/>
      <c r="AKC88" s="916"/>
      <c r="AKD88" s="916"/>
      <c r="AKE88" s="916"/>
      <c r="AKF88" s="916"/>
      <c r="AKG88" s="916"/>
      <c r="AKH88" s="916"/>
      <c r="AKI88" s="916"/>
      <c r="AKJ88" s="916"/>
      <c r="AKK88" s="916"/>
      <c r="AKL88" s="916"/>
      <c r="AKM88" s="916"/>
      <c r="AKN88" s="916"/>
      <c r="AKO88" s="916"/>
      <c r="AKP88" s="916"/>
      <c r="AKQ88" s="916"/>
      <c r="AKR88" s="916"/>
      <c r="AKS88" s="916"/>
      <c r="AKT88" s="916"/>
      <c r="AKU88" s="916"/>
      <c r="AKV88" s="916"/>
      <c r="AKW88" s="916"/>
      <c r="AKX88" s="916"/>
      <c r="AKY88" s="916"/>
      <c r="AKZ88" s="916"/>
      <c r="ALA88" s="916"/>
      <c r="ALB88" s="916"/>
      <c r="ALC88" s="916"/>
      <c r="ALD88" s="916"/>
      <c r="ALE88" s="916"/>
      <c r="ALF88" s="916"/>
      <c r="ALG88" s="916"/>
      <c r="ALH88" s="916"/>
      <c r="ALI88" s="916"/>
      <c r="ALJ88" s="916"/>
      <c r="ALK88" s="916"/>
      <c r="ALL88" s="916"/>
      <c r="ALM88" s="916"/>
      <c r="ALN88" s="916"/>
      <c r="ALO88" s="916"/>
      <c r="ALP88" s="916"/>
      <c r="ALQ88" s="916"/>
      <c r="ALR88" s="916"/>
      <c r="ALS88" s="916"/>
      <c r="ALT88" s="916"/>
      <c r="ALU88" s="916"/>
      <c r="ALV88" s="916"/>
      <c r="ALW88" s="916"/>
      <c r="ALX88" s="916"/>
      <c r="ALY88" s="916"/>
      <c r="ALZ88" s="916"/>
      <c r="AMA88" s="916"/>
      <c r="AMB88" s="916"/>
      <c r="AMC88" s="916"/>
      <c r="AMD88" s="916"/>
      <c r="AME88" s="916"/>
      <c r="AMF88" s="916"/>
      <c r="AMG88" s="916"/>
      <c r="AMH88" s="916"/>
      <c r="AMI88" s="916"/>
      <c r="AMJ88" s="916"/>
      <c r="AMK88" s="916"/>
      <c r="AML88" s="916"/>
      <c r="AMM88" s="916"/>
      <c r="AMN88" s="916"/>
      <c r="AMO88" s="916"/>
      <c r="AMP88" s="916"/>
      <c r="AMQ88" s="916"/>
      <c r="AMR88" s="916"/>
      <c r="AMS88" s="916"/>
      <c r="AMT88" s="916"/>
      <c r="AMU88" s="916"/>
      <c r="AMV88" s="916"/>
      <c r="AMW88" s="916"/>
      <c r="AMX88" s="916"/>
      <c r="AMY88" s="916"/>
      <c r="AMZ88" s="916"/>
      <c r="ANA88" s="916"/>
      <c r="ANB88" s="916"/>
      <c r="ANC88" s="916"/>
      <c r="AND88" s="916"/>
      <c r="ANE88" s="916"/>
      <c r="ANF88" s="916"/>
      <c r="ANG88" s="916"/>
      <c r="ANH88" s="916"/>
      <c r="ANI88" s="916"/>
      <c r="ANJ88" s="916"/>
      <c r="ANK88" s="916"/>
      <c r="ANL88" s="916"/>
      <c r="ANM88" s="916"/>
      <c r="ANN88" s="916"/>
      <c r="ANO88" s="916"/>
      <c r="ANP88" s="916"/>
      <c r="ANQ88" s="916"/>
      <c r="ANR88" s="916"/>
      <c r="ANS88" s="916"/>
      <c r="ANT88" s="916"/>
      <c r="ANU88" s="916"/>
      <c r="ANV88" s="916"/>
      <c r="ANW88" s="916"/>
      <c r="ANX88" s="916"/>
      <c r="ANY88" s="916"/>
      <c r="ANZ88" s="916"/>
      <c r="AOA88" s="916"/>
      <c r="AOB88" s="916"/>
      <c r="AOC88" s="916"/>
      <c r="AOD88" s="916"/>
      <c r="AOE88" s="916"/>
      <c r="AOF88" s="916"/>
      <c r="AOG88" s="916"/>
      <c r="AOH88" s="916"/>
      <c r="AOI88" s="916"/>
      <c r="AOJ88" s="916"/>
      <c r="AOK88" s="916"/>
      <c r="AOL88" s="916"/>
      <c r="AOM88" s="916"/>
      <c r="AON88" s="916"/>
      <c r="AOO88" s="916"/>
      <c r="AOP88" s="916"/>
      <c r="AOQ88" s="916"/>
      <c r="AOR88" s="916"/>
      <c r="AOS88" s="916"/>
      <c r="AOT88" s="916"/>
      <c r="AOU88" s="916"/>
      <c r="AOV88" s="916"/>
      <c r="AOW88" s="916"/>
      <c r="AOX88" s="916"/>
      <c r="AOY88" s="916"/>
      <c r="AOZ88" s="916"/>
      <c r="APA88" s="916"/>
      <c r="APB88" s="916"/>
      <c r="APC88" s="916"/>
      <c r="APD88" s="916"/>
      <c r="APE88" s="916"/>
      <c r="APF88" s="916"/>
      <c r="APG88" s="916"/>
      <c r="APH88" s="916"/>
      <c r="API88" s="916"/>
      <c r="APJ88" s="916"/>
      <c r="APK88" s="916"/>
      <c r="APL88" s="916"/>
      <c r="APM88" s="916"/>
      <c r="APN88" s="916"/>
      <c r="APO88" s="916"/>
      <c r="APP88" s="916"/>
      <c r="APQ88" s="916"/>
      <c r="APR88" s="916"/>
      <c r="APS88" s="916"/>
      <c r="APT88" s="916"/>
      <c r="APU88" s="916"/>
      <c r="APV88" s="916"/>
      <c r="APW88" s="916"/>
      <c r="APX88" s="916"/>
      <c r="APY88" s="916"/>
      <c r="APZ88" s="916"/>
      <c r="AQA88" s="916"/>
      <c r="AQB88" s="916"/>
      <c r="AQC88" s="916"/>
      <c r="AQD88" s="916"/>
      <c r="AQE88" s="916"/>
      <c r="AQF88" s="916"/>
      <c r="AQG88" s="916"/>
      <c r="AQH88" s="916"/>
      <c r="AQI88" s="916"/>
      <c r="AQJ88" s="916"/>
      <c r="AQK88" s="916"/>
      <c r="AQL88" s="916"/>
      <c r="AQM88" s="916"/>
      <c r="AQN88" s="916"/>
      <c r="AQO88" s="916"/>
      <c r="AQP88" s="916"/>
      <c r="AQQ88" s="916"/>
      <c r="AQR88" s="916"/>
      <c r="AQS88" s="916"/>
      <c r="AQT88" s="916"/>
      <c r="AQU88" s="916"/>
      <c r="AQV88" s="916"/>
      <c r="AQW88" s="916"/>
      <c r="AQX88" s="916"/>
      <c r="AQY88" s="916"/>
      <c r="AQZ88" s="916"/>
      <c r="ARA88" s="916"/>
      <c r="ARB88" s="916"/>
      <c r="ARC88" s="916"/>
      <c r="ARD88" s="916"/>
      <c r="ARE88" s="916"/>
      <c r="ARF88" s="916"/>
      <c r="ARG88" s="916"/>
      <c r="ARH88" s="916"/>
      <c r="ARI88" s="916"/>
      <c r="ARJ88" s="916"/>
      <c r="ARK88" s="916"/>
      <c r="ARL88" s="916"/>
      <c r="ARM88" s="916"/>
      <c r="ARN88" s="916"/>
      <c r="ARO88" s="916"/>
      <c r="ARP88" s="916"/>
      <c r="ARQ88" s="916"/>
      <c r="ARR88" s="916"/>
      <c r="ARS88" s="916"/>
      <c r="ART88" s="916"/>
      <c r="ARU88" s="916"/>
      <c r="ARV88" s="916"/>
      <c r="ARW88" s="916"/>
      <c r="ARX88" s="916"/>
      <c r="ARY88" s="916"/>
      <c r="ARZ88" s="916"/>
      <c r="ASA88" s="916"/>
      <c r="ASB88" s="916"/>
      <c r="ASC88" s="916"/>
      <c r="ASD88" s="916"/>
      <c r="ASE88" s="916"/>
      <c r="ASF88" s="916"/>
      <c r="ASG88" s="916"/>
      <c r="ASH88" s="916"/>
      <c r="ASI88" s="916"/>
      <c r="ASJ88" s="916"/>
      <c r="ASK88" s="916"/>
      <c r="ASL88" s="916"/>
      <c r="ASM88" s="916"/>
      <c r="ASN88" s="916"/>
      <c r="ASO88" s="916"/>
      <c r="ASP88" s="916"/>
      <c r="ASQ88" s="916"/>
      <c r="ASR88" s="916"/>
      <c r="ASS88" s="916"/>
      <c r="AST88" s="916"/>
      <c r="ASU88" s="916"/>
      <c r="ASV88" s="916"/>
      <c r="ASW88" s="916"/>
      <c r="ASX88" s="916"/>
      <c r="ASY88" s="916"/>
      <c r="ASZ88" s="916"/>
      <c r="ATA88" s="916"/>
      <c r="ATB88" s="916"/>
      <c r="ATC88" s="916"/>
      <c r="ATD88" s="916"/>
      <c r="ATE88" s="916"/>
      <c r="ATF88" s="916"/>
      <c r="ATG88" s="916"/>
      <c r="ATH88" s="916"/>
      <c r="ATI88" s="916"/>
      <c r="ATJ88" s="916"/>
      <c r="ATK88" s="916"/>
      <c r="ATL88" s="916"/>
      <c r="ATM88" s="916"/>
      <c r="ATN88" s="916"/>
      <c r="ATO88" s="916"/>
      <c r="ATP88" s="916"/>
      <c r="ATQ88" s="916"/>
      <c r="ATR88" s="916"/>
      <c r="ATS88" s="916"/>
      <c r="ATT88" s="916"/>
      <c r="ATU88" s="916"/>
      <c r="ATV88" s="916"/>
      <c r="ATW88" s="916"/>
      <c r="ATX88" s="916"/>
      <c r="ATY88" s="916"/>
      <c r="ATZ88" s="916"/>
      <c r="AUA88" s="916"/>
      <c r="AUB88" s="916"/>
      <c r="AUC88" s="916"/>
      <c r="AUD88" s="916"/>
      <c r="AUE88" s="916"/>
      <c r="AUF88" s="916"/>
      <c r="AUG88" s="916"/>
      <c r="AUH88" s="916"/>
      <c r="AUI88" s="916"/>
      <c r="AUJ88" s="916"/>
      <c r="AUK88" s="916"/>
      <c r="AUL88" s="916"/>
      <c r="AUM88" s="916"/>
      <c r="AUN88" s="916"/>
      <c r="AUO88" s="916"/>
      <c r="AUP88" s="916"/>
      <c r="AUQ88" s="916"/>
      <c r="AUR88" s="916"/>
      <c r="AUS88" s="916"/>
      <c r="AUT88" s="916"/>
      <c r="AUU88" s="916"/>
      <c r="AUV88" s="916"/>
      <c r="AUW88" s="916"/>
      <c r="AUX88" s="916"/>
      <c r="AUY88" s="916"/>
      <c r="AUZ88" s="916"/>
      <c r="AVA88" s="916"/>
      <c r="AVB88" s="916"/>
      <c r="AVC88" s="916"/>
      <c r="AVD88" s="916"/>
      <c r="AVE88" s="916"/>
      <c r="AVF88" s="916"/>
      <c r="AVG88" s="916"/>
      <c r="AVH88" s="916"/>
      <c r="AVI88" s="916"/>
      <c r="AVJ88" s="916"/>
      <c r="AVK88" s="916"/>
      <c r="AVL88" s="916"/>
      <c r="AVM88" s="916"/>
      <c r="AVN88" s="916"/>
      <c r="AVO88" s="916"/>
      <c r="AVP88" s="916"/>
      <c r="AVQ88" s="916"/>
      <c r="AVR88" s="916"/>
      <c r="AVS88" s="916"/>
      <c r="AVT88" s="916"/>
      <c r="AVU88" s="916"/>
      <c r="AVV88" s="916"/>
      <c r="AVW88" s="916"/>
      <c r="AVX88" s="916"/>
      <c r="AVY88" s="916"/>
      <c r="AVZ88" s="916"/>
      <c r="AWA88" s="916"/>
      <c r="AWB88" s="916"/>
      <c r="AWC88" s="916"/>
      <c r="AWD88" s="916"/>
      <c r="AWE88" s="916"/>
      <c r="AWF88" s="916"/>
      <c r="AWG88" s="916"/>
      <c r="AWH88" s="916"/>
      <c r="AWI88" s="916"/>
      <c r="AWJ88" s="916"/>
      <c r="AWK88" s="916"/>
      <c r="AWL88" s="916"/>
      <c r="AWM88" s="916"/>
      <c r="AWN88" s="916"/>
      <c r="AWO88" s="916"/>
      <c r="AWP88" s="916"/>
      <c r="AWQ88" s="916"/>
      <c r="AWR88" s="916"/>
      <c r="AWS88" s="916"/>
      <c r="AWT88" s="916"/>
      <c r="AWU88" s="916"/>
      <c r="AWV88" s="916"/>
      <c r="AWW88" s="916"/>
      <c r="AWX88" s="916"/>
      <c r="AWY88" s="916"/>
      <c r="AWZ88" s="916"/>
      <c r="AXA88" s="916"/>
      <c r="AXB88" s="916"/>
      <c r="AXC88" s="916"/>
      <c r="AXD88" s="916"/>
      <c r="AXE88" s="916"/>
      <c r="AXF88" s="916"/>
      <c r="AXG88" s="916"/>
      <c r="AXH88" s="916"/>
      <c r="AXI88" s="916"/>
      <c r="AXJ88" s="916"/>
      <c r="AXK88" s="916"/>
      <c r="AXL88" s="916"/>
      <c r="AXM88" s="916"/>
      <c r="AXN88" s="916"/>
      <c r="AXO88" s="916"/>
      <c r="AXP88" s="916"/>
      <c r="AXQ88" s="916"/>
      <c r="AXR88" s="916"/>
      <c r="AXS88" s="916"/>
      <c r="AXT88" s="916"/>
      <c r="AXU88" s="916"/>
      <c r="AXV88" s="916"/>
      <c r="AXW88" s="916"/>
      <c r="AXX88" s="916"/>
      <c r="AXY88" s="916"/>
      <c r="AXZ88" s="916"/>
      <c r="AYA88" s="916"/>
      <c r="AYB88" s="916"/>
      <c r="AYC88" s="916"/>
      <c r="AYD88" s="916"/>
      <c r="AYE88" s="916"/>
      <c r="AYF88" s="916"/>
      <c r="AYG88" s="916"/>
      <c r="AYH88" s="916"/>
      <c r="AYI88" s="916"/>
      <c r="AYJ88" s="916"/>
      <c r="AYK88" s="916"/>
      <c r="AYL88" s="916"/>
      <c r="AYM88" s="916"/>
      <c r="AYN88" s="916"/>
      <c r="AYO88" s="916"/>
      <c r="AYP88" s="916"/>
      <c r="AYQ88" s="916"/>
      <c r="AYR88" s="916"/>
      <c r="AYS88" s="916"/>
      <c r="AYT88" s="916"/>
      <c r="AYU88" s="916"/>
      <c r="AYV88" s="916"/>
      <c r="AYW88" s="916"/>
      <c r="AYX88" s="916"/>
      <c r="AYY88" s="916"/>
      <c r="AYZ88" s="916"/>
      <c r="AZA88" s="916"/>
      <c r="AZB88" s="916"/>
      <c r="AZC88" s="916"/>
      <c r="AZD88" s="916"/>
      <c r="AZE88" s="916"/>
      <c r="AZF88" s="916"/>
      <c r="AZG88" s="916"/>
      <c r="AZH88" s="916"/>
      <c r="AZI88" s="916"/>
      <c r="AZJ88" s="916"/>
      <c r="AZK88" s="916"/>
      <c r="AZL88" s="916"/>
      <c r="AZM88" s="916"/>
      <c r="AZN88" s="916"/>
      <c r="AZO88" s="916"/>
      <c r="AZP88" s="916"/>
      <c r="AZQ88" s="916"/>
      <c r="AZR88" s="916"/>
      <c r="AZS88" s="916"/>
      <c r="AZT88" s="916"/>
      <c r="AZU88" s="916"/>
      <c r="AZV88" s="916"/>
      <c r="AZW88" s="916"/>
      <c r="AZX88" s="916"/>
      <c r="AZY88" s="916"/>
      <c r="AZZ88" s="916"/>
      <c r="BAA88" s="916"/>
      <c r="BAB88" s="916"/>
      <c r="BAC88" s="916"/>
      <c r="BAD88" s="916"/>
      <c r="BAE88" s="916"/>
      <c r="BAF88" s="916"/>
      <c r="BAG88" s="916"/>
      <c r="BAH88" s="916"/>
      <c r="BAI88" s="916"/>
      <c r="BAJ88" s="916"/>
      <c r="BAK88" s="916"/>
      <c r="BAL88" s="916"/>
      <c r="BAM88" s="916"/>
      <c r="BAN88" s="916"/>
      <c r="BAO88" s="916"/>
      <c r="BAP88" s="916"/>
      <c r="BAQ88" s="916"/>
      <c r="BAR88" s="916"/>
      <c r="BAS88" s="916"/>
      <c r="BAT88" s="916"/>
      <c r="BAU88" s="916"/>
      <c r="BAV88" s="916"/>
      <c r="BAW88" s="916"/>
      <c r="BAX88" s="916"/>
      <c r="BAY88" s="916"/>
      <c r="BAZ88" s="916"/>
      <c r="BBA88" s="916"/>
      <c r="BBB88" s="916"/>
      <c r="BBC88" s="916"/>
      <c r="BBD88" s="916"/>
      <c r="BBE88" s="916"/>
      <c r="BBF88" s="916"/>
      <c r="BBG88" s="916"/>
      <c r="BBH88" s="916"/>
      <c r="BBI88" s="916"/>
      <c r="BBJ88" s="916"/>
      <c r="BBK88" s="916"/>
      <c r="BBL88" s="916"/>
      <c r="BBM88" s="916"/>
      <c r="BBN88" s="916"/>
      <c r="BBO88" s="916"/>
      <c r="BBP88" s="916"/>
      <c r="BBQ88" s="916"/>
      <c r="BBR88" s="916"/>
      <c r="BBS88" s="916"/>
      <c r="BBT88" s="916"/>
      <c r="BBU88" s="916"/>
      <c r="BBV88" s="916"/>
      <c r="BBW88" s="916"/>
      <c r="BBX88" s="916"/>
      <c r="BBY88" s="916"/>
      <c r="BBZ88" s="916"/>
      <c r="BCA88" s="916"/>
      <c r="BCB88" s="916"/>
      <c r="BCC88" s="916"/>
      <c r="BCD88" s="916"/>
      <c r="BCE88" s="916"/>
      <c r="BCF88" s="916"/>
      <c r="BCG88" s="916"/>
      <c r="BCH88" s="916"/>
      <c r="BCI88" s="916"/>
      <c r="BCJ88" s="916"/>
      <c r="BCK88" s="916"/>
      <c r="BCL88" s="916"/>
      <c r="BCM88" s="916"/>
      <c r="BCN88" s="916"/>
      <c r="BCO88" s="916"/>
      <c r="BCP88" s="916"/>
      <c r="BCQ88" s="916"/>
      <c r="BCR88" s="916"/>
      <c r="BCS88" s="916"/>
      <c r="BCT88" s="916"/>
      <c r="BCU88" s="916"/>
      <c r="BCV88" s="916"/>
      <c r="BCW88" s="916"/>
      <c r="BCX88" s="916"/>
      <c r="BCY88" s="916"/>
      <c r="BCZ88" s="916"/>
      <c r="BDA88" s="916"/>
      <c r="BDB88" s="916"/>
      <c r="BDC88" s="916"/>
      <c r="BDD88" s="916"/>
      <c r="BDE88" s="916"/>
      <c r="BDF88" s="916"/>
      <c r="BDG88" s="916"/>
      <c r="BDH88" s="916"/>
      <c r="BDI88" s="916"/>
      <c r="BDJ88" s="916"/>
      <c r="BDK88" s="916"/>
      <c r="BDL88" s="916"/>
      <c r="BDM88" s="916"/>
      <c r="BDN88" s="916"/>
      <c r="BDO88" s="916"/>
      <c r="BDP88" s="916"/>
      <c r="BDQ88" s="916"/>
      <c r="BDR88" s="916"/>
      <c r="BDS88" s="916"/>
      <c r="BDT88" s="916"/>
      <c r="BDU88" s="916"/>
      <c r="BDV88" s="916"/>
      <c r="BDW88" s="916"/>
      <c r="BDX88" s="916"/>
      <c r="BDY88" s="916"/>
      <c r="BDZ88" s="916"/>
      <c r="BEA88" s="916"/>
      <c r="BEB88" s="916"/>
      <c r="BEC88" s="916"/>
      <c r="BED88" s="916"/>
      <c r="BEE88" s="916"/>
      <c r="BEF88" s="916"/>
      <c r="BEG88" s="916"/>
      <c r="BEH88" s="916"/>
      <c r="BEI88" s="916"/>
      <c r="BEJ88" s="916"/>
      <c r="BEK88" s="916"/>
      <c r="BEL88" s="916"/>
      <c r="BEM88" s="916"/>
      <c r="BEN88" s="916"/>
      <c r="BEO88" s="916"/>
      <c r="BEP88" s="916"/>
      <c r="BEQ88" s="916"/>
      <c r="BER88" s="916"/>
      <c r="BES88" s="916"/>
      <c r="BET88" s="916"/>
      <c r="BEU88" s="916"/>
      <c r="BEV88" s="916"/>
      <c r="BEW88" s="916"/>
      <c r="BEX88" s="916"/>
      <c r="BEY88" s="916"/>
      <c r="BEZ88" s="916"/>
      <c r="BFA88" s="916"/>
      <c r="BFB88" s="916"/>
      <c r="BFC88" s="916"/>
      <c r="BFD88" s="916"/>
      <c r="BFE88" s="916"/>
      <c r="BFF88" s="916"/>
      <c r="BFG88" s="916"/>
      <c r="BFH88" s="916"/>
      <c r="BFI88" s="916"/>
      <c r="BFJ88" s="916"/>
      <c r="BFK88" s="916"/>
      <c r="BFL88" s="916"/>
      <c r="BFM88" s="916"/>
      <c r="BFN88" s="916"/>
      <c r="BFO88" s="916"/>
      <c r="BFP88" s="916"/>
      <c r="BFQ88" s="916"/>
      <c r="BFR88" s="916"/>
      <c r="BFS88" s="916"/>
      <c r="BFT88" s="916"/>
      <c r="BFU88" s="916"/>
      <c r="BFV88" s="916"/>
      <c r="BFW88" s="916"/>
      <c r="BFX88" s="916"/>
      <c r="BFY88" s="916"/>
      <c r="BFZ88" s="916"/>
      <c r="BGA88" s="916"/>
      <c r="BGB88" s="916"/>
      <c r="BGC88" s="916"/>
      <c r="BGD88" s="916"/>
      <c r="BGE88" s="916"/>
      <c r="BGF88" s="916"/>
      <c r="BGG88" s="916"/>
      <c r="BGH88" s="916"/>
      <c r="BGI88" s="916"/>
      <c r="BGJ88" s="916"/>
      <c r="BGK88" s="916"/>
      <c r="BGL88" s="916"/>
      <c r="BGM88" s="916"/>
      <c r="BGN88" s="916"/>
      <c r="BGO88" s="916"/>
      <c r="BGP88" s="916"/>
      <c r="BGQ88" s="916"/>
      <c r="BGR88" s="916"/>
      <c r="BGS88" s="916"/>
      <c r="BGT88" s="916"/>
      <c r="BGU88" s="916"/>
      <c r="BGV88" s="916"/>
      <c r="BGW88" s="916"/>
      <c r="BGX88" s="916"/>
      <c r="BGY88" s="916"/>
      <c r="BGZ88" s="916"/>
      <c r="BHA88" s="916"/>
      <c r="BHB88" s="916"/>
      <c r="BHC88" s="916"/>
      <c r="BHD88" s="916"/>
      <c r="BHE88" s="916"/>
      <c r="BHF88" s="916"/>
      <c r="BHG88" s="916"/>
      <c r="BHH88" s="916"/>
      <c r="BHI88" s="916"/>
      <c r="BHJ88" s="916"/>
      <c r="BHK88" s="916"/>
      <c r="BHL88" s="916"/>
      <c r="BHM88" s="916"/>
      <c r="BHN88" s="916"/>
      <c r="BHO88" s="916"/>
      <c r="BHP88" s="916"/>
      <c r="BHQ88" s="916"/>
      <c r="BHR88" s="916"/>
      <c r="BHS88" s="916"/>
      <c r="BHT88" s="916"/>
      <c r="BHU88" s="916"/>
      <c r="BHV88" s="916"/>
      <c r="BHW88" s="916"/>
      <c r="BHX88" s="916"/>
      <c r="BHY88" s="916"/>
      <c r="BHZ88" s="916"/>
      <c r="BIA88" s="916"/>
      <c r="BIB88" s="916"/>
      <c r="BIC88" s="916"/>
      <c r="BID88" s="916"/>
      <c r="BIE88" s="916"/>
      <c r="BIF88" s="916"/>
      <c r="BIG88" s="916"/>
      <c r="BIH88" s="916"/>
      <c r="BII88" s="916"/>
      <c r="BIJ88" s="916"/>
      <c r="BIK88" s="916"/>
      <c r="BIL88" s="916"/>
      <c r="BIM88" s="916"/>
      <c r="BIN88" s="916"/>
      <c r="BIO88" s="916"/>
      <c r="BIP88" s="916"/>
      <c r="BIQ88" s="916"/>
      <c r="BIR88" s="916"/>
      <c r="BIS88" s="916"/>
      <c r="BIT88" s="916"/>
      <c r="BIU88" s="916"/>
      <c r="BIV88" s="916"/>
      <c r="BIW88" s="916"/>
      <c r="BIX88" s="916"/>
      <c r="BIY88" s="916"/>
      <c r="BIZ88" s="916"/>
      <c r="BJA88" s="916"/>
      <c r="BJB88" s="916"/>
      <c r="BJC88" s="916"/>
      <c r="BJD88" s="916"/>
      <c r="BJE88" s="916"/>
      <c r="BJF88" s="916"/>
      <c r="BJG88" s="916"/>
      <c r="BJH88" s="916"/>
      <c r="BJI88" s="916"/>
      <c r="BJJ88" s="916"/>
      <c r="BJK88" s="916"/>
      <c r="BJL88" s="916"/>
      <c r="BJM88" s="916"/>
      <c r="BJN88" s="916"/>
      <c r="BJO88" s="916"/>
      <c r="BJP88" s="916"/>
      <c r="BJQ88" s="916"/>
      <c r="BJR88" s="916"/>
      <c r="BJS88" s="916"/>
      <c r="BJT88" s="916"/>
      <c r="BJU88" s="916"/>
      <c r="BJV88" s="916"/>
      <c r="BJW88" s="916"/>
      <c r="BJX88" s="916"/>
      <c r="BJY88" s="916"/>
      <c r="BJZ88" s="916"/>
      <c r="BKA88" s="916"/>
      <c r="BKB88" s="916"/>
      <c r="BKC88" s="916"/>
      <c r="BKD88" s="916"/>
      <c r="BKE88" s="916"/>
      <c r="BKF88" s="916"/>
      <c r="BKG88" s="916"/>
      <c r="BKH88" s="916"/>
      <c r="BKI88" s="916"/>
      <c r="BKJ88" s="916"/>
      <c r="BKK88" s="916"/>
      <c r="BKL88" s="916"/>
      <c r="BKM88" s="916"/>
      <c r="BKN88" s="916"/>
      <c r="BKO88" s="916"/>
      <c r="BKP88" s="916"/>
      <c r="BKQ88" s="916"/>
      <c r="BKR88" s="916"/>
      <c r="BKS88" s="916"/>
      <c r="BKT88" s="916"/>
      <c r="BKU88" s="916"/>
      <c r="BKV88" s="916"/>
      <c r="BKW88" s="916"/>
      <c r="BKX88" s="916"/>
      <c r="BKY88" s="916"/>
      <c r="BKZ88" s="916"/>
      <c r="BLA88" s="916"/>
      <c r="BLB88" s="916"/>
      <c r="BLC88" s="916"/>
      <c r="BLD88" s="916"/>
      <c r="BLE88" s="916"/>
      <c r="BLF88" s="916"/>
      <c r="BLG88" s="916"/>
      <c r="BLH88" s="916"/>
      <c r="BLI88" s="916"/>
      <c r="BLJ88" s="916"/>
      <c r="BLK88" s="916"/>
      <c r="BLL88" s="916"/>
      <c r="BLM88" s="916"/>
      <c r="BLN88" s="916"/>
      <c r="BLO88" s="916"/>
      <c r="BLP88" s="916"/>
      <c r="BLQ88" s="916"/>
      <c r="BLR88" s="916"/>
      <c r="BLS88" s="916"/>
      <c r="BLT88" s="916"/>
      <c r="BLU88" s="916"/>
      <c r="BLV88" s="916"/>
      <c r="BLW88" s="916"/>
      <c r="BLX88" s="916"/>
      <c r="BLY88" s="916"/>
      <c r="BLZ88" s="916"/>
      <c r="BMA88" s="916"/>
      <c r="BMB88" s="916"/>
      <c r="BMC88" s="916"/>
      <c r="BMD88" s="916"/>
      <c r="BME88" s="916"/>
      <c r="BMF88" s="916"/>
      <c r="BMG88" s="916"/>
      <c r="BMH88" s="916"/>
      <c r="BMI88" s="916"/>
      <c r="BMJ88" s="916"/>
      <c r="BMK88" s="916"/>
      <c r="BML88" s="916"/>
      <c r="BMM88" s="916"/>
      <c r="BMN88" s="916"/>
      <c r="BMO88" s="916"/>
      <c r="BMP88" s="916"/>
      <c r="BMQ88" s="916"/>
      <c r="BMR88" s="916"/>
      <c r="BMS88" s="916"/>
      <c r="BMT88" s="916"/>
      <c r="BMU88" s="916"/>
      <c r="BMV88" s="916"/>
      <c r="BMW88" s="916"/>
      <c r="BMX88" s="916"/>
      <c r="BMY88" s="916"/>
      <c r="BMZ88" s="916"/>
      <c r="BNA88" s="916"/>
      <c r="BNB88" s="916"/>
      <c r="BNC88" s="916"/>
      <c r="BND88" s="916"/>
      <c r="BNE88" s="916"/>
      <c r="BNF88" s="916"/>
      <c r="BNG88" s="916"/>
      <c r="BNH88" s="916"/>
      <c r="BNI88" s="916"/>
      <c r="BNJ88" s="916"/>
      <c r="BNK88" s="916"/>
      <c r="BNL88" s="916"/>
      <c r="BNM88" s="916"/>
      <c r="BNN88" s="916"/>
      <c r="BNO88" s="916"/>
      <c r="BNP88" s="916"/>
      <c r="BNQ88" s="916"/>
      <c r="BNR88" s="916"/>
      <c r="BNS88" s="916"/>
      <c r="BNT88" s="916"/>
      <c r="BNU88" s="916"/>
      <c r="BNV88" s="916"/>
      <c r="BNW88" s="916"/>
      <c r="BNX88" s="916"/>
      <c r="BNY88" s="916"/>
      <c r="BNZ88" s="916"/>
      <c r="BOA88" s="916"/>
      <c r="BOB88" s="916"/>
      <c r="BOC88" s="916"/>
      <c r="BOD88" s="916"/>
      <c r="BOE88" s="916"/>
      <c r="BOF88" s="916"/>
      <c r="BOG88" s="916"/>
      <c r="BOH88" s="916"/>
      <c r="BOI88" s="916"/>
      <c r="BOJ88" s="916"/>
      <c r="BOK88" s="916"/>
      <c r="BOL88" s="916"/>
      <c r="BOM88" s="916"/>
      <c r="BON88" s="916"/>
      <c r="BOO88" s="916"/>
      <c r="BOP88" s="916"/>
      <c r="BOQ88" s="916"/>
      <c r="BOR88" s="916"/>
      <c r="BOS88" s="916"/>
      <c r="BOT88" s="916"/>
      <c r="BOU88" s="916"/>
      <c r="BOV88" s="916"/>
      <c r="BOW88" s="916"/>
      <c r="BOX88" s="916"/>
      <c r="BOY88" s="916"/>
      <c r="BOZ88" s="916"/>
      <c r="BPA88" s="916"/>
      <c r="BPB88" s="916"/>
      <c r="BPC88" s="916"/>
      <c r="BPD88" s="916"/>
      <c r="BPE88" s="916"/>
      <c r="BPF88" s="916"/>
      <c r="BPG88" s="916"/>
      <c r="BPH88" s="916"/>
      <c r="BPI88" s="916"/>
      <c r="BPJ88" s="916"/>
      <c r="BPK88" s="916"/>
      <c r="BPL88" s="916"/>
      <c r="BPM88" s="916"/>
      <c r="BPN88" s="916"/>
      <c r="BPO88" s="916"/>
      <c r="BPP88" s="916"/>
      <c r="BPQ88" s="916"/>
      <c r="BPR88" s="916"/>
      <c r="BPS88" s="916"/>
      <c r="BPT88" s="916"/>
      <c r="BPU88" s="916"/>
      <c r="BPV88" s="916"/>
      <c r="BPW88" s="916"/>
      <c r="BPX88" s="916"/>
      <c r="BPY88" s="916"/>
      <c r="BPZ88" s="916"/>
      <c r="BQA88" s="916"/>
      <c r="BQB88" s="916"/>
      <c r="BQC88" s="916"/>
      <c r="BQD88" s="916"/>
      <c r="BQE88" s="916"/>
      <c r="BQF88" s="916"/>
      <c r="BQG88" s="916"/>
      <c r="BQH88" s="916"/>
      <c r="BQI88" s="916"/>
      <c r="BQJ88" s="916"/>
      <c r="BQK88" s="916"/>
      <c r="BQL88" s="916"/>
      <c r="BQM88" s="916"/>
      <c r="BQN88" s="916"/>
      <c r="BQO88" s="916"/>
      <c r="BQP88" s="916"/>
      <c r="BQQ88" s="916"/>
      <c r="BQR88" s="916"/>
      <c r="BQS88" s="916"/>
      <c r="BQT88" s="916"/>
      <c r="BQU88" s="916"/>
      <c r="BQV88" s="916"/>
      <c r="BQW88" s="916"/>
      <c r="BQX88" s="916"/>
      <c r="BQY88" s="916"/>
      <c r="BQZ88" s="916"/>
      <c r="BRA88" s="916"/>
      <c r="BRB88" s="916"/>
      <c r="BRC88" s="916"/>
      <c r="BRD88" s="916"/>
      <c r="BRE88" s="916"/>
      <c r="BRF88" s="916"/>
      <c r="BRG88" s="916"/>
      <c r="BRH88" s="916"/>
      <c r="BRI88" s="916"/>
      <c r="BRJ88" s="916"/>
      <c r="BRK88" s="916"/>
      <c r="BRL88" s="916"/>
      <c r="BRM88" s="916"/>
      <c r="BRN88" s="916"/>
      <c r="BRO88" s="916"/>
      <c r="BRP88" s="916"/>
      <c r="BRQ88" s="916"/>
      <c r="BRR88" s="916"/>
      <c r="BRS88" s="916"/>
      <c r="BRT88" s="916"/>
      <c r="BRU88" s="916"/>
      <c r="BRV88" s="916"/>
      <c r="BRW88" s="916"/>
      <c r="BRX88" s="916"/>
      <c r="BRY88" s="916"/>
      <c r="BRZ88" s="916"/>
      <c r="BSA88" s="916"/>
      <c r="BSB88" s="916"/>
      <c r="BSC88" s="916"/>
      <c r="BSD88" s="916"/>
      <c r="BSE88" s="916"/>
      <c r="BSF88" s="916"/>
      <c r="BSG88" s="916"/>
      <c r="BSH88" s="916"/>
      <c r="BSI88" s="916"/>
      <c r="BSJ88" s="916"/>
      <c r="BSK88" s="916"/>
      <c r="BSL88" s="916"/>
      <c r="BSM88" s="916"/>
      <c r="BSN88" s="916"/>
      <c r="BSO88" s="916"/>
      <c r="BSP88" s="916"/>
      <c r="BSQ88" s="916"/>
      <c r="BSR88" s="916"/>
      <c r="BSS88" s="916"/>
      <c r="BST88" s="916"/>
      <c r="BSU88" s="916"/>
      <c r="BSV88" s="916"/>
      <c r="BSW88" s="916"/>
      <c r="BSX88" s="916"/>
      <c r="BSY88" s="916"/>
      <c r="BSZ88" s="916"/>
      <c r="BTA88" s="916"/>
      <c r="BTB88" s="916"/>
      <c r="BTC88" s="916"/>
      <c r="BTD88" s="916"/>
      <c r="BTE88" s="916"/>
      <c r="BTF88" s="916"/>
      <c r="BTG88" s="916"/>
      <c r="BTH88" s="916"/>
      <c r="BTI88" s="916"/>
      <c r="BTJ88" s="916"/>
      <c r="BTK88" s="916"/>
      <c r="BTL88" s="916"/>
      <c r="BTM88" s="916"/>
      <c r="BTN88" s="916"/>
      <c r="BTO88" s="916"/>
      <c r="BTP88" s="916"/>
      <c r="BTQ88" s="916"/>
      <c r="BTR88" s="916"/>
      <c r="BTS88" s="916"/>
      <c r="BTT88" s="916"/>
      <c r="BTU88" s="916"/>
      <c r="BTV88" s="916"/>
      <c r="BTW88" s="916"/>
      <c r="BTX88" s="916"/>
      <c r="BTY88" s="916"/>
      <c r="BTZ88" s="916"/>
      <c r="BUA88" s="916"/>
      <c r="BUB88" s="916"/>
      <c r="BUC88" s="916"/>
      <c r="BUD88" s="916"/>
      <c r="BUE88" s="916"/>
      <c r="BUF88" s="916"/>
      <c r="BUG88" s="916"/>
      <c r="BUH88" s="916"/>
      <c r="BUI88" s="916"/>
      <c r="BUJ88" s="916"/>
      <c r="BUK88" s="916"/>
      <c r="BUL88" s="916"/>
      <c r="BUM88" s="916"/>
      <c r="BUN88" s="916"/>
      <c r="BUO88" s="916"/>
      <c r="BUP88" s="916"/>
      <c r="BUQ88" s="916"/>
      <c r="BUR88" s="916"/>
      <c r="BUS88" s="916"/>
      <c r="BUT88" s="916"/>
      <c r="BUU88" s="916"/>
      <c r="BUV88" s="916"/>
      <c r="BUW88" s="916"/>
      <c r="BUX88" s="916"/>
      <c r="BUY88" s="916"/>
      <c r="BUZ88" s="916"/>
      <c r="BVA88" s="916"/>
      <c r="BVB88" s="916"/>
      <c r="BVC88" s="916"/>
      <c r="BVD88" s="916"/>
      <c r="BVE88" s="916"/>
      <c r="BVF88" s="916"/>
      <c r="BVG88" s="916"/>
      <c r="BVH88" s="916"/>
      <c r="BVI88" s="916"/>
      <c r="BVJ88" s="916"/>
      <c r="BVK88" s="916"/>
      <c r="BVL88" s="916"/>
      <c r="BVM88" s="916"/>
      <c r="BVN88" s="916"/>
      <c r="BVO88" s="916"/>
      <c r="BVP88" s="916"/>
      <c r="BVQ88" s="916"/>
      <c r="BVR88" s="916"/>
      <c r="BVS88" s="916"/>
      <c r="BVT88" s="916"/>
      <c r="BVU88" s="916"/>
      <c r="BVV88" s="916"/>
      <c r="BVW88" s="916"/>
      <c r="BVX88" s="916"/>
      <c r="BVY88" s="916"/>
      <c r="BVZ88" s="916"/>
      <c r="BWA88" s="916"/>
      <c r="BWB88" s="916"/>
      <c r="BWC88" s="916"/>
      <c r="BWD88" s="916"/>
      <c r="BWE88" s="916"/>
      <c r="BWF88" s="916"/>
      <c r="BWG88" s="916"/>
      <c r="BWH88" s="916"/>
      <c r="BWI88" s="916"/>
      <c r="BWJ88" s="916"/>
      <c r="BWK88" s="916"/>
      <c r="BWL88" s="916"/>
      <c r="BWM88" s="916"/>
      <c r="BWN88" s="916"/>
      <c r="BWO88" s="916"/>
      <c r="BWP88" s="916"/>
      <c r="BWQ88" s="916"/>
      <c r="BWR88" s="916"/>
      <c r="BWS88" s="916"/>
      <c r="BWT88" s="916"/>
      <c r="BWU88" s="916"/>
      <c r="BWV88" s="916"/>
      <c r="BWW88" s="916"/>
      <c r="BWX88" s="916"/>
      <c r="BWY88" s="916"/>
      <c r="BWZ88" s="916"/>
      <c r="BXA88" s="916"/>
      <c r="BXB88" s="916"/>
      <c r="BXC88" s="916"/>
      <c r="BXD88" s="916"/>
      <c r="BXE88" s="916"/>
      <c r="BXF88" s="916"/>
      <c r="BXG88" s="916"/>
      <c r="BXH88" s="916"/>
      <c r="BXI88" s="916"/>
      <c r="BXJ88" s="916"/>
      <c r="BXK88" s="916"/>
      <c r="BXL88" s="916"/>
      <c r="BXM88" s="916"/>
      <c r="BXN88" s="916"/>
      <c r="BXO88" s="916"/>
      <c r="BXP88" s="916"/>
      <c r="BXQ88" s="916"/>
      <c r="BXR88" s="916"/>
      <c r="BXS88" s="916"/>
      <c r="BXT88" s="916"/>
      <c r="BXU88" s="916"/>
      <c r="BXV88" s="916"/>
      <c r="BXW88" s="916"/>
      <c r="BXX88" s="916"/>
      <c r="BXY88" s="916"/>
      <c r="BXZ88" s="916"/>
      <c r="BYA88" s="916"/>
      <c r="BYB88" s="916"/>
      <c r="BYC88" s="916"/>
      <c r="BYD88" s="916"/>
      <c r="BYE88" s="916"/>
      <c r="BYF88" s="916"/>
      <c r="BYG88" s="916"/>
      <c r="BYH88" s="916"/>
      <c r="BYI88" s="916"/>
      <c r="BYJ88" s="916"/>
      <c r="BYK88" s="916"/>
      <c r="BYL88" s="916"/>
      <c r="BYM88" s="916"/>
      <c r="BYN88" s="916"/>
      <c r="BYO88" s="916"/>
      <c r="BYP88" s="916"/>
      <c r="BYQ88" s="916"/>
      <c r="BYR88" s="916"/>
      <c r="BYS88" s="916"/>
      <c r="BYT88" s="916"/>
      <c r="BYU88" s="916"/>
      <c r="BYV88" s="916"/>
      <c r="BYW88" s="916"/>
      <c r="BYX88" s="916"/>
      <c r="BYY88" s="916"/>
      <c r="BYZ88" s="916"/>
      <c r="BZA88" s="916"/>
      <c r="BZB88" s="916"/>
      <c r="BZC88" s="916"/>
      <c r="BZD88" s="916"/>
      <c r="BZE88" s="916"/>
      <c r="BZF88" s="916"/>
      <c r="BZG88" s="916"/>
      <c r="BZH88" s="916"/>
      <c r="BZI88" s="916"/>
      <c r="BZJ88" s="916"/>
      <c r="BZK88" s="916"/>
      <c r="BZL88" s="916"/>
      <c r="BZM88" s="916"/>
      <c r="BZN88" s="916"/>
      <c r="BZO88" s="916"/>
      <c r="BZP88" s="916"/>
      <c r="BZQ88" s="916"/>
      <c r="BZR88" s="916"/>
      <c r="BZS88" s="916"/>
      <c r="BZT88" s="916"/>
      <c r="BZU88" s="916"/>
      <c r="BZV88" s="916"/>
      <c r="BZW88" s="916"/>
      <c r="BZX88" s="916"/>
      <c r="BZY88" s="916"/>
      <c r="BZZ88" s="916"/>
      <c r="CAA88" s="916"/>
      <c r="CAB88" s="916"/>
      <c r="CAC88" s="916"/>
      <c r="CAD88" s="916"/>
      <c r="CAE88" s="916"/>
      <c r="CAF88" s="916"/>
      <c r="CAG88" s="916"/>
      <c r="CAH88" s="916"/>
      <c r="CAI88" s="916"/>
      <c r="CAJ88" s="916"/>
      <c r="CAK88" s="916"/>
      <c r="CAL88" s="916"/>
      <c r="CAM88" s="916"/>
      <c r="CAN88" s="916"/>
      <c r="CAO88" s="916"/>
      <c r="CAP88" s="916"/>
      <c r="CAQ88" s="916"/>
      <c r="CAR88" s="916"/>
      <c r="CAS88" s="916"/>
      <c r="CAT88" s="916"/>
      <c r="CAU88" s="916"/>
      <c r="CAV88" s="916"/>
      <c r="CAW88" s="916"/>
      <c r="CAX88" s="916"/>
      <c r="CAY88" s="916"/>
      <c r="CAZ88" s="916"/>
      <c r="CBA88" s="916"/>
      <c r="CBB88" s="916"/>
      <c r="CBC88" s="916"/>
      <c r="CBD88" s="916"/>
      <c r="CBE88" s="916"/>
      <c r="CBF88" s="916"/>
      <c r="CBG88" s="916"/>
      <c r="CBH88" s="916"/>
      <c r="CBI88" s="916"/>
      <c r="CBJ88" s="916"/>
      <c r="CBK88" s="916"/>
      <c r="CBL88" s="916"/>
      <c r="CBM88" s="916"/>
      <c r="CBN88" s="916"/>
      <c r="CBO88" s="916"/>
      <c r="CBP88" s="916"/>
      <c r="CBQ88" s="916"/>
      <c r="CBR88" s="916"/>
      <c r="CBS88" s="916"/>
      <c r="CBT88" s="916"/>
      <c r="CBU88" s="916"/>
      <c r="CBV88" s="916"/>
      <c r="CBW88" s="916"/>
      <c r="CBX88" s="916"/>
      <c r="CBY88" s="916"/>
      <c r="CBZ88" s="916"/>
      <c r="CCA88" s="916"/>
      <c r="CCB88" s="916"/>
      <c r="CCC88" s="916"/>
      <c r="CCD88" s="916"/>
      <c r="CCE88" s="916"/>
      <c r="CCF88" s="916"/>
      <c r="CCG88" s="916"/>
      <c r="CCH88" s="916"/>
      <c r="CCI88" s="916"/>
      <c r="CCJ88" s="916"/>
      <c r="CCK88" s="916"/>
      <c r="CCL88" s="916"/>
      <c r="CCM88" s="916"/>
      <c r="CCN88" s="916"/>
      <c r="CCO88" s="916"/>
      <c r="CCP88" s="916"/>
      <c r="CCQ88" s="916"/>
      <c r="CCR88" s="916"/>
      <c r="CCS88" s="916"/>
      <c r="CCT88" s="916"/>
      <c r="CCU88" s="916"/>
      <c r="CCV88" s="916"/>
      <c r="CCW88" s="916"/>
      <c r="CCX88" s="916"/>
      <c r="CCY88" s="916"/>
      <c r="CCZ88" s="916"/>
      <c r="CDA88" s="916"/>
      <c r="CDB88" s="916"/>
      <c r="CDC88" s="916"/>
      <c r="CDD88" s="916"/>
      <c r="CDE88" s="916"/>
      <c r="CDF88" s="916"/>
      <c r="CDG88" s="916"/>
      <c r="CDH88" s="916"/>
      <c r="CDI88" s="916"/>
      <c r="CDJ88" s="916"/>
      <c r="CDK88" s="916"/>
      <c r="CDL88" s="916"/>
      <c r="CDM88" s="916"/>
      <c r="CDN88" s="916"/>
      <c r="CDO88" s="916"/>
      <c r="CDP88" s="916"/>
      <c r="CDQ88" s="916"/>
      <c r="CDR88" s="916"/>
      <c r="CDS88" s="916"/>
      <c r="CDT88" s="916"/>
      <c r="CDU88" s="916"/>
      <c r="CDV88" s="916"/>
      <c r="CDW88" s="916"/>
      <c r="CDX88" s="916"/>
      <c r="CDY88" s="916"/>
      <c r="CDZ88" s="916"/>
      <c r="CEA88" s="916"/>
      <c r="CEB88" s="916"/>
      <c r="CEC88" s="916"/>
      <c r="CED88" s="916"/>
      <c r="CEE88" s="916"/>
      <c r="CEF88" s="916"/>
      <c r="CEG88" s="916"/>
      <c r="CEH88" s="916"/>
      <c r="CEI88" s="916"/>
      <c r="CEJ88" s="916"/>
      <c r="CEK88" s="916"/>
      <c r="CEL88" s="916"/>
      <c r="CEM88" s="916"/>
      <c r="CEN88" s="916"/>
      <c r="CEO88" s="916"/>
      <c r="CEP88" s="916"/>
      <c r="CEQ88" s="916"/>
      <c r="CER88" s="916"/>
      <c r="CES88" s="916"/>
      <c r="CET88" s="916"/>
      <c r="CEU88" s="916"/>
      <c r="CEV88" s="916"/>
      <c r="CEW88" s="916"/>
      <c r="CEX88" s="916"/>
      <c r="CEY88" s="916"/>
      <c r="CEZ88" s="916"/>
      <c r="CFA88" s="916"/>
      <c r="CFB88" s="916"/>
      <c r="CFC88" s="916"/>
      <c r="CFD88" s="916"/>
      <c r="CFE88" s="916"/>
      <c r="CFF88" s="916"/>
      <c r="CFG88" s="916"/>
      <c r="CFH88" s="916"/>
      <c r="CFI88" s="916"/>
      <c r="CFJ88" s="916"/>
      <c r="CFK88" s="916"/>
      <c r="CFL88" s="916"/>
      <c r="CFM88" s="916"/>
      <c r="CFN88" s="916"/>
      <c r="CFO88" s="916"/>
      <c r="CFP88" s="916"/>
      <c r="CFQ88" s="916"/>
      <c r="CFR88" s="916"/>
      <c r="CFS88" s="916"/>
      <c r="CFT88" s="916"/>
      <c r="CFU88" s="916"/>
      <c r="CFV88" s="916"/>
      <c r="CFW88" s="916"/>
      <c r="CFX88" s="916"/>
      <c r="CFY88" s="916"/>
      <c r="CFZ88" s="916"/>
      <c r="CGA88" s="916"/>
      <c r="CGB88" s="916"/>
      <c r="CGC88" s="916"/>
      <c r="CGD88" s="916"/>
      <c r="CGE88" s="916"/>
      <c r="CGF88" s="916"/>
      <c r="CGG88" s="916"/>
      <c r="CGH88" s="916"/>
      <c r="CGI88" s="916"/>
      <c r="CGJ88" s="916"/>
      <c r="CGK88" s="916"/>
      <c r="CGL88" s="916"/>
      <c r="CGM88" s="916"/>
      <c r="CGN88" s="916"/>
      <c r="CGO88" s="916"/>
      <c r="CGP88" s="916"/>
      <c r="CGQ88" s="916"/>
      <c r="CGR88" s="916"/>
      <c r="CGS88" s="916"/>
      <c r="CGT88" s="916"/>
      <c r="CGU88" s="916"/>
      <c r="CGV88" s="916"/>
      <c r="CGW88" s="916"/>
      <c r="CGX88" s="916"/>
      <c r="CGY88" s="916"/>
      <c r="CGZ88" s="916"/>
      <c r="CHA88" s="916"/>
      <c r="CHB88" s="916"/>
      <c r="CHC88" s="916"/>
      <c r="CHD88" s="916"/>
      <c r="CHE88" s="916"/>
      <c r="CHF88" s="916"/>
      <c r="CHG88" s="916"/>
      <c r="CHH88" s="916"/>
      <c r="CHI88" s="916"/>
      <c r="CHJ88" s="916"/>
      <c r="CHK88" s="916"/>
      <c r="CHL88" s="916"/>
      <c r="CHM88" s="916"/>
      <c r="CHN88" s="916"/>
      <c r="CHO88" s="916"/>
      <c r="CHP88" s="916"/>
      <c r="CHQ88" s="916"/>
      <c r="CHR88" s="916"/>
      <c r="CHS88" s="916"/>
      <c r="CHT88" s="916"/>
      <c r="CHU88" s="916"/>
      <c r="CHV88" s="916"/>
      <c r="CHW88" s="916"/>
      <c r="CHX88" s="916"/>
      <c r="CHY88" s="916"/>
      <c r="CHZ88" s="916"/>
      <c r="CIA88" s="916"/>
      <c r="CIB88" s="916"/>
      <c r="CIC88" s="916"/>
      <c r="CID88" s="916"/>
      <c r="CIE88" s="916"/>
      <c r="CIF88" s="916"/>
      <c r="CIG88" s="916"/>
      <c r="CIH88" s="916"/>
      <c r="CII88" s="916"/>
      <c r="CIJ88" s="916"/>
      <c r="CIK88" s="916"/>
      <c r="CIL88" s="916"/>
      <c r="CIM88" s="916"/>
      <c r="CIN88" s="916"/>
      <c r="CIO88" s="916"/>
      <c r="CIP88" s="916"/>
      <c r="CIQ88" s="916"/>
      <c r="CIR88" s="916"/>
      <c r="CIS88" s="916"/>
      <c r="CIT88" s="916"/>
      <c r="CIU88" s="916"/>
      <c r="CIV88" s="916"/>
      <c r="CIW88" s="916"/>
      <c r="CIX88" s="916"/>
      <c r="CIY88" s="916"/>
      <c r="CIZ88" s="916"/>
      <c r="CJA88" s="916"/>
      <c r="CJB88" s="916"/>
      <c r="CJC88" s="916"/>
      <c r="CJD88" s="916"/>
      <c r="CJE88" s="916"/>
      <c r="CJF88" s="916"/>
      <c r="CJG88" s="916"/>
      <c r="CJH88" s="916"/>
      <c r="CJI88" s="916"/>
      <c r="CJJ88" s="916"/>
      <c r="CJK88" s="916"/>
      <c r="CJL88" s="916"/>
      <c r="CJM88" s="916"/>
      <c r="CJN88" s="916"/>
      <c r="CJO88" s="916"/>
      <c r="CJP88" s="916"/>
      <c r="CJQ88" s="916"/>
      <c r="CJR88" s="916"/>
      <c r="CJS88" s="916"/>
      <c r="CJT88" s="916"/>
      <c r="CJU88" s="916"/>
      <c r="CJV88" s="916"/>
      <c r="CJW88" s="916"/>
      <c r="CJX88" s="916"/>
      <c r="CJY88" s="916"/>
      <c r="CJZ88" s="916"/>
      <c r="CKA88" s="916"/>
      <c r="CKB88" s="916"/>
      <c r="CKC88" s="916"/>
      <c r="CKD88" s="916"/>
      <c r="CKE88" s="916"/>
      <c r="CKF88" s="916"/>
      <c r="CKG88" s="916"/>
      <c r="CKH88" s="916"/>
      <c r="CKI88" s="916"/>
      <c r="CKJ88" s="916"/>
      <c r="CKK88" s="916"/>
      <c r="CKL88" s="916"/>
      <c r="CKM88" s="916"/>
      <c r="CKN88" s="916"/>
      <c r="CKO88" s="916"/>
      <c r="CKP88" s="916"/>
      <c r="CKQ88" s="916"/>
      <c r="CKR88" s="916"/>
      <c r="CKS88" s="916"/>
      <c r="CKT88" s="916"/>
      <c r="CKU88" s="916"/>
      <c r="CKV88" s="916"/>
      <c r="CKW88" s="916"/>
      <c r="CKX88" s="916"/>
      <c r="CKY88" s="916"/>
      <c r="CKZ88" s="916"/>
      <c r="CLA88" s="916"/>
      <c r="CLB88" s="916"/>
      <c r="CLC88" s="916"/>
      <c r="CLD88" s="916"/>
      <c r="CLE88" s="916"/>
      <c r="CLF88" s="916"/>
      <c r="CLG88" s="916"/>
      <c r="CLH88" s="916"/>
      <c r="CLI88" s="916"/>
      <c r="CLJ88" s="916"/>
      <c r="CLK88" s="916"/>
      <c r="CLL88" s="916"/>
      <c r="CLM88" s="916"/>
      <c r="CLN88" s="916"/>
      <c r="CLO88" s="916"/>
      <c r="CLP88" s="916"/>
      <c r="CLQ88" s="916"/>
      <c r="CLR88" s="916"/>
      <c r="CLS88" s="916"/>
      <c r="CLT88" s="916"/>
      <c r="CLU88" s="916"/>
      <c r="CLV88" s="916"/>
      <c r="CLW88" s="916"/>
      <c r="CLX88" s="916"/>
      <c r="CLY88" s="916"/>
      <c r="CLZ88" s="916"/>
      <c r="CMA88" s="916"/>
      <c r="CMB88" s="916"/>
      <c r="CMC88" s="916"/>
      <c r="CMD88" s="916"/>
      <c r="CME88" s="916"/>
      <c r="CMF88" s="916"/>
      <c r="CMG88" s="916"/>
      <c r="CMH88" s="916"/>
      <c r="CMI88" s="916"/>
      <c r="CMJ88" s="916"/>
      <c r="CMK88" s="916"/>
      <c r="CML88" s="916"/>
      <c r="CMM88" s="916"/>
      <c r="CMN88" s="916"/>
      <c r="CMO88" s="916"/>
      <c r="CMP88" s="916"/>
      <c r="CMQ88" s="916"/>
      <c r="CMR88" s="916"/>
      <c r="CMS88" s="916"/>
      <c r="CMT88" s="916"/>
      <c r="CMU88" s="916"/>
      <c r="CMV88" s="916"/>
      <c r="CMW88" s="916"/>
      <c r="CMX88" s="916"/>
      <c r="CMY88" s="916"/>
      <c r="CMZ88" s="916"/>
      <c r="CNA88" s="916"/>
      <c r="CNB88" s="916"/>
      <c r="CNC88" s="916"/>
      <c r="CND88" s="916"/>
      <c r="CNE88" s="916"/>
      <c r="CNF88" s="916"/>
      <c r="CNG88" s="916"/>
      <c r="CNH88" s="916"/>
      <c r="CNI88" s="916"/>
      <c r="CNJ88" s="916"/>
      <c r="CNK88" s="916"/>
      <c r="CNL88" s="916"/>
      <c r="CNM88" s="916"/>
      <c r="CNN88" s="916"/>
      <c r="CNO88" s="916"/>
      <c r="CNP88" s="916"/>
      <c r="CNQ88" s="916"/>
      <c r="CNR88" s="916"/>
      <c r="CNS88" s="916"/>
      <c r="CNT88" s="916"/>
      <c r="CNU88" s="916"/>
      <c r="CNV88" s="916"/>
      <c r="CNW88" s="916"/>
      <c r="CNX88" s="916"/>
      <c r="CNY88" s="916"/>
      <c r="CNZ88" s="916"/>
      <c r="COA88" s="916"/>
      <c r="COB88" s="916"/>
      <c r="COC88" s="916"/>
      <c r="COD88" s="916"/>
      <c r="COE88" s="916"/>
      <c r="COF88" s="916"/>
      <c r="COG88" s="916"/>
      <c r="COH88" s="916"/>
      <c r="COI88" s="916"/>
      <c r="COJ88" s="916"/>
      <c r="COK88" s="916"/>
      <c r="COL88" s="916"/>
      <c r="COM88" s="916"/>
      <c r="CON88" s="916"/>
      <c r="COO88" s="916"/>
      <c r="COP88" s="916"/>
      <c r="COQ88" s="916"/>
      <c r="COR88" s="916"/>
      <c r="COS88" s="916"/>
      <c r="COT88" s="916"/>
      <c r="COU88" s="916"/>
      <c r="COV88" s="916"/>
      <c r="COW88" s="916"/>
      <c r="COX88" s="916"/>
      <c r="COY88" s="916"/>
      <c r="COZ88" s="916"/>
      <c r="CPA88" s="916"/>
      <c r="CPB88" s="916"/>
      <c r="CPC88" s="916"/>
      <c r="CPD88" s="916"/>
      <c r="CPE88" s="916"/>
      <c r="CPF88" s="916"/>
      <c r="CPG88" s="916"/>
      <c r="CPH88" s="916"/>
      <c r="CPI88" s="916"/>
      <c r="CPJ88" s="916"/>
      <c r="CPK88" s="916"/>
      <c r="CPL88" s="916"/>
      <c r="CPM88" s="916"/>
      <c r="CPN88" s="916"/>
      <c r="CPO88" s="916"/>
      <c r="CPP88" s="916"/>
      <c r="CPQ88" s="916"/>
      <c r="CPR88" s="916"/>
      <c r="CPS88" s="916"/>
      <c r="CPT88" s="916"/>
      <c r="CPU88" s="916"/>
      <c r="CPV88" s="916"/>
      <c r="CPW88" s="916"/>
      <c r="CPX88" s="916"/>
      <c r="CPY88" s="916"/>
      <c r="CPZ88" s="916"/>
      <c r="CQA88" s="916"/>
      <c r="CQB88" s="916"/>
      <c r="CQC88" s="916"/>
      <c r="CQD88" s="916"/>
      <c r="CQE88" s="916"/>
      <c r="CQF88" s="916"/>
      <c r="CQG88" s="916"/>
      <c r="CQH88" s="916"/>
      <c r="CQI88" s="916"/>
      <c r="CQJ88" s="916"/>
      <c r="CQK88" s="916"/>
      <c r="CQL88" s="916"/>
      <c r="CQM88" s="916"/>
      <c r="CQN88" s="916"/>
      <c r="CQO88" s="916"/>
      <c r="CQP88" s="916"/>
      <c r="CQQ88" s="916"/>
      <c r="CQR88" s="916"/>
      <c r="CQS88" s="916"/>
      <c r="CQT88" s="916"/>
      <c r="CQU88" s="916"/>
      <c r="CQV88" s="916"/>
      <c r="CQW88" s="916"/>
      <c r="CQX88" s="916"/>
      <c r="CQY88" s="916"/>
      <c r="CQZ88" s="916"/>
      <c r="CRA88" s="916"/>
      <c r="CRB88" s="916"/>
      <c r="CRC88" s="916"/>
      <c r="CRD88" s="916"/>
      <c r="CRE88" s="916"/>
      <c r="CRF88" s="916"/>
      <c r="CRG88" s="916"/>
      <c r="CRH88" s="916"/>
      <c r="CRI88" s="916"/>
      <c r="CRJ88" s="916"/>
      <c r="CRK88" s="916"/>
      <c r="CRL88" s="916"/>
      <c r="CRM88" s="916"/>
      <c r="CRN88" s="916"/>
      <c r="CRO88" s="916"/>
      <c r="CRP88" s="916"/>
      <c r="CRQ88" s="916"/>
      <c r="CRR88" s="916"/>
      <c r="CRS88" s="916"/>
      <c r="CRT88" s="916"/>
      <c r="CRU88" s="916"/>
      <c r="CRV88" s="916"/>
      <c r="CRW88" s="916"/>
      <c r="CRX88" s="916"/>
      <c r="CRY88" s="916"/>
      <c r="CRZ88" s="916"/>
      <c r="CSA88" s="916"/>
      <c r="CSB88" s="916"/>
      <c r="CSC88" s="916"/>
      <c r="CSD88" s="916"/>
      <c r="CSE88" s="916"/>
      <c r="CSF88" s="916"/>
      <c r="CSG88" s="916"/>
      <c r="CSH88" s="916"/>
      <c r="CSI88" s="916"/>
      <c r="CSJ88" s="916"/>
      <c r="CSK88" s="916"/>
      <c r="CSL88" s="916"/>
      <c r="CSM88" s="916"/>
      <c r="CSN88" s="916"/>
      <c r="CSO88" s="916"/>
      <c r="CSP88" s="916"/>
      <c r="CSQ88" s="916"/>
      <c r="CSR88" s="916"/>
      <c r="CSS88" s="916"/>
      <c r="CST88" s="916"/>
      <c r="CSU88" s="916"/>
      <c r="CSV88" s="916"/>
      <c r="CSW88" s="916"/>
      <c r="CSX88" s="916"/>
      <c r="CSY88" s="916"/>
      <c r="CSZ88" s="916"/>
      <c r="CTA88" s="916"/>
      <c r="CTB88" s="916"/>
      <c r="CTC88" s="916"/>
      <c r="CTD88" s="916"/>
      <c r="CTE88" s="916"/>
      <c r="CTF88" s="916"/>
      <c r="CTG88" s="916"/>
      <c r="CTH88" s="916"/>
      <c r="CTI88" s="916"/>
      <c r="CTJ88" s="916"/>
      <c r="CTK88" s="916"/>
      <c r="CTL88" s="916"/>
      <c r="CTM88" s="916"/>
      <c r="CTN88" s="916"/>
      <c r="CTO88" s="916"/>
      <c r="CTP88" s="916"/>
      <c r="CTQ88" s="916"/>
      <c r="CTR88" s="916"/>
      <c r="CTS88" s="916"/>
      <c r="CTT88" s="916"/>
      <c r="CTU88" s="916"/>
      <c r="CTV88" s="916"/>
      <c r="CTW88" s="916"/>
      <c r="CTX88" s="916"/>
      <c r="CTY88" s="916"/>
      <c r="CTZ88" s="916"/>
      <c r="CUA88" s="916"/>
      <c r="CUB88" s="916"/>
      <c r="CUC88" s="916"/>
      <c r="CUD88" s="916"/>
      <c r="CUE88" s="916"/>
      <c r="CUF88" s="916"/>
      <c r="CUG88" s="916"/>
      <c r="CUH88" s="916"/>
      <c r="CUI88" s="916"/>
      <c r="CUJ88" s="916"/>
      <c r="CUK88" s="916"/>
      <c r="CUL88" s="916"/>
      <c r="CUM88" s="916"/>
      <c r="CUN88" s="916"/>
      <c r="CUO88" s="916"/>
      <c r="CUP88" s="916"/>
      <c r="CUQ88" s="916"/>
      <c r="CUR88" s="916"/>
      <c r="CUS88" s="916"/>
      <c r="CUT88" s="916"/>
      <c r="CUU88" s="916"/>
      <c r="CUV88" s="916"/>
      <c r="CUW88" s="916"/>
      <c r="CUX88" s="916"/>
      <c r="CUY88" s="916"/>
      <c r="CUZ88" s="916"/>
      <c r="CVA88" s="916"/>
      <c r="CVB88" s="916"/>
      <c r="CVC88" s="916"/>
      <c r="CVD88" s="916"/>
      <c r="CVE88" s="916"/>
      <c r="CVF88" s="916"/>
      <c r="CVG88" s="916"/>
      <c r="CVH88" s="916"/>
      <c r="CVI88" s="916"/>
      <c r="CVJ88" s="916"/>
      <c r="CVK88" s="916"/>
      <c r="CVL88" s="916"/>
      <c r="CVM88" s="916"/>
      <c r="CVN88" s="916"/>
      <c r="CVO88" s="916"/>
      <c r="CVP88" s="916"/>
      <c r="CVQ88" s="916"/>
      <c r="CVR88" s="916"/>
      <c r="CVS88" s="916"/>
      <c r="CVT88" s="916"/>
      <c r="CVU88" s="916"/>
      <c r="CVV88" s="916"/>
      <c r="CVW88" s="916"/>
      <c r="CVX88" s="916"/>
      <c r="CVY88" s="916"/>
      <c r="CVZ88" s="916"/>
      <c r="CWA88" s="916"/>
      <c r="CWB88" s="916"/>
      <c r="CWC88" s="916"/>
      <c r="CWD88" s="916"/>
      <c r="CWE88" s="916"/>
      <c r="CWF88" s="916"/>
      <c r="CWG88" s="916"/>
      <c r="CWH88" s="916"/>
      <c r="CWI88" s="916"/>
      <c r="CWJ88" s="916"/>
      <c r="CWK88" s="916"/>
      <c r="CWL88" s="916"/>
      <c r="CWM88" s="916"/>
      <c r="CWN88" s="916"/>
      <c r="CWO88" s="916"/>
      <c r="CWP88" s="916"/>
      <c r="CWQ88" s="916"/>
      <c r="CWR88" s="916"/>
      <c r="CWS88" s="916"/>
      <c r="CWT88" s="916"/>
      <c r="CWU88" s="916"/>
      <c r="CWV88" s="916"/>
      <c r="CWW88" s="916"/>
      <c r="CWX88" s="916"/>
      <c r="CWY88" s="916"/>
      <c r="CWZ88" s="916"/>
      <c r="CXA88" s="916"/>
      <c r="CXB88" s="916"/>
      <c r="CXC88" s="916"/>
      <c r="CXD88" s="916"/>
      <c r="CXE88" s="916"/>
      <c r="CXF88" s="916"/>
      <c r="CXG88" s="916"/>
      <c r="CXH88" s="916"/>
      <c r="CXI88" s="916"/>
      <c r="CXJ88" s="916"/>
      <c r="CXK88" s="916"/>
      <c r="CXL88" s="916"/>
      <c r="CXM88" s="916"/>
      <c r="CXN88" s="916"/>
      <c r="CXO88" s="916"/>
      <c r="CXP88" s="916"/>
      <c r="CXQ88" s="916"/>
      <c r="CXR88" s="916"/>
      <c r="CXS88" s="916"/>
      <c r="CXT88" s="916"/>
      <c r="CXU88" s="916"/>
      <c r="CXV88" s="916"/>
      <c r="CXW88" s="916"/>
      <c r="CXX88" s="916"/>
      <c r="CXY88" s="916"/>
      <c r="CXZ88" s="916"/>
      <c r="CYA88" s="916"/>
      <c r="CYB88" s="916"/>
      <c r="CYC88" s="916"/>
      <c r="CYD88" s="916"/>
      <c r="CYE88" s="916"/>
      <c r="CYF88" s="916"/>
      <c r="CYG88" s="916"/>
      <c r="CYH88" s="916"/>
      <c r="CYI88" s="916"/>
      <c r="CYJ88" s="916"/>
      <c r="CYK88" s="916"/>
      <c r="CYL88" s="916"/>
      <c r="CYM88" s="916"/>
      <c r="CYN88" s="916"/>
      <c r="CYO88" s="916"/>
      <c r="CYP88" s="916"/>
      <c r="CYQ88" s="916"/>
      <c r="CYR88" s="916"/>
      <c r="CYS88" s="916"/>
      <c r="CYT88" s="916"/>
      <c r="CYU88" s="916"/>
      <c r="CYV88" s="916"/>
      <c r="CYW88" s="916"/>
      <c r="CYX88" s="916"/>
      <c r="CYY88" s="916"/>
      <c r="CYZ88" s="916"/>
      <c r="CZA88" s="916"/>
      <c r="CZB88" s="916"/>
      <c r="CZC88" s="916"/>
      <c r="CZD88" s="916"/>
      <c r="CZE88" s="916"/>
      <c r="CZF88" s="916"/>
      <c r="CZG88" s="916"/>
      <c r="CZH88" s="916"/>
      <c r="CZI88" s="916"/>
      <c r="CZJ88" s="916"/>
      <c r="CZK88" s="916"/>
      <c r="CZL88" s="916"/>
      <c r="CZM88" s="916"/>
      <c r="CZN88" s="916"/>
      <c r="CZO88" s="916"/>
      <c r="CZP88" s="916"/>
      <c r="CZQ88" s="916"/>
      <c r="CZR88" s="916"/>
      <c r="CZS88" s="916"/>
      <c r="CZT88" s="916"/>
      <c r="CZU88" s="916"/>
      <c r="CZV88" s="916"/>
      <c r="CZW88" s="916"/>
      <c r="CZX88" s="916"/>
      <c r="CZY88" s="916"/>
      <c r="CZZ88" s="916"/>
      <c r="DAA88" s="916"/>
      <c r="DAB88" s="916"/>
      <c r="DAC88" s="916"/>
      <c r="DAD88" s="916"/>
      <c r="DAE88" s="916"/>
      <c r="DAF88" s="916"/>
      <c r="DAG88" s="916"/>
      <c r="DAH88" s="916"/>
      <c r="DAI88" s="916"/>
      <c r="DAJ88" s="916"/>
      <c r="DAK88" s="916"/>
      <c r="DAL88" s="916"/>
      <c r="DAM88" s="916"/>
      <c r="DAN88" s="916"/>
      <c r="DAO88" s="916"/>
      <c r="DAP88" s="916"/>
      <c r="DAQ88" s="916"/>
      <c r="DAR88" s="916"/>
      <c r="DAS88" s="916"/>
      <c r="DAT88" s="916"/>
      <c r="DAU88" s="916"/>
      <c r="DAV88" s="916"/>
      <c r="DAW88" s="916"/>
      <c r="DAX88" s="916"/>
      <c r="DAY88" s="916"/>
      <c r="DAZ88" s="916"/>
      <c r="DBA88" s="916"/>
      <c r="DBB88" s="916"/>
      <c r="DBC88" s="916"/>
      <c r="DBD88" s="916"/>
      <c r="DBE88" s="916"/>
      <c r="DBF88" s="916"/>
      <c r="DBG88" s="916"/>
      <c r="DBH88" s="916"/>
      <c r="DBI88" s="916"/>
      <c r="DBJ88" s="916"/>
      <c r="DBK88" s="916"/>
      <c r="DBL88" s="916"/>
      <c r="DBM88" s="916"/>
      <c r="DBN88" s="916"/>
      <c r="DBO88" s="916"/>
      <c r="DBP88" s="916"/>
      <c r="DBQ88" s="916"/>
      <c r="DBR88" s="916"/>
      <c r="DBS88" s="916"/>
      <c r="DBT88" s="916"/>
      <c r="DBU88" s="916"/>
      <c r="DBV88" s="916"/>
      <c r="DBW88" s="916"/>
      <c r="DBX88" s="916"/>
      <c r="DBY88" s="916"/>
      <c r="DBZ88" s="916"/>
      <c r="DCA88" s="916"/>
      <c r="DCB88" s="916"/>
      <c r="DCC88" s="916"/>
      <c r="DCD88" s="916"/>
      <c r="DCE88" s="916"/>
      <c r="DCF88" s="916"/>
      <c r="DCG88" s="916"/>
      <c r="DCH88" s="916"/>
      <c r="DCI88" s="916"/>
      <c r="DCJ88" s="916"/>
      <c r="DCK88" s="916"/>
      <c r="DCL88" s="916"/>
      <c r="DCM88" s="916"/>
      <c r="DCN88" s="916"/>
      <c r="DCO88" s="916"/>
      <c r="DCP88" s="916"/>
      <c r="DCQ88" s="916"/>
      <c r="DCR88" s="916"/>
      <c r="DCS88" s="916"/>
      <c r="DCT88" s="916"/>
      <c r="DCU88" s="916"/>
      <c r="DCV88" s="916"/>
      <c r="DCW88" s="916"/>
      <c r="DCX88" s="916"/>
      <c r="DCY88" s="916"/>
      <c r="DCZ88" s="916"/>
      <c r="DDA88" s="916"/>
      <c r="DDB88" s="916"/>
      <c r="DDC88" s="916"/>
      <c r="DDD88" s="916"/>
      <c r="DDE88" s="916"/>
      <c r="DDF88" s="916"/>
      <c r="DDG88" s="916"/>
      <c r="DDH88" s="916"/>
      <c r="DDI88" s="916"/>
      <c r="DDJ88" s="916"/>
      <c r="DDK88" s="916"/>
      <c r="DDL88" s="916"/>
      <c r="DDM88" s="916"/>
      <c r="DDN88" s="916"/>
      <c r="DDO88" s="916"/>
      <c r="DDP88" s="916"/>
      <c r="DDQ88" s="916"/>
      <c r="DDR88" s="916"/>
      <c r="DDS88" s="916"/>
      <c r="DDT88" s="916"/>
      <c r="DDU88" s="916"/>
      <c r="DDV88" s="916"/>
      <c r="DDW88" s="916"/>
      <c r="DDX88" s="916"/>
      <c r="DDY88" s="916"/>
      <c r="DDZ88" s="916"/>
      <c r="DEA88" s="916"/>
      <c r="DEB88" s="916"/>
      <c r="DEC88" s="916"/>
      <c r="DED88" s="916"/>
      <c r="DEE88" s="916"/>
      <c r="DEF88" s="916"/>
      <c r="DEG88" s="916"/>
      <c r="DEH88" s="916"/>
      <c r="DEI88" s="916"/>
      <c r="DEJ88" s="916"/>
      <c r="DEK88" s="916"/>
      <c r="DEL88" s="916"/>
      <c r="DEM88" s="916"/>
      <c r="DEN88" s="916"/>
      <c r="DEO88" s="916"/>
      <c r="DEP88" s="916"/>
      <c r="DEQ88" s="916"/>
      <c r="DER88" s="916"/>
      <c r="DES88" s="916"/>
      <c r="DET88" s="916"/>
      <c r="DEU88" s="916"/>
      <c r="DEV88" s="916"/>
      <c r="DEW88" s="916"/>
      <c r="DEX88" s="916"/>
      <c r="DEY88" s="916"/>
      <c r="DEZ88" s="916"/>
      <c r="DFA88" s="916"/>
      <c r="DFB88" s="916"/>
      <c r="DFC88" s="916"/>
      <c r="DFD88" s="916"/>
      <c r="DFE88" s="916"/>
      <c r="DFF88" s="916"/>
      <c r="DFG88" s="916"/>
      <c r="DFH88" s="916"/>
      <c r="DFI88" s="916"/>
      <c r="DFJ88" s="916"/>
      <c r="DFK88" s="916"/>
      <c r="DFL88" s="916"/>
      <c r="DFM88" s="916"/>
      <c r="DFN88" s="916"/>
      <c r="DFO88" s="916"/>
      <c r="DFP88" s="916"/>
      <c r="DFQ88" s="916"/>
      <c r="DFR88" s="916"/>
      <c r="DFS88" s="916"/>
      <c r="DFT88" s="916"/>
      <c r="DFU88" s="916"/>
      <c r="DFV88" s="916"/>
      <c r="DFW88" s="916"/>
      <c r="DFX88" s="916"/>
      <c r="DFY88" s="916"/>
      <c r="DFZ88" s="916"/>
      <c r="DGA88" s="916"/>
      <c r="DGB88" s="916"/>
      <c r="DGC88" s="916"/>
      <c r="DGD88" s="916"/>
      <c r="DGE88" s="916"/>
      <c r="DGF88" s="916"/>
      <c r="DGG88" s="916"/>
      <c r="DGH88" s="916"/>
      <c r="DGI88" s="916"/>
      <c r="DGJ88" s="916"/>
      <c r="DGK88" s="916"/>
      <c r="DGL88" s="916"/>
      <c r="DGM88" s="916"/>
      <c r="DGN88" s="916"/>
      <c r="DGO88" s="916"/>
      <c r="DGP88" s="916"/>
      <c r="DGQ88" s="916"/>
      <c r="DGR88" s="916"/>
      <c r="DGS88" s="916"/>
      <c r="DGT88" s="916"/>
      <c r="DGU88" s="916"/>
      <c r="DGV88" s="916"/>
      <c r="DGW88" s="916"/>
      <c r="DGX88" s="916"/>
      <c r="DGY88" s="916"/>
      <c r="DGZ88" s="916"/>
      <c r="DHA88" s="916"/>
      <c r="DHB88" s="916"/>
      <c r="DHC88" s="916"/>
      <c r="DHD88" s="916"/>
      <c r="DHE88" s="916"/>
      <c r="DHF88" s="916"/>
      <c r="DHG88" s="916"/>
      <c r="DHH88" s="916"/>
      <c r="DHI88" s="916"/>
      <c r="DHJ88" s="916"/>
      <c r="DHK88" s="916"/>
      <c r="DHL88" s="916"/>
      <c r="DHM88" s="916"/>
      <c r="DHN88" s="916"/>
      <c r="DHO88" s="916"/>
      <c r="DHP88" s="916"/>
      <c r="DHQ88" s="916"/>
      <c r="DHR88" s="916"/>
      <c r="DHS88" s="916"/>
      <c r="DHT88" s="916"/>
      <c r="DHU88" s="916"/>
      <c r="DHV88" s="916"/>
      <c r="DHW88" s="916"/>
      <c r="DHX88" s="916"/>
      <c r="DHY88" s="916"/>
      <c r="DHZ88" s="916"/>
      <c r="DIA88" s="916"/>
      <c r="DIB88" s="916"/>
      <c r="DIC88" s="916"/>
      <c r="DID88" s="916"/>
      <c r="DIE88" s="916"/>
      <c r="DIF88" s="916"/>
      <c r="DIG88" s="916"/>
      <c r="DIH88" s="916"/>
      <c r="DII88" s="916"/>
      <c r="DIJ88" s="916"/>
      <c r="DIK88" s="916"/>
      <c r="DIL88" s="916"/>
      <c r="DIM88" s="916"/>
      <c r="DIN88" s="916"/>
      <c r="DIO88" s="916"/>
      <c r="DIP88" s="916"/>
      <c r="DIQ88" s="916"/>
      <c r="DIR88" s="916"/>
      <c r="DIS88" s="916"/>
      <c r="DIT88" s="916"/>
      <c r="DIU88" s="916"/>
      <c r="DIV88" s="916"/>
      <c r="DIW88" s="916"/>
      <c r="DIX88" s="916"/>
      <c r="DIY88" s="916"/>
      <c r="DIZ88" s="916"/>
      <c r="DJA88" s="916"/>
      <c r="DJB88" s="916"/>
      <c r="DJC88" s="916"/>
      <c r="DJD88" s="916"/>
      <c r="DJE88" s="916"/>
      <c r="DJF88" s="916"/>
      <c r="DJG88" s="916"/>
      <c r="DJH88" s="916"/>
      <c r="DJI88" s="916"/>
      <c r="DJJ88" s="916"/>
      <c r="DJK88" s="916"/>
      <c r="DJL88" s="916"/>
      <c r="DJM88" s="916"/>
      <c r="DJN88" s="916"/>
      <c r="DJO88" s="916"/>
      <c r="DJP88" s="916"/>
      <c r="DJQ88" s="916"/>
      <c r="DJR88" s="916"/>
      <c r="DJS88" s="916"/>
      <c r="DJT88" s="916"/>
      <c r="DJU88" s="916"/>
      <c r="DJV88" s="916"/>
      <c r="DJW88" s="916"/>
      <c r="DJX88" s="916"/>
      <c r="DJY88" s="916"/>
      <c r="DJZ88" s="916"/>
      <c r="DKA88" s="916"/>
      <c r="DKB88" s="916"/>
      <c r="DKC88" s="916"/>
      <c r="DKD88" s="916"/>
      <c r="DKE88" s="916"/>
      <c r="DKF88" s="916"/>
      <c r="DKG88" s="916"/>
      <c r="DKH88" s="916"/>
      <c r="DKI88" s="916"/>
      <c r="DKJ88" s="916"/>
      <c r="DKK88" s="916"/>
      <c r="DKL88" s="916"/>
      <c r="DKM88" s="916"/>
      <c r="DKN88" s="916"/>
      <c r="DKO88" s="916"/>
      <c r="DKP88" s="916"/>
      <c r="DKQ88" s="916"/>
      <c r="DKR88" s="916"/>
      <c r="DKS88" s="916"/>
      <c r="DKT88" s="916"/>
      <c r="DKU88" s="916"/>
      <c r="DKV88" s="916"/>
      <c r="DKW88" s="916"/>
      <c r="DKX88" s="916"/>
      <c r="DKY88" s="916"/>
      <c r="DKZ88" s="916"/>
      <c r="DLA88" s="916"/>
      <c r="DLB88" s="916"/>
      <c r="DLC88" s="916"/>
      <c r="DLD88" s="916"/>
      <c r="DLE88" s="916"/>
      <c r="DLF88" s="916"/>
      <c r="DLG88" s="916"/>
      <c r="DLH88" s="916"/>
      <c r="DLI88" s="916"/>
      <c r="DLJ88" s="916"/>
      <c r="DLK88" s="916"/>
      <c r="DLL88" s="916"/>
      <c r="DLM88" s="916"/>
      <c r="DLN88" s="916"/>
      <c r="DLO88" s="916"/>
      <c r="DLP88" s="916"/>
      <c r="DLQ88" s="916"/>
      <c r="DLR88" s="916"/>
      <c r="DLS88" s="916"/>
      <c r="DLT88" s="916"/>
      <c r="DLU88" s="916"/>
      <c r="DLV88" s="916"/>
      <c r="DLW88" s="916"/>
      <c r="DLX88" s="916"/>
      <c r="DLY88" s="916"/>
      <c r="DLZ88" s="916"/>
      <c r="DMA88" s="916"/>
      <c r="DMB88" s="916"/>
      <c r="DMC88" s="916"/>
      <c r="DMD88" s="916"/>
      <c r="DME88" s="916"/>
      <c r="DMF88" s="916"/>
      <c r="DMG88" s="916"/>
      <c r="DMH88" s="916"/>
      <c r="DMI88" s="916"/>
      <c r="DMJ88" s="916"/>
      <c r="DMK88" s="916"/>
      <c r="DML88" s="916"/>
      <c r="DMM88" s="916"/>
      <c r="DMN88" s="916"/>
      <c r="DMO88" s="916"/>
      <c r="DMP88" s="916"/>
      <c r="DMQ88" s="916"/>
      <c r="DMR88" s="916"/>
      <c r="DMS88" s="916"/>
      <c r="DMT88" s="916"/>
      <c r="DMU88" s="916"/>
      <c r="DMV88" s="916"/>
      <c r="DMW88" s="916"/>
      <c r="DMX88" s="916"/>
      <c r="DMY88" s="916"/>
      <c r="DMZ88" s="916"/>
      <c r="DNA88" s="916"/>
      <c r="DNB88" s="916"/>
      <c r="DNC88" s="916"/>
      <c r="DND88" s="916"/>
      <c r="DNE88" s="916"/>
      <c r="DNF88" s="916"/>
      <c r="DNG88" s="916"/>
      <c r="DNH88" s="916"/>
      <c r="DNI88" s="916"/>
      <c r="DNJ88" s="916"/>
      <c r="DNK88" s="916"/>
      <c r="DNL88" s="916"/>
      <c r="DNM88" s="916"/>
      <c r="DNN88" s="916"/>
      <c r="DNO88" s="916"/>
      <c r="DNP88" s="916"/>
      <c r="DNQ88" s="916"/>
      <c r="DNR88" s="916"/>
      <c r="DNS88" s="916"/>
      <c r="DNT88" s="916"/>
      <c r="DNU88" s="916"/>
      <c r="DNV88" s="916"/>
      <c r="DNW88" s="916"/>
      <c r="DNX88" s="916"/>
      <c r="DNY88" s="916"/>
      <c r="DNZ88" s="916"/>
      <c r="DOA88" s="916"/>
      <c r="DOB88" s="916"/>
      <c r="DOC88" s="916"/>
      <c r="DOD88" s="916"/>
      <c r="DOE88" s="916"/>
      <c r="DOF88" s="916"/>
      <c r="DOG88" s="916"/>
      <c r="DOH88" s="916"/>
      <c r="DOI88" s="916"/>
      <c r="DOJ88" s="916"/>
      <c r="DOK88" s="916"/>
      <c r="DOL88" s="916"/>
      <c r="DOM88" s="916"/>
      <c r="DON88" s="916"/>
      <c r="DOO88" s="916"/>
      <c r="DOP88" s="916"/>
      <c r="DOQ88" s="916"/>
      <c r="DOR88" s="916"/>
      <c r="DOS88" s="916"/>
      <c r="DOT88" s="916"/>
      <c r="DOU88" s="916"/>
      <c r="DOV88" s="916"/>
      <c r="DOW88" s="916"/>
      <c r="DOX88" s="916"/>
      <c r="DOY88" s="916"/>
      <c r="DOZ88" s="916"/>
      <c r="DPA88" s="916"/>
      <c r="DPB88" s="916"/>
      <c r="DPC88" s="916"/>
      <c r="DPD88" s="916"/>
      <c r="DPE88" s="916"/>
      <c r="DPF88" s="916"/>
      <c r="DPG88" s="916"/>
      <c r="DPH88" s="916"/>
      <c r="DPI88" s="916"/>
      <c r="DPJ88" s="916"/>
      <c r="DPK88" s="916"/>
      <c r="DPL88" s="916"/>
      <c r="DPM88" s="916"/>
      <c r="DPN88" s="916"/>
      <c r="DPO88" s="916"/>
      <c r="DPP88" s="916"/>
      <c r="DPQ88" s="916"/>
      <c r="DPR88" s="916"/>
      <c r="DPS88" s="916"/>
      <c r="DPT88" s="916"/>
      <c r="DPU88" s="916"/>
      <c r="DPV88" s="916"/>
      <c r="DPW88" s="916"/>
      <c r="DPX88" s="916"/>
      <c r="DPY88" s="916"/>
      <c r="DPZ88" s="916"/>
      <c r="DQA88" s="916"/>
      <c r="DQB88" s="916"/>
      <c r="DQC88" s="916"/>
      <c r="DQD88" s="916"/>
      <c r="DQE88" s="916"/>
      <c r="DQF88" s="916"/>
      <c r="DQG88" s="916"/>
      <c r="DQH88" s="916"/>
      <c r="DQI88" s="916"/>
      <c r="DQJ88" s="916"/>
      <c r="DQK88" s="916"/>
      <c r="DQL88" s="916"/>
      <c r="DQM88" s="916"/>
      <c r="DQN88" s="916"/>
      <c r="DQO88" s="916"/>
      <c r="DQP88" s="916"/>
      <c r="DQQ88" s="916"/>
      <c r="DQR88" s="916"/>
      <c r="DQS88" s="916"/>
      <c r="DQT88" s="916"/>
      <c r="DQU88" s="916"/>
      <c r="DQV88" s="916"/>
      <c r="DQW88" s="916"/>
      <c r="DQX88" s="916"/>
      <c r="DQY88" s="916"/>
      <c r="DQZ88" s="916"/>
      <c r="DRA88" s="916"/>
      <c r="DRB88" s="916"/>
      <c r="DRC88" s="916"/>
      <c r="DRD88" s="916"/>
      <c r="DRE88" s="916"/>
      <c r="DRF88" s="916"/>
      <c r="DRG88" s="916"/>
      <c r="DRH88" s="916"/>
      <c r="DRI88" s="916"/>
      <c r="DRJ88" s="916"/>
      <c r="DRK88" s="916"/>
      <c r="DRL88" s="916"/>
      <c r="DRM88" s="916"/>
      <c r="DRN88" s="916"/>
      <c r="DRO88" s="916"/>
      <c r="DRP88" s="916"/>
      <c r="DRQ88" s="916"/>
      <c r="DRR88" s="916"/>
      <c r="DRS88" s="916"/>
      <c r="DRT88" s="916"/>
      <c r="DRU88" s="916"/>
      <c r="DRV88" s="916"/>
      <c r="DRW88" s="916"/>
      <c r="DRX88" s="916"/>
      <c r="DRY88" s="916"/>
      <c r="DRZ88" s="916"/>
      <c r="DSA88" s="916"/>
      <c r="DSB88" s="916"/>
      <c r="DSC88" s="916"/>
      <c r="DSD88" s="916"/>
      <c r="DSE88" s="916"/>
      <c r="DSF88" s="916"/>
      <c r="DSG88" s="916"/>
      <c r="DSH88" s="916"/>
      <c r="DSI88" s="916"/>
      <c r="DSJ88" s="916"/>
      <c r="DSK88" s="916"/>
      <c r="DSL88" s="916"/>
      <c r="DSM88" s="916"/>
      <c r="DSN88" s="916"/>
      <c r="DSO88" s="916"/>
      <c r="DSP88" s="916"/>
      <c r="DSQ88" s="916"/>
      <c r="DSR88" s="916"/>
      <c r="DSS88" s="916"/>
      <c r="DST88" s="916"/>
      <c r="DSU88" s="916"/>
      <c r="DSV88" s="916"/>
      <c r="DSW88" s="916"/>
      <c r="DSX88" s="916"/>
      <c r="DSY88" s="916"/>
      <c r="DSZ88" s="916"/>
      <c r="DTA88" s="916"/>
      <c r="DTB88" s="916"/>
      <c r="DTC88" s="916"/>
      <c r="DTD88" s="916"/>
      <c r="DTE88" s="916"/>
      <c r="DTF88" s="916"/>
      <c r="DTG88" s="916"/>
      <c r="DTH88" s="916"/>
      <c r="DTI88" s="916"/>
      <c r="DTJ88" s="916"/>
      <c r="DTK88" s="916"/>
      <c r="DTL88" s="916"/>
      <c r="DTM88" s="916"/>
      <c r="DTN88" s="916"/>
      <c r="DTO88" s="916"/>
      <c r="DTP88" s="916"/>
      <c r="DTQ88" s="916"/>
      <c r="DTR88" s="916"/>
      <c r="DTS88" s="916"/>
      <c r="DTT88" s="916"/>
      <c r="DTU88" s="916"/>
      <c r="DTV88" s="916"/>
      <c r="DTW88" s="916"/>
      <c r="DTX88" s="916"/>
      <c r="DTY88" s="916"/>
      <c r="DTZ88" s="916"/>
      <c r="DUA88" s="916"/>
      <c r="DUB88" s="916"/>
      <c r="DUC88" s="916"/>
      <c r="DUD88" s="916"/>
      <c r="DUE88" s="916"/>
      <c r="DUF88" s="916"/>
      <c r="DUG88" s="916"/>
      <c r="DUH88" s="916"/>
      <c r="DUI88" s="916"/>
      <c r="DUJ88" s="916"/>
      <c r="DUK88" s="916"/>
      <c r="DUL88" s="916"/>
      <c r="DUM88" s="916"/>
      <c r="DUN88" s="916"/>
      <c r="DUO88" s="916"/>
      <c r="DUP88" s="916"/>
      <c r="DUQ88" s="916"/>
      <c r="DUR88" s="916"/>
      <c r="DUS88" s="916"/>
      <c r="DUT88" s="916"/>
      <c r="DUU88" s="916"/>
      <c r="DUV88" s="916"/>
      <c r="DUW88" s="916"/>
      <c r="DUX88" s="916"/>
      <c r="DUY88" s="916"/>
      <c r="DUZ88" s="916"/>
      <c r="DVA88" s="916"/>
      <c r="DVB88" s="916"/>
      <c r="DVC88" s="916"/>
      <c r="DVD88" s="916"/>
      <c r="DVE88" s="916"/>
      <c r="DVF88" s="916"/>
      <c r="DVG88" s="916"/>
      <c r="DVH88" s="916"/>
      <c r="DVI88" s="916"/>
      <c r="DVJ88" s="916"/>
      <c r="DVK88" s="916"/>
      <c r="DVL88" s="916"/>
      <c r="DVM88" s="916"/>
      <c r="DVN88" s="916"/>
      <c r="DVO88" s="916"/>
      <c r="DVP88" s="916"/>
      <c r="DVQ88" s="916"/>
      <c r="DVR88" s="916"/>
      <c r="DVS88" s="916"/>
      <c r="DVT88" s="916"/>
      <c r="DVU88" s="916"/>
      <c r="DVV88" s="916"/>
      <c r="DVW88" s="916"/>
      <c r="DVX88" s="916"/>
      <c r="DVY88" s="916"/>
      <c r="DVZ88" s="916"/>
      <c r="DWA88" s="916"/>
      <c r="DWB88" s="916"/>
      <c r="DWC88" s="916"/>
      <c r="DWD88" s="916"/>
      <c r="DWE88" s="916"/>
      <c r="DWF88" s="916"/>
      <c r="DWG88" s="916"/>
      <c r="DWH88" s="916"/>
      <c r="DWI88" s="916"/>
      <c r="DWJ88" s="916"/>
      <c r="DWK88" s="916"/>
      <c r="DWL88" s="916"/>
      <c r="DWM88" s="916"/>
      <c r="DWN88" s="916"/>
      <c r="DWO88" s="916"/>
      <c r="DWP88" s="916"/>
      <c r="DWQ88" s="916"/>
      <c r="DWR88" s="916"/>
      <c r="DWS88" s="916"/>
      <c r="DWT88" s="916"/>
      <c r="DWU88" s="916"/>
      <c r="DWV88" s="916"/>
      <c r="DWW88" s="916"/>
      <c r="DWX88" s="916"/>
      <c r="DWY88" s="916"/>
      <c r="DWZ88" s="916"/>
      <c r="DXA88" s="916"/>
      <c r="DXB88" s="916"/>
      <c r="DXC88" s="916"/>
      <c r="DXD88" s="916"/>
      <c r="DXE88" s="916"/>
      <c r="DXF88" s="916"/>
      <c r="DXG88" s="916"/>
      <c r="DXH88" s="916"/>
      <c r="DXI88" s="916"/>
      <c r="DXJ88" s="916"/>
      <c r="DXK88" s="916"/>
      <c r="DXL88" s="916"/>
      <c r="DXM88" s="916"/>
      <c r="DXN88" s="916"/>
      <c r="DXO88" s="916"/>
      <c r="DXP88" s="916"/>
      <c r="DXQ88" s="916"/>
      <c r="DXR88" s="916"/>
      <c r="DXS88" s="916"/>
      <c r="DXT88" s="916"/>
      <c r="DXU88" s="916"/>
      <c r="DXV88" s="916"/>
      <c r="DXW88" s="916"/>
      <c r="DXX88" s="916"/>
      <c r="DXY88" s="916"/>
      <c r="DXZ88" s="916"/>
      <c r="DYA88" s="916"/>
      <c r="DYB88" s="916"/>
      <c r="DYC88" s="916"/>
      <c r="DYD88" s="916"/>
      <c r="DYE88" s="916"/>
      <c r="DYF88" s="916"/>
      <c r="DYG88" s="916"/>
      <c r="DYH88" s="916"/>
      <c r="DYI88" s="916"/>
      <c r="DYJ88" s="916"/>
      <c r="DYK88" s="916"/>
      <c r="DYL88" s="916"/>
      <c r="DYM88" s="916"/>
      <c r="DYN88" s="916"/>
      <c r="DYO88" s="916"/>
      <c r="DYP88" s="916"/>
      <c r="DYQ88" s="916"/>
      <c r="DYR88" s="916"/>
      <c r="DYS88" s="916"/>
      <c r="DYT88" s="916"/>
      <c r="DYU88" s="916"/>
      <c r="DYV88" s="916"/>
      <c r="DYW88" s="916"/>
      <c r="DYX88" s="916"/>
      <c r="DYY88" s="916"/>
      <c r="DYZ88" s="916"/>
      <c r="DZA88" s="916"/>
      <c r="DZB88" s="916"/>
      <c r="DZC88" s="916"/>
      <c r="DZD88" s="916"/>
      <c r="DZE88" s="916"/>
      <c r="DZF88" s="916"/>
      <c r="DZG88" s="916"/>
      <c r="DZH88" s="916"/>
      <c r="DZI88" s="916"/>
      <c r="DZJ88" s="916"/>
      <c r="DZK88" s="916"/>
      <c r="DZL88" s="916"/>
      <c r="DZM88" s="916"/>
      <c r="DZN88" s="916"/>
      <c r="DZO88" s="916"/>
      <c r="DZP88" s="916"/>
      <c r="DZQ88" s="916"/>
      <c r="DZR88" s="916"/>
      <c r="DZS88" s="916"/>
      <c r="DZT88" s="916"/>
      <c r="DZU88" s="916"/>
      <c r="DZV88" s="916"/>
      <c r="DZW88" s="916"/>
      <c r="DZX88" s="916"/>
      <c r="DZY88" s="916"/>
      <c r="DZZ88" s="916"/>
      <c r="EAA88" s="916"/>
      <c r="EAB88" s="916"/>
      <c r="EAC88" s="916"/>
      <c r="EAD88" s="916"/>
      <c r="EAE88" s="916"/>
      <c r="EAF88" s="916"/>
      <c r="EAG88" s="916"/>
      <c r="EAH88" s="916"/>
      <c r="EAI88" s="916"/>
      <c r="EAJ88" s="916"/>
      <c r="EAK88" s="916"/>
      <c r="EAL88" s="916"/>
      <c r="EAM88" s="916"/>
      <c r="EAN88" s="916"/>
      <c r="EAO88" s="916"/>
      <c r="EAP88" s="916"/>
      <c r="EAQ88" s="916"/>
      <c r="EAR88" s="916"/>
      <c r="EAS88" s="916"/>
      <c r="EAT88" s="916"/>
      <c r="EAU88" s="916"/>
      <c r="EAV88" s="916"/>
      <c r="EAW88" s="916"/>
      <c r="EAX88" s="916"/>
      <c r="EAY88" s="916"/>
      <c r="EAZ88" s="916"/>
      <c r="EBA88" s="916"/>
      <c r="EBB88" s="916"/>
      <c r="EBC88" s="916"/>
      <c r="EBD88" s="916"/>
      <c r="EBE88" s="916"/>
      <c r="EBF88" s="916"/>
      <c r="EBG88" s="916"/>
      <c r="EBH88" s="916"/>
      <c r="EBI88" s="916"/>
      <c r="EBJ88" s="916"/>
      <c r="EBK88" s="916"/>
      <c r="EBL88" s="916"/>
      <c r="EBM88" s="916"/>
      <c r="EBN88" s="916"/>
      <c r="EBO88" s="916"/>
      <c r="EBP88" s="916"/>
      <c r="EBQ88" s="916"/>
      <c r="EBR88" s="916"/>
      <c r="EBS88" s="916"/>
      <c r="EBT88" s="916"/>
      <c r="EBU88" s="916"/>
      <c r="EBV88" s="916"/>
      <c r="EBW88" s="916"/>
      <c r="EBX88" s="916"/>
      <c r="EBY88" s="916"/>
      <c r="EBZ88" s="916"/>
      <c r="ECA88" s="916"/>
      <c r="ECB88" s="916"/>
      <c r="ECC88" s="916"/>
      <c r="ECD88" s="916"/>
      <c r="ECE88" s="916"/>
      <c r="ECF88" s="916"/>
      <c r="ECG88" s="916"/>
      <c r="ECH88" s="916"/>
      <c r="ECI88" s="916"/>
      <c r="ECJ88" s="916"/>
      <c r="ECK88" s="916"/>
      <c r="ECL88" s="916"/>
      <c r="ECM88" s="916"/>
      <c r="ECN88" s="916"/>
      <c r="ECO88" s="916"/>
      <c r="ECP88" s="916"/>
      <c r="ECQ88" s="916"/>
      <c r="ECR88" s="916"/>
      <c r="ECS88" s="916"/>
      <c r="ECT88" s="916"/>
      <c r="ECU88" s="916"/>
      <c r="ECV88" s="916"/>
      <c r="ECW88" s="916"/>
      <c r="ECX88" s="916"/>
      <c r="ECY88" s="916"/>
      <c r="ECZ88" s="916"/>
      <c r="EDA88" s="916"/>
      <c r="EDB88" s="916"/>
      <c r="EDC88" s="916"/>
      <c r="EDD88" s="916"/>
      <c r="EDE88" s="916"/>
      <c r="EDF88" s="916"/>
      <c r="EDG88" s="916"/>
      <c r="EDH88" s="916"/>
      <c r="EDI88" s="916"/>
      <c r="EDJ88" s="916"/>
      <c r="EDK88" s="916"/>
      <c r="EDL88" s="916"/>
      <c r="EDM88" s="916"/>
      <c r="EDN88" s="916"/>
      <c r="EDO88" s="916"/>
      <c r="EDP88" s="916"/>
      <c r="EDQ88" s="916"/>
      <c r="EDR88" s="916"/>
      <c r="EDS88" s="916"/>
      <c r="EDT88" s="916"/>
      <c r="EDU88" s="916"/>
      <c r="EDV88" s="916"/>
      <c r="EDW88" s="916"/>
      <c r="EDX88" s="916"/>
      <c r="EDY88" s="916"/>
      <c r="EDZ88" s="916"/>
      <c r="EEA88" s="916"/>
      <c r="EEB88" s="916"/>
      <c r="EEC88" s="916"/>
      <c r="EED88" s="916"/>
      <c r="EEE88" s="916"/>
      <c r="EEF88" s="916"/>
      <c r="EEG88" s="916"/>
      <c r="EEH88" s="916"/>
      <c r="EEI88" s="916"/>
      <c r="EEJ88" s="916"/>
      <c r="EEK88" s="916"/>
      <c r="EEL88" s="916"/>
      <c r="EEM88" s="916"/>
      <c r="EEN88" s="916"/>
      <c r="EEO88" s="916"/>
      <c r="EEP88" s="916"/>
      <c r="EEQ88" s="916"/>
      <c r="EER88" s="916"/>
      <c r="EES88" s="916"/>
      <c r="EET88" s="916"/>
      <c r="EEU88" s="916"/>
      <c r="EEV88" s="916"/>
      <c r="EEW88" s="916"/>
      <c r="EEX88" s="916"/>
      <c r="EEY88" s="916"/>
      <c r="EEZ88" s="916"/>
      <c r="EFA88" s="916"/>
      <c r="EFB88" s="916"/>
      <c r="EFC88" s="916"/>
      <c r="EFD88" s="916"/>
      <c r="EFE88" s="916"/>
      <c r="EFF88" s="916"/>
      <c r="EFG88" s="916"/>
      <c r="EFH88" s="916"/>
      <c r="EFI88" s="916"/>
      <c r="EFJ88" s="916"/>
      <c r="EFK88" s="916"/>
      <c r="EFL88" s="916"/>
      <c r="EFM88" s="916"/>
      <c r="EFN88" s="916"/>
      <c r="EFO88" s="916"/>
      <c r="EFP88" s="916"/>
      <c r="EFQ88" s="916"/>
      <c r="EFR88" s="916"/>
      <c r="EFS88" s="916"/>
      <c r="EFT88" s="916"/>
      <c r="EFU88" s="916"/>
      <c r="EFV88" s="916"/>
      <c r="EFW88" s="916"/>
      <c r="EFX88" s="916"/>
      <c r="EFY88" s="916"/>
      <c r="EFZ88" s="916"/>
      <c r="EGA88" s="916"/>
      <c r="EGB88" s="916"/>
      <c r="EGC88" s="916"/>
      <c r="EGD88" s="916"/>
      <c r="EGE88" s="916"/>
      <c r="EGF88" s="916"/>
      <c r="EGG88" s="916"/>
      <c r="EGH88" s="916"/>
      <c r="EGI88" s="916"/>
      <c r="EGJ88" s="916"/>
      <c r="EGK88" s="916"/>
      <c r="EGL88" s="916"/>
      <c r="EGM88" s="916"/>
      <c r="EGN88" s="916"/>
      <c r="EGO88" s="916"/>
      <c r="EGP88" s="916"/>
      <c r="EGQ88" s="916"/>
      <c r="EGR88" s="916"/>
      <c r="EGS88" s="916"/>
      <c r="EGT88" s="916"/>
      <c r="EGU88" s="916"/>
      <c r="EGV88" s="916"/>
      <c r="EGW88" s="916"/>
      <c r="EGX88" s="916"/>
      <c r="EGY88" s="916"/>
      <c r="EGZ88" s="916"/>
      <c r="EHA88" s="916"/>
      <c r="EHB88" s="916"/>
      <c r="EHC88" s="916"/>
      <c r="EHD88" s="916"/>
      <c r="EHE88" s="916"/>
      <c r="EHF88" s="916"/>
      <c r="EHG88" s="916"/>
      <c r="EHH88" s="916"/>
      <c r="EHI88" s="916"/>
      <c r="EHJ88" s="916"/>
      <c r="EHK88" s="916"/>
      <c r="EHL88" s="916"/>
      <c r="EHM88" s="916"/>
      <c r="EHN88" s="916"/>
      <c r="EHO88" s="916"/>
      <c r="EHP88" s="916"/>
      <c r="EHQ88" s="916"/>
      <c r="EHR88" s="916"/>
      <c r="EHS88" s="916"/>
      <c r="EHT88" s="916"/>
      <c r="EHU88" s="916"/>
      <c r="EHV88" s="916"/>
      <c r="EHW88" s="916"/>
      <c r="EHX88" s="916"/>
      <c r="EHY88" s="916"/>
      <c r="EHZ88" s="916"/>
      <c r="EIA88" s="916"/>
      <c r="EIB88" s="916"/>
      <c r="EIC88" s="916"/>
      <c r="EID88" s="916"/>
      <c r="EIE88" s="916"/>
      <c r="EIF88" s="916"/>
      <c r="EIG88" s="916"/>
      <c r="EIH88" s="916"/>
      <c r="EII88" s="916"/>
      <c r="EIJ88" s="916"/>
      <c r="EIK88" s="916"/>
      <c r="EIL88" s="916"/>
      <c r="EIM88" s="916"/>
      <c r="EIN88" s="916"/>
      <c r="EIO88" s="916"/>
      <c r="EIP88" s="916"/>
      <c r="EIQ88" s="916"/>
      <c r="EIR88" s="916"/>
      <c r="EIS88" s="916"/>
      <c r="EIT88" s="916"/>
      <c r="EIU88" s="916"/>
      <c r="EIV88" s="916"/>
      <c r="EIW88" s="916"/>
      <c r="EIX88" s="916"/>
      <c r="EIY88" s="916"/>
      <c r="EIZ88" s="916"/>
      <c r="EJA88" s="916"/>
      <c r="EJB88" s="916"/>
      <c r="EJC88" s="916"/>
      <c r="EJD88" s="916"/>
      <c r="EJE88" s="916"/>
      <c r="EJF88" s="916"/>
      <c r="EJG88" s="916"/>
      <c r="EJH88" s="916"/>
      <c r="EJI88" s="916"/>
      <c r="EJJ88" s="916"/>
      <c r="EJK88" s="916"/>
      <c r="EJL88" s="916"/>
      <c r="EJM88" s="916"/>
      <c r="EJN88" s="916"/>
      <c r="EJO88" s="916"/>
      <c r="EJP88" s="916"/>
      <c r="EJQ88" s="916"/>
      <c r="EJR88" s="916"/>
      <c r="EJS88" s="916"/>
      <c r="EJT88" s="916"/>
      <c r="EJU88" s="916"/>
      <c r="EJV88" s="916"/>
      <c r="EJW88" s="916"/>
      <c r="EJX88" s="916"/>
      <c r="EJY88" s="916"/>
      <c r="EJZ88" s="916"/>
      <c r="EKA88" s="916"/>
      <c r="EKB88" s="916"/>
      <c r="EKC88" s="916"/>
      <c r="EKD88" s="916"/>
      <c r="EKE88" s="916"/>
      <c r="EKF88" s="916"/>
      <c r="EKG88" s="916"/>
      <c r="EKH88" s="916"/>
      <c r="EKI88" s="916"/>
      <c r="EKJ88" s="916"/>
      <c r="EKK88" s="916"/>
      <c r="EKL88" s="916"/>
      <c r="EKM88" s="916"/>
      <c r="EKN88" s="916"/>
      <c r="EKO88" s="916"/>
      <c r="EKP88" s="916"/>
      <c r="EKQ88" s="916"/>
      <c r="EKR88" s="916"/>
      <c r="EKS88" s="916"/>
      <c r="EKT88" s="916"/>
      <c r="EKU88" s="916"/>
      <c r="EKV88" s="916"/>
      <c r="EKW88" s="916"/>
      <c r="EKX88" s="916"/>
      <c r="EKY88" s="916"/>
      <c r="EKZ88" s="916"/>
      <c r="ELA88" s="916"/>
      <c r="ELB88" s="916"/>
      <c r="ELC88" s="916"/>
      <c r="ELD88" s="916"/>
      <c r="ELE88" s="916"/>
      <c r="ELF88" s="916"/>
      <c r="ELG88" s="916"/>
      <c r="ELH88" s="916"/>
      <c r="ELI88" s="916"/>
      <c r="ELJ88" s="916"/>
      <c r="ELK88" s="916"/>
      <c r="ELL88" s="916"/>
      <c r="ELM88" s="916"/>
      <c r="ELN88" s="916"/>
      <c r="ELO88" s="916"/>
      <c r="ELP88" s="916"/>
      <c r="ELQ88" s="916"/>
      <c r="ELR88" s="916"/>
      <c r="ELS88" s="916"/>
      <c r="ELT88" s="916"/>
      <c r="ELU88" s="916"/>
      <c r="ELV88" s="916"/>
      <c r="ELW88" s="916"/>
      <c r="ELX88" s="916"/>
      <c r="ELY88" s="916"/>
      <c r="ELZ88" s="916"/>
      <c r="EMA88" s="916"/>
      <c r="EMB88" s="916"/>
      <c r="EMC88" s="916"/>
      <c r="EMD88" s="916"/>
      <c r="EME88" s="916"/>
      <c r="EMF88" s="916"/>
      <c r="EMG88" s="916"/>
      <c r="EMH88" s="916"/>
      <c r="EMI88" s="916"/>
      <c r="EMJ88" s="916"/>
      <c r="EMK88" s="916"/>
      <c r="EML88" s="916"/>
      <c r="EMM88" s="916"/>
      <c r="EMN88" s="916"/>
      <c r="EMO88" s="916"/>
      <c r="EMP88" s="916"/>
      <c r="EMQ88" s="916"/>
      <c r="EMR88" s="916"/>
      <c r="EMS88" s="916"/>
      <c r="EMT88" s="916"/>
      <c r="EMU88" s="916"/>
      <c r="EMV88" s="916"/>
      <c r="EMW88" s="916"/>
      <c r="EMX88" s="916"/>
      <c r="EMY88" s="916"/>
      <c r="EMZ88" s="916"/>
      <c r="ENA88" s="916"/>
      <c r="ENB88" s="916"/>
      <c r="ENC88" s="916"/>
      <c r="END88" s="916"/>
      <c r="ENE88" s="916"/>
      <c r="ENF88" s="916"/>
      <c r="ENG88" s="916"/>
      <c r="ENH88" s="916"/>
      <c r="ENI88" s="916"/>
      <c r="ENJ88" s="916"/>
      <c r="ENK88" s="916"/>
      <c r="ENL88" s="916"/>
      <c r="ENM88" s="916"/>
      <c r="ENN88" s="916"/>
      <c r="ENO88" s="916"/>
      <c r="ENP88" s="916"/>
      <c r="ENQ88" s="916"/>
      <c r="ENR88" s="916"/>
      <c r="ENS88" s="916"/>
      <c r="ENT88" s="916"/>
      <c r="ENU88" s="916"/>
      <c r="ENV88" s="916"/>
      <c r="ENW88" s="916"/>
      <c r="ENX88" s="916"/>
      <c r="ENY88" s="916"/>
      <c r="ENZ88" s="916"/>
      <c r="EOA88" s="916"/>
      <c r="EOB88" s="916"/>
      <c r="EOC88" s="916"/>
      <c r="EOD88" s="916"/>
      <c r="EOE88" s="916"/>
      <c r="EOF88" s="916"/>
      <c r="EOG88" s="916"/>
      <c r="EOH88" s="916"/>
      <c r="EOI88" s="916"/>
      <c r="EOJ88" s="916"/>
      <c r="EOK88" s="916"/>
      <c r="EOL88" s="916"/>
      <c r="EOM88" s="916"/>
      <c r="EON88" s="916"/>
      <c r="EOO88" s="916"/>
      <c r="EOP88" s="916"/>
      <c r="EOQ88" s="916"/>
      <c r="EOR88" s="916"/>
      <c r="EOS88" s="916"/>
      <c r="EOT88" s="916"/>
      <c r="EOU88" s="916"/>
      <c r="EOV88" s="916"/>
      <c r="EOW88" s="916"/>
      <c r="EOX88" s="916"/>
      <c r="EOY88" s="916"/>
      <c r="EOZ88" s="916"/>
      <c r="EPA88" s="916"/>
      <c r="EPB88" s="916"/>
      <c r="EPC88" s="916"/>
      <c r="EPD88" s="916"/>
      <c r="EPE88" s="916"/>
      <c r="EPF88" s="916"/>
      <c r="EPG88" s="916"/>
      <c r="EPH88" s="916"/>
      <c r="EPI88" s="916"/>
      <c r="EPJ88" s="916"/>
      <c r="EPK88" s="916"/>
      <c r="EPL88" s="916"/>
      <c r="EPM88" s="916"/>
      <c r="EPN88" s="916"/>
      <c r="EPO88" s="916"/>
      <c r="EPP88" s="916"/>
      <c r="EPQ88" s="916"/>
      <c r="EPR88" s="916"/>
      <c r="EPS88" s="916"/>
      <c r="EPT88" s="916"/>
      <c r="EPU88" s="916"/>
      <c r="EPV88" s="916"/>
      <c r="EPW88" s="916"/>
      <c r="EPX88" s="916"/>
      <c r="EPY88" s="916"/>
      <c r="EPZ88" s="916"/>
      <c r="EQA88" s="916"/>
      <c r="EQB88" s="916"/>
      <c r="EQC88" s="916"/>
      <c r="EQD88" s="916"/>
      <c r="EQE88" s="916"/>
      <c r="EQF88" s="916"/>
      <c r="EQG88" s="916"/>
      <c r="EQH88" s="916"/>
      <c r="EQI88" s="916"/>
      <c r="EQJ88" s="916"/>
      <c r="EQK88" s="916"/>
      <c r="EQL88" s="916"/>
      <c r="EQM88" s="916"/>
      <c r="EQN88" s="916"/>
      <c r="EQO88" s="916"/>
      <c r="EQP88" s="916"/>
      <c r="EQQ88" s="916"/>
      <c r="EQR88" s="916"/>
      <c r="EQS88" s="916"/>
      <c r="EQT88" s="916"/>
      <c r="EQU88" s="916"/>
      <c r="EQV88" s="916"/>
      <c r="EQW88" s="916"/>
      <c r="EQX88" s="916"/>
      <c r="EQY88" s="916"/>
      <c r="EQZ88" s="916"/>
      <c r="ERA88" s="916"/>
      <c r="ERB88" s="916"/>
      <c r="ERC88" s="916"/>
      <c r="ERD88" s="916"/>
      <c r="ERE88" s="916"/>
      <c r="ERF88" s="916"/>
      <c r="ERG88" s="916"/>
      <c r="ERH88" s="916"/>
      <c r="ERI88" s="916"/>
      <c r="ERJ88" s="916"/>
      <c r="ERK88" s="916"/>
      <c r="ERL88" s="916"/>
      <c r="ERM88" s="916"/>
      <c r="ERN88" s="916"/>
      <c r="ERO88" s="916"/>
      <c r="ERP88" s="916"/>
      <c r="ERQ88" s="916"/>
      <c r="ERR88" s="916"/>
      <c r="ERS88" s="916"/>
      <c r="ERT88" s="916"/>
      <c r="ERU88" s="916"/>
      <c r="ERV88" s="916"/>
      <c r="ERW88" s="916"/>
      <c r="ERX88" s="916"/>
      <c r="ERY88" s="916"/>
      <c r="ERZ88" s="916"/>
      <c r="ESA88" s="916"/>
      <c r="ESB88" s="916"/>
      <c r="ESC88" s="916"/>
      <c r="ESD88" s="916"/>
      <c r="ESE88" s="916"/>
      <c r="ESF88" s="916"/>
      <c r="ESG88" s="916"/>
      <c r="ESH88" s="916"/>
      <c r="ESI88" s="916"/>
      <c r="ESJ88" s="916"/>
      <c r="ESK88" s="916"/>
      <c r="ESL88" s="916"/>
      <c r="ESM88" s="916"/>
      <c r="ESN88" s="916"/>
      <c r="ESO88" s="916"/>
      <c r="ESP88" s="916"/>
      <c r="ESQ88" s="916"/>
      <c r="ESR88" s="916"/>
      <c r="ESS88" s="916"/>
      <c r="EST88" s="916"/>
      <c r="ESU88" s="916"/>
      <c r="ESV88" s="916"/>
      <c r="ESW88" s="916"/>
      <c r="ESX88" s="916"/>
      <c r="ESY88" s="916"/>
      <c r="ESZ88" s="916"/>
      <c r="ETA88" s="916"/>
      <c r="ETB88" s="916"/>
      <c r="ETC88" s="916"/>
      <c r="ETD88" s="916"/>
      <c r="ETE88" s="916"/>
      <c r="ETF88" s="916"/>
      <c r="ETG88" s="916"/>
      <c r="ETH88" s="916"/>
      <c r="ETI88" s="916"/>
      <c r="ETJ88" s="916"/>
      <c r="ETK88" s="916"/>
      <c r="ETL88" s="916"/>
      <c r="ETM88" s="916"/>
      <c r="ETN88" s="916"/>
      <c r="ETO88" s="916"/>
      <c r="ETP88" s="916"/>
      <c r="ETQ88" s="916"/>
      <c r="ETR88" s="916"/>
      <c r="ETS88" s="916"/>
      <c r="ETT88" s="916"/>
      <c r="ETU88" s="916"/>
      <c r="ETV88" s="916"/>
      <c r="ETW88" s="916"/>
      <c r="ETX88" s="916"/>
      <c r="ETY88" s="916"/>
      <c r="ETZ88" s="916"/>
      <c r="EUA88" s="916"/>
      <c r="EUB88" s="916"/>
      <c r="EUC88" s="916"/>
      <c r="EUD88" s="916"/>
      <c r="EUE88" s="916"/>
      <c r="EUF88" s="916"/>
      <c r="EUG88" s="916"/>
      <c r="EUH88" s="916"/>
      <c r="EUI88" s="916"/>
      <c r="EUJ88" s="916"/>
      <c r="EUK88" s="916"/>
      <c r="EUL88" s="916"/>
      <c r="EUM88" s="916"/>
      <c r="EUN88" s="916"/>
      <c r="EUO88" s="916"/>
      <c r="EUP88" s="916"/>
      <c r="EUQ88" s="916"/>
      <c r="EUR88" s="916"/>
      <c r="EUS88" s="916"/>
      <c r="EUT88" s="916"/>
      <c r="EUU88" s="916"/>
      <c r="EUV88" s="916"/>
      <c r="EUW88" s="916"/>
      <c r="EUX88" s="916"/>
      <c r="EUY88" s="916"/>
      <c r="EUZ88" s="916"/>
      <c r="EVA88" s="916"/>
      <c r="EVB88" s="916"/>
      <c r="EVC88" s="916"/>
      <c r="EVD88" s="916"/>
      <c r="EVE88" s="916"/>
      <c r="EVF88" s="916"/>
      <c r="EVG88" s="916"/>
      <c r="EVH88" s="916"/>
      <c r="EVI88" s="916"/>
      <c r="EVJ88" s="916"/>
      <c r="EVK88" s="916"/>
      <c r="EVL88" s="916"/>
      <c r="EVM88" s="916"/>
      <c r="EVN88" s="916"/>
      <c r="EVO88" s="916"/>
      <c r="EVP88" s="916"/>
      <c r="EVQ88" s="916"/>
      <c r="EVR88" s="916"/>
      <c r="EVS88" s="916"/>
      <c r="EVT88" s="916"/>
      <c r="EVU88" s="916"/>
      <c r="EVV88" s="916"/>
      <c r="EVW88" s="916"/>
      <c r="EVX88" s="916"/>
      <c r="EVY88" s="916"/>
      <c r="EVZ88" s="916"/>
      <c r="EWA88" s="916"/>
      <c r="EWB88" s="916"/>
      <c r="EWC88" s="916"/>
      <c r="EWD88" s="916"/>
      <c r="EWE88" s="916"/>
      <c r="EWF88" s="916"/>
      <c r="EWG88" s="916"/>
      <c r="EWH88" s="916"/>
      <c r="EWI88" s="916"/>
      <c r="EWJ88" s="916"/>
      <c r="EWK88" s="916"/>
      <c r="EWL88" s="916"/>
      <c r="EWM88" s="916"/>
      <c r="EWN88" s="916"/>
      <c r="EWO88" s="916"/>
      <c r="EWP88" s="916"/>
      <c r="EWQ88" s="916"/>
      <c r="EWR88" s="916"/>
      <c r="EWS88" s="916"/>
      <c r="EWT88" s="916"/>
      <c r="EWU88" s="916"/>
      <c r="EWV88" s="916"/>
      <c r="EWW88" s="916"/>
      <c r="EWX88" s="916"/>
      <c r="EWY88" s="916"/>
      <c r="EWZ88" s="916"/>
      <c r="EXA88" s="916"/>
      <c r="EXB88" s="916"/>
      <c r="EXC88" s="916"/>
      <c r="EXD88" s="916"/>
      <c r="EXE88" s="916"/>
      <c r="EXF88" s="916"/>
      <c r="EXG88" s="916"/>
      <c r="EXH88" s="916"/>
      <c r="EXI88" s="916"/>
      <c r="EXJ88" s="916"/>
      <c r="EXK88" s="916"/>
      <c r="EXL88" s="916"/>
      <c r="EXM88" s="916"/>
      <c r="EXN88" s="916"/>
      <c r="EXO88" s="916"/>
      <c r="EXP88" s="916"/>
      <c r="EXQ88" s="916"/>
      <c r="EXR88" s="916"/>
      <c r="EXS88" s="916"/>
      <c r="EXT88" s="916"/>
      <c r="EXU88" s="916"/>
      <c r="EXV88" s="916"/>
      <c r="EXW88" s="916"/>
      <c r="EXX88" s="916"/>
      <c r="EXY88" s="916"/>
      <c r="EXZ88" s="916"/>
      <c r="EYA88" s="916"/>
      <c r="EYB88" s="916"/>
      <c r="EYC88" s="916"/>
      <c r="EYD88" s="916"/>
      <c r="EYE88" s="916"/>
      <c r="EYF88" s="916"/>
      <c r="EYG88" s="916"/>
      <c r="EYH88" s="916"/>
      <c r="EYI88" s="916"/>
      <c r="EYJ88" s="916"/>
      <c r="EYK88" s="916"/>
      <c r="EYL88" s="916"/>
      <c r="EYM88" s="916"/>
      <c r="EYN88" s="916"/>
      <c r="EYO88" s="916"/>
      <c r="EYP88" s="916"/>
      <c r="EYQ88" s="916"/>
      <c r="EYR88" s="916"/>
      <c r="EYS88" s="916"/>
      <c r="EYT88" s="916"/>
      <c r="EYU88" s="916"/>
      <c r="EYV88" s="916"/>
      <c r="EYW88" s="916"/>
      <c r="EYX88" s="916"/>
      <c r="EYY88" s="916"/>
      <c r="EYZ88" s="916"/>
      <c r="EZA88" s="916"/>
      <c r="EZB88" s="916"/>
      <c r="EZC88" s="916"/>
      <c r="EZD88" s="916"/>
      <c r="EZE88" s="916"/>
      <c r="EZF88" s="916"/>
      <c r="EZG88" s="916"/>
      <c r="EZH88" s="916"/>
      <c r="EZI88" s="916"/>
      <c r="EZJ88" s="916"/>
      <c r="EZK88" s="916"/>
      <c r="EZL88" s="916"/>
      <c r="EZM88" s="916"/>
      <c r="EZN88" s="916"/>
      <c r="EZO88" s="916"/>
      <c r="EZP88" s="916"/>
      <c r="EZQ88" s="916"/>
      <c r="EZR88" s="916"/>
      <c r="EZS88" s="916"/>
      <c r="EZT88" s="916"/>
      <c r="EZU88" s="916"/>
      <c r="EZV88" s="916"/>
      <c r="EZW88" s="916"/>
      <c r="EZX88" s="916"/>
      <c r="EZY88" s="916"/>
      <c r="EZZ88" s="916"/>
      <c r="FAA88" s="916"/>
      <c r="FAB88" s="916"/>
      <c r="FAC88" s="916"/>
      <c r="FAD88" s="916"/>
      <c r="FAE88" s="916"/>
      <c r="FAF88" s="916"/>
      <c r="FAG88" s="916"/>
      <c r="FAH88" s="916"/>
      <c r="FAI88" s="916"/>
      <c r="FAJ88" s="916"/>
      <c r="FAK88" s="916"/>
      <c r="FAL88" s="916"/>
      <c r="FAM88" s="916"/>
      <c r="FAN88" s="916"/>
      <c r="FAO88" s="916"/>
      <c r="FAP88" s="916"/>
      <c r="FAQ88" s="916"/>
      <c r="FAR88" s="916"/>
      <c r="FAS88" s="916"/>
      <c r="FAT88" s="916"/>
      <c r="FAU88" s="916"/>
      <c r="FAV88" s="916"/>
      <c r="FAW88" s="916"/>
      <c r="FAX88" s="916"/>
      <c r="FAY88" s="916"/>
      <c r="FAZ88" s="916"/>
      <c r="FBA88" s="916"/>
      <c r="FBB88" s="916"/>
      <c r="FBC88" s="916"/>
      <c r="FBD88" s="916"/>
      <c r="FBE88" s="916"/>
      <c r="FBF88" s="916"/>
      <c r="FBG88" s="916"/>
      <c r="FBH88" s="916"/>
      <c r="FBI88" s="916"/>
      <c r="FBJ88" s="916"/>
      <c r="FBK88" s="916"/>
      <c r="FBL88" s="916"/>
      <c r="FBM88" s="916"/>
      <c r="FBN88" s="916"/>
      <c r="FBO88" s="916"/>
      <c r="FBP88" s="916"/>
      <c r="FBQ88" s="916"/>
      <c r="FBR88" s="916"/>
      <c r="FBS88" s="916"/>
      <c r="FBT88" s="916"/>
      <c r="FBU88" s="916"/>
      <c r="FBV88" s="916"/>
      <c r="FBW88" s="916"/>
      <c r="FBX88" s="916"/>
      <c r="FBY88" s="916"/>
      <c r="FBZ88" s="916"/>
      <c r="FCA88" s="916"/>
      <c r="FCB88" s="916"/>
      <c r="FCC88" s="916"/>
      <c r="FCD88" s="916"/>
      <c r="FCE88" s="916"/>
      <c r="FCF88" s="916"/>
      <c r="FCG88" s="916"/>
      <c r="FCH88" s="916"/>
      <c r="FCI88" s="916"/>
      <c r="FCJ88" s="916"/>
      <c r="FCK88" s="916"/>
      <c r="FCL88" s="916"/>
      <c r="FCM88" s="916"/>
      <c r="FCN88" s="916"/>
      <c r="FCO88" s="916"/>
      <c r="FCP88" s="916"/>
      <c r="FCQ88" s="916"/>
      <c r="FCR88" s="916"/>
      <c r="FCS88" s="916"/>
      <c r="FCT88" s="916"/>
      <c r="FCU88" s="916"/>
      <c r="FCV88" s="916"/>
      <c r="FCW88" s="916"/>
      <c r="FCX88" s="916"/>
      <c r="FCY88" s="916"/>
      <c r="FCZ88" s="916"/>
      <c r="FDA88" s="916"/>
      <c r="FDB88" s="916"/>
      <c r="FDC88" s="916"/>
      <c r="FDD88" s="916"/>
      <c r="FDE88" s="916"/>
      <c r="FDF88" s="916"/>
      <c r="FDG88" s="916"/>
      <c r="FDH88" s="916"/>
      <c r="FDI88" s="916"/>
      <c r="FDJ88" s="916"/>
      <c r="FDK88" s="916"/>
      <c r="FDL88" s="916"/>
      <c r="FDM88" s="916"/>
      <c r="FDN88" s="916"/>
      <c r="FDO88" s="916"/>
      <c r="FDP88" s="916"/>
      <c r="FDQ88" s="916"/>
      <c r="FDR88" s="916"/>
      <c r="FDS88" s="916"/>
      <c r="FDT88" s="916"/>
      <c r="FDU88" s="916"/>
      <c r="FDV88" s="916"/>
      <c r="FDW88" s="916"/>
      <c r="FDX88" s="916"/>
      <c r="FDY88" s="916"/>
      <c r="FDZ88" s="916"/>
      <c r="FEA88" s="916"/>
      <c r="FEB88" s="916"/>
      <c r="FEC88" s="916"/>
      <c r="FED88" s="916"/>
      <c r="FEE88" s="916"/>
      <c r="FEF88" s="916"/>
      <c r="FEG88" s="916"/>
      <c r="FEH88" s="916"/>
      <c r="FEI88" s="916"/>
      <c r="FEJ88" s="916"/>
      <c r="FEK88" s="916"/>
      <c r="FEL88" s="916"/>
      <c r="FEM88" s="916"/>
      <c r="FEN88" s="916"/>
      <c r="FEO88" s="916"/>
      <c r="FEP88" s="916"/>
      <c r="FEQ88" s="916"/>
      <c r="FER88" s="916"/>
      <c r="FES88" s="916"/>
      <c r="FET88" s="916"/>
      <c r="FEU88" s="916"/>
      <c r="FEV88" s="916"/>
      <c r="FEW88" s="916"/>
      <c r="FEX88" s="916"/>
      <c r="FEY88" s="916"/>
      <c r="FEZ88" s="916"/>
      <c r="FFA88" s="916"/>
      <c r="FFB88" s="916"/>
      <c r="FFC88" s="916"/>
      <c r="FFD88" s="916"/>
      <c r="FFE88" s="916"/>
      <c r="FFF88" s="916"/>
      <c r="FFG88" s="916"/>
      <c r="FFH88" s="916"/>
      <c r="FFI88" s="916"/>
      <c r="FFJ88" s="916"/>
      <c r="FFK88" s="916"/>
      <c r="FFL88" s="916"/>
      <c r="FFM88" s="916"/>
      <c r="FFN88" s="916"/>
      <c r="FFO88" s="916"/>
      <c r="FFP88" s="916"/>
      <c r="FFQ88" s="916"/>
      <c r="FFR88" s="916"/>
      <c r="FFS88" s="916"/>
      <c r="FFT88" s="916"/>
      <c r="FFU88" s="916"/>
      <c r="FFV88" s="916"/>
      <c r="FFW88" s="916"/>
      <c r="FFX88" s="916"/>
      <c r="FFY88" s="916"/>
      <c r="FFZ88" s="916"/>
      <c r="FGA88" s="916"/>
      <c r="FGB88" s="916"/>
      <c r="FGC88" s="916"/>
      <c r="FGD88" s="916"/>
      <c r="FGE88" s="916"/>
      <c r="FGF88" s="916"/>
      <c r="FGG88" s="916"/>
      <c r="FGH88" s="916"/>
      <c r="FGI88" s="916"/>
      <c r="FGJ88" s="916"/>
      <c r="FGK88" s="916"/>
      <c r="FGL88" s="916"/>
      <c r="FGM88" s="916"/>
      <c r="FGN88" s="916"/>
      <c r="FGO88" s="916"/>
      <c r="FGP88" s="916"/>
      <c r="FGQ88" s="916"/>
      <c r="FGR88" s="916"/>
      <c r="FGS88" s="916"/>
      <c r="FGT88" s="916"/>
      <c r="FGU88" s="916"/>
      <c r="FGV88" s="916"/>
      <c r="FGW88" s="916"/>
      <c r="FGX88" s="916"/>
      <c r="FGY88" s="916"/>
      <c r="FGZ88" s="916"/>
      <c r="FHA88" s="916"/>
      <c r="FHB88" s="916"/>
      <c r="FHC88" s="916"/>
      <c r="FHD88" s="916"/>
      <c r="FHE88" s="916"/>
      <c r="FHF88" s="916"/>
      <c r="FHG88" s="916"/>
      <c r="FHH88" s="916"/>
      <c r="FHI88" s="916"/>
      <c r="FHJ88" s="916"/>
      <c r="FHK88" s="916"/>
      <c r="FHL88" s="916"/>
      <c r="FHM88" s="916"/>
      <c r="FHN88" s="916"/>
      <c r="FHO88" s="916"/>
      <c r="FHP88" s="916"/>
      <c r="FHQ88" s="916"/>
      <c r="FHR88" s="916"/>
      <c r="FHS88" s="916"/>
      <c r="FHT88" s="916"/>
      <c r="FHU88" s="916"/>
      <c r="FHV88" s="916"/>
      <c r="FHW88" s="916"/>
      <c r="FHX88" s="916"/>
      <c r="FHY88" s="916"/>
      <c r="FHZ88" s="916"/>
      <c r="FIA88" s="916"/>
      <c r="FIB88" s="916"/>
      <c r="FIC88" s="916"/>
      <c r="FID88" s="916"/>
      <c r="FIE88" s="916"/>
      <c r="FIF88" s="916"/>
      <c r="FIG88" s="916"/>
      <c r="FIH88" s="916"/>
      <c r="FII88" s="916"/>
      <c r="FIJ88" s="916"/>
      <c r="FIK88" s="916"/>
      <c r="FIL88" s="916"/>
      <c r="FIM88" s="916"/>
      <c r="FIN88" s="916"/>
      <c r="FIO88" s="916"/>
      <c r="FIP88" s="916"/>
      <c r="FIQ88" s="916"/>
      <c r="FIR88" s="916"/>
      <c r="FIS88" s="916"/>
      <c r="FIT88" s="916"/>
      <c r="FIU88" s="916"/>
      <c r="FIV88" s="916"/>
      <c r="FIW88" s="916"/>
      <c r="FIX88" s="916"/>
      <c r="FIY88" s="916"/>
      <c r="FIZ88" s="916"/>
      <c r="FJA88" s="916"/>
      <c r="FJB88" s="916"/>
      <c r="FJC88" s="916"/>
      <c r="FJD88" s="916"/>
      <c r="FJE88" s="916"/>
      <c r="FJF88" s="916"/>
      <c r="FJG88" s="916"/>
      <c r="FJH88" s="916"/>
      <c r="FJI88" s="916"/>
      <c r="FJJ88" s="916"/>
      <c r="FJK88" s="916"/>
      <c r="FJL88" s="916"/>
      <c r="FJM88" s="916"/>
      <c r="FJN88" s="916"/>
      <c r="FJO88" s="916"/>
      <c r="FJP88" s="916"/>
      <c r="FJQ88" s="916"/>
      <c r="FJR88" s="916"/>
      <c r="FJS88" s="916"/>
      <c r="FJT88" s="916"/>
      <c r="FJU88" s="916"/>
      <c r="FJV88" s="916"/>
      <c r="FJW88" s="916"/>
      <c r="FJX88" s="916"/>
      <c r="FJY88" s="916"/>
      <c r="FJZ88" s="916"/>
      <c r="FKA88" s="916"/>
      <c r="FKB88" s="916"/>
      <c r="FKC88" s="916"/>
      <c r="FKD88" s="916"/>
      <c r="FKE88" s="916"/>
      <c r="FKF88" s="916"/>
      <c r="FKG88" s="916"/>
      <c r="FKH88" s="916"/>
      <c r="FKI88" s="916"/>
      <c r="FKJ88" s="916"/>
      <c r="FKK88" s="916"/>
      <c r="FKL88" s="916"/>
      <c r="FKM88" s="916"/>
      <c r="FKN88" s="916"/>
      <c r="FKO88" s="916"/>
      <c r="FKP88" s="916"/>
      <c r="FKQ88" s="916"/>
      <c r="FKR88" s="916"/>
      <c r="FKS88" s="916"/>
      <c r="FKT88" s="916"/>
      <c r="FKU88" s="916"/>
      <c r="FKV88" s="916"/>
      <c r="FKW88" s="916"/>
      <c r="FKX88" s="916"/>
      <c r="FKY88" s="916"/>
      <c r="FKZ88" s="916"/>
      <c r="FLA88" s="916"/>
      <c r="FLB88" s="916"/>
      <c r="FLC88" s="916"/>
      <c r="FLD88" s="916"/>
      <c r="FLE88" s="916"/>
      <c r="FLF88" s="916"/>
      <c r="FLG88" s="916"/>
      <c r="FLH88" s="916"/>
      <c r="FLI88" s="916"/>
      <c r="FLJ88" s="916"/>
      <c r="FLK88" s="916"/>
      <c r="FLL88" s="916"/>
      <c r="FLM88" s="916"/>
      <c r="FLN88" s="916"/>
      <c r="FLO88" s="916"/>
      <c r="FLP88" s="916"/>
      <c r="FLQ88" s="916"/>
      <c r="FLR88" s="916"/>
      <c r="FLS88" s="916"/>
      <c r="FLT88" s="916"/>
      <c r="FLU88" s="916"/>
      <c r="FLV88" s="916"/>
      <c r="FLW88" s="916"/>
      <c r="FLX88" s="916"/>
      <c r="FLY88" s="916"/>
      <c r="FLZ88" s="916"/>
      <c r="FMA88" s="916"/>
      <c r="FMB88" s="916"/>
      <c r="FMC88" s="916"/>
      <c r="FMD88" s="916"/>
      <c r="FME88" s="916"/>
      <c r="FMF88" s="916"/>
      <c r="FMG88" s="916"/>
      <c r="FMH88" s="916"/>
      <c r="FMI88" s="916"/>
      <c r="FMJ88" s="916"/>
      <c r="FMK88" s="916"/>
      <c r="FML88" s="916"/>
      <c r="FMM88" s="916"/>
      <c r="FMN88" s="916"/>
      <c r="FMO88" s="916"/>
      <c r="FMP88" s="916"/>
      <c r="FMQ88" s="916"/>
      <c r="FMR88" s="916"/>
      <c r="FMS88" s="916"/>
      <c r="FMT88" s="916"/>
      <c r="FMU88" s="916"/>
      <c r="FMV88" s="916"/>
      <c r="FMW88" s="916"/>
      <c r="FMX88" s="916"/>
      <c r="FMY88" s="916"/>
      <c r="FMZ88" s="916"/>
      <c r="FNA88" s="916"/>
      <c r="FNB88" s="916"/>
      <c r="FNC88" s="916"/>
      <c r="FND88" s="916"/>
      <c r="FNE88" s="916"/>
      <c r="FNF88" s="916"/>
      <c r="FNG88" s="916"/>
      <c r="FNH88" s="916"/>
      <c r="FNI88" s="916"/>
      <c r="FNJ88" s="916"/>
      <c r="FNK88" s="916"/>
      <c r="FNL88" s="916"/>
      <c r="FNM88" s="916"/>
      <c r="FNN88" s="916"/>
      <c r="FNO88" s="916"/>
      <c r="FNP88" s="916"/>
      <c r="FNQ88" s="916"/>
      <c r="FNR88" s="916"/>
      <c r="FNS88" s="916"/>
      <c r="FNT88" s="916"/>
      <c r="FNU88" s="916"/>
      <c r="FNV88" s="916"/>
      <c r="FNW88" s="916"/>
      <c r="FNX88" s="916"/>
      <c r="FNY88" s="916"/>
      <c r="FNZ88" s="916"/>
      <c r="FOA88" s="916"/>
      <c r="FOB88" s="916"/>
      <c r="FOC88" s="916"/>
      <c r="FOD88" s="916"/>
      <c r="FOE88" s="916"/>
      <c r="FOF88" s="916"/>
      <c r="FOG88" s="916"/>
      <c r="FOH88" s="916"/>
      <c r="FOI88" s="916"/>
      <c r="FOJ88" s="916"/>
      <c r="FOK88" s="916"/>
      <c r="FOL88" s="916"/>
      <c r="FOM88" s="916"/>
      <c r="FON88" s="916"/>
      <c r="FOO88" s="916"/>
      <c r="FOP88" s="916"/>
      <c r="FOQ88" s="916"/>
      <c r="FOR88" s="916"/>
      <c r="FOS88" s="916"/>
      <c r="FOT88" s="916"/>
      <c r="FOU88" s="916"/>
      <c r="FOV88" s="916"/>
      <c r="FOW88" s="916"/>
      <c r="FOX88" s="916"/>
      <c r="FOY88" s="916"/>
      <c r="FOZ88" s="916"/>
      <c r="FPA88" s="916"/>
      <c r="FPB88" s="916"/>
      <c r="FPC88" s="916"/>
      <c r="FPD88" s="916"/>
      <c r="FPE88" s="916"/>
      <c r="FPF88" s="916"/>
      <c r="FPG88" s="916"/>
      <c r="FPH88" s="916"/>
      <c r="FPI88" s="916"/>
      <c r="FPJ88" s="916"/>
      <c r="FPK88" s="916"/>
      <c r="FPL88" s="916"/>
      <c r="FPM88" s="916"/>
      <c r="FPN88" s="916"/>
      <c r="FPO88" s="916"/>
      <c r="FPP88" s="916"/>
      <c r="FPQ88" s="916"/>
      <c r="FPR88" s="916"/>
      <c r="FPS88" s="916"/>
      <c r="FPT88" s="916"/>
      <c r="FPU88" s="916"/>
      <c r="FPV88" s="916"/>
      <c r="FPW88" s="916"/>
      <c r="FPX88" s="916"/>
      <c r="FPY88" s="916"/>
      <c r="FPZ88" s="916"/>
      <c r="FQA88" s="916"/>
      <c r="FQB88" s="916"/>
      <c r="FQC88" s="916"/>
      <c r="FQD88" s="916"/>
      <c r="FQE88" s="916"/>
      <c r="FQF88" s="916"/>
      <c r="FQG88" s="916"/>
      <c r="FQH88" s="916"/>
      <c r="FQI88" s="916"/>
      <c r="FQJ88" s="916"/>
      <c r="FQK88" s="916"/>
      <c r="FQL88" s="916"/>
      <c r="FQM88" s="916"/>
      <c r="FQN88" s="916"/>
      <c r="FQO88" s="916"/>
      <c r="FQP88" s="916"/>
      <c r="FQQ88" s="916"/>
      <c r="FQR88" s="916"/>
      <c r="FQS88" s="916"/>
      <c r="FQT88" s="916"/>
      <c r="FQU88" s="916"/>
      <c r="FQV88" s="916"/>
      <c r="FQW88" s="916"/>
      <c r="FQX88" s="916"/>
      <c r="FQY88" s="916"/>
      <c r="FQZ88" s="916"/>
      <c r="FRA88" s="916"/>
      <c r="FRB88" s="916"/>
      <c r="FRC88" s="916"/>
      <c r="FRD88" s="916"/>
      <c r="FRE88" s="916"/>
      <c r="FRF88" s="916"/>
      <c r="FRG88" s="916"/>
      <c r="FRH88" s="916"/>
      <c r="FRI88" s="916"/>
      <c r="FRJ88" s="916"/>
      <c r="FRK88" s="916"/>
      <c r="FRL88" s="916"/>
      <c r="FRM88" s="916"/>
      <c r="FRN88" s="916"/>
      <c r="FRO88" s="916"/>
      <c r="FRP88" s="916"/>
      <c r="FRQ88" s="916"/>
      <c r="FRR88" s="916"/>
      <c r="FRS88" s="916"/>
      <c r="FRT88" s="916"/>
      <c r="FRU88" s="916"/>
      <c r="FRV88" s="916"/>
      <c r="FRW88" s="916"/>
      <c r="FRX88" s="916"/>
      <c r="FRY88" s="916"/>
      <c r="FRZ88" s="916"/>
      <c r="FSA88" s="916"/>
      <c r="FSB88" s="916"/>
      <c r="FSC88" s="916"/>
      <c r="FSD88" s="916"/>
      <c r="FSE88" s="916"/>
      <c r="FSF88" s="916"/>
      <c r="FSG88" s="916"/>
      <c r="FSH88" s="916"/>
      <c r="FSI88" s="916"/>
      <c r="FSJ88" s="916"/>
      <c r="FSK88" s="916"/>
      <c r="FSL88" s="916"/>
      <c r="FSM88" s="916"/>
      <c r="FSN88" s="916"/>
      <c r="FSO88" s="916"/>
      <c r="FSP88" s="916"/>
      <c r="FSQ88" s="916"/>
      <c r="FSR88" s="916"/>
      <c r="FSS88" s="916"/>
      <c r="FST88" s="916"/>
      <c r="FSU88" s="916"/>
      <c r="FSV88" s="916"/>
      <c r="FSW88" s="916"/>
      <c r="FSX88" s="916"/>
      <c r="FSY88" s="916"/>
      <c r="FSZ88" s="916"/>
      <c r="FTA88" s="916"/>
      <c r="FTB88" s="916"/>
      <c r="FTC88" s="916"/>
      <c r="FTD88" s="916"/>
      <c r="FTE88" s="916"/>
      <c r="FTF88" s="916"/>
      <c r="FTG88" s="916"/>
      <c r="FTH88" s="916"/>
      <c r="FTI88" s="916"/>
      <c r="FTJ88" s="916"/>
      <c r="FTK88" s="916"/>
      <c r="FTL88" s="916"/>
      <c r="FTM88" s="916"/>
      <c r="FTN88" s="916"/>
      <c r="FTO88" s="916"/>
      <c r="FTP88" s="916"/>
      <c r="FTQ88" s="916"/>
      <c r="FTR88" s="916"/>
      <c r="FTS88" s="916"/>
      <c r="FTT88" s="916"/>
      <c r="FTU88" s="916"/>
      <c r="FTV88" s="916"/>
      <c r="FTW88" s="916"/>
      <c r="FTX88" s="916"/>
      <c r="FTY88" s="916"/>
      <c r="FTZ88" s="916"/>
      <c r="FUA88" s="916"/>
      <c r="FUB88" s="916"/>
      <c r="FUC88" s="916"/>
      <c r="FUD88" s="916"/>
      <c r="FUE88" s="916"/>
      <c r="FUF88" s="916"/>
      <c r="FUG88" s="916"/>
      <c r="FUH88" s="916"/>
      <c r="FUI88" s="916"/>
      <c r="FUJ88" s="916"/>
      <c r="FUK88" s="916"/>
      <c r="FUL88" s="916"/>
      <c r="FUM88" s="916"/>
      <c r="FUN88" s="916"/>
      <c r="FUO88" s="916"/>
      <c r="FUP88" s="916"/>
      <c r="FUQ88" s="916"/>
      <c r="FUR88" s="916"/>
      <c r="FUS88" s="916"/>
      <c r="FUT88" s="916"/>
      <c r="FUU88" s="916"/>
      <c r="FUV88" s="916"/>
      <c r="FUW88" s="916"/>
      <c r="FUX88" s="916"/>
      <c r="FUY88" s="916"/>
      <c r="FUZ88" s="916"/>
      <c r="FVA88" s="916"/>
      <c r="FVB88" s="916"/>
      <c r="FVC88" s="916"/>
      <c r="FVD88" s="916"/>
      <c r="FVE88" s="916"/>
      <c r="FVF88" s="916"/>
      <c r="FVG88" s="916"/>
      <c r="FVH88" s="916"/>
      <c r="FVI88" s="916"/>
      <c r="FVJ88" s="916"/>
      <c r="FVK88" s="916"/>
      <c r="FVL88" s="916"/>
      <c r="FVM88" s="916"/>
      <c r="FVN88" s="916"/>
      <c r="FVO88" s="916"/>
      <c r="FVP88" s="916"/>
      <c r="FVQ88" s="916"/>
      <c r="FVR88" s="916"/>
      <c r="FVS88" s="916"/>
      <c r="FVT88" s="916"/>
      <c r="FVU88" s="916"/>
      <c r="FVV88" s="916"/>
      <c r="FVW88" s="916"/>
      <c r="FVX88" s="916"/>
      <c r="FVY88" s="916"/>
      <c r="FVZ88" s="916"/>
      <c r="FWA88" s="916"/>
      <c r="FWB88" s="916"/>
      <c r="FWC88" s="916"/>
      <c r="FWD88" s="916"/>
      <c r="FWE88" s="916"/>
      <c r="FWF88" s="916"/>
      <c r="FWG88" s="916"/>
      <c r="FWH88" s="916"/>
      <c r="FWI88" s="916"/>
      <c r="FWJ88" s="916"/>
      <c r="FWK88" s="916"/>
      <c r="FWL88" s="916"/>
      <c r="FWM88" s="916"/>
      <c r="FWN88" s="916"/>
      <c r="FWO88" s="916"/>
      <c r="FWP88" s="916"/>
      <c r="FWQ88" s="916"/>
      <c r="FWR88" s="916"/>
      <c r="FWS88" s="916"/>
      <c r="FWT88" s="916"/>
      <c r="FWU88" s="916"/>
      <c r="FWV88" s="916"/>
      <c r="FWW88" s="916"/>
      <c r="FWX88" s="916"/>
      <c r="FWY88" s="916"/>
      <c r="FWZ88" s="916"/>
      <c r="FXA88" s="916"/>
      <c r="FXB88" s="916"/>
      <c r="FXC88" s="916"/>
      <c r="FXD88" s="916"/>
      <c r="FXE88" s="916"/>
      <c r="FXF88" s="916"/>
      <c r="FXG88" s="916"/>
      <c r="FXH88" s="916"/>
      <c r="FXI88" s="916"/>
      <c r="FXJ88" s="916"/>
      <c r="FXK88" s="916"/>
      <c r="FXL88" s="916"/>
      <c r="FXM88" s="916"/>
      <c r="FXN88" s="916"/>
      <c r="FXO88" s="916"/>
      <c r="FXP88" s="916"/>
      <c r="FXQ88" s="916"/>
      <c r="FXR88" s="916"/>
      <c r="FXS88" s="916"/>
      <c r="FXT88" s="916"/>
      <c r="FXU88" s="916"/>
      <c r="FXV88" s="916"/>
      <c r="FXW88" s="916"/>
      <c r="FXX88" s="916"/>
      <c r="FXY88" s="916"/>
      <c r="FXZ88" s="916"/>
      <c r="FYA88" s="916"/>
      <c r="FYB88" s="916"/>
      <c r="FYC88" s="916"/>
      <c r="FYD88" s="916"/>
      <c r="FYE88" s="916"/>
      <c r="FYF88" s="916"/>
      <c r="FYG88" s="916"/>
      <c r="FYH88" s="916"/>
      <c r="FYI88" s="916"/>
      <c r="FYJ88" s="916"/>
      <c r="FYK88" s="916"/>
      <c r="FYL88" s="916"/>
      <c r="FYM88" s="916"/>
      <c r="FYN88" s="916"/>
      <c r="FYO88" s="916"/>
      <c r="FYP88" s="916"/>
      <c r="FYQ88" s="916"/>
      <c r="FYR88" s="916"/>
      <c r="FYS88" s="916"/>
      <c r="FYT88" s="916"/>
      <c r="FYU88" s="916"/>
      <c r="FYV88" s="916"/>
      <c r="FYW88" s="916"/>
      <c r="FYX88" s="916"/>
      <c r="FYY88" s="916"/>
      <c r="FYZ88" s="916"/>
      <c r="FZA88" s="916"/>
      <c r="FZB88" s="916"/>
      <c r="FZC88" s="916"/>
      <c r="FZD88" s="916"/>
      <c r="FZE88" s="916"/>
      <c r="FZF88" s="916"/>
      <c r="FZG88" s="916"/>
      <c r="FZH88" s="916"/>
      <c r="FZI88" s="916"/>
      <c r="FZJ88" s="916"/>
      <c r="FZK88" s="916"/>
      <c r="FZL88" s="916"/>
      <c r="FZM88" s="916"/>
      <c r="FZN88" s="916"/>
      <c r="FZO88" s="916"/>
      <c r="FZP88" s="916"/>
      <c r="FZQ88" s="916"/>
      <c r="FZR88" s="916"/>
      <c r="FZS88" s="916"/>
      <c r="FZT88" s="916"/>
      <c r="FZU88" s="916"/>
      <c r="FZV88" s="916"/>
      <c r="FZW88" s="916"/>
      <c r="FZX88" s="916"/>
      <c r="FZY88" s="916"/>
      <c r="FZZ88" s="916"/>
      <c r="GAA88" s="916"/>
      <c r="GAB88" s="916"/>
      <c r="GAC88" s="916"/>
      <c r="GAD88" s="916"/>
      <c r="GAE88" s="916"/>
      <c r="GAF88" s="916"/>
      <c r="GAG88" s="916"/>
      <c r="GAH88" s="916"/>
      <c r="GAI88" s="916"/>
      <c r="GAJ88" s="916"/>
      <c r="GAK88" s="916"/>
      <c r="GAL88" s="916"/>
      <c r="GAM88" s="916"/>
      <c r="GAN88" s="916"/>
      <c r="GAO88" s="916"/>
      <c r="GAP88" s="916"/>
      <c r="GAQ88" s="916"/>
      <c r="GAR88" s="916"/>
      <c r="GAS88" s="916"/>
      <c r="GAT88" s="916"/>
      <c r="GAU88" s="916"/>
      <c r="GAV88" s="916"/>
      <c r="GAW88" s="916"/>
      <c r="GAX88" s="916"/>
      <c r="GAY88" s="916"/>
      <c r="GAZ88" s="916"/>
      <c r="GBA88" s="916"/>
      <c r="GBB88" s="916"/>
      <c r="GBC88" s="916"/>
      <c r="GBD88" s="916"/>
      <c r="GBE88" s="916"/>
      <c r="GBF88" s="916"/>
      <c r="GBG88" s="916"/>
      <c r="GBH88" s="916"/>
      <c r="GBI88" s="916"/>
      <c r="GBJ88" s="916"/>
      <c r="GBK88" s="916"/>
      <c r="GBL88" s="916"/>
      <c r="GBM88" s="916"/>
      <c r="GBN88" s="916"/>
      <c r="GBO88" s="916"/>
      <c r="GBP88" s="916"/>
      <c r="GBQ88" s="916"/>
      <c r="GBR88" s="916"/>
      <c r="GBS88" s="916"/>
      <c r="GBT88" s="916"/>
      <c r="GBU88" s="916"/>
      <c r="GBV88" s="916"/>
      <c r="GBW88" s="916"/>
      <c r="GBX88" s="916"/>
      <c r="GBY88" s="916"/>
      <c r="GBZ88" s="916"/>
      <c r="GCA88" s="916"/>
      <c r="GCB88" s="916"/>
      <c r="GCC88" s="916"/>
      <c r="GCD88" s="916"/>
      <c r="GCE88" s="916"/>
      <c r="GCF88" s="916"/>
      <c r="GCG88" s="916"/>
      <c r="GCH88" s="916"/>
      <c r="GCI88" s="916"/>
      <c r="GCJ88" s="916"/>
      <c r="GCK88" s="916"/>
      <c r="GCL88" s="916"/>
      <c r="GCM88" s="916"/>
      <c r="GCN88" s="916"/>
      <c r="GCO88" s="916"/>
      <c r="GCP88" s="916"/>
      <c r="GCQ88" s="916"/>
      <c r="GCR88" s="916"/>
      <c r="GCS88" s="916"/>
      <c r="GCT88" s="916"/>
      <c r="GCU88" s="916"/>
      <c r="GCV88" s="916"/>
      <c r="GCW88" s="916"/>
      <c r="GCX88" s="916"/>
      <c r="GCY88" s="916"/>
      <c r="GCZ88" s="916"/>
      <c r="GDA88" s="916"/>
      <c r="GDB88" s="916"/>
      <c r="GDC88" s="916"/>
      <c r="GDD88" s="916"/>
      <c r="GDE88" s="916"/>
      <c r="GDF88" s="916"/>
      <c r="GDG88" s="916"/>
      <c r="GDH88" s="916"/>
      <c r="GDI88" s="916"/>
      <c r="GDJ88" s="916"/>
      <c r="GDK88" s="916"/>
      <c r="GDL88" s="916"/>
      <c r="GDM88" s="916"/>
      <c r="GDN88" s="916"/>
      <c r="GDO88" s="916"/>
      <c r="GDP88" s="916"/>
      <c r="GDQ88" s="916"/>
      <c r="GDR88" s="916"/>
      <c r="GDS88" s="916"/>
      <c r="GDT88" s="916"/>
      <c r="GDU88" s="916"/>
      <c r="GDV88" s="916"/>
      <c r="GDW88" s="916"/>
      <c r="GDX88" s="916"/>
      <c r="GDY88" s="916"/>
      <c r="GDZ88" s="916"/>
      <c r="GEA88" s="916"/>
      <c r="GEB88" s="916"/>
      <c r="GEC88" s="916"/>
      <c r="GED88" s="916"/>
      <c r="GEE88" s="916"/>
      <c r="GEF88" s="916"/>
      <c r="GEG88" s="916"/>
      <c r="GEH88" s="916"/>
      <c r="GEI88" s="916"/>
      <c r="GEJ88" s="916"/>
      <c r="GEK88" s="916"/>
      <c r="GEL88" s="916"/>
      <c r="GEM88" s="916"/>
      <c r="GEN88" s="916"/>
      <c r="GEO88" s="916"/>
      <c r="GEP88" s="916"/>
      <c r="GEQ88" s="916"/>
      <c r="GER88" s="916"/>
      <c r="GES88" s="916"/>
      <c r="GET88" s="916"/>
      <c r="GEU88" s="916"/>
      <c r="GEV88" s="916"/>
      <c r="GEW88" s="916"/>
      <c r="GEX88" s="916"/>
      <c r="GEY88" s="916"/>
      <c r="GEZ88" s="916"/>
      <c r="GFA88" s="916"/>
      <c r="GFB88" s="916"/>
      <c r="GFC88" s="916"/>
      <c r="GFD88" s="916"/>
      <c r="GFE88" s="916"/>
      <c r="GFF88" s="916"/>
      <c r="GFG88" s="916"/>
      <c r="GFH88" s="916"/>
      <c r="GFI88" s="916"/>
      <c r="GFJ88" s="916"/>
      <c r="GFK88" s="916"/>
      <c r="GFL88" s="916"/>
      <c r="GFM88" s="916"/>
      <c r="GFN88" s="916"/>
      <c r="GFO88" s="916"/>
      <c r="GFP88" s="916"/>
      <c r="GFQ88" s="916"/>
      <c r="GFR88" s="916"/>
      <c r="GFS88" s="916"/>
      <c r="GFT88" s="916"/>
      <c r="GFU88" s="916"/>
      <c r="GFV88" s="916"/>
      <c r="GFW88" s="916"/>
      <c r="GFX88" s="916"/>
      <c r="GFY88" s="916"/>
      <c r="GFZ88" s="916"/>
      <c r="GGA88" s="916"/>
      <c r="GGB88" s="916"/>
      <c r="GGC88" s="916"/>
      <c r="GGD88" s="916"/>
      <c r="GGE88" s="916"/>
      <c r="GGF88" s="916"/>
      <c r="GGG88" s="916"/>
      <c r="GGH88" s="916"/>
      <c r="GGI88" s="916"/>
      <c r="GGJ88" s="916"/>
      <c r="GGK88" s="916"/>
      <c r="GGL88" s="916"/>
      <c r="GGM88" s="916"/>
      <c r="GGN88" s="916"/>
      <c r="GGO88" s="916"/>
      <c r="GGP88" s="916"/>
      <c r="GGQ88" s="916"/>
      <c r="GGR88" s="916"/>
      <c r="GGS88" s="916"/>
      <c r="GGT88" s="916"/>
      <c r="GGU88" s="916"/>
      <c r="GGV88" s="916"/>
      <c r="GGW88" s="916"/>
      <c r="GGX88" s="916"/>
      <c r="GGY88" s="916"/>
      <c r="GGZ88" s="916"/>
      <c r="GHA88" s="916"/>
      <c r="GHB88" s="916"/>
      <c r="GHC88" s="916"/>
      <c r="GHD88" s="916"/>
      <c r="GHE88" s="916"/>
      <c r="GHF88" s="916"/>
      <c r="GHG88" s="916"/>
      <c r="GHH88" s="916"/>
      <c r="GHI88" s="916"/>
      <c r="GHJ88" s="916"/>
      <c r="GHK88" s="916"/>
      <c r="GHL88" s="916"/>
      <c r="GHM88" s="916"/>
      <c r="GHN88" s="916"/>
      <c r="GHO88" s="916"/>
      <c r="GHP88" s="916"/>
      <c r="GHQ88" s="916"/>
      <c r="GHR88" s="916"/>
      <c r="GHS88" s="916"/>
      <c r="GHT88" s="916"/>
      <c r="GHU88" s="916"/>
      <c r="GHV88" s="916"/>
      <c r="GHW88" s="916"/>
      <c r="GHX88" s="916"/>
      <c r="GHY88" s="916"/>
      <c r="GHZ88" s="916"/>
      <c r="GIA88" s="916"/>
      <c r="GIB88" s="916"/>
      <c r="GIC88" s="916"/>
      <c r="GID88" s="916"/>
      <c r="GIE88" s="916"/>
      <c r="GIF88" s="916"/>
      <c r="GIG88" s="916"/>
      <c r="GIH88" s="916"/>
      <c r="GII88" s="916"/>
      <c r="GIJ88" s="916"/>
      <c r="GIK88" s="916"/>
      <c r="GIL88" s="916"/>
      <c r="GIM88" s="916"/>
      <c r="GIN88" s="916"/>
      <c r="GIO88" s="916"/>
      <c r="GIP88" s="916"/>
      <c r="GIQ88" s="916"/>
      <c r="GIR88" s="916"/>
      <c r="GIS88" s="916"/>
      <c r="GIT88" s="916"/>
      <c r="GIU88" s="916"/>
      <c r="GIV88" s="916"/>
      <c r="GIW88" s="916"/>
      <c r="GIX88" s="916"/>
      <c r="GIY88" s="916"/>
      <c r="GIZ88" s="916"/>
      <c r="GJA88" s="916"/>
      <c r="GJB88" s="916"/>
      <c r="GJC88" s="916"/>
      <c r="GJD88" s="916"/>
      <c r="GJE88" s="916"/>
      <c r="GJF88" s="916"/>
      <c r="GJG88" s="916"/>
      <c r="GJH88" s="916"/>
      <c r="GJI88" s="916"/>
      <c r="GJJ88" s="916"/>
      <c r="GJK88" s="916"/>
      <c r="GJL88" s="916"/>
      <c r="GJM88" s="916"/>
      <c r="GJN88" s="916"/>
      <c r="GJO88" s="916"/>
      <c r="GJP88" s="916"/>
      <c r="GJQ88" s="916"/>
      <c r="GJR88" s="916"/>
      <c r="GJS88" s="916"/>
      <c r="GJT88" s="916"/>
      <c r="GJU88" s="916"/>
      <c r="GJV88" s="916"/>
      <c r="GJW88" s="916"/>
      <c r="GJX88" s="916"/>
      <c r="GJY88" s="916"/>
      <c r="GJZ88" s="916"/>
      <c r="GKA88" s="916"/>
      <c r="GKB88" s="916"/>
      <c r="GKC88" s="916"/>
      <c r="GKD88" s="916"/>
      <c r="GKE88" s="916"/>
      <c r="GKF88" s="916"/>
      <c r="GKG88" s="916"/>
      <c r="GKH88" s="916"/>
      <c r="GKI88" s="916"/>
      <c r="GKJ88" s="916"/>
      <c r="GKK88" s="916"/>
      <c r="GKL88" s="916"/>
      <c r="GKM88" s="916"/>
      <c r="GKN88" s="916"/>
      <c r="GKO88" s="916"/>
      <c r="GKP88" s="916"/>
      <c r="GKQ88" s="916"/>
      <c r="GKR88" s="916"/>
      <c r="GKS88" s="916"/>
      <c r="GKT88" s="916"/>
      <c r="GKU88" s="916"/>
      <c r="GKV88" s="916"/>
      <c r="GKW88" s="916"/>
      <c r="GKX88" s="916"/>
      <c r="GKY88" s="916"/>
      <c r="GKZ88" s="916"/>
      <c r="GLA88" s="916"/>
      <c r="GLB88" s="916"/>
      <c r="GLC88" s="916"/>
      <c r="GLD88" s="916"/>
      <c r="GLE88" s="916"/>
      <c r="GLF88" s="916"/>
      <c r="GLG88" s="916"/>
      <c r="GLH88" s="916"/>
      <c r="GLI88" s="916"/>
      <c r="GLJ88" s="916"/>
      <c r="GLK88" s="916"/>
      <c r="GLL88" s="916"/>
      <c r="GLM88" s="916"/>
      <c r="GLN88" s="916"/>
      <c r="GLO88" s="916"/>
      <c r="GLP88" s="916"/>
      <c r="GLQ88" s="916"/>
      <c r="GLR88" s="916"/>
      <c r="GLS88" s="916"/>
      <c r="GLT88" s="916"/>
      <c r="GLU88" s="916"/>
      <c r="GLV88" s="916"/>
      <c r="GLW88" s="916"/>
      <c r="GLX88" s="916"/>
      <c r="GLY88" s="916"/>
      <c r="GLZ88" s="916"/>
      <c r="GMA88" s="916"/>
      <c r="GMB88" s="916"/>
      <c r="GMC88" s="916"/>
      <c r="GMD88" s="916"/>
      <c r="GME88" s="916"/>
      <c r="GMF88" s="916"/>
      <c r="GMG88" s="916"/>
      <c r="GMH88" s="916"/>
      <c r="GMI88" s="916"/>
      <c r="GMJ88" s="916"/>
      <c r="GMK88" s="916"/>
      <c r="GML88" s="916"/>
      <c r="GMM88" s="916"/>
      <c r="GMN88" s="916"/>
      <c r="GMO88" s="916"/>
      <c r="GMP88" s="916"/>
      <c r="GMQ88" s="916"/>
      <c r="GMR88" s="916"/>
      <c r="GMS88" s="916"/>
      <c r="GMT88" s="916"/>
      <c r="GMU88" s="916"/>
      <c r="GMV88" s="916"/>
      <c r="GMW88" s="916"/>
      <c r="GMX88" s="916"/>
      <c r="GMY88" s="916"/>
      <c r="GMZ88" s="916"/>
      <c r="GNA88" s="916"/>
      <c r="GNB88" s="916"/>
      <c r="GNC88" s="916"/>
      <c r="GND88" s="916"/>
      <c r="GNE88" s="916"/>
      <c r="GNF88" s="916"/>
      <c r="GNG88" s="916"/>
      <c r="GNH88" s="916"/>
      <c r="GNI88" s="916"/>
      <c r="GNJ88" s="916"/>
      <c r="GNK88" s="916"/>
      <c r="GNL88" s="916"/>
      <c r="GNM88" s="916"/>
      <c r="GNN88" s="916"/>
      <c r="GNO88" s="916"/>
      <c r="GNP88" s="916"/>
      <c r="GNQ88" s="916"/>
      <c r="GNR88" s="916"/>
      <c r="GNS88" s="916"/>
      <c r="GNT88" s="916"/>
      <c r="GNU88" s="916"/>
      <c r="GNV88" s="916"/>
      <c r="GNW88" s="916"/>
      <c r="GNX88" s="916"/>
      <c r="GNY88" s="916"/>
      <c r="GNZ88" s="916"/>
      <c r="GOA88" s="916"/>
      <c r="GOB88" s="916"/>
      <c r="GOC88" s="916"/>
      <c r="GOD88" s="916"/>
      <c r="GOE88" s="916"/>
      <c r="GOF88" s="916"/>
      <c r="GOG88" s="916"/>
      <c r="GOH88" s="916"/>
      <c r="GOI88" s="916"/>
      <c r="GOJ88" s="916"/>
      <c r="GOK88" s="916"/>
      <c r="GOL88" s="916"/>
      <c r="GOM88" s="916"/>
      <c r="GON88" s="916"/>
      <c r="GOO88" s="916"/>
      <c r="GOP88" s="916"/>
      <c r="GOQ88" s="916"/>
      <c r="GOR88" s="916"/>
      <c r="GOS88" s="916"/>
      <c r="GOT88" s="916"/>
      <c r="GOU88" s="916"/>
      <c r="GOV88" s="916"/>
      <c r="GOW88" s="916"/>
      <c r="GOX88" s="916"/>
      <c r="GOY88" s="916"/>
      <c r="GOZ88" s="916"/>
      <c r="GPA88" s="916"/>
      <c r="GPB88" s="916"/>
      <c r="GPC88" s="916"/>
      <c r="GPD88" s="916"/>
      <c r="GPE88" s="916"/>
      <c r="GPF88" s="916"/>
      <c r="GPG88" s="916"/>
      <c r="GPH88" s="916"/>
      <c r="GPI88" s="916"/>
      <c r="GPJ88" s="916"/>
      <c r="GPK88" s="916"/>
      <c r="GPL88" s="916"/>
      <c r="GPM88" s="916"/>
      <c r="GPN88" s="916"/>
      <c r="GPO88" s="916"/>
      <c r="GPP88" s="916"/>
      <c r="GPQ88" s="916"/>
      <c r="GPR88" s="916"/>
      <c r="GPS88" s="916"/>
      <c r="GPT88" s="916"/>
      <c r="GPU88" s="916"/>
      <c r="GPV88" s="916"/>
      <c r="GPW88" s="916"/>
      <c r="GPX88" s="916"/>
      <c r="GPY88" s="916"/>
      <c r="GPZ88" s="916"/>
      <c r="GQA88" s="916"/>
      <c r="GQB88" s="916"/>
      <c r="GQC88" s="916"/>
      <c r="GQD88" s="916"/>
      <c r="GQE88" s="916"/>
      <c r="GQF88" s="916"/>
      <c r="GQG88" s="916"/>
      <c r="GQH88" s="916"/>
      <c r="GQI88" s="916"/>
      <c r="GQJ88" s="916"/>
      <c r="GQK88" s="916"/>
      <c r="GQL88" s="916"/>
      <c r="GQM88" s="916"/>
      <c r="GQN88" s="916"/>
      <c r="GQO88" s="916"/>
      <c r="GQP88" s="916"/>
      <c r="GQQ88" s="916"/>
      <c r="GQR88" s="916"/>
      <c r="GQS88" s="916"/>
      <c r="GQT88" s="916"/>
      <c r="GQU88" s="916"/>
      <c r="GQV88" s="916"/>
      <c r="GQW88" s="916"/>
      <c r="GQX88" s="916"/>
      <c r="GQY88" s="916"/>
      <c r="GQZ88" s="916"/>
      <c r="GRA88" s="916"/>
      <c r="GRB88" s="916"/>
      <c r="GRC88" s="916"/>
      <c r="GRD88" s="916"/>
      <c r="GRE88" s="916"/>
      <c r="GRF88" s="916"/>
      <c r="GRG88" s="916"/>
      <c r="GRH88" s="916"/>
      <c r="GRI88" s="916"/>
      <c r="GRJ88" s="916"/>
      <c r="GRK88" s="916"/>
      <c r="GRL88" s="916"/>
      <c r="GRM88" s="916"/>
      <c r="GRN88" s="916"/>
      <c r="GRO88" s="916"/>
      <c r="GRP88" s="916"/>
      <c r="GRQ88" s="916"/>
      <c r="GRR88" s="916"/>
      <c r="GRS88" s="916"/>
      <c r="GRT88" s="916"/>
      <c r="GRU88" s="916"/>
      <c r="GRV88" s="916"/>
      <c r="GRW88" s="916"/>
      <c r="GRX88" s="916"/>
      <c r="GRY88" s="916"/>
      <c r="GRZ88" s="916"/>
      <c r="GSA88" s="916"/>
      <c r="GSB88" s="916"/>
      <c r="GSC88" s="916"/>
      <c r="GSD88" s="916"/>
      <c r="GSE88" s="916"/>
      <c r="GSF88" s="916"/>
      <c r="GSG88" s="916"/>
      <c r="GSH88" s="916"/>
      <c r="GSI88" s="916"/>
      <c r="GSJ88" s="916"/>
      <c r="GSK88" s="916"/>
      <c r="GSL88" s="916"/>
      <c r="GSM88" s="916"/>
      <c r="GSN88" s="916"/>
      <c r="GSO88" s="916"/>
      <c r="GSP88" s="916"/>
      <c r="GSQ88" s="916"/>
      <c r="GSR88" s="916"/>
      <c r="GSS88" s="916"/>
      <c r="GST88" s="916"/>
      <c r="GSU88" s="916"/>
      <c r="GSV88" s="916"/>
      <c r="GSW88" s="916"/>
      <c r="GSX88" s="916"/>
      <c r="GSY88" s="916"/>
      <c r="GSZ88" s="916"/>
      <c r="GTA88" s="916"/>
      <c r="GTB88" s="916"/>
      <c r="GTC88" s="916"/>
      <c r="GTD88" s="916"/>
      <c r="GTE88" s="916"/>
      <c r="GTF88" s="916"/>
      <c r="GTG88" s="916"/>
      <c r="GTH88" s="916"/>
      <c r="GTI88" s="916"/>
      <c r="GTJ88" s="916"/>
      <c r="GTK88" s="916"/>
      <c r="GTL88" s="916"/>
      <c r="GTM88" s="916"/>
      <c r="GTN88" s="916"/>
      <c r="GTO88" s="916"/>
      <c r="GTP88" s="916"/>
      <c r="GTQ88" s="916"/>
      <c r="GTR88" s="916"/>
      <c r="GTS88" s="916"/>
      <c r="GTT88" s="916"/>
      <c r="GTU88" s="916"/>
      <c r="GTV88" s="916"/>
      <c r="GTW88" s="916"/>
      <c r="GTX88" s="916"/>
      <c r="GTY88" s="916"/>
      <c r="GTZ88" s="916"/>
      <c r="GUA88" s="916"/>
      <c r="GUB88" s="916"/>
      <c r="GUC88" s="916"/>
      <c r="GUD88" s="916"/>
      <c r="GUE88" s="916"/>
      <c r="GUF88" s="916"/>
      <c r="GUG88" s="916"/>
      <c r="GUH88" s="916"/>
      <c r="GUI88" s="916"/>
      <c r="GUJ88" s="916"/>
      <c r="GUK88" s="916"/>
      <c r="GUL88" s="916"/>
      <c r="GUM88" s="916"/>
      <c r="GUN88" s="916"/>
      <c r="GUO88" s="916"/>
      <c r="GUP88" s="916"/>
      <c r="GUQ88" s="916"/>
      <c r="GUR88" s="916"/>
      <c r="GUS88" s="916"/>
      <c r="GUT88" s="916"/>
      <c r="GUU88" s="916"/>
      <c r="GUV88" s="916"/>
      <c r="GUW88" s="916"/>
      <c r="GUX88" s="916"/>
      <c r="GUY88" s="916"/>
      <c r="GUZ88" s="916"/>
      <c r="GVA88" s="916"/>
      <c r="GVB88" s="916"/>
      <c r="GVC88" s="916"/>
      <c r="GVD88" s="916"/>
      <c r="GVE88" s="916"/>
      <c r="GVF88" s="916"/>
      <c r="GVG88" s="916"/>
      <c r="GVH88" s="916"/>
      <c r="GVI88" s="916"/>
      <c r="GVJ88" s="916"/>
      <c r="GVK88" s="916"/>
      <c r="GVL88" s="916"/>
      <c r="GVM88" s="916"/>
      <c r="GVN88" s="916"/>
      <c r="GVO88" s="916"/>
      <c r="GVP88" s="916"/>
      <c r="GVQ88" s="916"/>
      <c r="GVR88" s="916"/>
      <c r="GVS88" s="916"/>
      <c r="GVT88" s="916"/>
      <c r="GVU88" s="916"/>
      <c r="GVV88" s="916"/>
      <c r="GVW88" s="916"/>
      <c r="GVX88" s="916"/>
      <c r="GVY88" s="916"/>
      <c r="GVZ88" s="916"/>
      <c r="GWA88" s="916"/>
      <c r="GWB88" s="916"/>
      <c r="GWC88" s="916"/>
      <c r="GWD88" s="916"/>
      <c r="GWE88" s="916"/>
      <c r="GWF88" s="916"/>
      <c r="GWG88" s="916"/>
      <c r="GWH88" s="916"/>
      <c r="GWI88" s="916"/>
      <c r="GWJ88" s="916"/>
      <c r="GWK88" s="916"/>
      <c r="GWL88" s="916"/>
      <c r="GWM88" s="916"/>
      <c r="GWN88" s="916"/>
      <c r="GWO88" s="916"/>
      <c r="GWP88" s="916"/>
      <c r="GWQ88" s="916"/>
      <c r="GWR88" s="916"/>
      <c r="GWS88" s="916"/>
      <c r="GWT88" s="916"/>
      <c r="GWU88" s="916"/>
      <c r="GWV88" s="916"/>
      <c r="GWW88" s="916"/>
      <c r="GWX88" s="916"/>
      <c r="GWY88" s="916"/>
      <c r="GWZ88" s="916"/>
      <c r="GXA88" s="916"/>
      <c r="GXB88" s="916"/>
      <c r="GXC88" s="916"/>
      <c r="GXD88" s="916"/>
      <c r="GXE88" s="916"/>
      <c r="GXF88" s="916"/>
      <c r="GXG88" s="916"/>
      <c r="GXH88" s="916"/>
      <c r="GXI88" s="916"/>
      <c r="GXJ88" s="916"/>
      <c r="GXK88" s="916"/>
      <c r="GXL88" s="916"/>
      <c r="GXM88" s="916"/>
      <c r="GXN88" s="916"/>
      <c r="GXO88" s="916"/>
      <c r="GXP88" s="916"/>
      <c r="GXQ88" s="916"/>
      <c r="GXR88" s="916"/>
      <c r="GXS88" s="916"/>
      <c r="GXT88" s="916"/>
      <c r="GXU88" s="916"/>
      <c r="GXV88" s="916"/>
      <c r="GXW88" s="916"/>
      <c r="GXX88" s="916"/>
      <c r="GXY88" s="916"/>
      <c r="GXZ88" s="916"/>
      <c r="GYA88" s="916"/>
      <c r="GYB88" s="916"/>
      <c r="GYC88" s="916"/>
      <c r="GYD88" s="916"/>
      <c r="GYE88" s="916"/>
      <c r="GYF88" s="916"/>
      <c r="GYG88" s="916"/>
      <c r="GYH88" s="916"/>
      <c r="GYI88" s="916"/>
      <c r="GYJ88" s="916"/>
      <c r="GYK88" s="916"/>
      <c r="GYL88" s="916"/>
      <c r="GYM88" s="916"/>
      <c r="GYN88" s="916"/>
      <c r="GYO88" s="916"/>
      <c r="GYP88" s="916"/>
      <c r="GYQ88" s="916"/>
      <c r="GYR88" s="916"/>
      <c r="GYS88" s="916"/>
      <c r="GYT88" s="916"/>
      <c r="GYU88" s="916"/>
      <c r="GYV88" s="916"/>
      <c r="GYW88" s="916"/>
      <c r="GYX88" s="916"/>
      <c r="GYY88" s="916"/>
      <c r="GYZ88" s="916"/>
      <c r="GZA88" s="916"/>
      <c r="GZB88" s="916"/>
      <c r="GZC88" s="916"/>
      <c r="GZD88" s="916"/>
      <c r="GZE88" s="916"/>
      <c r="GZF88" s="916"/>
      <c r="GZG88" s="916"/>
      <c r="GZH88" s="916"/>
      <c r="GZI88" s="916"/>
      <c r="GZJ88" s="916"/>
      <c r="GZK88" s="916"/>
      <c r="GZL88" s="916"/>
      <c r="GZM88" s="916"/>
      <c r="GZN88" s="916"/>
      <c r="GZO88" s="916"/>
      <c r="GZP88" s="916"/>
      <c r="GZQ88" s="916"/>
      <c r="GZR88" s="916"/>
      <c r="GZS88" s="916"/>
      <c r="GZT88" s="916"/>
      <c r="GZU88" s="916"/>
      <c r="GZV88" s="916"/>
      <c r="GZW88" s="916"/>
      <c r="GZX88" s="916"/>
      <c r="GZY88" s="916"/>
      <c r="GZZ88" s="916"/>
      <c r="HAA88" s="916"/>
      <c r="HAB88" s="916"/>
      <c r="HAC88" s="916"/>
      <c r="HAD88" s="916"/>
      <c r="HAE88" s="916"/>
      <c r="HAF88" s="916"/>
      <c r="HAG88" s="916"/>
      <c r="HAH88" s="916"/>
      <c r="HAI88" s="916"/>
      <c r="HAJ88" s="916"/>
      <c r="HAK88" s="916"/>
      <c r="HAL88" s="916"/>
      <c r="HAM88" s="916"/>
      <c r="HAN88" s="916"/>
      <c r="HAO88" s="916"/>
      <c r="HAP88" s="916"/>
      <c r="HAQ88" s="916"/>
      <c r="HAR88" s="916"/>
      <c r="HAS88" s="916"/>
      <c r="HAT88" s="916"/>
      <c r="HAU88" s="916"/>
      <c r="HAV88" s="916"/>
      <c r="HAW88" s="916"/>
      <c r="HAX88" s="916"/>
      <c r="HAY88" s="916"/>
      <c r="HAZ88" s="916"/>
      <c r="HBA88" s="916"/>
      <c r="HBB88" s="916"/>
      <c r="HBC88" s="916"/>
      <c r="HBD88" s="916"/>
      <c r="HBE88" s="916"/>
      <c r="HBF88" s="916"/>
      <c r="HBG88" s="916"/>
      <c r="HBH88" s="916"/>
      <c r="HBI88" s="916"/>
      <c r="HBJ88" s="916"/>
      <c r="HBK88" s="916"/>
      <c r="HBL88" s="916"/>
      <c r="HBM88" s="916"/>
      <c r="HBN88" s="916"/>
      <c r="HBO88" s="916"/>
      <c r="HBP88" s="916"/>
      <c r="HBQ88" s="916"/>
      <c r="HBR88" s="916"/>
      <c r="HBS88" s="916"/>
      <c r="HBT88" s="916"/>
      <c r="HBU88" s="916"/>
      <c r="HBV88" s="916"/>
      <c r="HBW88" s="916"/>
      <c r="HBX88" s="916"/>
      <c r="HBY88" s="916"/>
      <c r="HBZ88" s="916"/>
      <c r="HCA88" s="916"/>
      <c r="HCB88" s="916"/>
      <c r="HCC88" s="916"/>
      <c r="HCD88" s="916"/>
      <c r="HCE88" s="916"/>
      <c r="HCF88" s="916"/>
      <c r="HCG88" s="916"/>
      <c r="HCH88" s="916"/>
      <c r="HCI88" s="916"/>
      <c r="HCJ88" s="916"/>
      <c r="HCK88" s="916"/>
      <c r="HCL88" s="916"/>
      <c r="HCM88" s="916"/>
      <c r="HCN88" s="916"/>
      <c r="HCO88" s="916"/>
      <c r="HCP88" s="916"/>
      <c r="HCQ88" s="916"/>
      <c r="HCR88" s="916"/>
      <c r="HCS88" s="916"/>
      <c r="HCT88" s="916"/>
      <c r="HCU88" s="916"/>
      <c r="HCV88" s="916"/>
      <c r="HCW88" s="916"/>
      <c r="HCX88" s="916"/>
      <c r="HCY88" s="916"/>
      <c r="HCZ88" s="916"/>
      <c r="HDA88" s="916"/>
      <c r="HDB88" s="916"/>
      <c r="HDC88" s="916"/>
      <c r="HDD88" s="916"/>
      <c r="HDE88" s="916"/>
      <c r="HDF88" s="916"/>
      <c r="HDG88" s="916"/>
      <c r="HDH88" s="916"/>
      <c r="HDI88" s="916"/>
      <c r="HDJ88" s="916"/>
      <c r="HDK88" s="916"/>
      <c r="HDL88" s="916"/>
      <c r="HDM88" s="916"/>
      <c r="HDN88" s="916"/>
      <c r="HDO88" s="916"/>
      <c r="HDP88" s="916"/>
      <c r="HDQ88" s="916"/>
      <c r="HDR88" s="916"/>
      <c r="HDS88" s="916"/>
      <c r="HDT88" s="916"/>
      <c r="HDU88" s="916"/>
      <c r="HDV88" s="916"/>
      <c r="HDW88" s="916"/>
      <c r="HDX88" s="916"/>
      <c r="HDY88" s="916"/>
      <c r="HDZ88" s="916"/>
      <c r="HEA88" s="916"/>
      <c r="HEB88" s="916"/>
      <c r="HEC88" s="916"/>
      <c r="HED88" s="916"/>
      <c r="HEE88" s="916"/>
      <c r="HEF88" s="916"/>
      <c r="HEG88" s="916"/>
      <c r="HEH88" s="916"/>
      <c r="HEI88" s="916"/>
      <c r="HEJ88" s="916"/>
      <c r="HEK88" s="916"/>
      <c r="HEL88" s="916"/>
      <c r="HEM88" s="916"/>
      <c r="HEN88" s="916"/>
      <c r="HEO88" s="916"/>
      <c r="HEP88" s="916"/>
      <c r="HEQ88" s="916"/>
      <c r="HER88" s="916"/>
      <c r="HES88" s="916"/>
      <c r="HET88" s="916"/>
      <c r="HEU88" s="916"/>
      <c r="HEV88" s="916"/>
      <c r="HEW88" s="916"/>
      <c r="HEX88" s="916"/>
      <c r="HEY88" s="916"/>
      <c r="HEZ88" s="916"/>
      <c r="HFA88" s="916"/>
      <c r="HFB88" s="916"/>
      <c r="HFC88" s="916"/>
      <c r="HFD88" s="916"/>
      <c r="HFE88" s="916"/>
      <c r="HFF88" s="916"/>
      <c r="HFG88" s="916"/>
      <c r="HFH88" s="916"/>
      <c r="HFI88" s="916"/>
      <c r="HFJ88" s="916"/>
      <c r="HFK88" s="916"/>
      <c r="HFL88" s="916"/>
      <c r="HFM88" s="916"/>
      <c r="HFN88" s="916"/>
      <c r="HFO88" s="916"/>
      <c r="HFP88" s="916"/>
      <c r="HFQ88" s="916"/>
      <c r="HFR88" s="916"/>
      <c r="HFS88" s="916"/>
      <c r="HFT88" s="916"/>
      <c r="HFU88" s="916"/>
      <c r="HFV88" s="916"/>
      <c r="HFW88" s="916"/>
      <c r="HFX88" s="916"/>
      <c r="HFY88" s="916"/>
      <c r="HFZ88" s="916"/>
      <c r="HGA88" s="916"/>
      <c r="HGB88" s="916"/>
      <c r="HGC88" s="916"/>
      <c r="HGD88" s="916"/>
      <c r="HGE88" s="916"/>
      <c r="HGF88" s="916"/>
      <c r="HGG88" s="916"/>
      <c r="HGH88" s="916"/>
      <c r="HGI88" s="916"/>
      <c r="HGJ88" s="916"/>
      <c r="HGK88" s="916"/>
      <c r="HGL88" s="916"/>
      <c r="HGM88" s="916"/>
      <c r="HGN88" s="916"/>
      <c r="HGO88" s="916"/>
      <c r="HGP88" s="916"/>
      <c r="HGQ88" s="916"/>
      <c r="HGR88" s="916"/>
      <c r="HGS88" s="916"/>
      <c r="HGT88" s="916"/>
      <c r="HGU88" s="916"/>
      <c r="HGV88" s="916"/>
      <c r="HGW88" s="916"/>
      <c r="HGX88" s="916"/>
      <c r="HGY88" s="916"/>
      <c r="HGZ88" s="916"/>
      <c r="HHA88" s="916"/>
      <c r="HHB88" s="916"/>
      <c r="HHC88" s="916"/>
      <c r="HHD88" s="916"/>
      <c r="HHE88" s="916"/>
      <c r="HHF88" s="916"/>
      <c r="HHG88" s="916"/>
      <c r="HHH88" s="916"/>
      <c r="HHI88" s="916"/>
      <c r="HHJ88" s="916"/>
      <c r="HHK88" s="916"/>
      <c r="HHL88" s="916"/>
      <c r="HHM88" s="916"/>
      <c r="HHN88" s="916"/>
      <c r="HHO88" s="916"/>
      <c r="HHP88" s="916"/>
      <c r="HHQ88" s="916"/>
      <c r="HHR88" s="916"/>
      <c r="HHS88" s="916"/>
      <c r="HHT88" s="916"/>
      <c r="HHU88" s="916"/>
      <c r="HHV88" s="916"/>
      <c r="HHW88" s="916"/>
      <c r="HHX88" s="916"/>
      <c r="HHY88" s="916"/>
      <c r="HHZ88" s="916"/>
      <c r="HIA88" s="916"/>
      <c r="HIB88" s="916"/>
      <c r="HIC88" s="916"/>
      <c r="HID88" s="916"/>
      <c r="HIE88" s="916"/>
      <c r="HIF88" s="916"/>
      <c r="HIG88" s="916"/>
      <c r="HIH88" s="916"/>
      <c r="HII88" s="916"/>
      <c r="HIJ88" s="916"/>
      <c r="HIK88" s="916"/>
      <c r="HIL88" s="916"/>
      <c r="HIM88" s="916"/>
      <c r="HIN88" s="916"/>
      <c r="HIO88" s="916"/>
      <c r="HIP88" s="916"/>
      <c r="HIQ88" s="916"/>
      <c r="HIR88" s="916"/>
      <c r="HIS88" s="916"/>
      <c r="HIT88" s="916"/>
      <c r="HIU88" s="916"/>
      <c r="HIV88" s="916"/>
      <c r="HIW88" s="916"/>
      <c r="HIX88" s="916"/>
      <c r="HIY88" s="916"/>
      <c r="HIZ88" s="916"/>
      <c r="HJA88" s="916"/>
      <c r="HJB88" s="916"/>
      <c r="HJC88" s="916"/>
      <c r="HJD88" s="916"/>
      <c r="HJE88" s="916"/>
      <c r="HJF88" s="916"/>
      <c r="HJG88" s="916"/>
      <c r="HJH88" s="916"/>
      <c r="HJI88" s="916"/>
      <c r="HJJ88" s="916"/>
      <c r="HJK88" s="916"/>
      <c r="HJL88" s="916"/>
      <c r="HJM88" s="916"/>
      <c r="HJN88" s="916"/>
      <c r="HJO88" s="916"/>
      <c r="HJP88" s="916"/>
      <c r="HJQ88" s="916"/>
      <c r="HJR88" s="916"/>
      <c r="HJS88" s="916"/>
      <c r="HJT88" s="916"/>
      <c r="HJU88" s="916"/>
      <c r="HJV88" s="916"/>
      <c r="HJW88" s="916"/>
      <c r="HJX88" s="916"/>
      <c r="HJY88" s="916"/>
      <c r="HJZ88" s="916"/>
      <c r="HKA88" s="916"/>
      <c r="HKB88" s="916"/>
      <c r="HKC88" s="916"/>
      <c r="HKD88" s="916"/>
      <c r="HKE88" s="916"/>
      <c r="HKF88" s="916"/>
      <c r="HKG88" s="916"/>
      <c r="HKH88" s="916"/>
      <c r="HKI88" s="916"/>
      <c r="HKJ88" s="916"/>
      <c r="HKK88" s="916"/>
      <c r="HKL88" s="916"/>
      <c r="HKM88" s="916"/>
      <c r="HKN88" s="916"/>
      <c r="HKO88" s="916"/>
      <c r="HKP88" s="916"/>
      <c r="HKQ88" s="916"/>
      <c r="HKR88" s="916"/>
      <c r="HKS88" s="916"/>
      <c r="HKT88" s="916"/>
      <c r="HKU88" s="916"/>
      <c r="HKV88" s="916"/>
      <c r="HKW88" s="916"/>
      <c r="HKX88" s="916"/>
      <c r="HKY88" s="916"/>
      <c r="HKZ88" s="916"/>
      <c r="HLA88" s="916"/>
      <c r="HLB88" s="916"/>
      <c r="HLC88" s="916"/>
      <c r="HLD88" s="916"/>
      <c r="HLE88" s="916"/>
      <c r="HLF88" s="916"/>
      <c r="HLG88" s="916"/>
      <c r="HLH88" s="916"/>
      <c r="HLI88" s="916"/>
      <c r="HLJ88" s="916"/>
      <c r="HLK88" s="916"/>
      <c r="HLL88" s="916"/>
      <c r="HLM88" s="916"/>
      <c r="HLN88" s="916"/>
      <c r="HLO88" s="916"/>
      <c r="HLP88" s="916"/>
      <c r="HLQ88" s="916"/>
      <c r="HLR88" s="916"/>
      <c r="HLS88" s="916"/>
      <c r="HLT88" s="916"/>
      <c r="HLU88" s="916"/>
      <c r="HLV88" s="916"/>
      <c r="HLW88" s="916"/>
      <c r="HLX88" s="916"/>
      <c r="HLY88" s="916"/>
      <c r="HLZ88" s="916"/>
      <c r="HMA88" s="916"/>
      <c r="HMB88" s="916"/>
      <c r="HMC88" s="916"/>
      <c r="HMD88" s="916"/>
      <c r="HME88" s="916"/>
      <c r="HMF88" s="916"/>
      <c r="HMG88" s="916"/>
      <c r="HMH88" s="916"/>
      <c r="HMI88" s="916"/>
      <c r="HMJ88" s="916"/>
      <c r="HMK88" s="916"/>
      <c r="HML88" s="916"/>
      <c r="HMM88" s="916"/>
      <c r="HMN88" s="916"/>
      <c r="HMO88" s="916"/>
      <c r="HMP88" s="916"/>
      <c r="HMQ88" s="916"/>
      <c r="HMR88" s="916"/>
      <c r="HMS88" s="916"/>
      <c r="HMT88" s="916"/>
      <c r="HMU88" s="916"/>
      <c r="HMV88" s="916"/>
      <c r="HMW88" s="916"/>
      <c r="HMX88" s="916"/>
      <c r="HMY88" s="916"/>
      <c r="HMZ88" s="916"/>
      <c r="HNA88" s="916"/>
      <c r="HNB88" s="916"/>
      <c r="HNC88" s="916"/>
      <c r="HND88" s="916"/>
      <c r="HNE88" s="916"/>
      <c r="HNF88" s="916"/>
      <c r="HNG88" s="916"/>
      <c r="HNH88" s="916"/>
      <c r="HNI88" s="916"/>
      <c r="HNJ88" s="916"/>
      <c r="HNK88" s="916"/>
      <c r="HNL88" s="916"/>
      <c r="HNM88" s="916"/>
      <c r="HNN88" s="916"/>
      <c r="HNO88" s="916"/>
      <c r="HNP88" s="916"/>
      <c r="HNQ88" s="916"/>
      <c r="HNR88" s="916"/>
      <c r="HNS88" s="916"/>
      <c r="HNT88" s="916"/>
      <c r="HNU88" s="916"/>
      <c r="HNV88" s="916"/>
      <c r="HNW88" s="916"/>
      <c r="HNX88" s="916"/>
      <c r="HNY88" s="916"/>
      <c r="HNZ88" s="916"/>
      <c r="HOA88" s="916"/>
      <c r="HOB88" s="916"/>
      <c r="HOC88" s="916"/>
      <c r="HOD88" s="916"/>
      <c r="HOE88" s="916"/>
      <c r="HOF88" s="916"/>
      <c r="HOG88" s="916"/>
      <c r="HOH88" s="916"/>
      <c r="HOI88" s="916"/>
      <c r="HOJ88" s="916"/>
      <c r="HOK88" s="916"/>
      <c r="HOL88" s="916"/>
      <c r="HOM88" s="916"/>
      <c r="HON88" s="916"/>
      <c r="HOO88" s="916"/>
      <c r="HOP88" s="916"/>
      <c r="HOQ88" s="916"/>
      <c r="HOR88" s="916"/>
      <c r="HOS88" s="916"/>
      <c r="HOT88" s="916"/>
      <c r="HOU88" s="916"/>
      <c r="HOV88" s="916"/>
      <c r="HOW88" s="916"/>
      <c r="HOX88" s="916"/>
      <c r="HOY88" s="916"/>
      <c r="HOZ88" s="916"/>
      <c r="HPA88" s="916"/>
      <c r="HPB88" s="916"/>
      <c r="HPC88" s="916"/>
      <c r="HPD88" s="916"/>
      <c r="HPE88" s="916"/>
      <c r="HPF88" s="916"/>
      <c r="HPG88" s="916"/>
      <c r="HPH88" s="916"/>
      <c r="HPI88" s="916"/>
      <c r="HPJ88" s="916"/>
      <c r="HPK88" s="916"/>
      <c r="HPL88" s="916"/>
      <c r="HPM88" s="916"/>
      <c r="HPN88" s="916"/>
      <c r="HPO88" s="916"/>
      <c r="HPP88" s="916"/>
      <c r="HPQ88" s="916"/>
      <c r="HPR88" s="916"/>
      <c r="HPS88" s="916"/>
      <c r="HPT88" s="916"/>
      <c r="HPU88" s="916"/>
      <c r="HPV88" s="916"/>
      <c r="HPW88" s="916"/>
      <c r="HPX88" s="916"/>
      <c r="HPY88" s="916"/>
      <c r="HPZ88" s="916"/>
      <c r="HQA88" s="916"/>
      <c r="HQB88" s="916"/>
      <c r="HQC88" s="916"/>
      <c r="HQD88" s="916"/>
      <c r="HQE88" s="916"/>
      <c r="HQF88" s="916"/>
      <c r="HQG88" s="916"/>
      <c r="HQH88" s="916"/>
      <c r="HQI88" s="916"/>
      <c r="HQJ88" s="916"/>
      <c r="HQK88" s="916"/>
      <c r="HQL88" s="916"/>
      <c r="HQM88" s="916"/>
      <c r="HQN88" s="916"/>
      <c r="HQO88" s="916"/>
      <c r="HQP88" s="916"/>
      <c r="HQQ88" s="916"/>
      <c r="HQR88" s="916"/>
      <c r="HQS88" s="916"/>
      <c r="HQT88" s="916"/>
      <c r="HQU88" s="916"/>
      <c r="HQV88" s="916"/>
      <c r="HQW88" s="916"/>
      <c r="HQX88" s="916"/>
      <c r="HQY88" s="916"/>
      <c r="HQZ88" s="916"/>
      <c r="HRA88" s="916"/>
      <c r="HRB88" s="916"/>
      <c r="HRC88" s="916"/>
      <c r="HRD88" s="916"/>
      <c r="HRE88" s="916"/>
      <c r="HRF88" s="916"/>
      <c r="HRG88" s="916"/>
      <c r="HRH88" s="916"/>
      <c r="HRI88" s="916"/>
      <c r="HRJ88" s="916"/>
      <c r="HRK88" s="916"/>
      <c r="HRL88" s="916"/>
      <c r="HRM88" s="916"/>
      <c r="HRN88" s="916"/>
      <c r="HRO88" s="916"/>
      <c r="HRP88" s="916"/>
      <c r="HRQ88" s="916"/>
      <c r="HRR88" s="916"/>
      <c r="HRS88" s="916"/>
      <c r="HRT88" s="916"/>
      <c r="HRU88" s="916"/>
      <c r="HRV88" s="916"/>
      <c r="HRW88" s="916"/>
      <c r="HRX88" s="916"/>
      <c r="HRY88" s="916"/>
      <c r="HRZ88" s="916"/>
      <c r="HSA88" s="916"/>
      <c r="HSB88" s="916"/>
      <c r="HSC88" s="916"/>
      <c r="HSD88" s="916"/>
      <c r="HSE88" s="916"/>
      <c r="HSF88" s="916"/>
      <c r="HSG88" s="916"/>
      <c r="HSH88" s="916"/>
      <c r="HSI88" s="916"/>
      <c r="HSJ88" s="916"/>
      <c r="HSK88" s="916"/>
      <c r="HSL88" s="916"/>
      <c r="HSM88" s="916"/>
      <c r="HSN88" s="916"/>
      <c r="HSO88" s="916"/>
      <c r="HSP88" s="916"/>
      <c r="HSQ88" s="916"/>
      <c r="HSR88" s="916"/>
      <c r="HSS88" s="916"/>
      <c r="HST88" s="916"/>
      <c r="HSU88" s="916"/>
      <c r="HSV88" s="916"/>
      <c r="HSW88" s="916"/>
      <c r="HSX88" s="916"/>
      <c r="HSY88" s="916"/>
      <c r="HSZ88" s="916"/>
      <c r="HTA88" s="916"/>
      <c r="HTB88" s="916"/>
      <c r="HTC88" s="916"/>
      <c r="HTD88" s="916"/>
      <c r="HTE88" s="916"/>
      <c r="HTF88" s="916"/>
      <c r="HTG88" s="916"/>
      <c r="HTH88" s="916"/>
      <c r="HTI88" s="916"/>
      <c r="HTJ88" s="916"/>
      <c r="HTK88" s="916"/>
      <c r="HTL88" s="916"/>
      <c r="HTM88" s="916"/>
      <c r="HTN88" s="916"/>
      <c r="HTO88" s="916"/>
      <c r="HTP88" s="916"/>
      <c r="HTQ88" s="916"/>
      <c r="HTR88" s="916"/>
      <c r="HTS88" s="916"/>
      <c r="HTT88" s="916"/>
      <c r="HTU88" s="916"/>
      <c r="HTV88" s="916"/>
      <c r="HTW88" s="916"/>
      <c r="HTX88" s="916"/>
      <c r="HTY88" s="916"/>
      <c r="HTZ88" s="916"/>
      <c r="HUA88" s="916"/>
      <c r="HUB88" s="916"/>
      <c r="HUC88" s="916"/>
      <c r="HUD88" s="916"/>
      <c r="HUE88" s="916"/>
      <c r="HUF88" s="916"/>
      <c r="HUG88" s="916"/>
      <c r="HUH88" s="916"/>
      <c r="HUI88" s="916"/>
      <c r="HUJ88" s="916"/>
      <c r="HUK88" s="916"/>
      <c r="HUL88" s="916"/>
      <c r="HUM88" s="916"/>
      <c r="HUN88" s="916"/>
      <c r="HUO88" s="916"/>
      <c r="HUP88" s="916"/>
      <c r="HUQ88" s="916"/>
      <c r="HUR88" s="916"/>
      <c r="HUS88" s="916"/>
      <c r="HUT88" s="916"/>
      <c r="HUU88" s="916"/>
      <c r="HUV88" s="916"/>
      <c r="HUW88" s="916"/>
      <c r="HUX88" s="916"/>
      <c r="HUY88" s="916"/>
      <c r="HUZ88" s="916"/>
      <c r="HVA88" s="916"/>
      <c r="HVB88" s="916"/>
      <c r="HVC88" s="916"/>
      <c r="HVD88" s="916"/>
      <c r="HVE88" s="916"/>
      <c r="HVF88" s="916"/>
      <c r="HVG88" s="916"/>
      <c r="HVH88" s="916"/>
      <c r="HVI88" s="916"/>
      <c r="HVJ88" s="916"/>
      <c r="HVK88" s="916"/>
      <c r="HVL88" s="916"/>
      <c r="HVM88" s="916"/>
      <c r="HVN88" s="916"/>
      <c r="HVO88" s="916"/>
      <c r="HVP88" s="916"/>
      <c r="HVQ88" s="916"/>
      <c r="HVR88" s="916"/>
      <c r="HVS88" s="916"/>
      <c r="HVT88" s="916"/>
      <c r="HVU88" s="916"/>
      <c r="HVV88" s="916"/>
      <c r="HVW88" s="916"/>
      <c r="HVX88" s="916"/>
      <c r="HVY88" s="916"/>
      <c r="HVZ88" s="916"/>
      <c r="HWA88" s="916"/>
      <c r="HWB88" s="916"/>
      <c r="HWC88" s="916"/>
      <c r="HWD88" s="916"/>
      <c r="HWE88" s="916"/>
      <c r="HWF88" s="916"/>
      <c r="HWG88" s="916"/>
      <c r="HWH88" s="916"/>
      <c r="HWI88" s="916"/>
      <c r="HWJ88" s="916"/>
      <c r="HWK88" s="916"/>
      <c r="HWL88" s="916"/>
      <c r="HWM88" s="916"/>
      <c r="HWN88" s="916"/>
      <c r="HWO88" s="916"/>
      <c r="HWP88" s="916"/>
      <c r="HWQ88" s="916"/>
      <c r="HWR88" s="916"/>
      <c r="HWS88" s="916"/>
      <c r="HWT88" s="916"/>
      <c r="HWU88" s="916"/>
      <c r="HWV88" s="916"/>
      <c r="HWW88" s="916"/>
      <c r="HWX88" s="916"/>
      <c r="HWY88" s="916"/>
      <c r="HWZ88" s="916"/>
      <c r="HXA88" s="916"/>
      <c r="HXB88" s="916"/>
      <c r="HXC88" s="916"/>
      <c r="HXD88" s="916"/>
      <c r="HXE88" s="916"/>
      <c r="HXF88" s="916"/>
      <c r="HXG88" s="916"/>
      <c r="HXH88" s="916"/>
      <c r="HXI88" s="916"/>
      <c r="HXJ88" s="916"/>
      <c r="HXK88" s="916"/>
      <c r="HXL88" s="916"/>
      <c r="HXM88" s="916"/>
      <c r="HXN88" s="916"/>
      <c r="HXO88" s="916"/>
      <c r="HXP88" s="916"/>
      <c r="HXQ88" s="916"/>
      <c r="HXR88" s="916"/>
      <c r="HXS88" s="916"/>
      <c r="HXT88" s="916"/>
      <c r="HXU88" s="916"/>
      <c r="HXV88" s="916"/>
      <c r="HXW88" s="916"/>
      <c r="HXX88" s="916"/>
      <c r="HXY88" s="916"/>
      <c r="HXZ88" s="916"/>
      <c r="HYA88" s="916"/>
      <c r="HYB88" s="916"/>
      <c r="HYC88" s="916"/>
      <c r="HYD88" s="916"/>
      <c r="HYE88" s="916"/>
      <c r="HYF88" s="916"/>
      <c r="HYG88" s="916"/>
      <c r="HYH88" s="916"/>
      <c r="HYI88" s="916"/>
      <c r="HYJ88" s="916"/>
      <c r="HYK88" s="916"/>
      <c r="HYL88" s="916"/>
      <c r="HYM88" s="916"/>
      <c r="HYN88" s="916"/>
      <c r="HYO88" s="916"/>
      <c r="HYP88" s="916"/>
      <c r="HYQ88" s="916"/>
      <c r="HYR88" s="916"/>
      <c r="HYS88" s="916"/>
      <c r="HYT88" s="916"/>
      <c r="HYU88" s="916"/>
      <c r="HYV88" s="916"/>
      <c r="HYW88" s="916"/>
      <c r="HYX88" s="916"/>
      <c r="HYY88" s="916"/>
      <c r="HYZ88" s="916"/>
      <c r="HZA88" s="916"/>
      <c r="HZB88" s="916"/>
      <c r="HZC88" s="916"/>
      <c r="HZD88" s="916"/>
      <c r="HZE88" s="916"/>
      <c r="HZF88" s="916"/>
      <c r="HZG88" s="916"/>
      <c r="HZH88" s="916"/>
      <c r="HZI88" s="916"/>
      <c r="HZJ88" s="916"/>
      <c r="HZK88" s="916"/>
      <c r="HZL88" s="916"/>
      <c r="HZM88" s="916"/>
      <c r="HZN88" s="916"/>
      <c r="HZO88" s="916"/>
      <c r="HZP88" s="916"/>
      <c r="HZQ88" s="916"/>
      <c r="HZR88" s="916"/>
      <c r="HZS88" s="916"/>
      <c r="HZT88" s="916"/>
      <c r="HZU88" s="916"/>
      <c r="HZV88" s="916"/>
      <c r="HZW88" s="916"/>
      <c r="HZX88" s="916"/>
      <c r="HZY88" s="916"/>
      <c r="HZZ88" s="916"/>
      <c r="IAA88" s="916"/>
      <c r="IAB88" s="916"/>
      <c r="IAC88" s="916"/>
      <c r="IAD88" s="916"/>
      <c r="IAE88" s="916"/>
      <c r="IAF88" s="916"/>
      <c r="IAG88" s="916"/>
      <c r="IAH88" s="916"/>
      <c r="IAI88" s="916"/>
      <c r="IAJ88" s="916"/>
      <c r="IAK88" s="916"/>
      <c r="IAL88" s="916"/>
      <c r="IAM88" s="916"/>
      <c r="IAN88" s="916"/>
      <c r="IAO88" s="916"/>
      <c r="IAP88" s="916"/>
      <c r="IAQ88" s="916"/>
      <c r="IAR88" s="916"/>
      <c r="IAS88" s="916"/>
      <c r="IAT88" s="916"/>
      <c r="IAU88" s="916"/>
      <c r="IAV88" s="916"/>
      <c r="IAW88" s="916"/>
      <c r="IAX88" s="916"/>
      <c r="IAY88" s="916"/>
      <c r="IAZ88" s="916"/>
      <c r="IBA88" s="916"/>
      <c r="IBB88" s="916"/>
      <c r="IBC88" s="916"/>
      <c r="IBD88" s="916"/>
      <c r="IBE88" s="916"/>
      <c r="IBF88" s="916"/>
      <c r="IBG88" s="916"/>
      <c r="IBH88" s="916"/>
      <c r="IBI88" s="916"/>
      <c r="IBJ88" s="916"/>
      <c r="IBK88" s="916"/>
      <c r="IBL88" s="916"/>
      <c r="IBM88" s="916"/>
      <c r="IBN88" s="916"/>
      <c r="IBO88" s="916"/>
      <c r="IBP88" s="916"/>
      <c r="IBQ88" s="916"/>
      <c r="IBR88" s="916"/>
      <c r="IBS88" s="916"/>
      <c r="IBT88" s="916"/>
      <c r="IBU88" s="916"/>
      <c r="IBV88" s="916"/>
      <c r="IBW88" s="916"/>
      <c r="IBX88" s="916"/>
      <c r="IBY88" s="916"/>
      <c r="IBZ88" s="916"/>
      <c r="ICA88" s="916"/>
      <c r="ICB88" s="916"/>
      <c r="ICC88" s="916"/>
      <c r="ICD88" s="916"/>
      <c r="ICE88" s="916"/>
      <c r="ICF88" s="916"/>
      <c r="ICG88" s="916"/>
      <c r="ICH88" s="916"/>
      <c r="ICI88" s="916"/>
      <c r="ICJ88" s="916"/>
      <c r="ICK88" s="916"/>
      <c r="ICL88" s="916"/>
      <c r="ICM88" s="916"/>
      <c r="ICN88" s="916"/>
      <c r="ICO88" s="916"/>
      <c r="ICP88" s="916"/>
      <c r="ICQ88" s="916"/>
      <c r="ICR88" s="916"/>
      <c r="ICS88" s="916"/>
      <c r="ICT88" s="916"/>
      <c r="ICU88" s="916"/>
      <c r="ICV88" s="916"/>
      <c r="ICW88" s="916"/>
      <c r="ICX88" s="916"/>
      <c r="ICY88" s="916"/>
      <c r="ICZ88" s="916"/>
      <c r="IDA88" s="916"/>
      <c r="IDB88" s="916"/>
      <c r="IDC88" s="916"/>
      <c r="IDD88" s="916"/>
      <c r="IDE88" s="916"/>
      <c r="IDF88" s="916"/>
      <c r="IDG88" s="916"/>
      <c r="IDH88" s="916"/>
      <c r="IDI88" s="916"/>
      <c r="IDJ88" s="916"/>
      <c r="IDK88" s="916"/>
      <c r="IDL88" s="916"/>
      <c r="IDM88" s="916"/>
      <c r="IDN88" s="916"/>
      <c r="IDO88" s="916"/>
      <c r="IDP88" s="916"/>
      <c r="IDQ88" s="916"/>
      <c r="IDR88" s="916"/>
      <c r="IDS88" s="916"/>
      <c r="IDT88" s="916"/>
      <c r="IDU88" s="916"/>
      <c r="IDV88" s="916"/>
      <c r="IDW88" s="916"/>
      <c r="IDX88" s="916"/>
      <c r="IDY88" s="916"/>
      <c r="IDZ88" s="916"/>
      <c r="IEA88" s="916"/>
      <c r="IEB88" s="916"/>
      <c r="IEC88" s="916"/>
      <c r="IED88" s="916"/>
      <c r="IEE88" s="916"/>
      <c r="IEF88" s="916"/>
      <c r="IEG88" s="916"/>
      <c r="IEH88" s="916"/>
      <c r="IEI88" s="916"/>
      <c r="IEJ88" s="916"/>
      <c r="IEK88" s="916"/>
      <c r="IEL88" s="916"/>
      <c r="IEM88" s="916"/>
      <c r="IEN88" s="916"/>
      <c r="IEO88" s="916"/>
      <c r="IEP88" s="916"/>
      <c r="IEQ88" s="916"/>
      <c r="IER88" s="916"/>
      <c r="IES88" s="916"/>
      <c r="IET88" s="916"/>
      <c r="IEU88" s="916"/>
      <c r="IEV88" s="916"/>
      <c r="IEW88" s="916"/>
      <c r="IEX88" s="916"/>
      <c r="IEY88" s="916"/>
      <c r="IEZ88" s="916"/>
      <c r="IFA88" s="916"/>
      <c r="IFB88" s="916"/>
      <c r="IFC88" s="916"/>
      <c r="IFD88" s="916"/>
      <c r="IFE88" s="916"/>
      <c r="IFF88" s="916"/>
      <c r="IFG88" s="916"/>
      <c r="IFH88" s="916"/>
      <c r="IFI88" s="916"/>
      <c r="IFJ88" s="916"/>
      <c r="IFK88" s="916"/>
      <c r="IFL88" s="916"/>
      <c r="IFM88" s="916"/>
      <c r="IFN88" s="916"/>
      <c r="IFO88" s="916"/>
      <c r="IFP88" s="916"/>
      <c r="IFQ88" s="916"/>
      <c r="IFR88" s="916"/>
      <c r="IFS88" s="916"/>
      <c r="IFT88" s="916"/>
      <c r="IFU88" s="916"/>
      <c r="IFV88" s="916"/>
      <c r="IFW88" s="916"/>
      <c r="IFX88" s="916"/>
      <c r="IFY88" s="916"/>
      <c r="IFZ88" s="916"/>
      <c r="IGA88" s="916"/>
      <c r="IGB88" s="916"/>
      <c r="IGC88" s="916"/>
      <c r="IGD88" s="916"/>
      <c r="IGE88" s="916"/>
      <c r="IGF88" s="916"/>
      <c r="IGG88" s="916"/>
      <c r="IGH88" s="916"/>
      <c r="IGI88" s="916"/>
      <c r="IGJ88" s="916"/>
      <c r="IGK88" s="916"/>
      <c r="IGL88" s="916"/>
      <c r="IGM88" s="916"/>
      <c r="IGN88" s="916"/>
      <c r="IGO88" s="916"/>
      <c r="IGP88" s="916"/>
      <c r="IGQ88" s="916"/>
      <c r="IGR88" s="916"/>
      <c r="IGS88" s="916"/>
      <c r="IGT88" s="916"/>
      <c r="IGU88" s="916"/>
      <c r="IGV88" s="916"/>
      <c r="IGW88" s="916"/>
      <c r="IGX88" s="916"/>
      <c r="IGY88" s="916"/>
      <c r="IGZ88" s="916"/>
      <c r="IHA88" s="916"/>
      <c r="IHB88" s="916"/>
      <c r="IHC88" s="916"/>
      <c r="IHD88" s="916"/>
      <c r="IHE88" s="916"/>
      <c r="IHF88" s="916"/>
      <c r="IHG88" s="916"/>
      <c r="IHH88" s="916"/>
      <c r="IHI88" s="916"/>
      <c r="IHJ88" s="916"/>
      <c r="IHK88" s="916"/>
      <c r="IHL88" s="916"/>
      <c r="IHM88" s="916"/>
      <c r="IHN88" s="916"/>
      <c r="IHO88" s="916"/>
      <c r="IHP88" s="916"/>
      <c r="IHQ88" s="916"/>
      <c r="IHR88" s="916"/>
      <c r="IHS88" s="916"/>
      <c r="IHT88" s="916"/>
      <c r="IHU88" s="916"/>
      <c r="IHV88" s="916"/>
      <c r="IHW88" s="916"/>
      <c r="IHX88" s="916"/>
      <c r="IHY88" s="916"/>
      <c r="IHZ88" s="916"/>
      <c r="IIA88" s="916"/>
      <c r="IIB88" s="916"/>
      <c r="IIC88" s="916"/>
      <c r="IID88" s="916"/>
      <c r="IIE88" s="916"/>
      <c r="IIF88" s="916"/>
      <c r="IIG88" s="916"/>
      <c r="IIH88" s="916"/>
      <c r="III88" s="916"/>
      <c r="IIJ88" s="916"/>
      <c r="IIK88" s="916"/>
      <c r="IIL88" s="916"/>
      <c r="IIM88" s="916"/>
      <c r="IIN88" s="916"/>
      <c r="IIO88" s="916"/>
      <c r="IIP88" s="916"/>
      <c r="IIQ88" s="916"/>
      <c r="IIR88" s="916"/>
      <c r="IIS88" s="916"/>
      <c r="IIT88" s="916"/>
      <c r="IIU88" s="916"/>
      <c r="IIV88" s="916"/>
      <c r="IIW88" s="916"/>
      <c r="IIX88" s="916"/>
      <c r="IIY88" s="916"/>
      <c r="IIZ88" s="916"/>
      <c r="IJA88" s="916"/>
      <c r="IJB88" s="916"/>
      <c r="IJC88" s="916"/>
      <c r="IJD88" s="916"/>
      <c r="IJE88" s="916"/>
      <c r="IJF88" s="916"/>
      <c r="IJG88" s="916"/>
      <c r="IJH88" s="916"/>
      <c r="IJI88" s="916"/>
      <c r="IJJ88" s="916"/>
      <c r="IJK88" s="916"/>
      <c r="IJL88" s="916"/>
      <c r="IJM88" s="916"/>
      <c r="IJN88" s="916"/>
      <c r="IJO88" s="916"/>
      <c r="IJP88" s="916"/>
      <c r="IJQ88" s="916"/>
      <c r="IJR88" s="916"/>
      <c r="IJS88" s="916"/>
      <c r="IJT88" s="916"/>
      <c r="IJU88" s="916"/>
      <c r="IJV88" s="916"/>
      <c r="IJW88" s="916"/>
      <c r="IJX88" s="916"/>
      <c r="IJY88" s="916"/>
      <c r="IJZ88" s="916"/>
      <c r="IKA88" s="916"/>
      <c r="IKB88" s="916"/>
      <c r="IKC88" s="916"/>
      <c r="IKD88" s="916"/>
      <c r="IKE88" s="916"/>
      <c r="IKF88" s="916"/>
      <c r="IKG88" s="916"/>
      <c r="IKH88" s="916"/>
      <c r="IKI88" s="916"/>
      <c r="IKJ88" s="916"/>
      <c r="IKK88" s="916"/>
      <c r="IKL88" s="916"/>
      <c r="IKM88" s="916"/>
      <c r="IKN88" s="916"/>
      <c r="IKO88" s="916"/>
      <c r="IKP88" s="916"/>
      <c r="IKQ88" s="916"/>
      <c r="IKR88" s="916"/>
      <c r="IKS88" s="916"/>
      <c r="IKT88" s="916"/>
      <c r="IKU88" s="916"/>
      <c r="IKV88" s="916"/>
      <c r="IKW88" s="916"/>
      <c r="IKX88" s="916"/>
      <c r="IKY88" s="916"/>
      <c r="IKZ88" s="916"/>
      <c r="ILA88" s="916"/>
      <c r="ILB88" s="916"/>
      <c r="ILC88" s="916"/>
      <c r="ILD88" s="916"/>
      <c r="ILE88" s="916"/>
      <c r="ILF88" s="916"/>
      <c r="ILG88" s="916"/>
      <c r="ILH88" s="916"/>
      <c r="ILI88" s="916"/>
      <c r="ILJ88" s="916"/>
      <c r="ILK88" s="916"/>
      <c r="ILL88" s="916"/>
      <c r="ILM88" s="916"/>
      <c r="ILN88" s="916"/>
      <c r="ILO88" s="916"/>
      <c r="ILP88" s="916"/>
      <c r="ILQ88" s="916"/>
      <c r="ILR88" s="916"/>
      <c r="ILS88" s="916"/>
      <c r="ILT88" s="916"/>
      <c r="ILU88" s="916"/>
      <c r="ILV88" s="916"/>
      <c r="ILW88" s="916"/>
      <c r="ILX88" s="916"/>
      <c r="ILY88" s="916"/>
      <c r="ILZ88" s="916"/>
      <c r="IMA88" s="916"/>
      <c r="IMB88" s="916"/>
      <c r="IMC88" s="916"/>
      <c r="IMD88" s="916"/>
      <c r="IME88" s="916"/>
      <c r="IMF88" s="916"/>
      <c r="IMG88" s="916"/>
      <c r="IMH88" s="916"/>
      <c r="IMI88" s="916"/>
      <c r="IMJ88" s="916"/>
      <c r="IMK88" s="916"/>
      <c r="IML88" s="916"/>
      <c r="IMM88" s="916"/>
      <c r="IMN88" s="916"/>
      <c r="IMO88" s="916"/>
      <c r="IMP88" s="916"/>
      <c r="IMQ88" s="916"/>
      <c r="IMR88" s="916"/>
      <c r="IMS88" s="916"/>
      <c r="IMT88" s="916"/>
      <c r="IMU88" s="916"/>
      <c r="IMV88" s="916"/>
      <c r="IMW88" s="916"/>
      <c r="IMX88" s="916"/>
      <c r="IMY88" s="916"/>
      <c r="IMZ88" s="916"/>
      <c r="INA88" s="916"/>
      <c r="INB88" s="916"/>
      <c r="INC88" s="916"/>
      <c r="IND88" s="916"/>
      <c r="INE88" s="916"/>
      <c r="INF88" s="916"/>
      <c r="ING88" s="916"/>
      <c r="INH88" s="916"/>
      <c r="INI88" s="916"/>
      <c r="INJ88" s="916"/>
      <c r="INK88" s="916"/>
      <c r="INL88" s="916"/>
      <c r="INM88" s="916"/>
      <c r="INN88" s="916"/>
      <c r="INO88" s="916"/>
      <c r="INP88" s="916"/>
      <c r="INQ88" s="916"/>
      <c r="INR88" s="916"/>
      <c r="INS88" s="916"/>
      <c r="INT88" s="916"/>
      <c r="INU88" s="916"/>
      <c r="INV88" s="916"/>
      <c r="INW88" s="916"/>
      <c r="INX88" s="916"/>
      <c r="INY88" s="916"/>
      <c r="INZ88" s="916"/>
      <c r="IOA88" s="916"/>
      <c r="IOB88" s="916"/>
      <c r="IOC88" s="916"/>
      <c r="IOD88" s="916"/>
      <c r="IOE88" s="916"/>
      <c r="IOF88" s="916"/>
      <c r="IOG88" s="916"/>
      <c r="IOH88" s="916"/>
      <c r="IOI88" s="916"/>
      <c r="IOJ88" s="916"/>
      <c r="IOK88" s="916"/>
      <c r="IOL88" s="916"/>
      <c r="IOM88" s="916"/>
      <c r="ION88" s="916"/>
      <c r="IOO88" s="916"/>
      <c r="IOP88" s="916"/>
      <c r="IOQ88" s="916"/>
      <c r="IOR88" s="916"/>
      <c r="IOS88" s="916"/>
      <c r="IOT88" s="916"/>
      <c r="IOU88" s="916"/>
      <c r="IOV88" s="916"/>
      <c r="IOW88" s="916"/>
      <c r="IOX88" s="916"/>
      <c r="IOY88" s="916"/>
      <c r="IOZ88" s="916"/>
      <c r="IPA88" s="916"/>
      <c r="IPB88" s="916"/>
      <c r="IPC88" s="916"/>
      <c r="IPD88" s="916"/>
      <c r="IPE88" s="916"/>
      <c r="IPF88" s="916"/>
      <c r="IPG88" s="916"/>
      <c r="IPH88" s="916"/>
      <c r="IPI88" s="916"/>
      <c r="IPJ88" s="916"/>
      <c r="IPK88" s="916"/>
      <c r="IPL88" s="916"/>
      <c r="IPM88" s="916"/>
      <c r="IPN88" s="916"/>
      <c r="IPO88" s="916"/>
      <c r="IPP88" s="916"/>
      <c r="IPQ88" s="916"/>
      <c r="IPR88" s="916"/>
      <c r="IPS88" s="916"/>
      <c r="IPT88" s="916"/>
      <c r="IPU88" s="916"/>
      <c r="IPV88" s="916"/>
      <c r="IPW88" s="916"/>
      <c r="IPX88" s="916"/>
      <c r="IPY88" s="916"/>
      <c r="IPZ88" s="916"/>
      <c r="IQA88" s="916"/>
      <c r="IQB88" s="916"/>
      <c r="IQC88" s="916"/>
      <c r="IQD88" s="916"/>
      <c r="IQE88" s="916"/>
      <c r="IQF88" s="916"/>
      <c r="IQG88" s="916"/>
      <c r="IQH88" s="916"/>
      <c r="IQI88" s="916"/>
      <c r="IQJ88" s="916"/>
      <c r="IQK88" s="916"/>
      <c r="IQL88" s="916"/>
      <c r="IQM88" s="916"/>
      <c r="IQN88" s="916"/>
      <c r="IQO88" s="916"/>
      <c r="IQP88" s="916"/>
      <c r="IQQ88" s="916"/>
      <c r="IQR88" s="916"/>
      <c r="IQS88" s="916"/>
      <c r="IQT88" s="916"/>
      <c r="IQU88" s="916"/>
      <c r="IQV88" s="916"/>
      <c r="IQW88" s="916"/>
      <c r="IQX88" s="916"/>
      <c r="IQY88" s="916"/>
      <c r="IQZ88" s="916"/>
      <c r="IRA88" s="916"/>
      <c r="IRB88" s="916"/>
      <c r="IRC88" s="916"/>
      <c r="IRD88" s="916"/>
      <c r="IRE88" s="916"/>
      <c r="IRF88" s="916"/>
      <c r="IRG88" s="916"/>
      <c r="IRH88" s="916"/>
      <c r="IRI88" s="916"/>
      <c r="IRJ88" s="916"/>
      <c r="IRK88" s="916"/>
      <c r="IRL88" s="916"/>
      <c r="IRM88" s="916"/>
      <c r="IRN88" s="916"/>
      <c r="IRO88" s="916"/>
      <c r="IRP88" s="916"/>
      <c r="IRQ88" s="916"/>
      <c r="IRR88" s="916"/>
      <c r="IRS88" s="916"/>
      <c r="IRT88" s="916"/>
      <c r="IRU88" s="916"/>
      <c r="IRV88" s="916"/>
      <c r="IRW88" s="916"/>
      <c r="IRX88" s="916"/>
      <c r="IRY88" s="916"/>
      <c r="IRZ88" s="916"/>
      <c r="ISA88" s="916"/>
      <c r="ISB88" s="916"/>
      <c r="ISC88" s="916"/>
      <c r="ISD88" s="916"/>
      <c r="ISE88" s="916"/>
      <c r="ISF88" s="916"/>
      <c r="ISG88" s="916"/>
      <c r="ISH88" s="916"/>
      <c r="ISI88" s="916"/>
      <c r="ISJ88" s="916"/>
      <c r="ISK88" s="916"/>
      <c r="ISL88" s="916"/>
      <c r="ISM88" s="916"/>
      <c r="ISN88" s="916"/>
      <c r="ISO88" s="916"/>
      <c r="ISP88" s="916"/>
      <c r="ISQ88" s="916"/>
      <c r="ISR88" s="916"/>
      <c r="ISS88" s="916"/>
      <c r="IST88" s="916"/>
      <c r="ISU88" s="916"/>
      <c r="ISV88" s="916"/>
      <c r="ISW88" s="916"/>
      <c r="ISX88" s="916"/>
      <c r="ISY88" s="916"/>
      <c r="ISZ88" s="916"/>
      <c r="ITA88" s="916"/>
      <c r="ITB88" s="916"/>
      <c r="ITC88" s="916"/>
      <c r="ITD88" s="916"/>
      <c r="ITE88" s="916"/>
      <c r="ITF88" s="916"/>
      <c r="ITG88" s="916"/>
      <c r="ITH88" s="916"/>
      <c r="ITI88" s="916"/>
      <c r="ITJ88" s="916"/>
      <c r="ITK88" s="916"/>
      <c r="ITL88" s="916"/>
      <c r="ITM88" s="916"/>
      <c r="ITN88" s="916"/>
      <c r="ITO88" s="916"/>
      <c r="ITP88" s="916"/>
      <c r="ITQ88" s="916"/>
      <c r="ITR88" s="916"/>
      <c r="ITS88" s="916"/>
      <c r="ITT88" s="916"/>
      <c r="ITU88" s="916"/>
      <c r="ITV88" s="916"/>
      <c r="ITW88" s="916"/>
      <c r="ITX88" s="916"/>
      <c r="ITY88" s="916"/>
      <c r="ITZ88" s="916"/>
      <c r="IUA88" s="916"/>
      <c r="IUB88" s="916"/>
      <c r="IUC88" s="916"/>
      <c r="IUD88" s="916"/>
      <c r="IUE88" s="916"/>
      <c r="IUF88" s="916"/>
      <c r="IUG88" s="916"/>
      <c r="IUH88" s="916"/>
      <c r="IUI88" s="916"/>
      <c r="IUJ88" s="916"/>
      <c r="IUK88" s="916"/>
      <c r="IUL88" s="916"/>
      <c r="IUM88" s="916"/>
      <c r="IUN88" s="916"/>
      <c r="IUO88" s="916"/>
      <c r="IUP88" s="916"/>
      <c r="IUQ88" s="916"/>
      <c r="IUR88" s="916"/>
      <c r="IUS88" s="916"/>
      <c r="IUT88" s="916"/>
      <c r="IUU88" s="916"/>
      <c r="IUV88" s="916"/>
      <c r="IUW88" s="916"/>
      <c r="IUX88" s="916"/>
      <c r="IUY88" s="916"/>
      <c r="IUZ88" s="916"/>
      <c r="IVA88" s="916"/>
      <c r="IVB88" s="916"/>
      <c r="IVC88" s="916"/>
      <c r="IVD88" s="916"/>
      <c r="IVE88" s="916"/>
      <c r="IVF88" s="916"/>
      <c r="IVG88" s="916"/>
      <c r="IVH88" s="916"/>
      <c r="IVI88" s="916"/>
      <c r="IVJ88" s="916"/>
      <c r="IVK88" s="916"/>
      <c r="IVL88" s="916"/>
      <c r="IVM88" s="916"/>
      <c r="IVN88" s="916"/>
      <c r="IVO88" s="916"/>
      <c r="IVP88" s="916"/>
      <c r="IVQ88" s="916"/>
      <c r="IVR88" s="916"/>
      <c r="IVS88" s="916"/>
      <c r="IVT88" s="916"/>
      <c r="IVU88" s="916"/>
      <c r="IVV88" s="916"/>
      <c r="IVW88" s="916"/>
      <c r="IVX88" s="916"/>
      <c r="IVY88" s="916"/>
      <c r="IVZ88" s="916"/>
      <c r="IWA88" s="916"/>
      <c r="IWB88" s="916"/>
      <c r="IWC88" s="916"/>
      <c r="IWD88" s="916"/>
      <c r="IWE88" s="916"/>
      <c r="IWF88" s="916"/>
      <c r="IWG88" s="916"/>
      <c r="IWH88" s="916"/>
      <c r="IWI88" s="916"/>
      <c r="IWJ88" s="916"/>
      <c r="IWK88" s="916"/>
      <c r="IWL88" s="916"/>
      <c r="IWM88" s="916"/>
      <c r="IWN88" s="916"/>
      <c r="IWO88" s="916"/>
      <c r="IWP88" s="916"/>
      <c r="IWQ88" s="916"/>
      <c r="IWR88" s="916"/>
      <c r="IWS88" s="916"/>
      <c r="IWT88" s="916"/>
      <c r="IWU88" s="916"/>
      <c r="IWV88" s="916"/>
      <c r="IWW88" s="916"/>
      <c r="IWX88" s="916"/>
      <c r="IWY88" s="916"/>
      <c r="IWZ88" s="916"/>
      <c r="IXA88" s="916"/>
      <c r="IXB88" s="916"/>
      <c r="IXC88" s="916"/>
      <c r="IXD88" s="916"/>
      <c r="IXE88" s="916"/>
      <c r="IXF88" s="916"/>
      <c r="IXG88" s="916"/>
      <c r="IXH88" s="916"/>
      <c r="IXI88" s="916"/>
      <c r="IXJ88" s="916"/>
      <c r="IXK88" s="916"/>
      <c r="IXL88" s="916"/>
      <c r="IXM88" s="916"/>
      <c r="IXN88" s="916"/>
      <c r="IXO88" s="916"/>
      <c r="IXP88" s="916"/>
      <c r="IXQ88" s="916"/>
      <c r="IXR88" s="916"/>
      <c r="IXS88" s="916"/>
      <c r="IXT88" s="916"/>
      <c r="IXU88" s="916"/>
      <c r="IXV88" s="916"/>
      <c r="IXW88" s="916"/>
      <c r="IXX88" s="916"/>
      <c r="IXY88" s="916"/>
      <c r="IXZ88" s="916"/>
      <c r="IYA88" s="916"/>
      <c r="IYB88" s="916"/>
      <c r="IYC88" s="916"/>
      <c r="IYD88" s="916"/>
      <c r="IYE88" s="916"/>
      <c r="IYF88" s="916"/>
      <c r="IYG88" s="916"/>
      <c r="IYH88" s="916"/>
      <c r="IYI88" s="916"/>
      <c r="IYJ88" s="916"/>
      <c r="IYK88" s="916"/>
      <c r="IYL88" s="916"/>
      <c r="IYM88" s="916"/>
      <c r="IYN88" s="916"/>
      <c r="IYO88" s="916"/>
      <c r="IYP88" s="916"/>
      <c r="IYQ88" s="916"/>
      <c r="IYR88" s="916"/>
      <c r="IYS88" s="916"/>
      <c r="IYT88" s="916"/>
      <c r="IYU88" s="916"/>
      <c r="IYV88" s="916"/>
      <c r="IYW88" s="916"/>
      <c r="IYX88" s="916"/>
      <c r="IYY88" s="916"/>
      <c r="IYZ88" s="916"/>
      <c r="IZA88" s="916"/>
      <c r="IZB88" s="916"/>
      <c r="IZC88" s="916"/>
      <c r="IZD88" s="916"/>
      <c r="IZE88" s="916"/>
      <c r="IZF88" s="916"/>
      <c r="IZG88" s="916"/>
      <c r="IZH88" s="916"/>
      <c r="IZI88" s="916"/>
      <c r="IZJ88" s="916"/>
      <c r="IZK88" s="916"/>
      <c r="IZL88" s="916"/>
      <c r="IZM88" s="916"/>
      <c r="IZN88" s="916"/>
      <c r="IZO88" s="916"/>
      <c r="IZP88" s="916"/>
      <c r="IZQ88" s="916"/>
      <c r="IZR88" s="916"/>
      <c r="IZS88" s="916"/>
      <c r="IZT88" s="916"/>
      <c r="IZU88" s="916"/>
      <c r="IZV88" s="916"/>
      <c r="IZW88" s="916"/>
      <c r="IZX88" s="916"/>
      <c r="IZY88" s="916"/>
      <c r="IZZ88" s="916"/>
      <c r="JAA88" s="916"/>
      <c r="JAB88" s="916"/>
      <c r="JAC88" s="916"/>
      <c r="JAD88" s="916"/>
      <c r="JAE88" s="916"/>
      <c r="JAF88" s="916"/>
      <c r="JAG88" s="916"/>
      <c r="JAH88" s="916"/>
      <c r="JAI88" s="916"/>
      <c r="JAJ88" s="916"/>
      <c r="JAK88" s="916"/>
      <c r="JAL88" s="916"/>
      <c r="JAM88" s="916"/>
      <c r="JAN88" s="916"/>
      <c r="JAO88" s="916"/>
      <c r="JAP88" s="916"/>
      <c r="JAQ88" s="916"/>
      <c r="JAR88" s="916"/>
      <c r="JAS88" s="916"/>
      <c r="JAT88" s="916"/>
      <c r="JAU88" s="916"/>
      <c r="JAV88" s="916"/>
      <c r="JAW88" s="916"/>
      <c r="JAX88" s="916"/>
      <c r="JAY88" s="916"/>
      <c r="JAZ88" s="916"/>
      <c r="JBA88" s="916"/>
      <c r="JBB88" s="916"/>
      <c r="JBC88" s="916"/>
      <c r="JBD88" s="916"/>
      <c r="JBE88" s="916"/>
      <c r="JBF88" s="916"/>
      <c r="JBG88" s="916"/>
      <c r="JBH88" s="916"/>
      <c r="JBI88" s="916"/>
      <c r="JBJ88" s="916"/>
      <c r="JBK88" s="916"/>
      <c r="JBL88" s="916"/>
      <c r="JBM88" s="916"/>
      <c r="JBN88" s="916"/>
      <c r="JBO88" s="916"/>
      <c r="JBP88" s="916"/>
      <c r="JBQ88" s="916"/>
      <c r="JBR88" s="916"/>
      <c r="JBS88" s="916"/>
      <c r="JBT88" s="916"/>
      <c r="JBU88" s="916"/>
      <c r="JBV88" s="916"/>
      <c r="JBW88" s="916"/>
      <c r="JBX88" s="916"/>
      <c r="JBY88" s="916"/>
      <c r="JBZ88" s="916"/>
      <c r="JCA88" s="916"/>
      <c r="JCB88" s="916"/>
      <c r="JCC88" s="916"/>
      <c r="JCD88" s="916"/>
      <c r="JCE88" s="916"/>
      <c r="JCF88" s="916"/>
      <c r="JCG88" s="916"/>
      <c r="JCH88" s="916"/>
      <c r="JCI88" s="916"/>
      <c r="JCJ88" s="916"/>
      <c r="JCK88" s="916"/>
      <c r="JCL88" s="916"/>
      <c r="JCM88" s="916"/>
      <c r="JCN88" s="916"/>
      <c r="JCO88" s="916"/>
      <c r="JCP88" s="916"/>
      <c r="JCQ88" s="916"/>
      <c r="JCR88" s="916"/>
      <c r="JCS88" s="916"/>
      <c r="JCT88" s="916"/>
      <c r="JCU88" s="916"/>
      <c r="JCV88" s="916"/>
      <c r="JCW88" s="916"/>
      <c r="JCX88" s="916"/>
      <c r="JCY88" s="916"/>
      <c r="JCZ88" s="916"/>
      <c r="JDA88" s="916"/>
      <c r="JDB88" s="916"/>
      <c r="JDC88" s="916"/>
      <c r="JDD88" s="916"/>
      <c r="JDE88" s="916"/>
      <c r="JDF88" s="916"/>
      <c r="JDG88" s="916"/>
      <c r="JDH88" s="916"/>
      <c r="JDI88" s="916"/>
      <c r="JDJ88" s="916"/>
      <c r="JDK88" s="916"/>
      <c r="JDL88" s="916"/>
      <c r="JDM88" s="916"/>
      <c r="JDN88" s="916"/>
      <c r="JDO88" s="916"/>
      <c r="JDP88" s="916"/>
      <c r="JDQ88" s="916"/>
      <c r="JDR88" s="916"/>
      <c r="JDS88" s="916"/>
      <c r="JDT88" s="916"/>
      <c r="JDU88" s="916"/>
      <c r="JDV88" s="916"/>
      <c r="JDW88" s="916"/>
      <c r="JDX88" s="916"/>
      <c r="JDY88" s="916"/>
      <c r="JDZ88" s="916"/>
      <c r="JEA88" s="916"/>
      <c r="JEB88" s="916"/>
      <c r="JEC88" s="916"/>
      <c r="JED88" s="916"/>
      <c r="JEE88" s="916"/>
      <c r="JEF88" s="916"/>
      <c r="JEG88" s="916"/>
      <c r="JEH88" s="916"/>
      <c r="JEI88" s="916"/>
      <c r="JEJ88" s="916"/>
      <c r="JEK88" s="916"/>
      <c r="JEL88" s="916"/>
      <c r="JEM88" s="916"/>
      <c r="JEN88" s="916"/>
      <c r="JEO88" s="916"/>
      <c r="JEP88" s="916"/>
      <c r="JEQ88" s="916"/>
      <c r="JER88" s="916"/>
      <c r="JES88" s="916"/>
      <c r="JET88" s="916"/>
      <c r="JEU88" s="916"/>
      <c r="JEV88" s="916"/>
      <c r="JEW88" s="916"/>
      <c r="JEX88" s="916"/>
      <c r="JEY88" s="916"/>
      <c r="JEZ88" s="916"/>
      <c r="JFA88" s="916"/>
      <c r="JFB88" s="916"/>
      <c r="JFC88" s="916"/>
      <c r="JFD88" s="916"/>
      <c r="JFE88" s="916"/>
      <c r="JFF88" s="916"/>
      <c r="JFG88" s="916"/>
      <c r="JFH88" s="916"/>
      <c r="JFI88" s="916"/>
      <c r="JFJ88" s="916"/>
      <c r="JFK88" s="916"/>
      <c r="JFL88" s="916"/>
      <c r="JFM88" s="916"/>
      <c r="JFN88" s="916"/>
      <c r="JFO88" s="916"/>
      <c r="JFP88" s="916"/>
      <c r="JFQ88" s="916"/>
      <c r="JFR88" s="916"/>
      <c r="JFS88" s="916"/>
      <c r="JFT88" s="916"/>
      <c r="JFU88" s="916"/>
      <c r="JFV88" s="916"/>
      <c r="JFW88" s="916"/>
      <c r="JFX88" s="916"/>
      <c r="JFY88" s="916"/>
      <c r="JFZ88" s="916"/>
      <c r="JGA88" s="916"/>
      <c r="JGB88" s="916"/>
      <c r="JGC88" s="916"/>
      <c r="JGD88" s="916"/>
      <c r="JGE88" s="916"/>
      <c r="JGF88" s="916"/>
      <c r="JGG88" s="916"/>
      <c r="JGH88" s="916"/>
      <c r="JGI88" s="916"/>
      <c r="JGJ88" s="916"/>
      <c r="JGK88" s="916"/>
      <c r="JGL88" s="916"/>
      <c r="JGM88" s="916"/>
      <c r="JGN88" s="916"/>
      <c r="JGO88" s="916"/>
      <c r="JGP88" s="916"/>
      <c r="JGQ88" s="916"/>
      <c r="JGR88" s="916"/>
      <c r="JGS88" s="916"/>
      <c r="JGT88" s="916"/>
      <c r="JGU88" s="916"/>
      <c r="JGV88" s="916"/>
      <c r="JGW88" s="916"/>
      <c r="JGX88" s="916"/>
      <c r="JGY88" s="916"/>
      <c r="JGZ88" s="916"/>
      <c r="JHA88" s="916"/>
      <c r="JHB88" s="916"/>
      <c r="JHC88" s="916"/>
      <c r="JHD88" s="916"/>
      <c r="JHE88" s="916"/>
      <c r="JHF88" s="916"/>
      <c r="JHG88" s="916"/>
      <c r="JHH88" s="916"/>
      <c r="JHI88" s="916"/>
      <c r="JHJ88" s="916"/>
      <c r="JHK88" s="916"/>
      <c r="JHL88" s="916"/>
      <c r="JHM88" s="916"/>
      <c r="JHN88" s="916"/>
      <c r="JHO88" s="916"/>
      <c r="JHP88" s="916"/>
      <c r="JHQ88" s="916"/>
      <c r="JHR88" s="916"/>
      <c r="JHS88" s="916"/>
      <c r="JHT88" s="916"/>
      <c r="JHU88" s="916"/>
      <c r="JHV88" s="916"/>
      <c r="JHW88" s="916"/>
      <c r="JHX88" s="916"/>
      <c r="JHY88" s="916"/>
      <c r="JHZ88" s="916"/>
      <c r="JIA88" s="916"/>
      <c r="JIB88" s="916"/>
      <c r="JIC88" s="916"/>
      <c r="JID88" s="916"/>
      <c r="JIE88" s="916"/>
      <c r="JIF88" s="916"/>
      <c r="JIG88" s="916"/>
      <c r="JIH88" s="916"/>
      <c r="JII88" s="916"/>
      <c r="JIJ88" s="916"/>
      <c r="JIK88" s="916"/>
      <c r="JIL88" s="916"/>
      <c r="JIM88" s="916"/>
      <c r="JIN88" s="916"/>
      <c r="JIO88" s="916"/>
      <c r="JIP88" s="916"/>
      <c r="JIQ88" s="916"/>
      <c r="JIR88" s="916"/>
      <c r="JIS88" s="916"/>
      <c r="JIT88" s="916"/>
      <c r="JIU88" s="916"/>
      <c r="JIV88" s="916"/>
      <c r="JIW88" s="916"/>
      <c r="JIX88" s="916"/>
      <c r="JIY88" s="916"/>
      <c r="JIZ88" s="916"/>
      <c r="JJA88" s="916"/>
      <c r="JJB88" s="916"/>
      <c r="JJC88" s="916"/>
      <c r="JJD88" s="916"/>
      <c r="JJE88" s="916"/>
      <c r="JJF88" s="916"/>
      <c r="JJG88" s="916"/>
      <c r="JJH88" s="916"/>
      <c r="JJI88" s="916"/>
      <c r="JJJ88" s="916"/>
      <c r="JJK88" s="916"/>
      <c r="JJL88" s="916"/>
      <c r="JJM88" s="916"/>
      <c r="JJN88" s="916"/>
      <c r="JJO88" s="916"/>
      <c r="JJP88" s="916"/>
      <c r="JJQ88" s="916"/>
      <c r="JJR88" s="916"/>
      <c r="JJS88" s="916"/>
      <c r="JJT88" s="916"/>
      <c r="JJU88" s="916"/>
      <c r="JJV88" s="916"/>
      <c r="JJW88" s="916"/>
      <c r="JJX88" s="916"/>
      <c r="JJY88" s="916"/>
      <c r="JJZ88" s="916"/>
      <c r="JKA88" s="916"/>
      <c r="JKB88" s="916"/>
      <c r="JKC88" s="916"/>
      <c r="JKD88" s="916"/>
      <c r="JKE88" s="916"/>
      <c r="JKF88" s="916"/>
      <c r="JKG88" s="916"/>
      <c r="JKH88" s="916"/>
      <c r="JKI88" s="916"/>
      <c r="JKJ88" s="916"/>
      <c r="JKK88" s="916"/>
      <c r="JKL88" s="916"/>
      <c r="JKM88" s="916"/>
      <c r="JKN88" s="916"/>
      <c r="JKO88" s="916"/>
      <c r="JKP88" s="916"/>
      <c r="JKQ88" s="916"/>
      <c r="JKR88" s="916"/>
      <c r="JKS88" s="916"/>
      <c r="JKT88" s="916"/>
      <c r="JKU88" s="916"/>
      <c r="JKV88" s="916"/>
      <c r="JKW88" s="916"/>
      <c r="JKX88" s="916"/>
      <c r="JKY88" s="916"/>
      <c r="JKZ88" s="916"/>
      <c r="JLA88" s="916"/>
      <c r="JLB88" s="916"/>
      <c r="JLC88" s="916"/>
      <c r="JLD88" s="916"/>
      <c r="JLE88" s="916"/>
      <c r="JLF88" s="916"/>
      <c r="JLG88" s="916"/>
      <c r="JLH88" s="916"/>
      <c r="JLI88" s="916"/>
      <c r="JLJ88" s="916"/>
      <c r="JLK88" s="916"/>
      <c r="JLL88" s="916"/>
      <c r="JLM88" s="916"/>
      <c r="JLN88" s="916"/>
      <c r="JLO88" s="916"/>
      <c r="JLP88" s="916"/>
      <c r="JLQ88" s="916"/>
      <c r="JLR88" s="916"/>
      <c r="JLS88" s="916"/>
      <c r="JLT88" s="916"/>
      <c r="JLU88" s="916"/>
      <c r="JLV88" s="916"/>
      <c r="JLW88" s="916"/>
      <c r="JLX88" s="916"/>
      <c r="JLY88" s="916"/>
      <c r="JLZ88" s="916"/>
      <c r="JMA88" s="916"/>
      <c r="JMB88" s="916"/>
      <c r="JMC88" s="916"/>
      <c r="JMD88" s="916"/>
      <c r="JME88" s="916"/>
      <c r="JMF88" s="916"/>
      <c r="JMG88" s="916"/>
      <c r="JMH88" s="916"/>
      <c r="JMI88" s="916"/>
      <c r="JMJ88" s="916"/>
      <c r="JMK88" s="916"/>
      <c r="JML88" s="916"/>
      <c r="JMM88" s="916"/>
      <c r="JMN88" s="916"/>
      <c r="JMO88" s="916"/>
      <c r="JMP88" s="916"/>
      <c r="JMQ88" s="916"/>
      <c r="JMR88" s="916"/>
      <c r="JMS88" s="916"/>
      <c r="JMT88" s="916"/>
      <c r="JMU88" s="916"/>
      <c r="JMV88" s="916"/>
      <c r="JMW88" s="916"/>
      <c r="JMX88" s="916"/>
      <c r="JMY88" s="916"/>
      <c r="JMZ88" s="916"/>
      <c r="JNA88" s="916"/>
      <c r="JNB88" s="916"/>
      <c r="JNC88" s="916"/>
      <c r="JND88" s="916"/>
      <c r="JNE88" s="916"/>
      <c r="JNF88" s="916"/>
      <c r="JNG88" s="916"/>
      <c r="JNH88" s="916"/>
      <c r="JNI88" s="916"/>
      <c r="JNJ88" s="916"/>
      <c r="JNK88" s="916"/>
      <c r="JNL88" s="916"/>
      <c r="JNM88" s="916"/>
      <c r="JNN88" s="916"/>
      <c r="JNO88" s="916"/>
      <c r="JNP88" s="916"/>
      <c r="JNQ88" s="916"/>
      <c r="JNR88" s="916"/>
      <c r="JNS88" s="916"/>
      <c r="JNT88" s="916"/>
      <c r="JNU88" s="916"/>
      <c r="JNV88" s="916"/>
      <c r="JNW88" s="916"/>
      <c r="JNX88" s="916"/>
      <c r="JNY88" s="916"/>
      <c r="JNZ88" s="916"/>
      <c r="JOA88" s="916"/>
      <c r="JOB88" s="916"/>
      <c r="JOC88" s="916"/>
      <c r="JOD88" s="916"/>
      <c r="JOE88" s="916"/>
      <c r="JOF88" s="916"/>
      <c r="JOG88" s="916"/>
      <c r="JOH88" s="916"/>
      <c r="JOI88" s="916"/>
      <c r="JOJ88" s="916"/>
      <c r="JOK88" s="916"/>
      <c r="JOL88" s="916"/>
      <c r="JOM88" s="916"/>
      <c r="JON88" s="916"/>
      <c r="JOO88" s="916"/>
      <c r="JOP88" s="916"/>
      <c r="JOQ88" s="916"/>
      <c r="JOR88" s="916"/>
      <c r="JOS88" s="916"/>
      <c r="JOT88" s="916"/>
      <c r="JOU88" s="916"/>
      <c r="JOV88" s="916"/>
      <c r="JOW88" s="916"/>
      <c r="JOX88" s="916"/>
      <c r="JOY88" s="916"/>
      <c r="JOZ88" s="916"/>
      <c r="JPA88" s="916"/>
      <c r="JPB88" s="916"/>
      <c r="JPC88" s="916"/>
      <c r="JPD88" s="916"/>
      <c r="JPE88" s="916"/>
      <c r="JPF88" s="916"/>
      <c r="JPG88" s="916"/>
      <c r="JPH88" s="916"/>
      <c r="JPI88" s="916"/>
      <c r="JPJ88" s="916"/>
      <c r="JPK88" s="916"/>
      <c r="JPL88" s="916"/>
      <c r="JPM88" s="916"/>
      <c r="JPN88" s="916"/>
      <c r="JPO88" s="916"/>
      <c r="JPP88" s="916"/>
      <c r="JPQ88" s="916"/>
      <c r="JPR88" s="916"/>
      <c r="JPS88" s="916"/>
      <c r="JPT88" s="916"/>
      <c r="JPU88" s="916"/>
      <c r="JPV88" s="916"/>
      <c r="JPW88" s="916"/>
      <c r="JPX88" s="916"/>
      <c r="JPY88" s="916"/>
      <c r="JPZ88" s="916"/>
      <c r="JQA88" s="916"/>
      <c r="JQB88" s="916"/>
      <c r="JQC88" s="916"/>
      <c r="JQD88" s="916"/>
      <c r="JQE88" s="916"/>
      <c r="JQF88" s="916"/>
      <c r="JQG88" s="916"/>
      <c r="JQH88" s="916"/>
      <c r="JQI88" s="916"/>
      <c r="JQJ88" s="916"/>
      <c r="JQK88" s="916"/>
      <c r="JQL88" s="916"/>
      <c r="JQM88" s="916"/>
      <c r="JQN88" s="916"/>
      <c r="JQO88" s="916"/>
      <c r="JQP88" s="916"/>
      <c r="JQQ88" s="916"/>
      <c r="JQR88" s="916"/>
      <c r="JQS88" s="916"/>
      <c r="JQT88" s="916"/>
      <c r="JQU88" s="916"/>
      <c r="JQV88" s="916"/>
      <c r="JQW88" s="916"/>
      <c r="JQX88" s="916"/>
      <c r="JQY88" s="916"/>
      <c r="JQZ88" s="916"/>
      <c r="JRA88" s="916"/>
      <c r="JRB88" s="916"/>
      <c r="JRC88" s="916"/>
      <c r="JRD88" s="916"/>
      <c r="JRE88" s="916"/>
      <c r="JRF88" s="916"/>
      <c r="JRG88" s="916"/>
      <c r="JRH88" s="916"/>
      <c r="JRI88" s="916"/>
      <c r="JRJ88" s="916"/>
      <c r="JRK88" s="916"/>
      <c r="JRL88" s="916"/>
      <c r="JRM88" s="916"/>
      <c r="JRN88" s="916"/>
      <c r="JRO88" s="916"/>
      <c r="JRP88" s="916"/>
      <c r="JRQ88" s="916"/>
      <c r="JRR88" s="916"/>
      <c r="JRS88" s="916"/>
      <c r="JRT88" s="916"/>
      <c r="JRU88" s="916"/>
      <c r="JRV88" s="916"/>
      <c r="JRW88" s="916"/>
      <c r="JRX88" s="916"/>
      <c r="JRY88" s="916"/>
      <c r="JRZ88" s="916"/>
      <c r="JSA88" s="916"/>
      <c r="JSB88" s="916"/>
      <c r="JSC88" s="916"/>
      <c r="JSD88" s="916"/>
      <c r="JSE88" s="916"/>
      <c r="JSF88" s="916"/>
      <c r="JSG88" s="916"/>
      <c r="JSH88" s="916"/>
      <c r="JSI88" s="916"/>
      <c r="JSJ88" s="916"/>
      <c r="JSK88" s="916"/>
      <c r="JSL88" s="916"/>
      <c r="JSM88" s="916"/>
      <c r="JSN88" s="916"/>
      <c r="JSO88" s="916"/>
      <c r="JSP88" s="916"/>
      <c r="JSQ88" s="916"/>
      <c r="JSR88" s="916"/>
      <c r="JSS88" s="916"/>
      <c r="JST88" s="916"/>
      <c r="JSU88" s="916"/>
      <c r="JSV88" s="916"/>
      <c r="JSW88" s="916"/>
      <c r="JSX88" s="916"/>
      <c r="JSY88" s="916"/>
      <c r="JSZ88" s="916"/>
      <c r="JTA88" s="916"/>
      <c r="JTB88" s="916"/>
      <c r="JTC88" s="916"/>
      <c r="JTD88" s="916"/>
      <c r="JTE88" s="916"/>
      <c r="JTF88" s="916"/>
      <c r="JTG88" s="916"/>
      <c r="JTH88" s="916"/>
      <c r="JTI88" s="916"/>
      <c r="JTJ88" s="916"/>
      <c r="JTK88" s="916"/>
      <c r="JTL88" s="916"/>
      <c r="JTM88" s="916"/>
      <c r="JTN88" s="916"/>
      <c r="JTO88" s="916"/>
      <c r="JTP88" s="916"/>
      <c r="JTQ88" s="916"/>
      <c r="JTR88" s="916"/>
      <c r="JTS88" s="916"/>
      <c r="JTT88" s="916"/>
      <c r="JTU88" s="916"/>
      <c r="JTV88" s="916"/>
      <c r="JTW88" s="916"/>
      <c r="JTX88" s="916"/>
      <c r="JTY88" s="916"/>
      <c r="JTZ88" s="916"/>
      <c r="JUA88" s="916"/>
      <c r="JUB88" s="916"/>
      <c r="JUC88" s="916"/>
      <c r="JUD88" s="916"/>
      <c r="JUE88" s="916"/>
      <c r="JUF88" s="916"/>
      <c r="JUG88" s="916"/>
      <c r="JUH88" s="916"/>
      <c r="JUI88" s="916"/>
      <c r="JUJ88" s="916"/>
      <c r="JUK88" s="916"/>
      <c r="JUL88" s="916"/>
      <c r="JUM88" s="916"/>
      <c r="JUN88" s="916"/>
      <c r="JUO88" s="916"/>
      <c r="JUP88" s="916"/>
      <c r="JUQ88" s="916"/>
      <c r="JUR88" s="916"/>
      <c r="JUS88" s="916"/>
      <c r="JUT88" s="916"/>
      <c r="JUU88" s="916"/>
      <c r="JUV88" s="916"/>
      <c r="JUW88" s="916"/>
      <c r="JUX88" s="916"/>
      <c r="JUY88" s="916"/>
      <c r="JUZ88" s="916"/>
      <c r="JVA88" s="916"/>
      <c r="JVB88" s="916"/>
      <c r="JVC88" s="916"/>
      <c r="JVD88" s="916"/>
      <c r="JVE88" s="916"/>
      <c r="JVF88" s="916"/>
      <c r="JVG88" s="916"/>
      <c r="JVH88" s="916"/>
      <c r="JVI88" s="916"/>
      <c r="JVJ88" s="916"/>
      <c r="JVK88" s="916"/>
      <c r="JVL88" s="916"/>
      <c r="JVM88" s="916"/>
      <c r="JVN88" s="916"/>
      <c r="JVO88" s="916"/>
      <c r="JVP88" s="916"/>
      <c r="JVQ88" s="916"/>
      <c r="JVR88" s="916"/>
      <c r="JVS88" s="916"/>
      <c r="JVT88" s="916"/>
      <c r="JVU88" s="916"/>
      <c r="JVV88" s="916"/>
      <c r="JVW88" s="916"/>
      <c r="JVX88" s="916"/>
      <c r="JVY88" s="916"/>
      <c r="JVZ88" s="916"/>
      <c r="JWA88" s="916"/>
      <c r="JWB88" s="916"/>
      <c r="JWC88" s="916"/>
      <c r="JWD88" s="916"/>
      <c r="JWE88" s="916"/>
      <c r="JWF88" s="916"/>
      <c r="JWG88" s="916"/>
      <c r="JWH88" s="916"/>
      <c r="JWI88" s="916"/>
      <c r="JWJ88" s="916"/>
      <c r="JWK88" s="916"/>
      <c r="JWL88" s="916"/>
      <c r="JWM88" s="916"/>
      <c r="JWN88" s="916"/>
      <c r="JWO88" s="916"/>
      <c r="JWP88" s="916"/>
      <c r="JWQ88" s="916"/>
      <c r="JWR88" s="916"/>
      <c r="JWS88" s="916"/>
      <c r="JWT88" s="916"/>
      <c r="JWU88" s="916"/>
      <c r="JWV88" s="916"/>
      <c r="JWW88" s="916"/>
      <c r="JWX88" s="916"/>
      <c r="JWY88" s="916"/>
      <c r="JWZ88" s="916"/>
      <c r="JXA88" s="916"/>
      <c r="JXB88" s="916"/>
      <c r="JXC88" s="916"/>
      <c r="JXD88" s="916"/>
      <c r="JXE88" s="916"/>
      <c r="JXF88" s="916"/>
      <c r="JXG88" s="916"/>
      <c r="JXH88" s="916"/>
      <c r="JXI88" s="916"/>
      <c r="JXJ88" s="916"/>
      <c r="JXK88" s="916"/>
      <c r="JXL88" s="916"/>
      <c r="JXM88" s="916"/>
      <c r="JXN88" s="916"/>
      <c r="JXO88" s="916"/>
      <c r="JXP88" s="916"/>
      <c r="JXQ88" s="916"/>
      <c r="JXR88" s="916"/>
      <c r="JXS88" s="916"/>
      <c r="JXT88" s="916"/>
      <c r="JXU88" s="916"/>
      <c r="JXV88" s="916"/>
      <c r="JXW88" s="916"/>
      <c r="JXX88" s="916"/>
      <c r="JXY88" s="916"/>
      <c r="JXZ88" s="916"/>
      <c r="JYA88" s="916"/>
      <c r="JYB88" s="916"/>
      <c r="JYC88" s="916"/>
      <c r="JYD88" s="916"/>
      <c r="JYE88" s="916"/>
      <c r="JYF88" s="916"/>
      <c r="JYG88" s="916"/>
      <c r="JYH88" s="916"/>
      <c r="JYI88" s="916"/>
      <c r="JYJ88" s="916"/>
      <c r="JYK88" s="916"/>
      <c r="JYL88" s="916"/>
      <c r="JYM88" s="916"/>
      <c r="JYN88" s="916"/>
      <c r="JYO88" s="916"/>
      <c r="JYP88" s="916"/>
      <c r="JYQ88" s="916"/>
      <c r="JYR88" s="916"/>
      <c r="JYS88" s="916"/>
      <c r="JYT88" s="916"/>
      <c r="JYU88" s="916"/>
      <c r="JYV88" s="916"/>
      <c r="JYW88" s="916"/>
      <c r="JYX88" s="916"/>
      <c r="JYY88" s="916"/>
      <c r="JYZ88" s="916"/>
      <c r="JZA88" s="916"/>
      <c r="JZB88" s="916"/>
      <c r="JZC88" s="916"/>
      <c r="JZD88" s="916"/>
      <c r="JZE88" s="916"/>
      <c r="JZF88" s="916"/>
      <c r="JZG88" s="916"/>
      <c r="JZH88" s="916"/>
      <c r="JZI88" s="916"/>
      <c r="JZJ88" s="916"/>
      <c r="JZK88" s="916"/>
      <c r="JZL88" s="916"/>
      <c r="JZM88" s="916"/>
      <c r="JZN88" s="916"/>
      <c r="JZO88" s="916"/>
      <c r="JZP88" s="916"/>
      <c r="JZQ88" s="916"/>
      <c r="JZR88" s="916"/>
      <c r="JZS88" s="916"/>
      <c r="JZT88" s="916"/>
      <c r="JZU88" s="916"/>
      <c r="JZV88" s="916"/>
      <c r="JZW88" s="916"/>
      <c r="JZX88" s="916"/>
      <c r="JZY88" s="916"/>
      <c r="JZZ88" s="916"/>
      <c r="KAA88" s="916"/>
      <c r="KAB88" s="916"/>
      <c r="KAC88" s="916"/>
      <c r="KAD88" s="916"/>
      <c r="KAE88" s="916"/>
      <c r="KAF88" s="916"/>
      <c r="KAG88" s="916"/>
      <c r="KAH88" s="916"/>
      <c r="KAI88" s="916"/>
      <c r="KAJ88" s="916"/>
      <c r="KAK88" s="916"/>
      <c r="KAL88" s="916"/>
      <c r="KAM88" s="916"/>
      <c r="KAN88" s="916"/>
      <c r="KAO88" s="916"/>
      <c r="KAP88" s="916"/>
      <c r="KAQ88" s="916"/>
      <c r="KAR88" s="916"/>
      <c r="KAS88" s="916"/>
      <c r="KAT88" s="916"/>
      <c r="KAU88" s="916"/>
      <c r="KAV88" s="916"/>
      <c r="KAW88" s="916"/>
      <c r="KAX88" s="916"/>
      <c r="KAY88" s="916"/>
      <c r="KAZ88" s="916"/>
      <c r="KBA88" s="916"/>
      <c r="KBB88" s="916"/>
      <c r="KBC88" s="916"/>
      <c r="KBD88" s="916"/>
      <c r="KBE88" s="916"/>
      <c r="KBF88" s="916"/>
      <c r="KBG88" s="916"/>
      <c r="KBH88" s="916"/>
      <c r="KBI88" s="916"/>
      <c r="KBJ88" s="916"/>
      <c r="KBK88" s="916"/>
      <c r="KBL88" s="916"/>
      <c r="KBM88" s="916"/>
      <c r="KBN88" s="916"/>
      <c r="KBO88" s="916"/>
      <c r="KBP88" s="916"/>
      <c r="KBQ88" s="916"/>
      <c r="KBR88" s="916"/>
      <c r="KBS88" s="916"/>
      <c r="KBT88" s="916"/>
      <c r="KBU88" s="916"/>
      <c r="KBV88" s="916"/>
      <c r="KBW88" s="916"/>
      <c r="KBX88" s="916"/>
      <c r="KBY88" s="916"/>
      <c r="KBZ88" s="916"/>
      <c r="KCA88" s="916"/>
      <c r="KCB88" s="916"/>
      <c r="KCC88" s="916"/>
      <c r="KCD88" s="916"/>
      <c r="KCE88" s="916"/>
      <c r="KCF88" s="916"/>
      <c r="KCG88" s="916"/>
      <c r="KCH88" s="916"/>
      <c r="KCI88" s="916"/>
      <c r="KCJ88" s="916"/>
      <c r="KCK88" s="916"/>
      <c r="KCL88" s="916"/>
      <c r="KCM88" s="916"/>
      <c r="KCN88" s="916"/>
      <c r="KCO88" s="916"/>
      <c r="KCP88" s="916"/>
      <c r="KCQ88" s="916"/>
      <c r="KCR88" s="916"/>
      <c r="KCS88" s="916"/>
      <c r="KCT88" s="916"/>
      <c r="KCU88" s="916"/>
      <c r="KCV88" s="916"/>
      <c r="KCW88" s="916"/>
      <c r="KCX88" s="916"/>
      <c r="KCY88" s="916"/>
      <c r="KCZ88" s="916"/>
      <c r="KDA88" s="916"/>
      <c r="KDB88" s="916"/>
      <c r="KDC88" s="916"/>
      <c r="KDD88" s="916"/>
      <c r="KDE88" s="916"/>
      <c r="KDF88" s="916"/>
      <c r="KDG88" s="916"/>
      <c r="KDH88" s="916"/>
      <c r="KDI88" s="916"/>
      <c r="KDJ88" s="916"/>
      <c r="KDK88" s="916"/>
      <c r="KDL88" s="916"/>
      <c r="KDM88" s="916"/>
      <c r="KDN88" s="916"/>
      <c r="KDO88" s="916"/>
      <c r="KDP88" s="916"/>
      <c r="KDQ88" s="916"/>
      <c r="KDR88" s="916"/>
      <c r="KDS88" s="916"/>
      <c r="KDT88" s="916"/>
      <c r="KDU88" s="916"/>
      <c r="KDV88" s="916"/>
      <c r="KDW88" s="916"/>
      <c r="KDX88" s="916"/>
      <c r="KDY88" s="916"/>
      <c r="KDZ88" s="916"/>
      <c r="KEA88" s="916"/>
      <c r="KEB88" s="916"/>
      <c r="KEC88" s="916"/>
      <c r="KED88" s="916"/>
      <c r="KEE88" s="916"/>
      <c r="KEF88" s="916"/>
      <c r="KEG88" s="916"/>
      <c r="KEH88" s="916"/>
      <c r="KEI88" s="916"/>
      <c r="KEJ88" s="916"/>
      <c r="KEK88" s="916"/>
      <c r="KEL88" s="916"/>
      <c r="KEM88" s="916"/>
      <c r="KEN88" s="916"/>
      <c r="KEO88" s="916"/>
      <c r="KEP88" s="916"/>
      <c r="KEQ88" s="916"/>
      <c r="KER88" s="916"/>
      <c r="KES88" s="916"/>
      <c r="KET88" s="916"/>
      <c r="KEU88" s="916"/>
      <c r="KEV88" s="916"/>
      <c r="KEW88" s="916"/>
      <c r="KEX88" s="916"/>
      <c r="KEY88" s="916"/>
      <c r="KEZ88" s="916"/>
      <c r="KFA88" s="916"/>
      <c r="KFB88" s="916"/>
      <c r="KFC88" s="916"/>
      <c r="KFD88" s="916"/>
      <c r="KFE88" s="916"/>
      <c r="KFF88" s="916"/>
      <c r="KFG88" s="916"/>
      <c r="KFH88" s="916"/>
      <c r="KFI88" s="916"/>
      <c r="KFJ88" s="916"/>
      <c r="KFK88" s="916"/>
      <c r="KFL88" s="916"/>
      <c r="KFM88" s="916"/>
      <c r="KFN88" s="916"/>
      <c r="KFO88" s="916"/>
      <c r="KFP88" s="916"/>
      <c r="KFQ88" s="916"/>
      <c r="KFR88" s="916"/>
      <c r="KFS88" s="916"/>
      <c r="KFT88" s="916"/>
      <c r="KFU88" s="916"/>
      <c r="KFV88" s="916"/>
      <c r="KFW88" s="916"/>
      <c r="KFX88" s="916"/>
      <c r="KFY88" s="916"/>
      <c r="KFZ88" s="916"/>
      <c r="KGA88" s="916"/>
      <c r="KGB88" s="916"/>
      <c r="KGC88" s="916"/>
      <c r="KGD88" s="916"/>
      <c r="KGE88" s="916"/>
      <c r="KGF88" s="916"/>
      <c r="KGG88" s="916"/>
      <c r="KGH88" s="916"/>
      <c r="KGI88" s="916"/>
      <c r="KGJ88" s="916"/>
      <c r="KGK88" s="916"/>
      <c r="KGL88" s="916"/>
      <c r="KGM88" s="916"/>
      <c r="KGN88" s="916"/>
      <c r="KGO88" s="916"/>
      <c r="KGP88" s="916"/>
      <c r="KGQ88" s="916"/>
      <c r="KGR88" s="916"/>
      <c r="KGS88" s="916"/>
      <c r="KGT88" s="916"/>
      <c r="KGU88" s="916"/>
      <c r="KGV88" s="916"/>
      <c r="KGW88" s="916"/>
      <c r="KGX88" s="916"/>
      <c r="KGY88" s="916"/>
      <c r="KGZ88" s="916"/>
      <c r="KHA88" s="916"/>
      <c r="KHB88" s="916"/>
      <c r="KHC88" s="916"/>
      <c r="KHD88" s="916"/>
      <c r="KHE88" s="916"/>
      <c r="KHF88" s="916"/>
      <c r="KHG88" s="916"/>
      <c r="KHH88" s="916"/>
      <c r="KHI88" s="916"/>
      <c r="KHJ88" s="916"/>
      <c r="KHK88" s="916"/>
      <c r="KHL88" s="916"/>
      <c r="KHM88" s="916"/>
      <c r="KHN88" s="916"/>
      <c r="KHO88" s="916"/>
      <c r="KHP88" s="916"/>
      <c r="KHQ88" s="916"/>
      <c r="KHR88" s="916"/>
      <c r="KHS88" s="916"/>
      <c r="KHT88" s="916"/>
      <c r="KHU88" s="916"/>
      <c r="KHV88" s="916"/>
      <c r="KHW88" s="916"/>
      <c r="KHX88" s="916"/>
      <c r="KHY88" s="916"/>
      <c r="KHZ88" s="916"/>
      <c r="KIA88" s="916"/>
      <c r="KIB88" s="916"/>
      <c r="KIC88" s="916"/>
      <c r="KID88" s="916"/>
      <c r="KIE88" s="916"/>
      <c r="KIF88" s="916"/>
      <c r="KIG88" s="916"/>
      <c r="KIH88" s="916"/>
      <c r="KII88" s="916"/>
      <c r="KIJ88" s="916"/>
      <c r="KIK88" s="916"/>
      <c r="KIL88" s="916"/>
      <c r="KIM88" s="916"/>
      <c r="KIN88" s="916"/>
      <c r="KIO88" s="916"/>
      <c r="KIP88" s="916"/>
      <c r="KIQ88" s="916"/>
      <c r="KIR88" s="916"/>
      <c r="KIS88" s="916"/>
      <c r="KIT88" s="916"/>
      <c r="KIU88" s="916"/>
      <c r="KIV88" s="916"/>
      <c r="KIW88" s="916"/>
      <c r="KIX88" s="916"/>
      <c r="KIY88" s="916"/>
      <c r="KIZ88" s="916"/>
      <c r="KJA88" s="916"/>
      <c r="KJB88" s="916"/>
      <c r="KJC88" s="916"/>
      <c r="KJD88" s="916"/>
      <c r="KJE88" s="916"/>
      <c r="KJF88" s="916"/>
      <c r="KJG88" s="916"/>
      <c r="KJH88" s="916"/>
      <c r="KJI88" s="916"/>
      <c r="KJJ88" s="916"/>
      <c r="KJK88" s="916"/>
      <c r="KJL88" s="916"/>
      <c r="KJM88" s="916"/>
      <c r="KJN88" s="916"/>
      <c r="KJO88" s="916"/>
      <c r="KJP88" s="916"/>
      <c r="KJQ88" s="916"/>
      <c r="KJR88" s="916"/>
      <c r="KJS88" s="916"/>
      <c r="KJT88" s="916"/>
      <c r="KJU88" s="916"/>
      <c r="KJV88" s="916"/>
      <c r="KJW88" s="916"/>
      <c r="KJX88" s="916"/>
      <c r="KJY88" s="916"/>
      <c r="KJZ88" s="916"/>
      <c r="KKA88" s="916"/>
      <c r="KKB88" s="916"/>
      <c r="KKC88" s="916"/>
      <c r="KKD88" s="916"/>
      <c r="KKE88" s="916"/>
      <c r="KKF88" s="916"/>
      <c r="KKG88" s="916"/>
      <c r="KKH88" s="916"/>
      <c r="KKI88" s="916"/>
      <c r="KKJ88" s="916"/>
      <c r="KKK88" s="916"/>
      <c r="KKL88" s="916"/>
      <c r="KKM88" s="916"/>
      <c r="KKN88" s="916"/>
      <c r="KKO88" s="916"/>
      <c r="KKP88" s="916"/>
      <c r="KKQ88" s="916"/>
      <c r="KKR88" s="916"/>
      <c r="KKS88" s="916"/>
      <c r="KKT88" s="916"/>
      <c r="KKU88" s="916"/>
      <c r="KKV88" s="916"/>
      <c r="KKW88" s="916"/>
      <c r="KKX88" s="916"/>
      <c r="KKY88" s="916"/>
      <c r="KKZ88" s="916"/>
      <c r="KLA88" s="916"/>
      <c r="KLB88" s="916"/>
      <c r="KLC88" s="916"/>
      <c r="KLD88" s="916"/>
      <c r="KLE88" s="916"/>
      <c r="KLF88" s="916"/>
      <c r="KLG88" s="916"/>
      <c r="KLH88" s="916"/>
      <c r="KLI88" s="916"/>
      <c r="KLJ88" s="916"/>
      <c r="KLK88" s="916"/>
      <c r="KLL88" s="916"/>
      <c r="KLM88" s="916"/>
      <c r="KLN88" s="916"/>
      <c r="KLO88" s="916"/>
      <c r="KLP88" s="916"/>
      <c r="KLQ88" s="916"/>
      <c r="KLR88" s="916"/>
      <c r="KLS88" s="916"/>
      <c r="KLT88" s="916"/>
      <c r="KLU88" s="916"/>
      <c r="KLV88" s="916"/>
      <c r="KLW88" s="916"/>
      <c r="KLX88" s="916"/>
      <c r="KLY88" s="916"/>
      <c r="KLZ88" s="916"/>
      <c r="KMA88" s="916"/>
      <c r="KMB88" s="916"/>
      <c r="KMC88" s="916"/>
      <c r="KMD88" s="916"/>
      <c r="KME88" s="916"/>
      <c r="KMF88" s="916"/>
      <c r="KMG88" s="916"/>
      <c r="KMH88" s="916"/>
      <c r="KMI88" s="916"/>
      <c r="KMJ88" s="916"/>
      <c r="KMK88" s="916"/>
      <c r="KML88" s="916"/>
      <c r="KMM88" s="916"/>
      <c r="KMN88" s="916"/>
      <c r="KMO88" s="916"/>
      <c r="KMP88" s="916"/>
      <c r="KMQ88" s="916"/>
      <c r="KMR88" s="916"/>
      <c r="KMS88" s="916"/>
      <c r="KMT88" s="916"/>
      <c r="KMU88" s="916"/>
      <c r="KMV88" s="916"/>
      <c r="KMW88" s="916"/>
      <c r="KMX88" s="916"/>
      <c r="KMY88" s="916"/>
      <c r="KMZ88" s="916"/>
      <c r="KNA88" s="916"/>
      <c r="KNB88" s="916"/>
      <c r="KNC88" s="916"/>
      <c r="KND88" s="916"/>
      <c r="KNE88" s="916"/>
      <c r="KNF88" s="916"/>
      <c r="KNG88" s="916"/>
      <c r="KNH88" s="916"/>
      <c r="KNI88" s="916"/>
      <c r="KNJ88" s="916"/>
      <c r="KNK88" s="916"/>
      <c r="KNL88" s="916"/>
      <c r="KNM88" s="916"/>
      <c r="KNN88" s="916"/>
      <c r="KNO88" s="916"/>
      <c r="KNP88" s="916"/>
      <c r="KNQ88" s="916"/>
      <c r="KNR88" s="916"/>
      <c r="KNS88" s="916"/>
      <c r="KNT88" s="916"/>
      <c r="KNU88" s="916"/>
      <c r="KNV88" s="916"/>
      <c r="KNW88" s="916"/>
      <c r="KNX88" s="916"/>
      <c r="KNY88" s="916"/>
      <c r="KNZ88" s="916"/>
      <c r="KOA88" s="916"/>
      <c r="KOB88" s="916"/>
      <c r="KOC88" s="916"/>
      <c r="KOD88" s="916"/>
      <c r="KOE88" s="916"/>
      <c r="KOF88" s="916"/>
      <c r="KOG88" s="916"/>
      <c r="KOH88" s="916"/>
      <c r="KOI88" s="916"/>
      <c r="KOJ88" s="916"/>
      <c r="KOK88" s="916"/>
      <c r="KOL88" s="916"/>
      <c r="KOM88" s="916"/>
      <c r="KON88" s="916"/>
      <c r="KOO88" s="916"/>
      <c r="KOP88" s="916"/>
      <c r="KOQ88" s="916"/>
      <c r="KOR88" s="916"/>
      <c r="KOS88" s="916"/>
      <c r="KOT88" s="916"/>
      <c r="KOU88" s="916"/>
      <c r="KOV88" s="916"/>
      <c r="KOW88" s="916"/>
      <c r="KOX88" s="916"/>
      <c r="KOY88" s="916"/>
      <c r="KOZ88" s="916"/>
      <c r="KPA88" s="916"/>
      <c r="KPB88" s="916"/>
      <c r="KPC88" s="916"/>
      <c r="KPD88" s="916"/>
      <c r="KPE88" s="916"/>
      <c r="KPF88" s="916"/>
      <c r="KPG88" s="916"/>
      <c r="KPH88" s="916"/>
      <c r="KPI88" s="916"/>
      <c r="KPJ88" s="916"/>
      <c r="KPK88" s="916"/>
      <c r="KPL88" s="916"/>
      <c r="KPM88" s="916"/>
      <c r="KPN88" s="916"/>
      <c r="KPO88" s="916"/>
      <c r="KPP88" s="916"/>
      <c r="KPQ88" s="916"/>
      <c r="KPR88" s="916"/>
      <c r="KPS88" s="916"/>
      <c r="KPT88" s="916"/>
      <c r="KPU88" s="916"/>
      <c r="KPV88" s="916"/>
      <c r="KPW88" s="916"/>
      <c r="KPX88" s="916"/>
      <c r="KPY88" s="916"/>
      <c r="KPZ88" s="916"/>
      <c r="KQA88" s="916"/>
      <c r="KQB88" s="916"/>
      <c r="KQC88" s="916"/>
      <c r="KQD88" s="916"/>
      <c r="KQE88" s="916"/>
      <c r="KQF88" s="916"/>
      <c r="KQG88" s="916"/>
      <c r="KQH88" s="916"/>
      <c r="KQI88" s="916"/>
      <c r="KQJ88" s="916"/>
      <c r="KQK88" s="916"/>
      <c r="KQL88" s="916"/>
      <c r="KQM88" s="916"/>
      <c r="KQN88" s="916"/>
      <c r="KQO88" s="916"/>
      <c r="KQP88" s="916"/>
      <c r="KQQ88" s="916"/>
      <c r="KQR88" s="916"/>
      <c r="KQS88" s="916"/>
      <c r="KQT88" s="916"/>
      <c r="KQU88" s="916"/>
      <c r="KQV88" s="916"/>
      <c r="KQW88" s="916"/>
      <c r="KQX88" s="916"/>
      <c r="KQY88" s="916"/>
      <c r="KQZ88" s="916"/>
      <c r="KRA88" s="916"/>
      <c r="KRB88" s="916"/>
      <c r="KRC88" s="916"/>
      <c r="KRD88" s="916"/>
      <c r="KRE88" s="916"/>
      <c r="KRF88" s="916"/>
      <c r="KRG88" s="916"/>
      <c r="KRH88" s="916"/>
      <c r="KRI88" s="916"/>
      <c r="KRJ88" s="916"/>
      <c r="KRK88" s="916"/>
      <c r="KRL88" s="916"/>
      <c r="KRM88" s="916"/>
      <c r="KRN88" s="916"/>
      <c r="KRO88" s="916"/>
      <c r="KRP88" s="916"/>
      <c r="KRQ88" s="916"/>
      <c r="KRR88" s="916"/>
      <c r="KRS88" s="916"/>
      <c r="KRT88" s="916"/>
      <c r="KRU88" s="916"/>
      <c r="KRV88" s="916"/>
      <c r="KRW88" s="916"/>
      <c r="KRX88" s="916"/>
      <c r="KRY88" s="916"/>
      <c r="KRZ88" s="916"/>
      <c r="KSA88" s="916"/>
      <c r="KSB88" s="916"/>
      <c r="KSC88" s="916"/>
      <c r="KSD88" s="916"/>
      <c r="KSE88" s="916"/>
      <c r="KSF88" s="916"/>
      <c r="KSG88" s="916"/>
      <c r="KSH88" s="916"/>
      <c r="KSI88" s="916"/>
      <c r="KSJ88" s="916"/>
      <c r="KSK88" s="916"/>
      <c r="KSL88" s="916"/>
      <c r="KSM88" s="916"/>
      <c r="KSN88" s="916"/>
      <c r="KSO88" s="916"/>
      <c r="KSP88" s="916"/>
      <c r="KSQ88" s="916"/>
      <c r="KSR88" s="916"/>
      <c r="KSS88" s="916"/>
      <c r="KST88" s="916"/>
      <c r="KSU88" s="916"/>
      <c r="KSV88" s="916"/>
      <c r="KSW88" s="916"/>
      <c r="KSX88" s="916"/>
      <c r="KSY88" s="916"/>
      <c r="KSZ88" s="916"/>
      <c r="KTA88" s="916"/>
      <c r="KTB88" s="916"/>
      <c r="KTC88" s="916"/>
      <c r="KTD88" s="916"/>
      <c r="KTE88" s="916"/>
      <c r="KTF88" s="916"/>
      <c r="KTG88" s="916"/>
      <c r="KTH88" s="916"/>
      <c r="KTI88" s="916"/>
      <c r="KTJ88" s="916"/>
      <c r="KTK88" s="916"/>
      <c r="KTL88" s="916"/>
      <c r="KTM88" s="916"/>
      <c r="KTN88" s="916"/>
      <c r="KTO88" s="916"/>
      <c r="KTP88" s="916"/>
      <c r="KTQ88" s="916"/>
      <c r="KTR88" s="916"/>
      <c r="KTS88" s="916"/>
      <c r="KTT88" s="916"/>
      <c r="KTU88" s="916"/>
      <c r="KTV88" s="916"/>
      <c r="KTW88" s="916"/>
      <c r="KTX88" s="916"/>
      <c r="KTY88" s="916"/>
      <c r="KTZ88" s="916"/>
      <c r="KUA88" s="916"/>
      <c r="KUB88" s="916"/>
      <c r="KUC88" s="916"/>
      <c r="KUD88" s="916"/>
      <c r="KUE88" s="916"/>
      <c r="KUF88" s="916"/>
      <c r="KUG88" s="916"/>
      <c r="KUH88" s="916"/>
      <c r="KUI88" s="916"/>
      <c r="KUJ88" s="916"/>
      <c r="KUK88" s="916"/>
      <c r="KUL88" s="916"/>
      <c r="KUM88" s="916"/>
      <c r="KUN88" s="916"/>
      <c r="KUO88" s="916"/>
      <c r="KUP88" s="916"/>
      <c r="KUQ88" s="916"/>
      <c r="KUR88" s="916"/>
      <c r="KUS88" s="916"/>
      <c r="KUT88" s="916"/>
      <c r="KUU88" s="916"/>
      <c r="KUV88" s="916"/>
      <c r="KUW88" s="916"/>
      <c r="KUX88" s="916"/>
      <c r="KUY88" s="916"/>
      <c r="KUZ88" s="916"/>
      <c r="KVA88" s="916"/>
      <c r="KVB88" s="916"/>
      <c r="KVC88" s="916"/>
      <c r="KVD88" s="916"/>
      <c r="KVE88" s="916"/>
      <c r="KVF88" s="916"/>
      <c r="KVG88" s="916"/>
      <c r="KVH88" s="916"/>
      <c r="KVI88" s="916"/>
      <c r="KVJ88" s="916"/>
      <c r="KVK88" s="916"/>
      <c r="KVL88" s="916"/>
      <c r="KVM88" s="916"/>
      <c r="KVN88" s="916"/>
      <c r="KVO88" s="916"/>
      <c r="KVP88" s="916"/>
      <c r="KVQ88" s="916"/>
      <c r="KVR88" s="916"/>
      <c r="KVS88" s="916"/>
      <c r="KVT88" s="916"/>
      <c r="KVU88" s="916"/>
      <c r="KVV88" s="916"/>
      <c r="KVW88" s="916"/>
      <c r="KVX88" s="916"/>
      <c r="KVY88" s="916"/>
      <c r="KVZ88" s="916"/>
      <c r="KWA88" s="916"/>
      <c r="KWB88" s="916"/>
      <c r="KWC88" s="916"/>
      <c r="KWD88" s="916"/>
      <c r="KWE88" s="916"/>
      <c r="KWF88" s="916"/>
      <c r="KWG88" s="916"/>
      <c r="KWH88" s="916"/>
      <c r="KWI88" s="916"/>
      <c r="KWJ88" s="916"/>
      <c r="KWK88" s="916"/>
      <c r="KWL88" s="916"/>
      <c r="KWM88" s="916"/>
      <c r="KWN88" s="916"/>
      <c r="KWO88" s="916"/>
      <c r="KWP88" s="916"/>
      <c r="KWQ88" s="916"/>
      <c r="KWR88" s="916"/>
      <c r="KWS88" s="916"/>
      <c r="KWT88" s="916"/>
      <c r="KWU88" s="916"/>
      <c r="KWV88" s="916"/>
      <c r="KWW88" s="916"/>
      <c r="KWX88" s="916"/>
      <c r="KWY88" s="916"/>
      <c r="KWZ88" s="916"/>
      <c r="KXA88" s="916"/>
      <c r="KXB88" s="916"/>
      <c r="KXC88" s="916"/>
      <c r="KXD88" s="916"/>
      <c r="KXE88" s="916"/>
      <c r="KXF88" s="916"/>
      <c r="KXG88" s="916"/>
      <c r="KXH88" s="916"/>
      <c r="KXI88" s="916"/>
      <c r="KXJ88" s="916"/>
      <c r="KXK88" s="916"/>
      <c r="KXL88" s="916"/>
      <c r="KXM88" s="916"/>
      <c r="KXN88" s="916"/>
      <c r="KXO88" s="916"/>
      <c r="KXP88" s="916"/>
      <c r="KXQ88" s="916"/>
      <c r="KXR88" s="916"/>
      <c r="KXS88" s="916"/>
      <c r="KXT88" s="916"/>
      <c r="KXU88" s="916"/>
      <c r="KXV88" s="916"/>
      <c r="KXW88" s="916"/>
      <c r="KXX88" s="916"/>
      <c r="KXY88" s="916"/>
      <c r="KXZ88" s="916"/>
      <c r="KYA88" s="916"/>
      <c r="KYB88" s="916"/>
      <c r="KYC88" s="916"/>
      <c r="KYD88" s="916"/>
      <c r="KYE88" s="916"/>
      <c r="KYF88" s="916"/>
      <c r="KYG88" s="916"/>
      <c r="KYH88" s="916"/>
      <c r="KYI88" s="916"/>
      <c r="KYJ88" s="916"/>
      <c r="KYK88" s="916"/>
      <c r="KYL88" s="916"/>
      <c r="KYM88" s="916"/>
      <c r="KYN88" s="916"/>
      <c r="KYO88" s="916"/>
      <c r="KYP88" s="916"/>
      <c r="KYQ88" s="916"/>
      <c r="KYR88" s="916"/>
      <c r="KYS88" s="916"/>
      <c r="KYT88" s="916"/>
      <c r="KYU88" s="916"/>
      <c r="KYV88" s="916"/>
      <c r="KYW88" s="916"/>
      <c r="KYX88" s="916"/>
      <c r="KYY88" s="916"/>
      <c r="KYZ88" s="916"/>
      <c r="KZA88" s="916"/>
      <c r="KZB88" s="916"/>
      <c r="KZC88" s="916"/>
      <c r="KZD88" s="916"/>
      <c r="KZE88" s="916"/>
      <c r="KZF88" s="916"/>
      <c r="KZG88" s="916"/>
      <c r="KZH88" s="916"/>
      <c r="KZI88" s="916"/>
      <c r="KZJ88" s="916"/>
      <c r="KZK88" s="916"/>
      <c r="KZL88" s="916"/>
      <c r="KZM88" s="916"/>
      <c r="KZN88" s="916"/>
      <c r="KZO88" s="916"/>
      <c r="KZP88" s="916"/>
      <c r="KZQ88" s="916"/>
      <c r="KZR88" s="916"/>
      <c r="KZS88" s="916"/>
      <c r="KZT88" s="916"/>
      <c r="KZU88" s="916"/>
      <c r="KZV88" s="916"/>
      <c r="KZW88" s="916"/>
      <c r="KZX88" s="916"/>
      <c r="KZY88" s="916"/>
      <c r="KZZ88" s="916"/>
      <c r="LAA88" s="916"/>
      <c r="LAB88" s="916"/>
      <c r="LAC88" s="916"/>
      <c r="LAD88" s="916"/>
      <c r="LAE88" s="916"/>
      <c r="LAF88" s="916"/>
      <c r="LAG88" s="916"/>
      <c r="LAH88" s="916"/>
      <c r="LAI88" s="916"/>
      <c r="LAJ88" s="916"/>
      <c r="LAK88" s="916"/>
      <c r="LAL88" s="916"/>
      <c r="LAM88" s="916"/>
      <c r="LAN88" s="916"/>
      <c r="LAO88" s="916"/>
      <c r="LAP88" s="916"/>
      <c r="LAQ88" s="916"/>
      <c r="LAR88" s="916"/>
      <c r="LAS88" s="916"/>
      <c r="LAT88" s="916"/>
      <c r="LAU88" s="916"/>
      <c r="LAV88" s="916"/>
      <c r="LAW88" s="916"/>
      <c r="LAX88" s="916"/>
      <c r="LAY88" s="916"/>
      <c r="LAZ88" s="916"/>
      <c r="LBA88" s="916"/>
      <c r="LBB88" s="916"/>
      <c r="LBC88" s="916"/>
      <c r="LBD88" s="916"/>
      <c r="LBE88" s="916"/>
      <c r="LBF88" s="916"/>
      <c r="LBG88" s="916"/>
      <c r="LBH88" s="916"/>
      <c r="LBI88" s="916"/>
      <c r="LBJ88" s="916"/>
      <c r="LBK88" s="916"/>
      <c r="LBL88" s="916"/>
      <c r="LBM88" s="916"/>
      <c r="LBN88" s="916"/>
      <c r="LBO88" s="916"/>
      <c r="LBP88" s="916"/>
      <c r="LBQ88" s="916"/>
      <c r="LBR88" s="916"/>
      <c r="LBS88" s="916"/>
      <c r="LBT88" s="916"/>
      <c r="LBU88" s="916"/>
      <c r="LBV88" s="916"/>
      <c r="LBW88" s="916"/>
      <c r="LBX88" s="916"/>
      <c r="LBY88" s="916"/>
      <c r="LBZ88" s="916"/>
      <c r="LCA88" s="916"/>
      <c r="LCB88" s="916"/>
      <c r="LCC88" s="916"/>
      <c r="LCD88" s="916"/>
      <c r="LCE88" s="916"/>
      <c r="LCF88" s="916"/>
      <c r="LCG88" s="916"/>
      <c r="LCH88" s="916"/>
      <c r="LCI88" s="916"/>
      <c r="LCJ88" s="916"/>
      <c r="LCK88" s="916"/>
      <c r="LCL88" s="916"/>
      <c r="LCM88" s="916"/>
      <c r="LCN88" s="916"/>
      <c r="LCO88" s="916"/>
      <c r="LCP88" s="916"/>
      <c r="LCQ88" s="916"/>
      <c r="LCR88" s="916"/>
      <c r="LCS88" s="916"/>
      <c r="LCT88" s="916"/>
      <c r="LCU88" s="916"/>
      <c r="LCV88" s="916"/>
      <c r="LCW88" s="916"/>
      <c r="LCX88" s="916"/>
      <c r="LCY88" s="916"/>
      <c r="LCZ88" s="916"/>
      <c r="LDA88" s="916"/>
      <c r="LDB88" s="916"/>
      <c r="LDC88" s="916"/>
      <c r="LDD88" s="916"/>
      <c r="LDE88" s="916"/>
      <c r="LDF88" s="916"/>
      <c r="LDG88" s="916"/>
      <c r="LDH88" s="916"/>
      <c r="LDI88" s="916"/>
      <c r="LDJ88" s="916"/>
      <c r="LDK88" s="916"/>
      <c r="LDL88" s="916"/>
      <c r="LDM88" s="916"/>
      <c r="LDN88" s="916"/>
      <c r="LDO88" s="916"/>
      <c r="LDP88" s="916"/>
      <c r="LDQ88" s="916"/>
      <c r="LDR88" s="916"/>
      <c r="LDS88" s="916"/>
      <c r="LDT88" s="916"/>
      <c r="LDU88" s="916"/>
      <c r="LDV88" s="916"/>
      <c r="LDW88" s="916"/>
      <c r="LDX88" s="916"/>
      <c r="LDY88" s="916"/>
      <c r="LDZ88" s="916"/>
      <c r="LEA88" s="916"/>
      <c r="LEB88" s="916"/>
      <c r="LEC88" s="916"/>
      <c r="LED88" s="916"/>
      <c r="LEE88" s="916"/>
      <c r="LEF88" s="916"/>
      <c r="LEG88" s="916"/>
      <c r="LEH88" s="916"/>
      <c r="LEI88" s="916"/>
      <c r="LEJ88" s="916"/>
      <c r="LEK88" s="916"/>
      <c r="LEL88" s="916"/>
      <c r="LEM88" s="916"/>
      <c r="LEN88" s="916"/>
      <c r="LEO88" s="916"/>
      <c r="LEP88" s="916"/>
      <c r="LEQ88" s="916"/>
      <c r="LER88" s="916"/>
      <c r="LES88" s="916"/>
      <c r="LET88" s="916"/>
      <c r="LEU88" s="916"/>
      <c r="LEV88" s="916"/>
      <c r="LEW88" s="916"/>
      <c r="LEX88" s="916"/>
      <c r="LEY88" s="916"/>
      <c r="LEZ88" s="916"/>
      <c r="LFA88" s="916"/>
      <c r="LFB88" s="916"/>
      <c r="LFC88" s="916"/>
      <c r="LFD88" s="916"/>
      <c r="LFE88" s="916"/>
      <c r="LFF88" s="916"/>
      <c r="LFG88" s="916"/>
      <c r="LFH88" s="916"/>
      <c r="LFI88" s="916"/>
      <c r="LFJ88" s="916"/>
      <c r="LFK88" s="916"/>
      <c r="LFL88" s="916"/>
      <c r="LFM88" s="916"/>
      <c r="LFN88" s="916"/>
      <c r="LFO88" s="916"/>
      <c r="LFP88" s="916"/>
      <c r="LFQ88" s="916"/>
      <c r="LFR88" s="916"/>
      <c r="LFS88" s="916"/>
      <c r="LFT88" s="916"/>
      <c r="LFU88" s="916"/>
      <c r="LFV88" s="916"/>
      <c r="LFW88" s="916"/>
      <c r="LFX88" s="916"/>
      <c r="LFY88" s="916"/>
      <c r="LFZ88" s="916"/>
      <c r="LGA88" s="916"/>
      <c r="LGB88" s="916"/>
      <c r="LGC88" s="916"/>
      <c r="LGD88" s="916"/>
      <c r="LGE88" s="916"/>
      <c r="LGF88" s="916"/>
      <c r="LGG88" s="916"/>
      <c r="LGH88" s="916"/>
      <c r="LGI88" s="916"/>
      <c r="LGJ88" s="916"/>
      <c r="LGK88" s="916"/>
      <c r="LGL88" s="916"/>
      <c r="LGM88" s="916"/>
      <c r="LGN88" s="916"/>
      <c r="LGO88" s="916"/>
      <c r="LGP88" s="916"/>
      <c r="LGQ88" s="916"/>
      <c r="LGR88" s="916"/>
      <c r="LGS88" s="916"/>
      <c r="LGT88" s="916"/>
      <c r="LGU88" s="916"/>
      <c r="LGV88" s="916"/>
      <c r="LGW88" s="916"/>
      <c r="LGX88" s="916"/>
      <c r="LGY88" s="916"/>
      <c r="LGZ88" s="916"/>
      <c r="LHA88" s="916"/>
      <c r="LHB88" s="916"/>
      <c r="LHC88" s="916"/>
      <c r="LHD88" s="916"/>
      <c r="LHE88" s="916"/>
      <c r="LHF88" s="916"/>
      <c r="LHG88" s="916"/>
      <c r="LHH88" s="916"/>
      <c r="LHI88" s="916"/>
      <c r="LHJ88" s="916"/>
      <c r="LHK88" s="916"/>
      <c r="LHL88" s="916"/>
      <c r="LHM88" s="916"/>
      <c r="LHN88" s="916"/>
      <c r="LHO88" s="916"/>
      <c r="LHP88" s="916"/>
      <c r="LHQ88" s="916"/>
      <c r="LHR88" s="916"/>
      <c r="LHS88" s="916"/>
      <c r="LHT88" s="916"/>
      <c r="LHU88" s="916"/>
      <c r="LHV88" s="916"/>
      <c r="LHW88" s="916"/>
      <c r="LHX88" s="916"/>
      <c r="LHY88" s="916"/>
      <c r="LHZ88" s="916"/>
      <c r="LIA88" s="916"/>
      <c r="LIB88" s="916"/>
      <c r="LIC88" s="916"/>
      <c r="LID88" s="916"/>
      <c r="LIE88" s="916"/>
      <c r="LIF88" s="916"/>
      <c r="LIG88" s="916"/>
      <c r="LIH88" s="916"/>
      <c r="LII88" s="916"/>
      <c r="LIJ88" s="916"/>
      <c r="LIK88" s="916"/>
      <c r="LIL88" s="916"/>
      <c r="LIM88" s="916"/>
      <c r="LIN88" s="916"/>
      <c r="LIO88" s="916"/>
      <c r="LIP88" s="916"/>
      <c r="LIQ88" s="916"/>
      <c r="LIR88" s="916"/>
      <c r="LIS88" s="916"/>
      <c r="LIT88" s="916"/>
      <c r="LIU88" s="916"/>
      <c r="LIV88" s="916"/>
      <c r="LIW88" s="916"/>
      <c r="LIX88" s="916"/>
      <c r="LIY88" s="916"/>
      <c r="LIZ88" s="916"/>
      <c r="LJA88" s="916"/>
      <c r="LJB88" s="916"/>
      <c r="LJC88" s="916"/>
      <c r="LJD88" s="916"/>
      <c r="LJE88" s="916"/>
      <c r="LJF88" s="916"/>
      <c r="LJG88" s="916"/>
      <c r="LJH88" s="916"/>
      <c r="LJI88" s="916"/>
      <c r="LJJ88" s="916"/>
      <c r="LJK88" s="916"/>
      <c r="LJL88" s="916"/>
      <c r="LJM88" s="916"/>
      <c r="LJN88" s="916"/>
      <c r="LJO88" s="916"/>
      <c r="LJP88" s="916"/>
      <c r="LJQ88" s="916"/>
      <c r="LJR88" s="916"/>
      <c r="LJS88" s="916"/>
      <c r="LJT88" s="916"/>
      <c r="LJU88" s="916"/>
      <c r="LJV88" s="916"/>
      <c r="LJW88" s="916"/>
      <c r="LJX88" s="916"/>
      <c r="LJY88" s="916"/>
      <c r="LJZ88" s="916"/>
      <c r="LKA88" s="916"/>
      <c r="LKB88" s="916"/>
      <c r="LKC88" s="916"/>
      <c r="LKD88" s="916"/>
      <c r="LKE88" s="916"/>
      <c r="LKF88" s="916"/>
      <c r="LKG88" s="916"/>
      <c r="LKH88" s="916"/>
      <c r="LKI88" s="916"/>
      <c r="LKJ88" s="916"/>
      <c r="LKK88" s="916"/>
      <c r="LKL88" s="916"/>
      <c r="LKM88" s="916"/>
      <c r="LKN88" s="916"/>
      <c r="LKO88" s="916"/>
      <c r="LKP88" s="916"/>
      <c r="LKQ88" s="916"/>
      <c r="LKR88" s="916"/>
      <c r="LKS88" s="916"/>
      <c r="LKT88" s="916"/>
      <c r="LKU88" s="916"/>
      <c r="LKV88" s="916"/>
      <c r="LKW88" s="916"/>
      <c r="LKX88" s="916"/>
      <c r="LKY88" s="916"/>
      <c r="LKZ88" s="916"/>
      <c r="LLA88" s="916"/>
      <c r="LLB88" s="916"/>
      <c r="LLC88" s="916"/>
      <c r="LLD88" s="916"/>
      <c r="LLE88" s="916"/>
      <c r="LLF88" s="916"/>
      <c r="LLG88" s="916"/>
      <c r="LLH88" s="916"/>
      <c r="LLI88" s="916"/>
      <c r="LLJ88" s="916"/>
      <c r="LLK88" s="916"/>
      <c r="LLL88" s="916"/>
      <c r="LLM88" s="916"/>
      <c r="LLN88" s="916"/>
      <c r="LLO88" s="916"/>
      <c r="LLP88" s="916"/>
      <c r="LLQ88" s="916"/>
      <c r="LLR88" s="916"/>
      <c r="LLS88" s="916"/>
      <c r="LLT88" s="916"/>
      <c r="LLU88" s="916"/>
      <c r="LLV88" s="916"/>
      <c r="LLW88" s="916"/>
      <c r="LLX88" s="916"/>
      <c r="LLY88" s="916"/>
      <c r="LLZ88" s="916"/>
      <c r="LMA88" s="916"/>
      <c r="LMB88" s="916"/>
      <c r="LMC88" s="916"/>
      <c r="LMD88" s="916"/>
      <c r="LME88" s="916"/>
      <c r="LMF88" s="916"/>
      <c r="LMG88" s="916"/>
      <c r="LMH88" s="916"/>
      <c r="LMI88" s="916"/>
      <c r="LMJ88" s="916"/>
      <c r="LMK88" s="916"/>
      <c r="LML88" s="916"/>
      <c r="LMM88" s="916"/>
      <c r="LMN88" s="916"/>
      <c r="LMO88" s="916"/>
      <c r="LMP88" s="916"/>
      <c r="LMQ88" s="916"/>
      <c r="LMR88" s="916"/>
      <c r="LMS88" s="916"/>
      <c r="LMT88" s="916"/>
      <c r="LMU88" s="916"/>
      <c r="LMV88" s="916"/>
      <c r="LMW88" s="916"/>
      <c r="LMX88" s="916"/>
      <c r="LMY88" s="916"/>
      <c r="LMZ88" s="916"/>
      <c r="LNA88" s="916"/>
      <c r="LNB88" s="916"/>
      <c r="LNC88" s="916"/>
      <c r="LND88" s="916"/>
      <c r="LNE88" s="916"/>
      <c r="LNF88" s="916"/>
      <c r="LNG88" s="916"/>
      <c r="LNH88" s="916"/>
      <c r="LNI88" s="916"/>
      <c r="LNJ88" s="916"/>
      <c r="LNK88" s="916"/>
      <c r="LNL88" s="916"/>
      <c r="LNM88" s="916"/>
      <c r="LNN88" s="916"/>
      <c r="LNO88" s="916"/>
      <c r="LNP88" s="916"/>
      <c r="LNQ88" s="916"/>
      <c r="LNR88" s="916"/>
      <c r="LNS88" s="916"/>
      <c r="LNT88" s="916"/>
      <c r="LNU88" s="916"/>
      <c r="LNV88" s="916"/>
      <c r="LNW88" s="916"/>
      <c r="LNX88" s="916"/>
      <c r="LNY88" s="916"/>
      <c r="LNZ88" s="916"/>
      <c r="LOA88" s="916"/>
      <c r="LOB88" s="916"/>
      <c r="LOC88" s="916"/>
      <c r="LOD88" s="916"/>
      <c r="LOE88" s="916"/>
      <c r="LOF88" s="916"/>
      <c r="LOG88" s="916"/>
      <c r="LOH88" s="916"/>
      <c r="LOI88" s="916"/>
      <c r="LOJ88" s="916"/>
      <c r="LOK88" s="916"/>
      <c r="LOL88" s="916"/>
      <c r="LOM88" s="916"/>
      <c r="LON88" s="916"/>
      <c r="LOO88" s="916"/>
      <c r="LOP88" s="916"/>
      <c r="LOQ88" s="916"/>
      <c r="LOR88" s="916"/>
      <c r="LOS88" s="916"/>
      <c r="LOT88" s="916"/>
      <c r="LOU88" s="916"/>
      <c r="LOV88" s="916"/>
      <c r="LOW88" s="916"/>
      <c r="LOX88" s="916"/>
      <c r="LOY88" s="916"/>
      <c r="LOZ88" s="916"/>
      <c r="LPA88" s="916"/>
      <c r="LPB88" s="916"/>
      <c r="LPC88" s="916"/>
      <c r="LPD88" s="916"/>
      <c r="LPE88" s="916"/>
      <c r="LPF88" s="916"/>
      <c r="LPG88" s="916"/>
      <c r="LPH88" s="916"/>
      <c r="LPI88" s="916"/>
      <c r="LPJ88" s="916"/>
      <c r="LPK88" s="916"/>
      <c r="LPL88" s="916"/>
      <c r="LPM88" s="916"/>
      <c r="LPN88" s="916"/>
      <c r="LPO88" s="916"/>
      <c r="LPP88" s="916"/>
      <c r="LPQ88" s="916"/>
      <c r="LPR88" s="916"/>
      <c r="LPS88" s="916"/>
      <c r="LPT88" s="916"/>
      <c r="LPU88" s="916"/>
      <c r="LPV88" s="916"/>
      <c r="LPW88" s="916"/>
      <c r="LPX88" s="916"/>
      <c r="LPY88" s="916"/>
      <c r="LPZ88" s="916"/>
      <c r="LQA88" s="916"/>
      <c r="LQB88" s="916"/>
      <c r="LQC88" s="916"/>
      <c r="LQD88" s="916"/>
      <c r="LQE88" s="916"/>
      <c r="LQF88" s="916"/>
      <c r="LQG88" s="916"/>
      <c r="LQH88" s="916"/>
      <c r="LQI88" s="916"/>
      <c r="LQJ88" s="916"/>
      <c r="LQK88" s="916"/>
      <c r="LQL88" s="916"/>
      <c r="LQM88" s="916"/>
      <c r="LQN88" s="916"/>
      <c r="LQO88" s="916"/>
      <c r="LQP88" s="916"/>
      <c r="LQQ88" s="916"/>
      <c r="LQR88" s="916"/>
      <c r="LQS88" s="916"/>
      <c r="LQT88" s="916"/>
      <c r="LQU88" s="916"/>
      <c r="LQV88" s="916"/>
      <c r="LQW88" s="916"/>
      <c r="LQX88" s="916"/>
      <c r="LQY88" s="916"/>
      <c r="LQZ88" s="916"/>
      <c r="LRA88" s="916"/>
      <c r="LRB88" s="916"/>
      <c r="LRC88" s="916"/>
      <c r="LRD88" s="916"/>
      <c r="LRE88" s="916"/>
      <c r="LRF88" s="916"/>
      <c r="LRG88" s="916"/>
      <c r="LRH88" s="916"/>
      <c r="LRI88" s="916"/>
      <c r="LRJ88" s="916"/>
      <c r="LRK88" s="916"/>
      <c r="LRL88" s="916"/>
      <c r="LRM88" s="916"/>
      <c r="LRN88" s="916"/>
      <c r="LRO88" s="916"/>
      <c r="LRP88" s="916"/>
      <c r="LRQ88" s="916"/>
      <c r="LRR88" s="916"/>
      <c r="LRS88" s="916"/>
      <c r="LRT88" s="916"/>
      <c r="LRU88" s="916"/>
      <c r="LRV88" s="916"/>
      <c r="LRW88" s="916"/>
      <c r="LRX88" s="916"/>
      <c r="LRY88" s="916"/>
      <c r="LRZ88" s="916"/>
      <c r="LSA88" s="916"/>
      <c r="LSB88" s="916"/>
      <c r="LSC88" s="916"/>
      <c r="LSD88" s="916"/>
      <c r="LSE88" s="916"/>
      <c r="LSF88" s="916"/>
      <c r="LSG88" s="916"/>
      <c r="LSH88" s="916"/>
      <c r="LSI88" s="916"/>
      <c r="LSJ88" s="916"/>
      <c r="LSK88" s="916"/>
      <c r="LSL88" s="916"/>
      <c r="LSM88" s="916"/>
      <c r="LSN88" s="916"/>
      <c r="LSO88" s="916"/>
      <c r="LSP88" s="916"/>
      <c r="LSQ88" s="916"/>
      <c r="LSR88" s="916"/>
      <c r="LSS88" s="916"/>
      <c r="LST88" s="916"/>
      <c r="LSU88" s="916"/>
      <c r="LSV88" s="916"/>
      <c r="LSW88" s="916"/>
      <c r="LSX88" s="916"/>
      <c r="LSY88" s="916"/>
      <c r="LSZ88" s="916"/>
      <c r="LTA88" s="916"/>
      <c r="LTB88" s="916"/>
      <c r="LTC88" s="916"/>
      <c r="LTD88" s="916"/>
      <c r="LTE88" s="916"/>
      <c r="LTF88" s="916"/>
      <c r="LTG88" s="916"/>
      <c r="LTH88" s="916"/>
      <c r="LTI88" s="916"/>
      <c r="LTJ88" s="916"/>
      <c r="LTK88" s="916"/>
      <c r="LTL88" s="916"/>
      <c r="LTM88" s="916"/>
      <c r="LTN88" s="916"/>
      <c r="LTO88" s="916"/>
      <c r="LTP88" s="916"/>
      <c r="LTQ88" s="916"/>
      <c r="LTR88" s="916"/>
      <c r="LTS88" s="916"/>
      <c r="LTT88" s="916"/>
      <c r="LTU88" s="916"/>
      <c r="LTV88" s="916"/>
      <c r="LTW88" s="916"/>
      <c r="LTX88" s="916"/>
      <c r="LTY88" s="916"/>
      <c r="LTZ88" s="916"/>
      <c r="LUA88" s="916"/>
      <c r="LUB88" s="916"/>
      <c r="LUC88" s="916"/>
      <c r="LUD88" s="916"/>
      <c r="LUE88" s="916"/>
      <c r="LUF88" s="916"/>
      <c r="LUG88" s="916"/>
      <c r="LUH88" s="916"/>
      <c r="LUI88" s="916"/>
      <c r="LUJ88" s="916"/>
      <c r="LUK88" s="916"/>
      <c r="LUL88" s="916"/>
      <c r="LUM88" s="916"/>
      <c r="LUN88" s="916"/>
      <c r="LUO88" s="916"/>
      <c r="LUP88" s="916"/>
      <c r="LUQ88" s="916"/>
      <c r="LUR88" s="916"/>
      <c r="LUS88" s="916"/>
      <c r="LUT88" s="916"/>
      <c r="LUU88" s="916"/>
      <c r="LUV88" s="916"/>
      <c r="LUW88" s="916"/>
      <c r="LUX88" s="916"/>
      <c r="LUY88" s="916"/>
      <c r="LUZ88" s="916"/>
      <c r="LVA88" s="916"/>
      <c r="LVB88" s="916"/>
      <c r="LVC88" s="916"/>
      <c r="LVD88" s="916"/>
      <c r="LVE88" s="916"/>
      <c r="LVF88" s="916"/>
      <c r="LVG88" s="916"/>
      <c r="LVH88" s="916"/>
      <c r="LVI88" s="916"/>
      <c r="LVJ88" s="916"/>
      <c r="LVK88" s="916"/>
      <c r="LVL88" s="916"/>
      <c r="LVM88" s="916"/>
      <c r="LVN88" s="916"/>
      <c r="LVO88" s="916"/>
      <c r="LVP88" s="916"/>
      <c r="LVQ88" s="916"/>
      <c r="LVR88" s="916"/>
      <c r="LVS88" s="916"/>
      <c r="LVT88" s="916"/>
      <c r="LVU88" s="916"/>
      <c r="LVV88" s="916"/>
      <c r="LVW88" s="916"/>
      <c r="LVX88" s="916"/>
      <c r="LVY88" s="916"/>
      <c r="LVZ88" s="916"/>
      <c r="LWA88" s="916"/>
      <c r="LWB88" s="916"/>
      <c r="LWC88" s="916"/>
      <c r="LWD88" s="916"/>
      <c r="LWE88" s="916"/>
      <c r="LWF88" s="916"/>
      <c r="LWG88" s="916"/>
      <c r="LWH88" s="916"/>
      <c r="LWI88" s="916"/>
      <c r="LWJ88" s="916"/>
      <c r="LWK88" s="916"/>
      <c r="LWL88" s="916"/>
      <c r="LWM88" s="916"/>
      <c r="LWN88" s="916"/>
      <c r="LWO88" s="916"/>
      <c r="LWP88" s="916"/>
      <c r="LWQ88" s="916"/>
      <c r="LWR88" s="916"/>
      <c r="LWS88" s="916"/>
      <c r="LWT88" s="916"/>
      <c r="LWU88" s="916"/>
      <c r="LWV88" s="916"/>
      <c r="LWW88" s="916"/>
      <c r="LWX88" s="916"/>
      <c r="LWY88" s="916"/>
      <c r="LWZ88" s="916"/>
      <c r="LXA88" s="916"/>
      <c r="LXB88" s="916"/>
      <c r="LXC88" s="916"/>
      <c r="LXD88" s="916"/>
      <c r="LXE88" s="916"/>
      <c r="LXF88" s="916"/>
      <c r="LXG88" s="916"/>
      <c r="LXH88" s="916"/>
      <c r="LXI88" s="916"/>
      <c r="LXJ88" s="916"/>
      <c r="LXK88" s="916"/>
      <c r="LXL88" s="916"/>
      <c r="LXM88" s="916"/>
      <c r="LXN88" s="916"/>
      <c r="LXO88" s="916"/>
      <c r="LXP88" s="916"/>
      <c r="LXQ88" s="916"/>
      <c r="LXR88" s="916"/>
      <c r="LXS88" s="916"/>
      <c r="LXT88" s="916"/>
      <c r="LXU88" s="916"/>
      <c r="LXV88" s="916"/>
      <c r="LXW88" s="916"/>
      <c r="LXX88" s="916"/>
      <c r="LXY88" s="916"/>
      <c r="LXZ88" s="916"/>
      <c r="LYA88" s="916"/>
      <c r="LYB88" s="916"/>
      <c r="LYC88" s="916"/>
      <c r="LYD88" s="916"/>
      <c r="LYE88" s="916"/>
      <c r="LYF88" s="916"/>
      <c r="LYG88" s="916"/>
      <c r="LYH88" s="916"/>
      <c r="LYI88" s="916"/>
      <c r="LYJ88" s="916"/>
      <c r="LYK88" s="916"/>
      <c r="LYL88" s="916"/>
      <c r="LYM88" s="916"/>
      <c r="LYN88" s="916"/>
      <c r="LYO88" s="916"/>
      <c r="LYP88" s="916"/>
      <c r="LYQ88" s="916"/>
      <c r="LYR88" s="916"/>
      <c r="LYS88" s="916"/>
      <c r="LYT88" s="916"/>
      <c r="LYU88" s="916"/>
      <c r="LYV88" s="916"/>
      <c r="LYW88" s="916"/>
      <c r="LYX88" s="916"/>
      <c r="LYY88" s="916"/>
      <c r="LYZ88" s="916"/>
      <c r="LZA88" s="916"/>
      <c r="LZB88" s="916"/>
      <c r="LZC88" s="916"/>
      <c r="LZD88" s="916"/>
      <c r="LZE88" s="916"/>
      <c r="LZF88" s="916"/>
      <c r="LZG88" s="916"/>
      <c r="LZH88" s="916"/>
      <c r="LZI88" s="916"/>
      <c r="LZJ88" s="916"/>
      <c r="LZK88" s="916"/>
      <c r="LZL88" s="916"/>
      <c r="LZM88" s="916"/>
      <c r="LZN88" s="916"/>
      <c r="LZO88" s="916"/>
      <c r="LZP88" s="916"/>
      <c r="LZQ88" s="916"/>
      <c r="LZR88" s="916"/>
      <c r="LZS88" s="916"/>
      <c r="LZT88" s="916"/>
      <c r="LZU88" s="916"/>
      <c r="LZV88" s="916"/>
      <c r="LZW88" s="916"/>
      <c r="LZX88" s="916"/>
      <c r="LZY88" s="916"/>
      <c r="LZZ88" s="916"/>
      <c r="MAA88" s="916"/>
      <c r="MAB88" s="916"/>
      <c r="MAC88" s="916"/>
      <c r="MAD88" s="916"/>
      <c r="MAE88" s="916"/>
      <c r="MAF88" s="916"/>
      <c r="MAG88" s="916"/>
      <c r="MAH88" s="916"/>
      <c r="MAI88" s="916"/>
      <c r="MAJ88" s="916"/>
      <c r="MAK88" s="916"/>
      <c r="MAL88" s="916"/>
      <c r="MAM88" s="916"/>
      <c r="MAN88" s="916"/>
      <c r="MAO88" s="916"/>
      <c r="MAP88" s="916"/>
      <c r="MAQ88" s="916"/>
      <c r="MAR88" s="916"/>
      <c r="MAS88" s="916"/>
      <c r="MAT88" s="916"/>
      <c r="MAU88" s="916"/>
      <c r="MAV88" s="916"/>
      <c r="MAW88" s="916"/>
      <c r="MAX88" s="916"/>
      <c r="MAY88" s="916"/>
      <c r="MAZ88" s="916"/>
      <c r="MBA88" s="916"/>
      <c r="MBB88" s="916"/>
      <c r="MBC88" s="916"/>
      <c r="MBD88" s="916"/>
      <c r="MBE88" s="916"/>
      <c r="MBF88" s="916"/>
      <c r="MBG88" s="916"/>
      <c r="MBH88" s="916"/>
      <c r="MBI88" s="916"/>
      <c r="MBJ88" s="916"/>
      <c r="MBK88" s="916"/>
      <c r="MBL88" s="916"/>
      <c r="MBM88" s="916"/>
      <c r="MBN88" s="916"/>
      <c r="MBO88" s="916"/>
      <c r="MBP88" s="916"/>
      <c r="MBQ88" s="916"/>
      <c r="MBR88" s="916"/>
      <c r="MBS88" s="916"/>
      <c r="MBT88" s="916"/>
      <c r="MBU88" s="916"/>
      <c r="MBV88" s="916"/>
      <c r="MBW88" s="916"/>
      <c r="MBX88" s="916"/>
      <c r="MBY88" s="916"/>
      <c r="MBZ88" s="916"/>
      <c r="MCA88" s="916"/>
      <c r="MCB88" s="916"/>
      <c r="MCC88" s="916"/>
      <c r="MCD88" s="916"/>
      <c r="MCE88" s="916"/>
      <c r="MCF88" s="916"/>
      <c r="MCG88" s="916"/>
      <c r="MCH88" s="916"/>
      <c r="MCI88" s="916"/>
      <c r="MCJ88" s="916"/>
      <c r="MCK88" s="916"/>
      <c r="MCL88" s="916"/>
      <c r="MCM88" s="916"/>
      <c r="MCN88" s="916"/>
      <c r="MCO88" s="916"/>
      <c r="MCP88" s="916"/>
      <c r="MCQ88" s="916"/>
      <c r="MCR88" s="916"/>
      <c r="MCS88" s="916"/>
      <c r="MCT88" s="916"/>
      <c r="MCU88" s="916"/>
      <c r="MCV88" s="916"/>
      <c r="MCW88" s="916"/>
      <c r="MCX88" s="916"/>
      <c r="MCY88" s="916"/>
      <c r="MCZ88" s="916"/>
      <c r="MDA88" s="916"/>
      <c r="MDB88" s="916"/>
      <c r="MDC88" s="916"/>
      <c r="MDD88" s="916"/>
      <c r="MDE88" s="916"/>
      <c r="MDF88" s="916"/>
      <c r="MDG88" s="916"/>
      <c r="MDH88" s="916"/>
      <c r="MDI88" s="916"/>
      <c r="MDJ88" s="916"/>
      <c r="MDK88" s="916"/>
      <c r="MDL88" s="916"/>
      <c r="MDM88" s="916"/>
      <c r="MDN88" s="916"/>
      <c r="MDO88" s="916"/>
      <c r="MDP88" s="916"/>
      <c r="MDQ88" s="916"/>
      <c r="MDR88" s="916"/>
      <c r="MDS88" s="916"/>
      <c r="MDT88" s="916"/>
      <c r="MDU88" s="916"/>
      <c r="MDV88" s="916"/>
      <c r="MDW88" s="916"/>
      <c r="MDX88" s="916"/>
      <c r="MDY88" s="916"/>
      <c r="MDZ88" s="916"/>
      <c r="MEA88" s="916"/>
      <c r="MEB88" s="916"/>
      <c r="MEC88" s="916"/>
      <c r="MED88" s="916"/>
      <c r="MEE88" s="916"/>
      <c r="MEF88" s="916"/>
      <c r="MEG88" s="916"/>
      <c r="MEH88" s="916"/>
      <c r="MEI88" s="916"/>
      <c r="MEJ88" s="916"/>
      <c r="MEK88" s="916"/>
      <c r="MEL88" s="916"/>
      <c r="MEM88" s="916"/>
      <c r="MEN88" s="916"/>
      <c r="MEO88" s="916"/>
      <c r="MEP88" s="916"/>
      <c r="MEQ88" s="916"/>
      <c r="MER88" s="916"/>
      <c r="MES88" s="916"/>
      <c r="MET88" s="916"/>
      <c r="MEU88" s="916"/>
      <c r="MEV88" s="916"/>
      <c r="MEW88" s="916"/>
      <c r="MEX88" s="916"/>
      <c r="MEY88" s="916"/>
      <c r="MEZ88" s="916"/>
      <c r="MFA88" s="916"/>
      <c r="MFB88" s="916"/>
      <c r="MFC88" s="916"/>
      <c r="MFD88" s="916"/>
      <c r="MFE88" s="916"/>
      <c r="MFF88" s="916"/>
      <c r="MFG88" s="916"/>
      <c r="MFH88" s="916"/>
      <c r="MFI88" s="916"/>
      <c r="MFJ88" s="916"/>
      <c r="MFK88" s="916"/>
      <c r="MFL88" s="916"/>
      <c r="MFM88" s="916"/>
      <c r="MFN88" s="916"/>
      <c r="MFO88" s="916"/>
      <c r="MFP88" s="916"/>
      <c r="MFQ88" s="916"/>
      <c r="MFR88" s="916"/>
      <c r="MFS88" s="916"/>
      <c r="MFT88" s="916"/>
      <c r="MFU88" s="916"/>
      <c r="MFV88" s="916"/>
      <c r="MFW88" s="916"/>
      <c r="MFX88" s="916"/>
      <c r="MFY88" s="916"/>
      <c r="MFZ88" s="916"/>
      <c r="MGA88" s="916"/>
      <c r="MGB88" s="916"/>
      <c r="MGC88" s="916"/>
      <c r="MGD88" s="916"/>
      <c r="MGE88" s="916"/>
      <c r="MGF88" s="916"/>
      <c r="MGG88" s="916"/>
      <c r="MGH88" s="916"/>
      <c r="MGI88" s="916"/>
      <c r="MGJ88" s="916"/>
      <c r="MGK88" s="916"/>
      <c r="MGL88" s="916"/>
      <c r="MGM88" s="916"/>
      <c r="MGN88" s="916"/>
      <c r="MGO88" s="916"/>
      <c r="MGP88" s="916"/>
      <c r="MGQ88" s="916"/>
      <c r="MGR88" s="916"/>
      <c r="MGS88" s="916"/>
      <c r="MGT88" s="916"/>
      <c r="MGU88" s="916"/>
      <c r="MGV88" s="916"/>
      <c r="MGW88" s="916"/>
      <c r="MGX88" s="916"/>
      <c r="MGY88" s="916"/>
      <c r="MGZ88" s="916"/>
      <c r="MHA88" s="916"/>
      <c r="MHB88" s="916"/>
      <c r="MHC88" s="916"/>
      <c r="MHD88" s="916"/>
      <c r="MHE88" s="916"/>
      <c r="MHF88" s="916"/>
      <c r="MHG88" s="916"/>
      <c r="MHH88" s="916"/>
      <c r="MHI88" s="916"/>
      <c r="MHJ88" s="916"/>
      <c r="MHK88" s="916"/>
      <c r="MHL88" s="916"/>
      <c r="MHM88" s="916"/>
      <c r="MHN88" s="916"/>
      <c r="MHO88" s="916"/>
      <c r="MHP88" s="916"/>
      <c r="MHQ88" s="916"/>
      <c r="MHR88" s="916"/>
      <c r="MHS88" s="916"/>
      <c r="MHT88" s="916"/>
      <c r="MHU88" s="916"/>
      <c r="MHV88" s="916"/>
      <c r="MHW88" s="916"/>
      <c r="MHX88" s="916"/>
      <c r="MHY88" s="916"/>
      <c r="MHZ88" s="916"/>
      <c r="MIA88" s="916"/>
      <c r="MIB88" s="916"/>
      <c r="MIC88" s="916"/>
      <c r="MID88" s="916"/>
      <c r="MIE88" s="916"/>
      <c r="MIF88" s="916"/>
      <c r="MIG88" s="916"/>
      <c r="MIH88" s="916"/>
      <c r="MII88" s="916"/>
      <c r="MIJ88" s="916"/>
      <c r="MIK88" s="916"/>
      <c r="MIL88" s="916"/>
      <c r="MIM88" s="916"/>
      <c r="MIN88" s="916"/>
      <c r="MIO88" s="916"/>
      <c r="MIP88" s="916"/>
      <c r="MIQ88" s="916"/>
      <c r="MIR88" s="916"/>
      <c r="MIS88" s="916"/>
      <c r="MIT88" s="916"/>
      <c r="MIU88" s="916"/>
      <c r="MIV88" s="916"/>
      <c r="MIW88" s="916"/>
      <c r="MIX88" s="916"/>
      <c r="MIY88" s="916"/>
      <c r="MIZ88" s="916"/>
      <c r="MJA88" s="916"/>
      <c r="MJB88" s="916"/>
      <c r="MJC88" s="916"/>
      <c r="MJD88" s="916"/>
      <c r="MJE88" s="916"/>
      <c r="MJF88" s="916"/>
      <c r="MJG88" s="916"/>
      <c r="MJH88" s="916"/>
      <c r="MJI88" s="916"/>
      <c r="MJJ88" s="916"/>
      <c r="MJK88" s="916"/>
      <c r="MJL88" s="916"/>
      <c r="MJM88" s="916"/>
      <c r="MJN88" s="916"/>
      <c r="MJO88" s="916"/>
      <c r="MJP88" s="916"/>
      <c r="MJQ88" s="916"/>
      <c r="MJR88" s="916"/>
      <c r="MJS88" s="916"/>
      <c r="MJT88" s="916"/>
      <c r="MJU88" s="916"/>
      <c r="MJV88" s="916"/>
      <c r="MJW88" s="916"/>
      <c r="MJX88" s="916"/>
      <c r="MJY88" s="916"/>
      <c r="MJZ88" s="916"/>
      <c r="MKA88" s="916"/>
      <c r="MKB88" s="916"/>
      <c r="MKC88" s="916"/>
      <c r="MKD88" s="916"/>
      <c r="MKE88" s="916"/>
      <c r="MKF88" s="916"/>
      <c r="MKG88" s="916"/>
      <c r="MKH88" s="916"/>
      <c r="MKI88" s="916"/>
      <c r="MKJ88" s="916"/>
      <c r="MKK88" s="916"/>
      <c r="MKL88" s="916"/>
      <c r="MKM88" s="916"/>
      <c r="MKN88" s="916"/>
      <c r="MKO88" s="916"/>
      <c r="MKP88" s="916"/>
      <c r="MKQ88" s="916"/>
      <c r="MKR88" s="916"/>
      <c r="MKS88" s="916"/>
      <c r="MKT88" s="916"/>
      <c r="MKU88" s="916"/>
      <c r="MKV88" s="916"/>
      <c r="MKW88" s="916"/>
      <c r="MKX88" s="916"/>
      <c r="MKY88" s="916"/>
      <c r="MKZ88" s="916"/>
      <c r="MLA88" s="916"/>
      <c r="MLB88" s="916"/>
      <c r="MLC88" s="916"/>
      <c r="MLD88" s="916"/>
      <c r="MLE88" s="916"/>
      <c r="MLF88" s="916"/>
      <c r="MLG88" s="916"/>
      <c r="MLH88" s="916"/>
      <c r="MLI88" s="916"/>
      <c r="MLJ88" s="916"/>
      <c r="MLK88" s="916"/>
      <c r="MLL88" s="916"/>
      <c r="MLM88" s="916"/>
      <c r="MLN88" s="916"/>
      <c r="MLO88" s="916"/>
      <c r="MLP88" s="916"/>
      <c r="MLQ88" s="916"/>
      <c r="MLR88" s="916"/>
      <c r="MLS88" s="916"/>
      <c r="MLT88" s="916"/>
      <c r="MLU88" s="916"/>
      <c r="MLV88" s="916"/>
      <c r="MLW88" s="916"/>
      <c r="MLX88" s="916"/>
      <c r="MLY88" s="916"/>
      <c r="MLZ88" s="916"/>
      <c r="MMA88" s="916"/>
      <c r="MMB88" s="916"/>
      <c r="MMC88" s="916"/>
      <c r="MMD88" s="916"/>
      <c r="MME88" s="916"/>
      <c r="MMF88" s="916"/>
      <c r="MMG88" s="916"/>
      <c r="MMH88" s="916"/>
      <c r="MMI88" s="916"/>
      <c r="MMJ88" s="916"/>
      <c r="MMK88" s="916"/>
      <c r="MML88" s="916"/>
      <c r="MMM88" s="916"/>
      <c r="MMN88" s="916"/>
      <c r="MMO88" s="916"/>
      <c r="MMP88" s="916"/>
      <c r="MMQ88" s="916"/>
      <c r="MMR88" s="916"/>
      <c r="MMS88" s="916"/>
      <c r="MMT88" s="916"/>
      <c r="MMU88" s="916"/>
      <c r="MMV88" s="916"/>
      <c r="MMW88" s="916"/>
      <c r="MMX88" s="916"/>
      <c r="MMY88" s="916"/>
      <c r="MMZ88" s="916"/>
      <c r="MNA88" s="916"/>
      <c r="MNB88" s="916"/>
      <c r="MNC88" s="916"/>
      <c r="MND88" s="916"/>
      <c r="MNE88" s="916"/>
      <c r="MNF88" s="916"/>
      <c r="MNG88" s="916"/>
      <c r="MNH88" s="916"/>
      <c r="MNI88" s="916"/>
      <c r="MNJ88" s="916"/>
      <c r="MNK88" s="916"/>
      <c r="MNL88" s="916"/>
      <c r="MNM88" s="916"/>
      <c r="MNN88" s="916"/>
      <c r="MNO88" s="916"/>
      <c r="MNP88" s="916"/>
      <c r="MNQ88" s="916"/>
      <c r="MNR88" s="916"/>
      <c r="MNS88" s="916"/>
      <c r="MNT88" s="916"/>
      <c r="MNU88" s="916"/>
      <c r="MNV88" s="916"/>
      <c r="MNW88" s="916"/>
      <c r="MNX88" s="916"/>
      <c r="MNY88" s="916"/>
      <c r="MNZ88" s="916"/>
      <c r="MOA88" s="916"/>
      <c r="MOB88" s="916"/>
      <c r="MOC88" s="916"/>
      <c r="MOD88" s="916"/>
      <c r="MOE88" s="916"/>
      <c r="MOF88" s="916"/>
      <c r="MOG88" s="916"/>
      <c r="MOH88" s="916"/>
      <c r="MOI88" s="916"/>
      <c r="MOJ88" s="916"/>
      <c r="MOK88" s="916"/>
      <c r="MOL88" s="916"/>
      <c r="MOM88" s="916"/>
      <c r="MON88" s="916"/>
      <c r="MOO88" s="916"/>
      <c r="MOP88" s="916"/>
      <c r="MOQ88" s="916"/>
      <c r="MOR88" s="916"/>
      <c r="MOS88" s="916"/>
      <c r="MOT88" s="916"/>
      <c r="MOU88" s="916"/>
      <c r="MOV88" s="916"/>
      <c r="MOW88" s="916"/>
      <c r="MOX88" s="916"/>
      <c r="MOY88" s="916"/>
      <c r="MOZ88" s="916"/>
      <c r="MPA88" s="916"/>
      <c r="MPB88" s="916"/>
      <c r="MPC88" s="916"/>
      <c r="MPD88" s="916"/>
      <c r="MPE88" s="916"/>
      <c r="MPF88" s="916"/>
      <c r="MPG88" s="916"/>
      <c r="MPH88" s="916"/>
      <c r="MPI88" s="916"/>
      <c r="MPJ88" s="916"/>
      <c r="MPK88" s="916"/>
      <c r="MPL88" s="916"/>
      <c r="MPM88" s="916"/>
      <c r="MPN88" s="916"/>
      <c r="MPO88" s="916"/>
      <c r="MPP88" s="916"/>
      <c r="MPQ88" s="916"/>
      <c r="MPR88" s="916"/>
      <c r="MPS88" s="916"/>
      <c r="MPT88" s="916"/>
      <c r="MPU88" s="916"/>
      <c r="MPV88" s="916"/>
      <c r="MPW88" s="916"/>
      <c r="MPX88" s="916"/>
      <c r="MPY88" s="916"/>
      <c r="MPZ88" s="916"/>
      <c r="MQA88" s="916"/>
      <c r="MQB88" s="916"/>
      <c r="MQC88" s="916"/>
      <c r="MQD88" s="916"/>
      <c r="MQE88" s="916"/>
      <c r="MQF88" s="916"/>
      <c r="MQG88" s="916"/>
      <c r="MQH88" s="916"/>
      <c r="MQI88" s="916"/>
      <c r="MQJ88" s="916"/>
      <c r="MQK88" s="916"/>
      <c r="MQL88" s="916"/>
      <c r="MQM88" s="916"/>
      <c r="MQN88" s="916"/>
      <c r="MQO88" s="916"/>
      <c r="MQP88" s="916"/>
      <c r="MQQ88" s="916"/>
      <c r="MQR88" s="916"/>
      <c r="MQS88" s="916"/>
      <c r="MQT88" s="916"/>
      <c r="MQU88" s="916"/>
      <c r="MQV88" s="916"/>
      <c r="MQW88" s="916"/>
      <c r="MQX88" s="916"/>
      <c r="MQY88" s="916"/>
      <c r="MQZ88" s="916"/>
      <c r="MRA88" s="916"/>
      <c r="MRB88" s="916"/>
      <c r="MRC88" s="916"/>
      <c r="MRD88" s="916"/>
      <c r="MRE88" s="916"/>
      <c r="MRF88" s="916"/>
      <c r="MRG88" s="916"/>
      <c r="MRH88" s="916"/>
      <c r="MRI88" s="916"/>
      <c r="MRJ88" s="916"/>
      <c r="MRK88" s="916"/>
      <c r="MRL88" s="916"/>
      <c r="MRM88" s="916"/>
      <c r="MRN88" s="916"/>
      <c r="MRO88" s="916"/>
      <c r="MRP88" s="916"/>
      <c r="MRQ88" s="916"/>
      <c r="MRR88" s="916"/>
      <c r="MRS88" s="916"/>
      <c r="MRT88" s="916"/>
      <c r="MRU88" s="916"/>
      <c r="MRV88" s="916"/>
      <c r="MRW88" s="916"/>
      <c r="MRX88" s="916"/>
      <c r="MRY88" s="916"/>
      <c r="MRZ88" s="916"/>
      <c r="MSA88" s="916"/>
      <c r="MSB88" s="916"/>
      <c r="MSC88" s="916"/>
      <c r="MSD88" s="916"/>
      <c r="MSE88" s="916"/>
      <c r="MSF88" s="916"/>
      <c r="MSG88" s="916"/>
      <c r="MSH88" s="916"/>
      <c r="MSI88" s="916"/>
      <c r="MSJ88" s="916"/>
      <c r="MSK88" s="916"/>
      <c r="MSL88" s="916"/>
      <c r="MSM88" s="916"/>
      <c r="MSN88" s="916"/>
      <c r="MSO88" s="916"/>
      <c r="MSP88" s="916"/>
      <c r="MSQ88" s="916"/>
      <c r="MSR88" s="916"/>
      <c r="MSS88" s="916"/>
      <c r="MST88" s="916"/>
      <c r="MSU88" s="916"/>
      <c r="MSV88" s="916"/>
      <c r="MSW88" s="916"/>
      <c r="MSX88" s="916"/>
      <c r="MSY88" s="916"/>
      <c r="MSZ88" s="916"/>
      <c r="MTA88" s="916"/>
      <c r="MTB88" s="916"/>
      <c r="MTC88" s="916"/>
      <c r="MTD88" s="916"/>
      <c r="MTE88" s="916"/>
      <c r="MTF88" s="916"/>
      <c r="MTG88" s="916"/>
      <c r="MTH88" s="916"/>
      <c r="MTI88" s="916"/>
      <c r="MTJ88" s="916"/>
      <c r="MTK88" s="916"/>
      <c r="MTL88" s="916"/>
      <c r="MTM88" s="916"/>
      <c r="MTN88" s="916"/>
      <c r="MTO88" s="916"/>
      <c r="MTP88" s="916"/>
      <c r="MTQ88" s="916"/>
      <c r="MTR88" s="916"/>
      <c r="MTS88" s="916"/>
      <c r="MTT88" s="916"/>
      <c r="MTU88" s="916"/>
      <c r="MTV88" s="916"/>
      <c r="MTW88" s="916"/>
      <c r="MTX88" s="916"/>
      <c r="MTY88" s="916"/>
      <c r="MTZ88" s="916"/>
      <c r="MUA88" s="916"/>
      <c r="MUB88" s="916"/>
      <c r="MUC88" s="916"/>
      <c r="MUD88" s="916"/>
      <c r="MUE88" s="916"/>
      <c r="MUF88" s="916"/>
      <c r="MUG88" s="916"/>
      <c r="MUH88" s="916"/>
      <c r="MUI88" s="916"/>
      <c r="MUJ88" s="916"/>
      <c r="MUK88" s="916"/>
      <c r="MUL88" s="916"/>
      <c r="MUM88" s="916"/>
      <c r="MUN88" s="916"/>
      <c r="MUO88" s="916"/>
      <c r="MUP88" s="916"/>
      <c r="MUQ88" s="916"/>
      <c r="MUR88" s="916"/>
      <c r="MUS88" s="916"/>
      <c r="MUT88" s="916"/>
      <c r="MUU88" s="916"/>
      <c r="MUV88" s="916"/>
      <c r="MUW88" s="916"/>
      <c r="MUX88" s="916"/>
      <c r="MUY88" s="916"/>
      <c r="MUZ88" s="916"/>
      <c r="MVA88" s="916"/>
      <c r="MVB88" s="916"/>
      <c r="MVC88" s="916"/>
      <c r="MVD88" s="916"/>
      <c r="MVE88" s="916"/>
      <c r="MVF88" s="916"/>
      <c r="MVG88" s="916"/>
      <c r="MVH88" s="916"/>
      <c r="MVI88" s="916"/>
      <c r="MVJ88" s="916"/>
      <c r="MVK88" s="916"/>
      <c r="MVL88" s="916"/>
      <c r="MVM88" s="916"/>
      <c r="MVN88" s="916"/>
      <c r="MVO88" s="916"/>
      <c r="MVP88" s="916"/>
      <c r="MVQ88" s="916"/>
      <c r="MVR88" s="916"/>
      <c r="MVS88" s="916"/>
      <c r="MVT88" s="916"/>
      <c r="MVU88" s="916"/>
      <c r="MVV88" s="916"/>
      <c r="MVW88" s="916"/>
      <c r="MVX88" s="916"/>
      <c r="MVY88" s="916"/>
      <c r="MVZ88" s="916"/>
      <c r="MWA88" s="916"/>
      <c r="MWB88" s="916"/>
      <c r="MWC88" s="916"/>
      <c r="MWD88" s="916"/>
      <c r="MWE88" s="916"/>
      <c r="MWF88" s="916"/>
      <c r="MWG88" s="916"/>
      <c r="MWH88" s="916"/>
      <c r="MWI88" s="916"/>
      <c r="MWJ88" s="916"/>
      <c r="MWK88" s="916"/>
      <c r="MWL88" s="916"/>
      <c r="MWM88" s="916"/>
      <c r="MWN88" s="916"/>
      <c r="MWO88" s="916"/>
      <c r="MWP88" s="916"/>
      <c r="MWQ88" s="916"/>
      <c r="MWR88" s="916"/>
      <c r="MWS88" s="916"/>
      <c r="MWT88" s="916"/>
      <c r="MWU88" s="916"/>
      <c r="MWV88" s="916"/>
      <c r="MWW88" s="916"/>
      <c r="MWX88" s="916"/>
      <c r="MWY88" s="916"/>
      <c r="MWZ88" s="916"/>
      <c r="MXA88" s="916"/>
      <c r="MXB88" s="916"/>
      <c r="MXC88" s="916"/>
      <c r="MXD88" s="916"/>
      <c r="MXE88" s="916"/>
      <c r="MXF88" s="916"/>
      <c r="MXG88" s="916"/>
      <c r="MXH88" s="916"/>
      <c r="MXI88" s="916"/>
      <c r="MXJ88" s="916"/>
      <c r="MXK88" s="916"/>
      <c r="MXL88" s="916"/>
      <c r="MXM88" s="916"/>
      <c r="MXN88" s="916"/>
      <c r="MXO88" s="916"/>
      <c r="MXP88" s="916"/>
      <c r="MXQ88" s="916"/>
      <c r="MXR88" s="916"/>
      <c r="MXS88" s="916"/>
      <c r="MXT88" s="916"/>
      <c r="MXU88" s="916"/>
      <c r="MXV88" s="916"/>
      <c r="MXW88" s="916"/>
      <c r="MXX88" s="916"/>
      <c r="MXY88" s="916"/>
      <c r="MXZ88" s="916"/>
      <c r="MYA88" s="916"/>
      <c r="MYB88" s="916"/>
      <c r="MYC88" s="916"/>
      <c r="MYD88" s="916"/>
      <c r="MYE88" s="916"/>
      <c r="MYF88" s="916"/>
      <c r="MYG88" s="916"/>
      <c r="MYH88" s="916"/>
      <c r="MYI88" s="916"/>
      <c r="MYJ88" s="916"/>
      <c r="MYK88" s="916"/>
      <c r="MYL88" s="916"/>
      <c r="MYM88" s="916"/>
      <c r="MYN88" s="916"/>
      <c r="MYO88" s="916"/>
      <c r="MYP88" s="916"/>
      <c r="MYQ88" s="916"/>
      <c r="MYR88" s="916"/>
      <c r="MYS88" s="916"/>
      <c r="MYT88" s="916"/>
      <c r="MYU88" s="916"/>
      <c r="MYV88" s="916"/>
      <c r="MYW88" s="916"/>
      <c r="MYX88" s="916"/>
      <c r="MYY88" s="916"/>
      <c r="MYZ88" s="916"/>
      <c r="MZA88" s="916"/>
      <c r="MZB88" s="916"/>
      <c r="MZC88" s="916"/>
      <c r="MZD88" s="916"/>
      <c r="MZE88" s="916"/>
      <c r="MZF88" s="916"/>
      <c r="MZG88" s="916"/>
      <c r="MZH88" s="916"/>
      <c r="MZI88" s="916"/>
      <c r="MZJ88" s="916"/>
      <c r="MZK88" s="916"/>
      <c r="MZL88" s="916"/>
      <c r="MZM88" s="916"/>
      <c r="MZN88" s="916"/>
      <c r="MZO88" s="916"/>
      <c r="MZP88" s="916"/>
      <c r="MZQ88" s="916"/>
      <c r="MZR88" s="916"/>
      <c r="MZS88" s="916"/>
      <c r="MZT88" s="916"/>
      <c r="MZU88" s="916"/>
      <c r="MZV88" s="916"/>
      <c r="MZW88" s="916"/>
      <c r="MZX88" s="916"/>
      <c r="MZY88" s="916"/>
      <c r="MZZ88" s="916"/>
      <c r="NAA88" s="916"/>
      <c r="NAB88" s="916"/>
      <c r="NAC88" s="916"/>
      <c r="NAD88" s="916"/>
      <c r="NAE88" s="916"/>
      <c r="NAF88" s="916"/>
      <c r="NAG88" s="916"/>
      <c r="NAH88" s="916"/>
      <c r="NAI88" s="916"/>
      <c r="NAJ88" s="916"/>
      <c r="NAK88" s="916"/>
      <c r="NAL88" s="916"/>
      <c r="NAM88" s="916"/>
      <c r="NAN88" s="916"/>
      <c r="NAO88" s="916"/>
      <c r="NAP88" s="916"/>
      <c r="NAQ88" s="916"/>
      <c r="NAR88" s="916"/>
      <c r="NAS88" s="916"/>
      <c r="NAT88" s="916"/>
      <c r="NAU88" s="916"/>
      <c r="NAV88" s="916"/>
      <c r="NAW88" s="916"/>
      <c r="NAX88" s="916"/>
      <c r="NAY88" s="916"/>
      <c r="NAZ88" s="916"/>
      <c r="NBA88" s="916"/>
      <c r="NBB88" s="916"/>
      <c r="NBC88" s="916"/>
      <c r="NBD88" s="916"/>
      <c r="NBE88" s="916"/>
      <c r="NBF88" s="916"/>
      <c r="NBG88" s="916"/>
      <c r="NBH88" s="916"/>
      <c r="NBI88" s="916"/>
      <c r="NBJ88" s="916"/>
      <c r="NBK88" s="916"/>
      <c r="NBL88" s="916"/>
      <c r="NBM88" s="916"/>
      <c r="NBN88" s="916"/>
      <c r="NBO88" s="916"/>
      <c r="NBP88" s="916"/>
      <c r="NBQ88" s="916"/>
      <c r="NBR88" s="916"/>
      <c r="NBS88" s="916"/>
      <c r="NBT88" s="916"/>
      <c r="NBU88" s="916"/>
      <c r="NBV88" s="916"/>
      <c r="NBW88" s="916"/>
      <c r="NBX88" s="916"/>
      <c r="NBY88" s="916"/>
      <c r="NBZ88" s="916"/>
      <c r="NCA88" s="916"/>
      <c r="NCB88" s="916"/>
      <c r="NCC88" s="916"/>
      <c r="NCD88" s="916"/>
      <c r="NCE88" s="916"/>
      <c r="NCF88" s="916"/>
      <c r="NCG88" s="916"/>
      <c r="NCH88" s="916"/>
      <c r="NCI88" s="916"/>
      <c r="NCJ88" s="916"/>
      <c r="NCK88" s="916"/>
      <c r="NCL88" s="916"/>
      <c r="NCM88" s="916"/>
      <c r="NCN88" s="916"/>
      <c r="NCO88" s="916"/>
      <c r="NCP88" s="916"/>
      <c r="NCQ88" s="916"/>
      <c r="NCR88" s="916"/>
      <c r="NCS88" s="916"/>
      <c r="NCT88" s="916"/>
      <c r="NCU88" s="916"/>
      <c r="NCV88" s="916"/>
      <c r="NCW88" s="916"/>
      <c r="NCX88" s="916"/>
      <c r="NCY88" s="916"/>
      <c r="NCZ88" s="916"/>
      <c r="NDA88" s="916"/>
      <c r="NDB88" s="916"/>
      <c r="NDC88" s="916"/>
      <c r="NDD88" s="916"/>
      <c r="NDE88" s="916"/>
      <c r="NDF88" s="916"/>
      <c r="NDG88" s="916"/>
      <c r="NDH88" s="916"/>
      <c r="NDI88" s="916"/>
      <c r="NDJ88" s="916"/>
      <c r="NDK88" s="916"/>
      <c r="NDL88" s="916"/>
      <c r="NDM88" s="916"/>
      <c r="NDN88" s="916"/>
      <c r="NDO88" s="916"/>
      <c r="NDP88" s="916"/>
      <c r="NDQ88" s="916"/>
      <c r="NDR88" s="916"/>
      <c r="NDS88" s="916"/>
      <c r="NDT88" s="916"/>
      <c r="NDU88" s="916"/>
      <c r="NDV88" s="916"/>
      <c r="NDW88" s="916"/>
      <c r="NDX88" s="916"/>
      <c r="NDY88" s="916"/>
      <c r="NDZ88" s="916"/>
      <c r="NEA88" s="916"/>
      <c r="NEB88" s="916"/>
      <c r="NEC88" s="916"/>
      <c r="NED88" s="916"/>
      <c r="NEE88" s="916"/>
      <c r="NEF88" s="916"/>
      <c r="NEG88" s="916"/>
      <c r="NEH88" s="916"/>
      <c r="NEI88" s="916"/>
      <c r="NEJ88" s="916"/>
      <c r="NEK88" s="916"/>
      <c r="NEL88" s="916"/>
      <c r="NEM88" s="916"/>
      <c r="NEN88" s="916"/>
      <c r="NEO88" s="916"/>
      <c r="NEP88" s="916"/>
      <c r="NEQ88" s="916"/>
      <c r="NER88" s="916"/>
      <c r="NES88" s="916"/>
      <c r="NET88" s="916"/>
      <c r="NEU88" s="916"/>
      <c r="NEV88" s="916"/>
      <c r="NEW88" s="916"/>
      <c r="NEX88" s="916"/>
      <c r="NEY88" s="916"/>
      <c r="NEZ88" s="916"/>
      <c r="NFA88" s="916"/>
      <c r="NFB88" s="916"/>
      <c r="NFC88" s="916"/>
      <c r="NFD88" s="916"/>
      <c r="NFE88" s="916"/>
      <c r="NFF88" s="916"/>
      <c r="NFG88" s="916"/>
      <c r="NFH88" s="916"/>
      <c r="NFI88" s="916"/>
      <c r="NFJ88" s="916"/>
      <c r="NFK88" s="916"/>
      <c r="NFL88" s="916"/>
      <c r="NFM88" s="916"/>
      <c r="NFN88" s="916"/>
      <c r="NFO88" s="916"/>
      <c r="NFP88" s="916"/>
      <c r="NFQ88" s="916"/>
      <c r="NFR88" s="916"/>
      <c r="NFS88" s="916"/>
      <c r="NFT88" s="916"/>
      <c r="NFU88" s="916"/>
      <c r="NFV88" s="916"/>
      <c r="NFW88" s="916"/>
      <c r="NFX88" s="916"/>
      <c r="NFY88" s="916"/>
      <c r="NFZ88" s="916"/>
      <c r="NGA88" s="916"/>
      <c r="NGB88" s="916"/>
      <c r="NGC88" s="916"/>
      <c r="NGD88" s="916"/>
      <c r="NGE88" s="916"/>
      <c r="NGF88" s="916"/>
      <c r="NGG88" s="916"/>
      <c r="NGH88" s="916"/>
      <c r="NGI88" s="916"/>
      <c r="NGJ88" s="916"/>
      <c r="NGK88" s="916"/>
      <c r="NGL88" s="916"/>
      <c r="NGM88" s="916"/>
      <c r="NGN88" s="916"/>
      <c r="NGO88" s="916"/>
      <c r="NGP88" s="916"/>
      <c r="NGQ88" s="916"/>
      <c r="NGR88" s="916"/>
      <c r="NGS88" s="916"/>
      <c r="NGT88" s="916"/>
      <c r="NGU88" s="916"/>
      <c r="NGV88" s="916"/>
      <c r="NGW88" s="916"/>
      <c r="NGX88" s="916"/>
      <c r="NGY88" s="916"/>
      <c r="NGZ88" s="916"/>
      <c r="NHA88" s="916"/>
      <c r="NHB88" s="916"/>
      <c r="NHC88" s="916"/>
      <c r="NHD88" s="916"/>
      <c r="NHE88" s="916"/>
      <c r="NHF88" s="916"/>
      <c r="NHG88" s="916"/>
      <c r="NHH88" s="916"/>
      <c r="NHI88" s="916"/>
      <c r="NHJ88" s="916"/>
      <c r="NHK88" s="916"/>
      <c r="NHL88" s="916"/>
      <c r="NHM88" s="916"/>
      <c r="NHN88" s="916"/>
      <c r="NHO88" s="916"/>
      <c r="NHP88" s="916"/>
      <c r="NHQ88" s="916"/>
      <c r="NHR88" s="916"/>
      <c r="NHS88" s="916"/>
      <c r="NHT88" s="916"/>
      <c r="NHU88" s="916"/>
      <c r="NHV88" s="916"/>
      <c r="NHW88" s="916"/>
      <c r="NHX88" s="916"/>
      <c r="NHY88" s="916"/>
      <c r="NHZ88" s="916"/>
      <c r="NIA88" s="916"/>
      <c r="NIB88" s="916"/>
      <c r="NIC88" s="916"/>
      <c r="NID88" s="916"/>
      <c r="NIE88" s="916"/>
      <c r="NIF88" s="916"/>
      <c r="NIG88" s="916"/>
      <c r="NIH88" s="916"/>
      <c r="NII88" s="916"/>
      <c r="NIJ88" s="916"/>
      <c r="NIK88" s="916"/>
      <c r="NIL88" s="916"/>
      <c r="NIM88" s="916"/>
      <c r="NIN88" s="916"/>
      <c r="NIO88" s="916"/>
      <c r="NIP88" s="916"/>
      <c r="NIQ88" s="916"/>
      <c r="NIR88" s="916"/>
      <c r="NIS88" s="916"/>
      <c r="NIT88" s="916"/>
      <c r="NIU88" s="916"/>
      <c r="NIV88" s="916"/>
      <c r="NIW88" s="916"/>
      <c r="NIX88" s="916"/>
      <c r="NIY88" s="916"/>
      <c r="NIZ88" s="916"/>
      <c r="NJA88" s="916"/>
      <c r="NJB88" s="916"/>
      <c r="NJC88" s="916"/>
      <c r="NJD88" s="916"/>
      <c r="NJE88" s="916"/>
      <c r="NJF88" s="916"/>
      <c r="NJG88" s="916"/>
      <c r="NJH88" s="916"/>
      <c r="NJI88" s="916"/>
      <c r="NJJ88" s="916"/>
      <c r="NJK88" s="916"/>
      <c r="NJL88" s="916"/>
      <c r="NJM88" s="916"/>
      <c r="NJN88" s="916"/>
      <c r="NJO88" s="916"/>
      <c r="NJP88" s="916"/>
      <c r="NJQ88" s="916"/>
      <c r="NJR88" s="916"/>
      <c r="NJS88" s="916"/>
      <c r="NJT88" s="916"/>
      <c r="NJU88" s="916"/>
      <c r="NJV88" s="916"/>
      <c r="NJW88" s="916"/>
      <c r="NJX88" s="916"/>
      <c r="NJY88" s="916"/>
      <c r="NJZ88" s="916"/>
      <c r="NKA88" s="916"/>
      <c r="NKB88" s="916"/>
      <c r="NKC88" s="916"/>
      <c r="NKD88" s="916"/>
      <c r="NKE88" s="916"/>
      <c r="NKF88" s="916"/>
      <c r="NKG88" s="916"/>
      <c r="NKH88" s="916"/>
      <c r="NKI88" s="916"/>
      <c r="NKJ88" s="916"/>
      <c r="NKK88" s="916"/>
      <c r="NKL88" s="916"/>
      <c r="NKM88" s="916"/>
      <c r="NKN88" s="916"/>
      <c r="NKO88" s="916"/>
      <c r="NKP88" s="916"/>
      <c r="NKQ88" s="916"/>
      <c r="NKR88" s="916"/>
      <c r="NKS88" s="916"/>
      <c r="NKT88" s="916"/>
      <c r="NKU88" s="916"/>
      <c r="NKV88" s="916"/>
      <c r="NKW88" s="916"/>
      <c r="NKX88" s="916"/>
      <c r="NKY88" s="916"/>
      <c r="NKZ88" s="916"/>
      <c r="NLA88" s="916"/>
      <c r="NLB88" s="916"/>
      <c r="NLC88" s="916"/>
      <c r="NLD88" s="916"/>
      <c r="NLE88" s="916"/>
      <c r="NLF88" s="916"/>
      <c r="NLG88" s="916"/>
      <c r="NLH88" s="916"/>
      <c r="NLI88" s="916"/>
      <c r="NLJ88" s="916"/>
      <c r="NLK88" s="916"/>
      <c r="NLL88" s="916"/>
      <c r="NLM88" s="916"/>
      <c r="NLN88" s="916"/>
      <c r="NLO88" s="916"/>
      <c r="NLP88" s="916"/>
      <c r="NLQ88" s="916"/>
      <c r="NLR88" s="916"/>
      <c r="NLS88" s="916"/>
      <c r="NLT88" s="916"/>
      <c r="NLU88" s="916"/>
      <c r="NLV88" s="916"/>
      <c r="NLW88" s="916"/>
      <c r="NLX88" s="916"/>
      <c r="NLY88" s="916"/>
      <c r="NLZ88" s="916"/>
      <c r="NMA88" s="916"/>
      <c r="NMB88" s="916"/>
      <c r="NMC88" s="916"/>
      <c r="NMD88" s="916"/>
      <c r="NME88" s="916"/>
      <c r="NMF88" s="916"/>
      <c r="NMG88" s="916"/>
      <c r="NMH88" s="916"/>
      <c r="NMI88" s="916"/>
      <c r="NMJ88" s="916"/>
      <c r="NMK88" s="916"/>
      <c r="NML88" s="916"/>
      <c r="NMM88" s="916"/>
      <c r="NMN88" s="916"/>
      <c r="NMO88" s="916"/>
      <c r="NMP88" s="916"/>
      <c r="NMQ88" s="916"/>
      <c r="NMR88" s="916"/>
      <c r="NMS88" s="916"/>
      <c r="NMT88" s="916"/>
      <c r="NMU88" s="916"/>
      <c r="NMV88" s="916"/>
      <c r="NMW88" s="916"/>
      <c r="NMX88" s="916"/>
      <c r="NMY88" s="916"/>
      <c r="NMZ88" s="916"/>
      <c r="NNA88" s="916"/>
      <c r="NNB88" s="916"/>
      <c r="NNC88" s="916"/>
      <c r="NND88" s="916"/>
      <c r="NNE88" s="916"/>
      <c r="NNF88" s="916"/>
      <c r="NNG88" s="916"/>
      <c r="NNH88" s="916"/>
      <c r="NNI88" s="916"/>
      <c r="NNJ88" s="916"/>
      <c r="NNK88" s="916"/>
      <c r="NNL88" s="916"/>
      <c r="NNM88" s="916"/>
      <c r="NNN88" s="916"/>
      <c r="NNO88" s="916"/>
      <c r="NNP88" s="916"/>
      <c r="NNQ88" s="916"/>
      <c r="NNR88" s="916"/>
      <c r="NNS88" s="916"/>
      <c r="NNT88" s="916"/>
      <c r="NNU88" s="916"/>
      <c r="NNV88" s="916"/>
      <c r="NNW88" s="916"/>
      <c r="NNX88" s="916"/>
      <c r="NNY88" s="916"/>
      <c r="NNZ88" s="916"/>
      <c r="NOA88" s="916"/>
      <c r="NOB88" s="916"/>
      <c r="NOC88" s="916"/>
      <c r="NOD88" s="916"/>
      <c r="NOE88" s="916"/>
      <c r="NOF88" s="916"/>
      <c r="NOG88" s="916"/>
      <c r="NOH88" s="916"/>
      <c r="NOI88" s="916"/>
      <c r="NOJ88" s="916"/>
      <c r="NOK88" s="916"/>
      <c r="NOL88" s="916"/>
      <c r="NOM88" s="916"/>
      <c r="NON88" s="916"/>
      <c r="NOO88" s="916"/>
      <c r="NOP88" s="916"/>
      <c r="NOQ88" s="916"/>
      <c r="NOR88" s="916"/>
      <c r="NOS88" s="916"/>
      <c r="NOT88" s="916"/>
      <c r="NOU88" s="916"/>
      <c r="NOV88" s="916"/>
      <c r="NOW88" s="916"/>
      <c r="NOX88" s="916"/>
      <c r="NOY88" s="916"/>
      <c r="NOZ88" s="916"/>
      <c r="NPA88" s="916"/>
      <c r="NPB88" s="916"/>
      <c r="NPC88" s="916"/>
      <c r="NPD88" s="916"/>
      <c r="NPE88" s="916"/>
      <c r="NPF88" s="916"/>
      <c r="NPG88" s="916"/>
      <c r="NPH88" s="916"/>
      <c r="NPI88" s="916"/>
      <c r="NPJ88" s="916"/>
      <c r="NPK88" s="916"/>
      <c r="NPL88" s="916"/>
      <c r="NPM88" s="916"/>
      <c r="NPN88" s="916"/>
      <c r="NPO88" s="916"/>
      <c r="NPP88" s="916"/>
      <c r="NPQ88" s="916"/>
      <c r="NPR88" s="916"/>
      <c r="NPS88" s="916"/>
      <c r="NPT88" s="916"/>
      <c r="NPU88" s="916"/>
      <c r="NPV88" s="916"/>
      <c r="NPW88" s="916"/>
      <c r="NPX88" s="916"/>
      <c r="NPY88" s="916"/>
      <c r="NPZ88" s="916"/>
      <c r="NQA88" s="916"/>
      <c r="NQB88" s="916"/>
      <c r="NQC88" s="916"/>
      <c r="NQD88" s="916"/>
      <c r="NQE88" s="916"/>
      <c r="NQF88" s="916"/>
      <c r="NQG88" s="916"/>
      <c r="NQH88" s="916"/>
      <c r="NQI88" s="916"/>
      <c r="NQJ88" s="916"/>
      <c r="NQK88" s="916"/>
      <c r="NQL88" s="916"/>
      <c r="NQM88" s="916"/>
      <c r="NQN88" s="916"/>
      <c r="NQO88" s="916"/>
      <c r="NQP88" s="916"/>
      <c r="NQQ88" s="916"/>
      <c r="NQR88" s="916"/>
      <c r="NQS88" s="916"/>
      <c r="NQT88" s="916"/>
      <c r="NQU88" s="916"/>
      <c r="NQV88" s="916"/>
      <c r="NQW88" s="916"/>
      <c r="NQX88" s="916"/>
      <c r="NQY88" s="916"/>
      <c r="NQZ88" s="916"/>
      <c r="NRA88" s="916"/>
      <c r="NRB88" s="916"/>
      <c r="NRC88" s="916"/>
      <c r="NRD88" s="916"/>
      <c r="NRE88" s="916"/>
      <c r="NRF88" s="916"/>
      <c r="NRG88" s="916"/>
      <c r="NRH88" s="916"/>
      <c r="NRI88" s="916"/>
      <c r="NRJ88" s="916"/>
      <c r="NRK88" s="916"/>
      <c r="NRL88" s="916"/>
      <c r="NRM88" s="916"/>
      <c r="NRN88" s="916"/>
      <c r="NRO88" s="916"/>
      <c r="NRP88" s="916"/>
      <c r="NRQ88" s="916"/>
      <c r="NRR88" s="916"/>
      <c r="NRS88" s="916"/>
      <c r="NRT88" s="916"/>
      <c r="NRU88" s="916"/>
      <c r="NRV88" s="916"/>
      <c r="NRW88" s="916"/>
      <c r="NRX88" s="916"/>
      <c r="NRY88" s="916"/>
      <c r="NRZ88" s="916"/>
      <c r="NSA88" s="916"/>
      <c r="NSB88" s="916"/>
      <c r="NSC88" s="916"/>
      <c r="NSD88" s="916"/>
      <c r="NSE88" s="916"/>
      <c r="NSF88" s="916"/>
      <c r="NSG88" s="916"/>
      <c r="NSH88" s="916"/>
      <c r="NSI88" s="916"/>
      <c r="NSJ88" s="916"/>
      <c r="NSK88" s="916"/>
      <c r="NSL88" s="916"/>
      <c r="NSM88" s="916"/>
      <c r="NSN88" s="916"/>
      <c r="NSO88" s="916"/>
      <c r="NSP88" s="916"/>
      <c r="NSQ88" s="916"/>
      <c r="NSR88" s="916"/>
      <c r="NSS88" s="916"/>
      <c r="NST88" s="916"/>
      <c r="NSU88" s="916"/>
      <c r="NSV88" s="916"/>
      <c r="NSW88" s="916"/>
      <c r="NSX88" s="916"/>
      <c r="NSY88" s="916"/>
      <c r="NSZ88" s="916"/>
      <c r="NTA88" s="916"/>
      <c r="NTB88" s="916"/>
      <c r="NTC88" s="916"/>
      <c r="NTD88" s="916"/>
      <c r="NTE88" s="916"/>
      <c r="NTF88" s="916"/>
      <c r="NTG88" s="916"/>
      <c r="NTH88" s="916"/>
      <c r="NTI88" s="916"/>
      <c r="NTJ88" s="916"/>
      <c r="NTK88" s="916"/>
      <c r="NTL88" s="916"/>
      <c r="NTM88" s="916"/>
      <c r="NTN88" s="916"/>
      <c r="NTO88" s="916"/>
      <c r="NTP88" s="916"/>
      <c r="NTQ88" s="916"/>
      <c r="NTR88" s="916"/>
      <c r="NTS88" s="916"/>
      <c r="NTT88" s="916"/>
      <c r="NTU88" s="916"/>
      <c r="NTV88" s="916"/>
      <c r="NTW88" s="916"/>
      <c r="NTX88" s="916"/>
      <c r="NTY88" s="916"/>
      <c r="NTZ88" s="916"/>
      <c r="NUA88" s="916"/>
      <c r="NUB88" s="916"/>
      <c r="NUC88" s="916"/>
      <c r="NUD88" s="916"/>
      <c r="NUE88" s="916"/>
      <c r="NUF88" s="916"/>
      <c r="NUG88" s="916"/>
      <c r="NUH88" s="916"/>
      <c r="NUI88" s="916"/>
      <c r="NUJ88" s="916"/>
      <c r="NUK88" s="916"/>
      <c r="NUL88" s="916"/>
      <c r="NUM88" s="916"/>
      <c r="NUN88" s="916"/>
      <c r="NUO88" s="916"/>
      <c r="NUP88" s="916"/>
      <c r="NUQ88" s="916"/>
      <c r="NUR88" s="916"/>
      <c r="NUS88" s="916"/>
      <c r="NUT88" s="916"/>
      <c r="NUU88" s="916"/>
      <c r="NUV88" s="916"/>
      <c r="NUW88" s="916"/>
      <c r="NUX88" s="916"/>
      <c r="NUY88" s="916"/>
      <c r="NUZ88" s="916"/>
      <c r="NVA88" s="916"/>
      <c r="NVB88" s="916"/>
      <c r="NVC88" s="916"/>
      <c r="NVD88" s="916"/>
      <c r="NVE88" s="916"/>
      <c r="NVF88" s="916"/>
      <c r="NVG88" s="916"/>
      <c r="NVH88" s="916"/>
      <c r="NVI88" s="916"/>
      <c r="NVJ88" s="916"/>
      <c r="NVK88" s="916"/>
      <c r="NVL88" s="916"/>
      <c r="NVM88" s="916"/>
      <c r="NVN88" s="916"/>
      <c r="NVO88" s="916"/>
      <c r="NVP88" s="916"/>
      <c r="NVQ88" s="916"/>
      <c r="NVR88" s="916"/>
      <c r="NVS88" s="916"/>
      <c r="NVT88" s="916"/>
      <c r="NVU88" s="916"/>
      <c r="NVV88" s="916"/>
      <c r="NVW88" s="916"/>
      <c r="NVX88" s="916"/>
      <c r="NVY88" s="916"/>
      <c r="NVZ88" s="916"/>
      <c r="NWA88" s="916"/>
      <c r="NWB88" s="916"/>
      <c r="NWC88" s="916"/>
      <c r="NWD88" s="916"/>
      <c r="NWE88" s="916"/>
      <c r="NWF88" s="916"/>
      <c r="NWG88" s="916"/>
      <c r="NWH88" s="916"/>
      <c r="NWI88" s="916"/>
      <c r="NWJ88" s="916"/>
      <c r="NWK88" s="916"/>
      <c r="NWL88" s="916"/>
      <c r="NWM88" s="916"/>
      <c r="NWN88" s="916"/>
      <c r="NWO88" s="916"/>
      <c r="NWP88" s="916"/>
      <c r="NWQ88" s="916"/>
      <c r="NWR88" s="916"/>
      <c r="NWS88" s="916"/>
      <c r="NWT88" s="916"/>
      <c r="NWU88" s="916"/>
      <c r="NWV88" s="916"/>
      <c r="NWW88" s="916"/>
      <c r="NWX88" s="916"/>
      <c r="NWY88" s="916"/>
      <c r="NWZ88" s="916"/>
      <c r="NXA88" s="916"/>
      <c r="NXB88" s="916"/>
      <c r="NXC88" s="916"/>
      <c r="NXD88" s="916"/>
      <c r="NXE88" s="916"/>
      <c r="NXF88" s="916"/>
      <c r="NXG88" s="916"/>
      <c r="NXH88" s="916"/>
      <c r="NXI88" s="916"/>
      <c r="NXJ88" s="916"/>
      <c r="NXK88" s="916"/>
      <c r="NXL88" s="916"/>
      <c r="NXM88" s="916"/>
      <c r="NXN88" s="916"/>
      <c r="NXO88" s="916"/>
      <c r="NXP88" s="916"/>
      <c r="NXQ88" s="916"/>
      <c r="NXR88" s="916"/>
      <c r="NXS88" s="916"/>
      <c r="NXT88" s="916"/>
      <c r="NXU88" s="916"/>
      <c r="NXV88" s="916"/>
      <c r="NXW88" s="916"/>
      <c r="NXX88" s="916"/>
      <c r="NXY88" s="916"/>
      <c r="NXZ88" s="916"/>
      <c r="NYA88" s="916"/>
      <c r="NYB88" s="916"/>
      <c r="NYC88" s="916"/>
      <c r="NYD88" s="916"/>
      <c r="NYE88" s="916"/>
      <c r="NYF88" s="916"/>
      <c r="NYG88" s="916"/>
      <c r="NYH88" s="916"/>
      <c r="NYI88" s="916"/>
      <c r="NYJ88" s="916"/>
      <c r="NYK88" s="916"/>
      <c r="NYL88" s="916"/>
      <c r="NYM88" s="916"/>
      <c r="NYN88" s="916"/>
      <c r="NYO88" s="916"/>
      <c r="NYP88" s="916"/>
      <c r="NYQ88" s="916"/>
      <c r="NYR88" s="916"/>
      <c r="NYS88" s="916"/>
      <c r="NYT88" s="916"/>
      <c r="NYU88" s="916"/>
      <c r="NYV88" s="916"/>
      <c r="NYW88" s="916"/>
      <c r="NYX88" s="916"/>
      <c r="NYY88" s="916"/>
      <c r="NYZ88" s="916"/>
      <c r="NZA88" s="916"/>
      <c r="NZB88" s="916"/>
      <c r="NZC88" s="916"/>
      <c r="NZD88" s="916"/>
      <c r="NZE88" s="916"/>
      <c r="NZF88" s="916"/>
      <c r="NZG88" s="916"/>
      <c r="NZH88" s="916"/>
      <c r="NZI88" s="916"/>
      <c r="NZJ88" s="916"/>
      <c r="NZK88" s="916"/>
      <c r="NZL88" s="916"/>
      <c r="NZM88" s="916"/>
      <c r="NZN88" s="916"/>
      <c r="NZO88" s="916"/>
      <c r="NZP88" s="916"/>
      <c r="NZQ88" s="916"/>
      <c r="NZR88" s="916"/>
      <c r="NZS88" s="916"/>
      <c r="NZT88" s="916"/>
      <c r="NZU88" s="916"/>
      <c r="NZV88" s="916"/>
      <c r="NZW88" s="916"/>
      <c r="NZX88" s="916"/>
      <c r="NZY88" s="916"/>
      <c r="NZZ88" s="916"/>
      <c r="OAA88" s="916"/>
      <c r="OAB88" s="916"/>
      <c r="OAC88" s="916"/>
      <c r="OAD88" s="916"/>
      <c r="OAE88" s="916"/>
      <c r="OAF88" s="916"/>
      <c r="OAG88" s="916"/>
      <c r="OAH88" s="916"/>
      <c r="OAI88" s="916"/>
      <c r="OAJ88" s="916"/>
      <c r="OAK88" s="916"/>
      <c r="OAL88" s="916"/>
      <c r="OAM88" s="916"/>
      <c r="OAN88" s="916"/>
      <c r="OAO88" s="916"/>
      <c r="OAP88" s="916"/>
      <c r="OAQ88" s="916"/>
      <c r="OAR88" s="916"/>
      <c r="OAS88" s="916"/>
      <c r="OAT88" s="916"/>
      <c r="OAU88" s="916"/>
      <c r="OAV88" s="916"/>
      <c r="OAW88" s="916"/>
      <c r="OAX88" s="916"/>
      <c r="OAY88" s="916"/>
      <c r="OAZ88" s="916"/>
      <c r="OBA88" s="916"/>
      <c r="OBB88" s="916"/>
      <c r="OBC88" s="916"/>
      <c r="OBD88" s="916"/>
      <c r="OBE88" s="916"/>
      <c r="OBF88" s="916"/>
      <c r="OBG88" s="916"/>
      <c r="OBH88" s="916"/>
      <c r="OBI88" s="916"/>
      <c r="OBJ88" s="916"/>
      <c r="OBK88" s="916"/>
      <c r="OBL88" s="916"/>
      <c r="OBM88" s="916"/>
      <c r="OBN88" s="916"/>
      <c r="OBO88" s="916"/>
      <c r="OBP88" s="916"/>
      <c r="OBQ88" s="916"/>
      <c r="OBR88" s="916"/>
      <c r="OBS88" s="916"/>
      <c r="OBT88" s="916"/>
      <c r="OBU88" s="916"/>
      <c r="OBV88" s="916"/>
      <c r="OBW88" s="916"/>
      <c r="OBX88" s="916"/>
      <c r="OBY88" s="916"/>
      <c r="OBZ88" s="916"/>
      <c r="OCA88" s="916"/>
      <c r="OCB88" s="916"/>
      <c r="OCC88" s="916"/>
      <c r="OCD88" s="916"/>
      <c r="OCE88" s="916"/>
      <c r="OCF88" s="916"/>
      <c r="OCG88" s="916"/>
      <c r="OCH88" s="916"/>
      <c r="OCI88" s="916"/>
      <c r="OCJ88" s="916"/>
      <c r="OCK88" s="916"/>
      <c r="OCL88" s="916"/>
      <c r="OCM88" s="916"/>
      <c r="OCN88" s="916"/>
      <c r="OCO88" s="916"/>
      <c r="OCP88" s="916"/>
      <c r="OCQ88" s="916"/>
      <c r="OCR88" s="916"/>
      <c r="OCS88" s="916"/>
      <c r="OCT88" s="916"/>
      <c r="OCU88" s="916"/>
      <c r="OCV88" s="916"/>
      <c r="OCW88" s="916"/>
      <c r="OCX88" s="916"/>
      <c r="OCY88" s="916"/>
      <c r="OCZ88" s="916"/>
      <c r="ODA88" s="916"/>
      <c r="ODB88" s="916"/>
      <c r="ODC88" s="916"/>
      <c r="ODD88" s="916"/>
      <c r="ODE88" s="916"/>
      <c r="ODF88" s="916"/>
      <c r="ODG88" s="916"/>
      <c r="ODH88" s="916"/>
      <c r="ODI88" s="916"/>
      <c r="ODJ88" s="916"/>
      <c r="ODK88" s="916"/>
      <c r="ODL88" s="916"/>
      <c r="ODM88" s="916"/>
      <c r="ODN88" s="916"/>
      <c r="ODO88" s="916"/>
      <c r="ODP88" s="916"/>
      <c r="ODQ88" s="916"/>
      <c r="ODR88" s="916"/>
      <c r="ODS88" s="916"/>
      <c r="ODT88" s="916"/>
      <c r="ODU88" s="916"/>
      <c r="ODV88" s="916"/>
      <c r="ODW88" s="916"/>
      <c r="ODX88" s="916"/>
      <c r="ODY88" s="916"/>
      <c r="ODZ88" s="916"/>
      <c r="OEA88" s="916"/>
      <c r="OEB88" s="916"/>
      <c r="OEC88" s="916"/>
      <c r="OED88" s="916"/>
      <c r="OEE88" s="916"/>
      <c r="OEF88" s="916"/>
      <c r="OEG88" s="916"/>
      <c r="OEH88" s="916"/>
      <c r="OEI88" s="916"/>
      <c r="OEJ88" s="916"/>
      <c r="OEK88" s="916"/>
      <c r="OEL88" s="916"/>
      <c r="OEM88" s="916"/>
      <c r="OEN88" s="916"/>
      <c r="OEO88" s="916"/>
      <c r="OEP88" s="916"/>
      <c r="OEQ88" s="916"/>
      <c r="OER88" s="916"/>
      <c r="OES88" s="916"/>
      <c r="OET88" s="916"/>
      <c r="OEU88" s="916"/>
      <c r="OEV88" s="916"/>
      <c r="OEW88" s="916"/>
      <c r="OEX88" s="916"/>
      <c r="OEY88" s="916"/>
      <c r="OEZ88" s="916"/>
      <c r="OFA88" s="916"/>
      <c r="OFB88" s="916"/>
      <c r="OFC88" s="916"/>
      <c r="OFD88" s="916"/>
      <c r="OFE88" s="916"/>
      <c r="OFF88" s="916"/>
      <c r="OFG88" s="916"/>
      <c r="OFH88" s="916"/>
      <c r="OFI88" s="916"/>
      <c r="OFJ88" s="916"/>
      <c r="OFK88" s="916"/>
      <c r="OFL88" s="916"/>
      <c r="OFM88" s="916"/>
      <c r="OFN88" s="916"/>
      <c r="OFO88" s="916"/>
      <c r="OFP88" s="916"/>
      <c r="OFQ88" s="916"/>
      <c r="OFR88" s="916"/>
      <c r="OFS88" s="916"/>
      <c r="OFT88" s="916"/>
      <c r="OFU88" s="916"/>
      <c r="OFV88" s="916"/>
      <c r="OFW88" s="916"/>
      <c r="OFX88" s="916"/>
      <c r="OFY88" s="916"/>
      <c r="OFZ88" s="916"/>
      <c r="OGA88" s="916"/>
      <c r="OGB88" s="916"/>
      <c r="OGC88" s="916"/>
      <c r="OGD88" s="916"/>
      <c r="OGE88" s="916"/>
      <c r="OGF88" s="916"/>
      <c r="OGG88" s="916"/>
      <c r="OGH88" s="916"/>
      <c r="OGI88" s="916"/>
      <c r="OGJ88" s="916"/>
      <c r="OGK88" s="916"/>
      <c r="OGL88" s="916"/>
      <c r="OGM88" s="916"/>
      <c r="OGN88" s="916"/>
      <c r="OGO88" s="916"/>
      <c r="OGP88" s="916"/>
      <c r="OGQ88" s="916"/>
      <c r="OGR88" s="916"/>
      <c r="OGS88" s="916"/>
      <c r="OGT88" s="916"/>
      <c r="OGU88" s="916"/>
      <c r="OGV88" s="916"/>
      <c r="OGW88" s="916"/>
      <c r="OGX88" s="916"/>
      <c r="OGY88" s="916"/>
      <c r="OGZ88" s="916"/>
      <c r="OHA88" s="916"/>
      <c r="OHB88" s="916"/>
      <c r="OHC88" s="916"/>
      <c r="OHD88" s="916"/>
      <c r="OHE88" s="916"/>
      <c r="OHF88" s="916"/>
      <c r="OHG88" s="916"/>
      <c r="OHH88" s="916"/>
      <c r="OHI88" s="916"/>
      <c r="OHJ88" s="916"/>
      <c r="OHK88" s="916"/>
      <c r="OHL88" s="916"/>
      <c r="OHM88" s="916"/>
      <c r="OHN88" s="916"/>
      <c r="OHO88" s="916"/>
      <c r="OHP88" s="916"/>
      <c r="OHQ88" s="916"/>
      <c r="OHR88" s="916"/>
      <c r="OHS88" s="916"/>
      <c r="OHT88" s="916"/>
      <c r="OHU88" s="916"/>
      <c r="OHV88" s="916"/>
      <c r="OHW88" s="916"/>
      <c r="OHX88" s="916"/>
      <c r="OHY88" s="916"/>
      <c r="OHZ88" s="916"/>
      <c r="OIA88" s="916"/>
      <c r="OIB88" s="916"/>
      <c r="OIC88" s="916"/>
      <c r="OID88" s="916"/>
      <c r="OIE88" s="916"/>
      <c r="OIF88" s="916"/>
      <c r="OIG88" s="916"/>
      <c r="OIH88" s="916"/>
      <c r="OII88" s="916"/>
      <c r="OIJ88" s="916"/>
      <c r="OIK88" s="916"/>
      <c r="OIL88" s="916"/>
      <c r="OIM88" s="916"/>
      <c r="OIN88" s="916"/>
      <c r="OIO88" s="916"/>
      <c r="OIP88" s="916"/>
      <c r="OIQ88" s="916"/>
      <c r="OIR88" s="916"/>
      <c r="OIS88" s="916"/>
      <c r="OIT88" s="916"/>
      <c r="OIU88" s="916"/>
      <c r="OIV88" s="916"/>
      <c r="OIW88" s="916"/>
      <c r="OIX88" s="916"/>
      <c r="OIY88" s="916"/>
      <c r="OIZ88" s="916"/>
      <c r="OJA88" s="916"/>
      <c r="OJB88" s="916"/>
      <c r="OJC88" s="916"/>
      <c r="OJD88" s="916"/>
      <c r="OJE88" s="916"/>
      <c r="OJF88" s="916"/>
      <c r="OJG88" s="916"/>
      <c r="OJH88" s="916"/>
      <c r="OJI88" s="916"/>
      <c r="OJJ88" s="916"/>
      <c r="OJK88" s="916"/>
      <c r="OJL88" s="916"/>
      <c r="OJM88" s="916"/>
      <c r="OJN88" s="916"/>
      <c r="OJO88" s="916"/>
      <c r="OJP88" s="916"/>
      <c r="OJQ88" s="916"/>
      <c r="OJR88" s="916"/>
      <c r="OJS88" s="916"/>
      <c r="OJT88" s="916"/>
      <c r="OJU88" s="916"/>
      <c r="OJV88" s="916"/>
      <c r="OJW88" s="916"/>
      <c r="OJX88" s="916"/>
      <c r="OJY88" s="916"/>
      <c r="OJZ88" s="916"/>
      <c r="OKA88" s="916"/>
      <c r="OKB88" s="916"/>
      <c r="OKC88" s="916"/>
      <c r="OKD88" s="916"/>
      <c r="OKE88" s="916"/>
      <c r="OKF88" s="916"/>
      <c r="OKG88" s="916"/>
      <c r="OKH88" s="916"/>
      <c r="OKI88" s="916"/>
      <c r="OKJ88" s="916"/>
      <c r="OKK88" s="916"/>
      <c r="OKL88" s="916"/>
      <c r="OKM88" s="916"/>
      <c r="OKN88" s="916"/>
      <c r="OKO88" s="916"/>
      <c r="OKP88" s="916"/>
      <c r="OKQ88" s="916"/>
      <c r="OKR88" s="916"/>
      <c r="OKS88" s="916"/>
      <c r="OKT88" s="916"/>
      <c r="OKU88" s="916"/>
      <c r="OKV88" s="916"/>
      <c r="OKW88" s="916"/>
      <c r="OKX88" s="916"/>
      <c r="OKY88" s="916"/>
      <c r="OKZ88" s="916"/>
      <c r="OLA88" s="916"/>
      <c r="OLB88" s="916"/>
      <c r="OLC88" s="916"/>
      <c r="OLD88" s="916"/>
      <c r="OLE88" s="916"/>
      <c r="OLF88" s="916"/>
      <c r="OLG88" s="916"/>
      <c r="OLH88" s="916"/>
      <c r="OLI88" s="916"/>
      <c r="OLJ88" s="916"/>
      <c r="OLK88" s="916"/>
      <c r="OLL88" s="916"/>
      <c r="OLM88" s="916"/>
      <c r="OLN88" s="916"/>
      <c r="OLO88" s="916"/>
      <c r="OLP88" s="916"/>
      <c r="OLQ88" s="916"/>
      <c r="OLR88" s="916"/>
      <c r="OLS88" s="916"/>
      <c r="OLT88" s="916"/>
      <c r="OLU88" s="916"/>
      <c r="OLV88" s="916"/>
      <c r="OLW88" s="916"/>
      <c r="OLX88" s="916"/>
      <c r="OLY88" s="916"/>
      <c r="OLZ88" s="916"/>
      <c r="OMA88" s="916"/>
      <c r="OMB88" s="916"/>
      <c r="OMC88" s="916"/>
      <c r="OMD88" s="916"/>
      <c r="OME88" s="916"/>
      <c r="OMF88" s="916"/>
      <c r="OMG88" s="916"/>
      <c r="OMH88" s="916"/>
      <c r="OMI88" s="916"/>
      <c r="OMJ88" s="916"/>
      <c r="OMK88" s="916"/>
      <c r="OML88" s="916"/>
      <c r="OMM88" s="916"/>
      <c r="OMN88" s="916"/>
      <c r="OMO88" s="916"/>
      <c r="OMP88" s="916"/>
      <c r="OMQ88" s="916"/>
      <c r="OMR88" s="916"/>
      <c r="OMS88" s="916"/>
      <c r="OMT88" s="916"/>
      <c r="OMU88" s="916"/>
      <c r="OMV88" s="916"/>
      <c r="OMW88" s="916"/>
      <c r="OMX88" s="916"/>
      <c r="OMY88" s="916"/>
      <c r="OMZ88" s="916"/>
      <c r="ONA88" s="916"/>
      <c r="ONB88" s="916"/>
      <c r="ONC88" s="916"/>
      <c r="OND88" s="916"/>
      <c r="ONE88" s="916"/>
      <c r="ONF88" s="916"/>
      <c r="ONG88" s="916"/>
      <c r="ONH88" s="916"/>
      <c r="ONI88" s="916"/>
      <c r="ONJ88" s="916"/>
      <c r="ONK88" s="916"/>
      <c r="ONL88" s="916"/>
      <c r="ONM88" s="916"/>
      <c r="ONN88" s="916"/>
      <c r="ONO88" s="916"/>
      <c r="ONP88" s="916"/>
      <c r="ONQ88" s="916"/>
      <c r="ONR88" s="916"/>
      <c r="ONS88" s="916"/>
      <c r="ONT88" s="916"/>
      <c r="ONU88" s="916"/>
      <c r="ONV88" s="916"/>
      <c r="ONW88" s="916"/>
      <c r="ONX88" s="916"/>
      <c r="ONY88" s="916"/>
      <c r="ONZ88" s="916"/>
      <c r="OOA88" s="916"/>
      <c r="OOB88" s="916"/>
      <c r="OOC88" s="916"/>
      <c r="OOD88" s="916"/>
      <c r="OOE88" s="916"/>
      <c r="OOF88" s="916"/>
      <c r="OOG88" s="916"/>
      <c r="OOH88" s="916"/>
      <c r="OOI88" s="916"/>
      <c r="OOJ88" s="916"/>
      <c r="OOK88" s="916"/>
      <c r="OOL88" s="916"/>
      <c r="OOM88" s="916"/>
      <c r="OON88" s="916"/>
      <c r="OOO88" s="916"/>
      <c r="OOP88" s="916"/>
      <c r="OOQ88" s="916"/>
      <c r="OOR88" s="916"/>
      <c r="OOS88" s="916"/>
      <c r="OOT88" s="916"/>
      <c r="OOU88" s="916"/>
      <c r="OOV88" s="916"/>
      <c r="OOW88" s="916"/>
      <c r="OOX88" s="916"/>
      <c r="OOY88" s="916"/>
      <c r="OOZ88" s="916"/>
      <c r="OPA88" s="916"/>
      <c r="OPB88" s="916"/>
      <c r="OPC88" s="916"/>
      <c r="OPD88" s="916"/>
      <c r="OPE88" s="916"/>
      <c r="OPF88" s="916"/>
      <c r="OPG88" s="916"/>
      <c r="OPH88" s="916"/>
      <c r="OPI88" s="916"/>
      <c r="OPJ88" s="916"/>
      <c r="OPK88" s="916"/>
      <c r="OPL88" s="916"/>
      <c r="OPM88" s="916"/>
      <c r="OPN88" s="916"/>
      <c r="OPO88" s="916"/>
      <c r="OPP88" s="916"/>
      <c r="OPQ88" s="916"/>
      <c r="OPR88" s="916"/>
      <c r="OPS88" s="916"/>
      <c r="OPT88" s="916"/>
      <c r="OPU88" s="916"/>
      <c r="OPV88" s="916"/>
      <c r="OPW88" s="916"/>
      <c r="OPX88" s="916"/>
      <c r="OPY88" s="916"/>
      <c r="OPZ88" s="916"/>
      <c r="OQA88" s="916"/>
      <c r="OQB88" s="916"/>
      <c r="OQC88" s="916"/>
      <c r="OQD88" s="916"/>
      <c r="OQE88" s="916"/>
      <c r="OQF88" s="916"/>
      <c r="OQG88" s="916"/>
      <c r="OQH88" s="916"/>
      <c r="OQI88" s="916"/>
      <c r="OQJ88" s="916"/>
      <c r="OQK88" s="916"/>
      <c r="OQL88" s="916"/>
      <c r="OQM88" s="916"/>
      <c r="OQN88" s="916"/>
      <c r="OQO88" s="916"/>
      <c r="OQP88" s="916"/>
      <c r="OQQ88" s="916"/>
      <c r="OQR88" s="916"/>
      <c r="OQS88" s="916"/>
      <c r="OQT88" s="916"/>
      <c r="OQU88" s="916"/>
      <c r="OQV88" s="916"/>
      <c r="OQW88" s="916"/>
      <c r="OQX88" s="916"/>
      <c r="OQY88" s="916"/>
      <c r="OQZ88" s="916"/>
      <c r="ORA88" s="916"/>
      <c r="ORB88" s="916"/>
      <c r="ORC88" s="916"/>
      <c r="ORD88" s="916"/>
      <c r="ORE88" s="916"/>
      <c r="ORF88" s="916"/>
      <c r="ORG88" s="916"/>
      <c r="ORH88" s="916"/>
      <c r="ORI88" s="916"/>
      <c r="ORJ88" s="916"/>
      <c r="ORK88" s="916"/>
      <c r="ORL88" s="916"/>
      <c r="ORM88" s="916"/>
      <c r="ORN88" s="916"/>
      <c r="ORO88" s="916"/>
      <c r="ORP88" s="916"/>
      <c r="ORQ88" s="916"/>
      <c r="ORR88" s="916"/>
      <c r="ORS88" s="916"/>
      <c r="ORT88" s="916"/>
      <c r="ORU88" s="916"/>
      <c r="ORV88" s="916"/>
      <c r="ORW88" s="916"/>
      <c r="ORX88" s="916"/>
      <c r="ORY88" s="916"/>
      <c r="ORZ88" s="916"/>
      <c r="OSA88" s="916"/>
      <c r="OSB88" s="916"/>
      <c r="OSC88" s="916"/>
      <c r="OSD88" s="916"/>
      <c r="OSE88" s="916"/>
      <c r="OSF88" s="916"/>
      <c r="OSG88" s="916"/>
      <c r="OSH88" s="916"/>
      <c r="OSI88" s="916"/>
      <c r="OSJ88" s="916"/>
      <c r="OSK88" s="916"/>
      <c r="OSL88" s="916"/>
      <c r="OSM88" s="916"/>
      <c r="OSN88" s="916"/>
      <c r="OSO88" s="916"/>
      <c r="OSP88" s="916"/>
      <c r="OSQ88" s="916"/>
      <c r="OSR88" s="916"/>
      <c r="OSS88" s="916"/>
      <c r="OST88" s="916"/>
      <c r="OSU88" s="916"/>
      <c r="OSV88" s="916"/>
      <c r="OSW88" s="916"/>
      <c r="OSX88" s="916"/>
      <c r="OSY88" s="916"/>
      <c r="OSZ88" s="916"/>
      <c r="OTA88" s="916"/>
      <c r="OTB88" s="916"/>
      <c r="OTC88" s="916"/>
      <c r="OTD88" s="916"/>
      <c r="OTE88" s="916"/>
      <c r="OTF88" s="916"/>
      <c r="OTG88" s="916"/>
      <c r="OTH88" s="916"/>
      <c r="OTI88" s="916"/>
      <c r="OTJ88" s="916"/>
      <c r="OTK88" s="916"/>
      <c r="OTL88" s="916"/>
      <c r="OTM88" s="916"/>
      <c r="OTN88" s="916"/>
      <c r="OTO88" s="916"/>
      <c r="OTP88" s="916"/>
      <c r="OTQ88" s="916"/>
      <c r="OTR88" s="916"/>
      <c r="OTS88" s="916"/>
      <c r="OTT88" s="916"/>
      <c r="OTU88" s="916"/>
      <c r="OTV88" s="916"/>
      <c r="OTW88" s="916"/>
      <c r="OTX88" s="916"/>
      <c r="OTY88" s="916"/>
      <c r="OTZ88" s="916"/>
      <c r="OUA88" s="916"/>
      <c r="OUB88" s="916"/>
      <c r="OUC88" s="916"/>
      <c r="OUD88" s="916"/>
      <c r="OUE88" s="916"/>
      <c r="OUF88" s="916"/>
      <c r="OUG88" s="916"/>
      <c r="OUH88" s="916"/>
      <c r="OUI88" s="916"/>
      <c r="OUJ88" s="916"/>
      <c r="OUK88" s="916"/>
      <c r="OUL88" s="916"/>
      <c r="OUM88" s="916"/>
      <c r="OUN88" s="916"/>
      <c r="OUO88" s="916"/>
      <c r="OUP88" s="916"/>
      <c r="OUQ88" s="916"/>
      <c r="OUR88" s="916"/>
      <c r="OUS88" s="916"/>
      <c r="OUT88" s="916"/>
      <c r="OUU88" s="916"/>
      <c r="OUV88" s="916"/>
      <c r="OUW88" s="916"/>
      <c r="OUX88" s="916"/>
      <c r="OUY88" s="916"/>
      <c r="OUZ88" s="916"/>
      <c r="OVA88" s="916"/>
      <c r="OVB88" s="916"/>
      <c r="OVC88" s="916"/>
      <c r="OVD88" s="916"/>
      <c r="OVE88" s="916"/>
      <c r="OVF88" s="916"/>
      <c r="OVG88" s="916"/>
      <c r="OVH88" s="916"/>
      <c r="OVI88" s="916"/>
      <c r="OVJ88" s="916"/>
      <c r="OVK88" s="916"/>
      <c r="OVL88" s="916"/>
      <c r="OVM88" s="916"/>
      <c r="OVN88" s="916"/>
      <c r="OVO88" s="916"/>
      <c r="OVP88" s="916"/>
      <c r="OVQ88" s="916"/>
      <c r="OVR88" s="916"/>
      <c r="OVS88" s="916"/>
      <c r="OVT88" s="916"/>
      <c r="OVU88" s="916"/>
      <c r="OVV88" s="916"/>
      <c r="OVW88" s="916"/>
      <c r="OVX88" s="916"/>
      <c r="OVY88" s="916"/>
      <c r="OVZ88" s="916"/>
      <c r="OWA88" s="916"/>
      <c r="OWB88" s="916"/>
      <c r="OWC88" s="916"/>
      <c r="OWD88" s="916"/>
      <c r="OWE88" s="916"/>
      <c r="OWF88" s="916"/>
      <c r="OWG88" s="916"/>
      <c r="OWH88" s="916"/>
      <c r="OWI88" s="916"/>
      <c r="OWJ88" s="916"/>
      <c r="OWK88" s="916"/>
      <c r="OWL88" s="916"/>
      <c r="OWM88" s="916"/>
      <c r="OWN88" s="916"/>
      <c r="OWO88" s="916"/>
      <c r="OWP88" s="916"/>
      <c r="OWQ88" s="916"/>
      <c r="OWR88" s="916"/>
      <c r="OWS88" s="916"/>
      <c r="OWT88" s="916"/>
      <c r="OWU88" s="916"/>
      <c r="OWV88" s="916"/>
      <c r="OWW88" s="916"/>
      <c r="OWX88" s="916"/>
      <c r="OWY88" s="916"/>
      <c r="OWZ88" s="916"/>
      <c r="OXA88" s="916"/>
      <c r="OXB88" s="916"/>
      <c r="OXC88" s="916"/>
      <c r="OXD88" s="916"/>
      <c r="OXE88" s="916"/>
      <c r="OXF88" s="916"/>
      <c r="OXG88" s="916"/>
      <c r="OXH88" s="916"/>
      <c r="OXI88" s="916"/>
      <c r="OXJ88" s="916"/>
      <c r="OXK88" s="916"/>
      <c r="OXL88" s="916"/>
      <c r="OXM88" s="916"/>
      <c r="OXN88" s="916"/>
      <c r="OXO88" s="916"/>
      <c r="OXP88" s="916"/>
      <c r="OXQ88" s="916"/>
      <c r="OXR88" s="916"/>
      <c r="OXS88" s="916"/>
      <c r="OXT88" s="916"/>
      <c r="OXU88" s="916"/>
      <c r="OXV88" s="916"/>
      <c r="OXW88" s="916"/>
      <c r="OXX88" s="916"/>
      <c r="OXY88" s="916"/>
      <c r="OXZ88" s="916"/>
      <c r="OYA88" s="916"/>
      <c r="OYB88" s="916"/>
      <c r="OYC88" s="916"/>
      <c r="OYD88" s="916"/>
      <c r="OYE88" s="916"/>
      <c r="OYF88" s="916"/>
      <c r="OYG88" s="916"/>
      <c r="OYH88" s="916"/>
      <c r="OYI88" s="916"/>
      <c r="OYJ88" s="916"/>
      <c r="OYK88" s="916"/>
      <c r="OYL88" s="916"/>
      <c r="OYM88" s="916"/>
      <c r="OYN88" s="916"/>
      <c r="OYO88" s="916"/>
      <c r="OYP88" s="916"/>
      <c r="OYQ88" s="916"/>
      <c r="OYR88" s="916"/>
      <c r="OYS88" s="916"/>
      <c r="OYT88" s="916"/>
      <c r="OYU88" s="916"/>
      <c r="OYV88" s="916"/>
      <c r="OYW88" s="916"/>
      <c r="OYX88" s="916"/>
      <c r="OYY88" s="916"/>
      <c r="OYZ88" s="916"/>
      <c r="OZA88" s="916"/>
      <c r="OZB88" s="916"/>
      <c r="OZC88" s="916"/>
      <c r="OZD88" s="916"/>
      <c r="OZE88" s="916"/>
      <c r="OZF88" s="916"/>
      <c r="OZG88" s="916"/>
      <c r="OZH88" s="916"/>
      <c r="OZI88" s="916"/>
      <c r="OZJ88" s="916"/>
      <c r="OZK88" s="916"/>
      <c r="OZL88" s="916"/>
      <c r="OZM88" s="916"/>
      <c r="OZN88" s="916"/>
      <c r="OZO88" s="916"/>
      <c r="OZP88" s="916"/>
      <c r="OZQ88" s="916"/>
      <c r="OZR88" s="916"/>
      <c r="OZS88" s="916"/>
      <c r="OZT88" s="916"/>
      <c r="OZU88" s="916"/>
      <c r="OZV88" s="916"/>
      <c r="OZW88" s="916"/>
      <c r="OZX88" s="916"/>
      <c r="OZY88" s="916"/>
      <c r="OZZ88" s="916"/>
      <c r="PAA88" s="916"/>
      <c r="PAB88" s="916"/>
      <c r="PAC88" s="916"/>
      <c r="PAD88" s="916"/>
      <c r="PAE88" s="916"/>
      <c r="PAF88" s="916"/>
      <c r="PAG88" s="916"/>
      <c r="PAH88" s="916"/>
      <c r="PAI88" s="916"/>
      <c r="PAJ88" s="916"/>
      <c r="PAK88" s="916"/>
      <c r="PAL88" s="916"/>
      <c r="PAM88" s="916"/>
      <c r="PAN88" s="916"/>
      <c r="PAO88" s="916"/>
      <c r="PAP88" s="916"/>
      <c r="PAQ88" s="916"/>
      <c r="PAR88" s="916"/>
      <c r="PAS88" s="916"/>
      <c r="PAT88" s="916"/>
      <c r="PAU88" s="916"/>
      <c r="PAV88" s="916"/>
      <c r="PAW88" s="916"/>
      <c r="PAX88" s="916"/>
      <c r="PAY88" s="916"/>
      <c r="PAZ88" s="916"/>
      <c r="PBA88" s="916"/>
      <c r="PBB88" s="916"/>
      <c r="PBC88" s="916"/>
      <c r="PBD88" s="916"/>
      <c r="PBE88" s="916"/>
      <c r="PBF88" s="916"/>
      <c r="PBG88" s="916"/>
      <c r="PBH88" s="916"/>
      <c r="PBI88" s="916"/>
      <c r="PBJ88" s="916"/>
      <c r="PBK88" s="916"/>
      <c r="PBL88" s="916"/>
      <c r="PBM88" s="916"/>
      <c r="PBN88" s="916"/>
      <c r="PBO88" s="916"/>
      <c r="PBP88" s="916"/>
      <c r="PBQ88" s="916"/>
      <c r="PBR88" s="916"/>
      <c r="PBS88" s="916"/>
      <c r="PBT88" s="916"/>
      <c r="PBU88" s="916"/>
      <c r="PBV88" s="916"/>
      <c r="PBW88" s="916"/>
      <c r="PBX88" s="916"/>
      <c r="PBY88" s="916"/>
      <c r="PBZ88" s="916"/>
      <c r="PCA88" s="916"/>
      <c r="PCB88" s="916"/>
      <c r="PCC88" s="916"/>
      <c r="PCD88" s="916"/>
      <c r="PCE88" s="916"/>
      <c r="PCF88" s="916"/>
      <c r="PCG88" s="916"/>
      <c r="PCH88" s="916"/>
      <c r="PCI88" s="916"/>
      <c r="PCJ88" s="916"/>
      <c r="PCK88" s="916"/>
      <c r="PCL88" s="916"/>
      <c r="PCM88" s="916"/>
      <c r="PCN88" s="916"/>
      <c r="PCO88" s="916"/>
      <c r="PCP88" s="916"/>
      <c r="PCQ88" s="916"/>
      <c r="PCR88" s="916"/>
      <c r="PCS88" s="916"/>
      <c r="PCT88" s="916"/>
      <c r="PCU88" s="916"/>
      <c r="PCV88" s="916"/>
      <c r="PCW88" s="916"/>
      <c r="PCX88" s="916"/>
      <c r="PCY88" s="916"/>
      <c r="PCZ88" s="916"/>
      <c r="PDA88" s="916"/>
      <c r="PDB88" s="916"/>
      <c r="PDC88" s="916"/>
      <c r="PDD88" s="916"/>
      <c r="PDE88" s="916"/>
      <c r="PDF88" s="916"/>
      <c r="PDG88" s="916"/>
      <c r="PDH88" s="916"/>
      <c r="PDI88" s="916"/>
      <c r="PDJ88" s="916"/>
      <c r="PDK88" s="916"/>
      <c r="PDL88" s="916"/>
      <c r="PDM88" s="916"/>
      <c r="PDN88" s="916"/>
      <c r="PDO88" s="916"/>
      <c r="PDP88" s="916"/>
      <c r="PDQ88" s="916"/>
      <c r="PDR88" s="916"/>
      <c r="PDS88" s="916"/>
      <c r="PDT88" s="916"/>
      <c r="PDU88" s="916"/>
      <c r="PDV88" s="916"/>
      <c r="PDW88" s="916"/>
      <c r="PDX88" s="916"/>
      <c r="PDY88" s="916"/>
      <c r="PDZ88" s="916"/>
      <c r="PEA88" s="916"/>
      <c r="PEB88" s="916"/>
      <c r="PEC88" s="916"/>
      <c r="PED88" s="916"/>
      <c r="PEE88" s="916"/>
      <c r="PEF88" s="916"/>
      <c r="PEG88" s="916"/>
      <c r="PEH88" s="916"/>
      <c r="PEI88" s="916"/>
      <c r="PEJ88" s="916"/>
      <c r="PEK88" s="916"/>
      <c r="PEL88" s="916"/>
      <c r="PEM88" s="916"/>
      <c r="PEN88" s="916"/>
      <c r="PEO88" s="916"/>
      <c r="PEP88" s="916"/>
      <c r="PEQ88" s="916"/>
      <c r="PER88" s="916"/>
      <c r="PES88" s="916"/>
      <c r="PET88" s="916"/>
      <c r="PEU88" s="916"/>
      <c r="PEV88" s="916"/>
      <c r="PEW88" s="916"/>
      <c r="PEX88" s="916"/>
      <c r="PEY88" s="916"/>
      <c r="PEZ88" s="916"/>
      <c r="PFA88" s="916"/>
      <c r="PFB88" s="916"/>
      <c r="PFC88" s="916"/>
      <c r="PFD88" s="916"/>
      <c r="PFE88" s="916"/>
      <c r="PFF88" s="916"/>
      <c r="PFG88" s="916"/>
      <c r="PFH88" s="916"/>
      <c r="PFI88" s="916"/>
      <c r="PFJ88" s="916"/>
      <c r="PFK88" s="916"/>
      <c r="PFL88" s="916"/>
      <c r="PFM88" s="916"/>
      <c r="PFN88" s="916"/>
      <c r="PFO88" s="916"/>
      <c r="PFP88" s="916"/>
      <c r="PFQ88" s="916"/>
      <c r="PFR88" s="916"/>
      <c r="PFS88" s="916"/>
      <c r="PFT88" s="916"/>
      <c r="PFU88" s="916"/>
      <c r="PFV88" s="916"/>
      <c r="PFW88" s="916"/>
      <c r="PFX88" s="916"/>
      <c r="PFY88" s="916"/>
      <c r="PFZ88" s="916"/>
      <c r="PGA88" s="916"/>
      <c r="PGB88" s="916"/>
      <c r="PGC88" s="916"/>
      <c r="PGD88" s="916"/>
      <c r="PGE88" s="916"/>
      <c r="PGF88" s="916"/>
      <c r="PGG88" s="916"/>
      <c r="PGH88" s="916"/>
      <c r="PGI88" s="916"/>
      <c r="PGJ88" s="916"/>
      <c r="PGK88" s="916"/>
      <c r="PGL88" s="916"/>
      <c r="PGM88" s="916"/>
      <c r="PGN88" s="916"/>
      <c r="PGO88" s="916"/>
      <c r="PGP88" s="916"/>
      <c r="PGQ88" s="916"/>
      <c r="PGR88" s="916"/>
      <c r="PGS88" s="916"/>
      <c r="PGT88" s="916"/>
      <c r="PGU88" s="916"/>
      <c r="PGV88" s="916"/>
      <c r="PGW88" s="916"/>
      <c r="PGX88" s="916"/>
      <c r="PGY88" s="916"/>
      <c r="PGZ88" s="916"/>
      <c r="PHA88" s="916"/>
      <c r="PHB88" s="916"/>
      <c r="PHC88" s="916"/>
      <c r="PHD88" s="916"/>
      <c r="PHE88" s="916"/>
      <c r="PHF88" s="916"/>
      <c r="PHG88" s="916"/>
      <c r="PHH88" s="916"/>
      <c r="PHI88" s="916"/>
      <c r="PHJ88" s="916"/>
      <c r="PHK88" s="916"/>
      <c r="PHL88" s="916"/>
      <c r="PHM88" s="916"/>
      <c r="PHN88" s="916"/>
      <c r="PHO88" s="916"/>
      <c r="PHP88" s="916"/>
      <c r="PHQ88" s="916"/>
      <c r="PHR88" s="916"/>
      <c r="PHS88" s="916"/>
      <c r="PHT88" s="916"/>
      <c r="PHU88" s="916"/>
      <c r="PHV88" s="916"/>
      <c r="PHW88" s="916"/>
      <c r="PHX88" s="916"/>
      <c r="PHY88" s="916"/>
      <c r="PHZ88" s="916"/>
      <c r="PIA88" s="916"/>
      <c r="PIB88" s="916"/>
      <c r="PIC88" s="916"/>
      <c r="PID88" s="916"/>
      <c r="PIE88" s="916"/>
      <c r="PIF88" s="916"/>
      <c r="PIG88" s="916"/>
      <c r="PIH88" s="916"/>
      <c r="PII88" s="916"/>
      <c r="PIJ88" s="916"/>
      <c r="PIK88" s="916"/>
      <c r="PIL88" s="916"/>
      <c r="PIM88" s="916"/>
      <c r="PIN88" s="916"/>
      <c r="PIO88" s="916"/>
      <c r="PIP88" s="916"/>
      <c r="PIQ88" s="916"/>
      <c r="PIR88" s="916"/>
      <c r="PIS88" s="916"/>
      <c r="PIT88" s="916"/>
      <c r="PIU88" s="916"/>
      <c r="PIV88" s="916"/>
      <c r="PIW88" s="916"/>
      <c r="PIX88" s="916"/>
      <c r="PIY88" s="916"/>
      <c r="PIZ88" s="916"/>
      <c r="PJA88" s="916"/>
      <c r="PJB88" s="916"/>
      <c r="PJC88" s="916"/>
      <c r="PJD88" s="916"/>
      <c r="PJE88" s="916"/>
      <c r="PJF88" s="916"/>
      <c r="PJG88" s="916"/>
      <c r="PJH88" s="916"/>
      <c r="PJI88" s="916"/>
      <c r="PJJ88" s="916"/>
      <c r="PJK88" s="916"/>
      <c r="PJL88" s="916"/>
      <c r="PJM88" s="916"/>
      <c r="PJN88" s="916"/>
      <c r="PJO88" s="916"/>
      <c r="PJP88" s="916"/>
      <c r="PJQ88" s="916"/>
      <c r="PJR88" s="916"/>
      <c r="PJS88" s="916"/>
      <c r="PJT88" s="916"/>
      <c r="PJU88" s="916"/>
      <c r="PJV88" s="916"/>
      <c r="PJW88" s="916"/>
      <c r="PJX88" s="916"/>
      <c r="PJY88" s="916"/>
      <c r="PJZ88" s="916"/>
      <c r="PKA88" s="916"/>
      <c r="PKB88" s="916"/>
      <c r="PKC88" s="916"/>
      <c r="PKD88" s="916"/>
      <c r="PKE88" s="916"/>
      <c r="PKF88" s="916"/>
      <c r="PKG88" s="916"/>
      <c r="PKH88" s="916"/>
      <c r="PKI88" s="916"/>
      <c r="PKJ88" s="916"/>
      <c r="PKK88" s="916"/>
      <c r="PKL88" s="916"/>
      <c r="PKM88" s="916"/>
      <c r="PKN88" s="916"/>
      <c r="PKO88" s="916"/>
      <c r="PKP88" s="916"/>
      <c r="PKQ88" s="916"/>
      <c r="PKR88" s="916"/>
      <c r="PKS88" s="916"/>
      <c r="PKT88" s="916"/>
      <c r="PKU88" s="916"/>
      <c r="PKV88" s="916"/>
      <c r="PKW88" s="916"/>
      <c r="PKX88" s="916"/>
      <c r="PKY88" s="916"/>
      <c r="PKZ88" s="916"/>
      <c r="PLA88" s="916"/>
      <c r="PLB88" s="916"/>
      <c r="PLC88" s="916"/>
      <c r="PLD88" s="916"/>
      <c r="PLE88" s="916"/>
      <c r="PLF88" s="916"/>
      <c r="PLG88" s="916"/>
      <c r="PLH88" s="916"/>
      <c r="PLI88" s="916"/>
      <c r="PLJ88" s="916"/>
      <c r="PLK88" s="916"/>
      <c r="PLL88" s="916"/>
      <c r="PLM88" s="916"/>
      <c r="PLN88" s="916"/>
      <c r="PLO88" s="916"/>
      <c r="PLP88" s="916"/>
      <c r="PLQ88" s="916"/>
      <c r="PLR88" s="916"/>
      <c r="PLS88" s="916"/>
      <c r="PLT88" s="916"/>
      <c r="PLU88" s="916"/>
      <c r="PLV88" s="916"/>
      <c r="PLW88" s="916"/>
      <c r="PLX88" s="916"/>
      <c r="PLY88" s="916"/>
      <c r="PLZ88" s="916"/>
      <c r="PMA88" s="916"/>
      <c r="PMB88" s="916"/>
      <c r="PMC88" s="916"/>
      <c r="PMD88" s="916"/>
      <c r="PME88" s="916"/>
      <c r="PMF88" s="916"/>
      <c r="PMG88" s="916"/>
      <c r="PMH88" s="916"/>
      <c r="PMI88" s="916"/>
      <c r="PMJ88" s="916"/>
      <c r="PMK88" s="916"/>
      <c r="PML88" s="916"/>
      <c r="PMM88" s="916"/>
      <c r="PMN88" s="916"/>
      <c r="PMO88" s="916"/>
      <c r="PMP88" s="916"/>
      <c r="PMQ88" s="916"/>
      <c r="PMR88" s="916"/>
      <c r="PMS88" s="916"/>
      <c r="PMT88" s="916"/>
      <c r="PMU88" s="916"/>
      <c r="PMV88" s="916"/>
      <c r="PMW88" s="916"/>
      <c r="PMX88" s="916"/>
      <c r="PMY88" s="916"/>
      <c r="PMZ88" s="916"/>
      <c r="PNA88" s="916"/>
      <c r="PNB88" s="916"/>
      <c r="PNC88" s="916"/>
      <c r="PND88" s="916"/>
      <c r="PNE88" s="916"/>
      <c r="PNF88" s="916"/>
      <c r="PNG88" s="916"/>
      <c r="PNH88" s="916"/>
      <c r="PNI88" s="916"/>
      <c r="PNJ88" s="916"/>
      <c r="PNK88" s="916"/>
      <c r="PNL88" s="916"/>
      <c r="PNM88" s="916"/>
      <c r="PNN88" s="916"/>
      <c r="PNO88" s="916"/>
      <c r="PNP88" s="916"/>
      <c r="PNQ88" s="916"/>
      <c r="PNR88" s="916"/>
      <c r="PNS88" s="916"/>
      <c r="PNT88" s="916"/>
      <c r="PNU88" s="916"/>
      <c r="PNV88" s="916"/>
      <c r="PNW88" s="916"/>
      <c r="PNX88" s="916"/>
      <c r="PNY88" s="916"/>
      <c r="PNZ88" s="916"/>
      <c r="POA88" s="916"/>
      <c r="POB88" s="916"/>
      <c r="POC88" s="916"/>
      <c r="POD88" s="916"/>
      <c r="POE88" s="916"/>
      <c r="POF88" s="916"/>
      <c r="POG88" s="916"/>
      <c r="POH88" s="916"/>
      <c r="POI88" s="916"/>
      <c r="POJ88" s="916"/>
      <c r="POK88" s="916"/>
      <c r="POL88" s="916"/>
      <c r="POM88" s="916"/>
      <c r="PON88" s="916"/>
      <c r="POO88" s="916"/>
      <c r="POP88" s="916"/>
      <c r="POQ88" s="916"/>
      <c r="POR88" s="916"/>
      <c r="POS88" s="916"/>
      <c r="POT88" s="916"/>
      <c r="POU88" s="916"/>
      <c r="POV88" s="916"/>
      <c r="POW88" s="916"/>
      <c r="POX88" s="916"/>
      <c r="POY88" s="916"/>
      <c r="POZ88" s="916"/>
      <c r="PPA88" s="916"/>
      <c r="PPB88" s="916"/>
      <c r="PPC88" s="916"/>
      <c r="PPD88" s="916"/>
      <c r="PPE88" s="916"/>
      <c r="PPF88" s="916"/>
      <c r="PPG88" s="916"/>
      <c r="PPH88" s="916"/>
      <c r="PPI88" s="916"/>
      <c r="PPJ88" s="916"/>
      <c r="PPK88" s="916"/>
      <c r="PPL88" s="916"/>
      <c r="PPM88" s="916"/>
      <c r="PPN88" s="916"/>
      <c r="PPO88" s="916"/>
      <c r="PPP88" s="916"/>
      <c r="PPQ88" s="916"/>
      <c r="PPR88" s="916"/>
      <c r="PPS88" s="916"/>
      <c r="PPT88" s="916"/>
      <c r="PPU88" s="916"/>
      <c r="PPV88" s="916"/>
      <c r="PPW88" s="916"/>
      <c r="PPX88" s="916"/>
      <c r="PPY88" s="916"/>
      <c r="PPZ88" s="916"/>
      <c r="PQA88" s="916"/>
      <c r="PQB88" s="916"/>
      <c r="PQC88" s="916"/>
      <c r="PQD88" s="916"/>
      <c r="PQE88" s="916"/>
      <c r="PQF88" s="916"/>
      <c r="PQG88" s="916"/>
      <c r="PQH88" s="916"/>
      <c r="PQI88" s="916"/>
      <c r="PQJ88" s="916"/>
      <c r="PQK88" s="916"/>
      <c r="PQL88" s="916"/>
      <c r="PQM88" s="916"/>
      <c r="PQN88" s="916"/>
      <c r="PQO88" s="916"/>
      <c r="PQP88" s="916"/>
      <c r="PQQ88" s="916"/>
      <c r="PQR88" s="916"/>
      <c r="PQS88" s="916"/>
      <c r="PQT88" s="916"/>
      <c r="PQU88" s="916"/>
      <c r="PQV88" s="916"/>
      <c r="PQW88" s="916"/>
      <c r="PQX88" s="916"/>
      <c r="PQY88" s="916"/>
      <c r="PQZ88" s="916"/>
      <c r="PRA88" s="916"/>
      <c r="PRB88" s="916"/>
      <c r="PRC88" s="916"/>
      <c r="PRD88" s="916"/>
      <c r="PRE88" s="916"/>
      <c r="PRF88" s="916"/>
      <c r="PRG88" s="916"/>
      <c r="PRH88" s="916"/>
      <c r="PRI88" s="916"/>
      <c r="PRJ88" s="916"/>
      <c r="PRK88" s="916"/>
      <c r="PRL88" s="916"/>
      <c r="PRM88" s="916"/>
      <c r="PRN88" s="916"/>
      <c r="PRO88" s="916"/>
      <c r="PRP88" s="916"/>
      <c r="PRQ88" s="916"/>
      <c r="PRR88" s="916"/>
      <c r="PRS88" s="916"/>
      <c r="PRT88" s="916"/>
      <c r="PRU88" s="916"/>
      <c r="PRV88" s="916"/>
      <c r="PRW88" s="916"/>
      <c r="PRX88" s="916"/>
      <c r="PRY88" s="916"/>
      <c r="PRZ88" s="916"/>
      <c r="PSA88" s="916"/>
      <c r="PSB88" s="916"/>
      <c r="PSC88" s="916"/>
      <c r="PSD88" s="916"/>
      <c r="PSE88" s="916"/>
      <c r="PSF88" s="916"/>
      <c r="PSG88" s="916"/>
      <c r="PSH88" s="916"/>
      <c r="PSI88" s="916"/>
      <c r="PSJ88" s="916"/>
      <c r="PSK88" s="916"/>
      <c r="PSL88" s="916"/>
      <c r="PSM88" s="916"/>
      <c r="PSN88" s="916"/>
      <c r="PSO88" s="916"/>
      <c r="PSP88" s="916"/>
      <c r="PSQ88" s="916"/>
      <c r="PSR88" s="916"/>
      <c r="PSS88" s="916"/>
      <c r="PST88" s="916"/>
      <c r="PSU88" s="916"/>
      <c r="PSV88" s="916"/>
      <c r="PSW88" s="916"/>
      <c r="PSX88" s="916"/>
      <c r="PSY88" s="916"/>
      <c r="PSZ88" s="916"/>
      <c r="PTA88" s="916"/>
      <c r="PTB88" s="916"/>
      <c r="PTC88" s="916"/>
      <c r="PTD88" s="916"/>
      <c r="PTE88" s="916"/>
      <c r="PTF88" s="916"/>
      <c r="PTG88" s="916"/>
      <c r="PTH88" s="916"/>
      <c r="PTI88" s="916"/>
      <c r="PTJ88" s="916"/>
      <c r="PTK88" s="916"/>
      <c r="PTL88" s="916"/>
      <c r="PTM88" s="916"/>
      <c r="PTN88" s="916"/>
      <c r="PTO88" s="916"/>
      <c r="PTP88" s="916"/>
      <c r="PTQ88" s="916"/>
      <c r="PTR88" s="916"/>
      <c r="PTS88" s="916"/>
      <c r="PTT88" s="916"/>
      <c r="PTU88" s="916"/>
      <c r="PTV88" s="916"/>
      <c r="PTW88" s="916"/>
      <c r="PTX88" s="916"/>
      <c r="PTY88" s="916"/>
      <c r="PTZ88" s="916"/>
      <c r="PUA88" s="916"/>
      <c r="PUB88" s="916"/>
      <c r="PUC88" s="916"/>
      <c r="PUD88" s="916"/>
      <c r="PUE88" s="916"/>
      <c r="PUF88" s="916"/>
      <c r="PUG88" s="916"/>
      <c r="PUH88" s="916"/>
      <c r="PUI88" s="916"/>
      <c r="PUJ88" s="916"/>
      <c r="PUK88" s="916"/>
      <c r="PUL88" s="916"/>
      <c r="PUM88" s="916"/>
      <c r="PUN88" s="916"/>
      <c r="PUO88" s="916"/>
      <c r="PUP88" s="916"/>
      <c r="PUQ88" s="916"/>
      <c r="PUR88" s="916"/>
      <c r="PUS88" s="916"/>
      <c r="PUT88" s="916"/>
      <c r="PUU88" s="916"/>
      <c r="PUV88" s="916"/>
      <c r="PUW88" s="916"/>
      <c r="PUX88" s="916"/>
      <c r="PUY88" s="916"/>
      <c r="PUZ88" s="916"/>
      <c r="PVA88" s="916"/>
      <c r="PVB88" s="916"/>
      <c r="PVC88" s="916"/>
      <c r="PVD88" s="916"/>
      <c r="PVE88" s="916"/>
      <c r="PVF88" s="916"/>
      <c r="PVG88" s="916"/>
      <c r="PVH88" s="916"/>
      <c r="PVI88" s="916"/>
      <c r="PVJ88" s="916"/>
      <c r="PVK88" s="916"/>
      <c r="PVL88" s="916"/>
      <c r="PVM88" s="916"/>
      <c r="PVN88" s="916"/>
      <c r="PVO88" s="916"/>
      <c r="PVP88" s="916"/>
      <c r="PVQ88" s="916"/>
      <c r="PVR88" s="916"/>
      <c r="PVS88" s="916"/>
      <c r="PVT88" s="916"/>
      <c r="PVU88" s="916"/>
      <c r="PVV88" s="916"/>
      <c r="PVW88" s="916"/>
      <c r="PVX88" s="916"/>
      <c r="PVY88" s="916"/>
      <c r="PVZ88" s="916"/>
      <c r="PWA88" s="916"/>
      <c r="PWB88" s="916"/>
      <c r="PWC88" s="916"/>
      <c r="PWD88" s="916"/>
      <c r="PWE88" s="916"/>
      <c r="PWF88" s="916"/>
      <c r="PWG88" s="916"/>
      <c r="PWH88" s="916"/>
      <c r="PWI88" s="916"/>
      <c r="PWJ88" s="916"/>
      <c r="PWK88" s="916"/>
      <c r="PWL88" s="916"/>
      <c r="PWM88" s="916"/>
      <c r="PWN88" s="916"/>
      <c r="PWO88" s="916"/>
      <c r="PWP88" s="916"/>
      <c r="PWQ88" s="916"/>
      <c r="PWR88" s="916"/>
      <c r="PWS88" s="916"/>
      <c r="PWT88" s="916"/>
      <c r="PWU88" s="916"/>
      <c r="PWV88" s="916"/>
      <c r="PWW88" s="916"/>
      <c r="PWX88" s="916"/>
      <c r="PWY88" s="916"/>
      <c r="PWZ88" s="916"/>
      <c r="PXA88" s="916"/>
      <c r="PXB88" s="916"/>
      <c r="PXC88" s="916"/>
      <c r="PXD88" s="916"/>
      <c r="PXE88" s="916"/>
      <c r="PXF88" s="916"/>
      <c r="PXG88" s="916"/>
      <c r="PXH88" s="916"/>
      <c r="PXI88" s="916"/>
      <c r="PXJ88" s="916"/>
      <c r="PXK88" s="916"/>
      <c r="PXL88" s="916"/>
      <c r="PXM88" s="916"/>
      <c r="PXN88" s="916"/>
      <c r="PXO88" s="916"/>
      <c r="PXP88" s="916"/>
      <c r="PXQ88" s="916"/>
      <c r="PXR88" s="916"/>
      <c r="PXS88" s="916"/>
      <c r="PXT88" s="916"/>
      <c r="PXU88" s="916"/>
      <c r="PXV88" s="916"/>
      <c r="PXW88" s="916"/>
      <c r="PXX88" s="916"/>
      <c r="PXY88" s="916"/>
      <c r="PXZ88" s="916"/>
      <c r="PYA88" s="916"/>
      <c r="PYB88" s="916"/>
      <c r="PYC88" s="916"/>
      <c r="PYD88" s="916"/>
      <c r="PYE88" s="916"/>
      <c r="PYF88" s="916"/>
      <c r="PYG88" s="916"/>
      <c r="PYH88" s="916"/>
      <c r="PYI88" s="916"/>
      <c r="PYJ88" s="916"/>
      <c r="PYK88" s="916"/>
      <c r="PYL88" s="916"/>
      <c r="PYM88" s="916"/>
      <c r="PYN88" s="916"/>
      <c r="PYO88" s="916"/>
      <c r="PYP88" s="916"/>
      <c r="PYQ88" s="916"/>
      <c r="PYR88" s="916"/>
      <c r="PYS88" s="916"/>
      <c r="PYT88" s="916"/>
      <c r="PYU88" s="916"/>
      <c r="PYV88" s="916"/>
      <c r="PYW88" s="916"/>
      <c r="PYX88" s="916"/>
      <c r="PYY88" s="916"/>
      <c r="PYZ88" s="916"/>
      <c r="PZA88" s="916"/>
      <c r="PZB88" s="916"/>
      <c r="PZC88" s="916"/>
      <c r="PZD88" s="916"/>
      <c r="PZE88" s="916"/>
      <c r="PZF88" s="916"/>
      <c r="PZG88" s="916"/>
      <c r="PZH88" s="916"/>
      <c r="PZI88" s="916"/>
      <c r="PZJ88" s="916"/>
      <c r="PZK88" s="916"/>
      <c r="PZL88" s="916"/>
      <c r="PZM88" s="916"/>
      <c r="PZN88" s="916"/>
      <c r="PZO88" s="916"/>
      <c r="PZP88" s="916"/>
      <c r="PZQ88" s="916"/>
      <c r="PZR88" s="916"/>
      <c r="PZS88" s="916"/>
      <c r="PZT88" s="916"/>
      <c r="PZU88" s="916"/>
      <c r="PZV88" s="916"/>
      <c r="PZW88" s="916"/>
      <c r="PZX88" s="916"/>
      <c r="PZY88" s="916"/>
      <c r="PZZ88" s="916"/>
      <c r="QAA88" s="916"/>
      <c r="QAB88" s="916"/>
      <c r="QAC88" s="916"/>
      <c r="QAD88" s="916"/>
      <c r="QAE88" s="916"/>
      <c r="QAF88" s="916"/>
      <c r="QAG88" s="916"/>
      <c r="QAH88" s="916"/>
      <c r="QAI88" s="916"/>
      <c r="QAJ88" s="916"/>
      <c r="QAK88" s="916"/>
      <c r="QAL88" s="916"/>
      <c r="QAM88" s="916"/>
      <c r="QAN88" s="916"/>
      <c r="QAO88" s="916"/>
      <c r="QAP88" s="916"/>
      <c r="QAQ88" s="916"/>
      <c r="QAR88" s="916"/>
      <c r="QAS88" s="916"/>
      <c r="QAT88" s="916"/>
      <c r="QAU88" s="916"/>
      <c r="QAV88" s="916"/>
      <c r="QAW88" s="916"/>
      <c r="QAX88" s="916"/>
      <c r="QAY88" s="916"/>
      <c r="QAZ88" s="916"/>
      <c r="QBA88" s="916"/>
      <c r="QBB88" s="916"/>
      <c r="QBC88" s="916"/>
      <c r="QBD88" s="916"/>
      <c r="QBE88" s="916"/>
      <c r="QBF88" s="916"/>
      <c r="QBG88" s="916"/>
      <c r="QBH88" s="916"/>
      <c r="QBI88" s="916"/>
      <c r="QBJ88" s="916"/>
      <c r="QBK88" s="916"/>
      <c r="QBL88" s="916"/>
      <c r="QBM88" s="916"/>
      <c r="QBN88" s="916"/>
      <c r="QBO88" s="916"/>
      <c r="QBP88" s="916"/>
      <c r="QBQ88" s="916"/>
      <c r="QBR88" s="916"/>
      <c r="QBS88" s="916"/>
      <c r="QBT88" s="916"/>
      <c r="QBU88" s="916"/>
      <c r="QBV88" s="916"/>
      <c r="QBW88" s="916"/>
      <c r="QBX88" s="916"/>
      <c r="QBY88" s="916"/>
      <c r="QBZ88" s="916"/>
      <c r="QCA88" s="916"/>
      <c r="QCB88" s="916"/>
      <c r="QCC88" s="916"/>
      <c r="QCD88" s="916"/>
      <c r="QCE88" s="916"/>
      <c r="QCF88" s="916"/>
      <c r="QCG88" s="916"/>
      <c r="QCH88" s="916"/>
      <c r="QCI88" s="916"/>
      <c r="QCJ88" s="916"/>
      <c r="QCK88" s="916"/>
      <c r="QCL88" s="916"/>
      <c r="QCM88" s="916"/>
      <c r="QCN88" s="916"/>
      <c r="QCO88" s="916"/>
      <c r="QCP88" s="916"/>
      <c r="QCQ88" s="916"/>
      <c r="QCR88" s="916"/>
      <c r="QCS88" s="916"/>
      <c r="QCT88" s="916"/>
      <c r="QCU88" s="916"/>
      <c r="QCV88" s="916"/>
      <c r="QCW88" s="916"/>
      <c r="QCX88" s="916"/>
      <c r="QCY88" s="916"/>
      <c r="QCZ88" s="916"/>
      <c r="QDA88" s="916"/>
      <c r="QDB88" s="916"/>
      <c r="QDC88" s="916"/>
      <c r="QDD88" s="916"/>
      <c r="QDE88" s="916"/>
      <c r="QDF88" s="916"/>
      <c r="QDG88" s="916"/>
      <c r="QDH88" s="916"/>
      <c r="QDI88" s="916"/>
      <c r="QDJ88" s="916"/>
      <c r="QDK88" s="916"/>
      <c r="QDL88" s="916"/>
      <c r="QDM88" s="916"/>
      <c r="QDN88" s="916"/>
      <c r="QDO88" s="916"/>
      <c r="QDP88" s="916"/>
      <c r="QDQ88" s="916"/>
      <c r="QDR88" s="916"/>
      <c r="QDS88" s="916"/>
      <c r="QDT88" s="916"/>
      <c r="QDU88" s="916"/>
      <c r="QDV88" s="916"/>
      <c r="QDW88" s="916"/>
      <c r="QDX88" s="916"/>
      <c r="QDY88" s="916"/>
      <c r="QDZ88" s="916"/>
      <c r="QEA88" s="916"/>
      <c r="QEB88" s="916"/>
      <c r="QEC88" s="916"/>
      <c r="QED88" s="916"/>
      <c r="QEE88" s="916"/>
      <c r="QEF88" s="916"/>
      <c r="QEG88" s="916"/>
      <c r="QEH88" s="916"/>
      <c r="QEI88" s="916"/>
      <c r="QEJ88" s="916"/>
      <c r="QEK88" s="916"/>
      <c r="QEL88" s="916"/>
      <c r="QEM88" s="916"/>
      <c r="QEN88" s="916"/>
      <c r="QEO88" s="916"/>
      <c r="QEP88" s="916"/>
      <c r="QEQ88" s="916"/>
      <c r="QER88" s="916"/>
      <c r="QES88" s="916"/>
      <c r="QET88" s="916"/>
      <c r="QEU88" s="916"/>
      <c r="QEV88" s="916"/>
      <c r="QEW88" s="916"/>
      <c r="QEX88" s="916"/>
      <c r="QEY88" s="916"/>
      <c r="QEZ88" s="916"/>
      <c r="QFA88" s="916"/>
      <c r="QFB88" s="916"/>
      <c r="QFC88" s="916"/>
      <c r="QFD88" s="916"/>
      <c r="QFE88" s="916"/>
      <c r="QFF88" s="916"/>
      <c r="QFG88" s="916"/>
      <c r="QFH88" s="916"/>
      <c r="QFI88" s="916"/>
      <c r="QFJ88" s="916"/>
      <c r="QFK88" s="916"/>
      <c r="QFL88" s="916"/>
      <c r="QFM88" s="916"/>
      <c r="QFN88" s="916"/>
      <c r="QFO88" s="916"/>
      <c r="QFP88" s="916"/>
      <c r="QFQ88" s="916"/>
      <c r="QFR88" s="916"/>
      <c r="QFS88" s="916"/>
      <c r="QFT88" s="916"/>
      <c r="QFU88" s="916"/>
      <c r="QFV88" s="916"/>
      <c r="QFW88" s="916"/>
      <c r="QFX88" s="916"/>
      <c r="QFY88" s="916"/>
      <c r="QFZ88" s="916"/>
      <c r="QGA88" s="916"/>
      <c r="QGB88" s="916"/>
      <c r="QGC88" s="916"/>
      <c r="QGD88" s="916"/>
      <c r="QGE88" s="916"/>
      <c r="QGF88" s="916"/>
      <c r="QGG88" s="916"/>
      <c r="QGH88" s="916"/>
      <c r="QGI88" s="916"/>
      <c r="QGJ88" s="916"/>
      <c r="QGK88" s="916"/>
      <c r="QGL88" s="916"/>
      <c r="QGM88" s="916"/>
      <c r="QGN88" s="916"/>
      <c r="QGO88" s="916"/>
      <c r="QGP88" s="916"/>
      <c r="QGQ88" s="916"/>
      <c r="QGR88" s="916"/>
      <c r="QGS88" s="916"/>
      <c r="QGT88" s="916"/>
      <c r="QGU88" s="916"/>
      <c r="QGV88" s="916"/>
      <c r="QGW88" s="916"/>
      <c r="QGX88" s="916"/>
      <c r="QGY88" s="916"/>
      <c r="QGZ88" s="916"/>
      <c r="QHA88" s="916"/>
      <c r="QHB88" s="916"/>
      <c r="QHC88" s="916"/>
      <c r="QHD88" s="916"/>
      <c r="QHE88" s="916"/>
      <c r="QHF88" s="916"/>
      <c r="QHG88" s="916"/>
      <c r="QHH88" s="916"/>
      <c r="QHI88" s="916"/>
      <c r="QHJ88" s="916"/>
      <c r="QHK88" s="916"/>
      <c r="QHL88" s="916"/>
      <c r="QHM88" s="916"/>
      <c r="QHN88" s="916"/>
      <c r="QHO88" s="916"/>
      <c r="QHP88" s="916"/>
      <c r="QHQ88" s="916"/>
      <c r="QHR88" s="916"/>
      <c r="QHS88" s="916"/>
      <c r="QHT88" s="916"/>
      <c r="QHU88" s="916"/>
      <c r="QHV88" s="916"/>
      <c r="QHW88" s="916"/>
      <c r="QHX88" s="916"/>
      <c r="QHY88" s="916"/>
      <c r="QHZ88" s="916"/>
      <c r="QIA88" s="916"/>
      <c r="QIB88" s="916"/>
      <c r="QIC88" s="916"/>
      <c r="QID88" s="916"/>
      <c r="QIE88" s="916"/>
      <c r="QIF88" s="916"/>
      <c r="QIG88" s="916"/>
      <c r="QIH88" s="916"/>
      <c r="QII88" s="916"/>
      <c r="QIJ88" s="916"/>
      <c r="QIK88" s="916"/>
      <c r="QIL88" s="916"/>
      <c r="QIM88" s="916"/>
      <c r="QIN88" s="916"/>
      <c r="QIO88" s="916"/>
      <c r="QIP88" s="916"/>
      <c r="QIQ88" s="916"/>
      <c r="QIR88" s="916"/>
      <c r="QIS88" s="916"/>
      <c r="QIT88" s="916"/>
      <c r="QIU88" s="916"/>
      <c r="QIV88" s="916"/>
      <c r="QIW88" s="916"/>
      <c r="QIX88" s="916"/>
      <c r="QIY88" s="916"/>
      <c r="QIZ88" s="916"/>
      <c r="QJA88" s="916"/>
      <c r="QJB88" s="916"/>
      <c r="QJC88" s="916"/>
      <c r="QJD88" s="916"/>
      <c r="QJE88" s="916"/>
      <c r="QJF88" s="916"/>
      <c r="QJG88" s="916"/>
      <c r="QJH88" s="916"/>
      <c r="QJI88" s="916"/>
      <c r="QJJ88" s="916"/>
      <c r="QJK88" s="916"/>
      <c r="QJL88" s="916"/>
      <c r="QJM88" s="916"/>
      <c r="QJN88" s="916"/>
      <c r="QJO88" s="916"/>
      <c r="QJP88" s="916"/>
      <c r="QJQ88" s="916"/>
      <c r="QJR88" s="916"/>
      <c r="QJS88" s="916"/>
      <c r="QJT88" s="916"/>
      <c r="QJU88" s="916"/>
      <c r="QJV88" s="916"/>
      <c r="QJW88" s="916"/>
      <c r="QJX88" s="916"/>
      <c r="QJY88" s="916"/>
      <c r="QJZ88" s="916"/>
      <c r="QKA88" s="916"/>
      <c r="QKB88" s="916"/>
      <c r="QKC88" s="916"/>
      <c r="QKD88" s="916"/>
      <c r="QKE88" s="916"/>
      <c r="QKF88" s="916"/>
      <c r="QKG88" s="916"/>
      <c r="QKH88" s="916"/>
      <c r="QKI88" s="916"/>
      <c r="QKJ88" s="916"/>
      <c r="QKK88" s="916"/>
      <c r="QKL88" s="916"/>
      <c r="QKM88" s="916"/>
      <c r="QKN88" s="916"/>
      <c r="QKO88" s="916"/>
      <c r="QKP88" s="916"/>
      <c r="QKQ88" s="916"/>
      <c r="QKR88" s="916"/>
      <c r="QKS88" s="916"/>
      <c r="QKT88" s="916"/>
      <c r="QKU88" s="916"/>
      <c r="QKV88" s="916"/>
      <c r="QKW88" s="916"/>
      <c r="QKX88" s="916"/>
      <c r="QKY88" s="916"/>
      <c r="QKZ88" s="916"/>
      <c r="QLA88" s="916"/>
      <c r="QLB88" s="916"/>
      <c r="QLC88" s="916"/>
      <c r="QLD88" s="916"/>
      <c r="QLE88" s="916"/>
      <c r="QLF88" s="916"/>
      <c r="QLG88" s="916"/>
      <c r="QLH88" s="916"/>
      <c r="QLI88" s="916"/>
      <c r="QLJ88" s="916"/>
      <c r="QLK88" s="916"/>
      <c r="QLL88" s="916"/>
      <c r="QLM88" s="916"/>
      <c r="QLN88" s="916"/>
      <c r="QLO88" s="916"/>
      <c r="QLP88" s="916"/>
      <c r="QLQ88" s="916"/>
      <c r="QLR88" s="916"/>
      <c r="QLS88" s="916"/>
      <c r="QLT88" s="916"/>
      <c r="QLU88" s="916"/>
      <c r="QLV88" s="916"/>
      <c r="QLW88" s="916"/>
      <c r="QLX88" s="916"/>
      <c r="QLY88" s="916"/>
      <c r="QLZ88" s="916"/>
      <c r="QMA88" s="916"/>
      <c r="QMB88" s="916"/>
      <c r="QMC88" s="916"/>
      <c r="QMD88" s="916"/>
      <c r="QME88" s="916"/>
      <c r="QMF88" s="916"/>
      <c r="QMG88" s="916"/>
      <c r="QMH88" s="916"/>
      <c r="QMI88" s="916"/>
      <c r="QMJ88" s="916"/>
      <c r="QMK88" s="916"/>
      <c r="QML88" s="916"/>
      <c r="QMM88" s="916"/>
      <c r="QMN88" s="916"/>
      <c r="QMO88" s="916"/>
      <c r="QMP88" s="916"/>
      <c r="QMQ88" s="916"/>
      <c r="QMR88" s="916"/>
      <c r="QMS88" s="916"/>
      <c r="QMT88" s="916"/>
      <c r="QMU88" s="916"/>
      <c r="QMV88" s="916"/>
      <c r="QMW88" s="916"/>
      <c r="QMX88" s="916"/>
      <c r="QMY88" s="916"/>
      <c r="QMZ88" s="916"/>
      <c r="QNA88" s="916"/>
      <c r="QNB88" s="916"/>
      <c r="QNC88" s="916"/>
      <c r="QND88" s="916"/>
      <c r="QNE88" s="916"/>
      <c r="QNF88" s="916"/>
      <c r="QNG88" s="916"/>
      <c r="QNH88" s="916"/>
      <c r="QNI88" s="916"/>
      <c r="QNJ88" s="916"/>
      <c r="QNK88" s="916"/>
      <c r="QNL88" s="916"/>
      <c r="QNM88" s="916"/>
      <c r="QNN88" s="916"/>
      <c r="QNO88" s="916"/>
      <c r="QNP88" s="916"/>
      <c r="QNQ88" s="916"/>
      <c r="QNR88" s="916"/>
      <c r="QNS88" s="916"/>
      <c r="QNT88" s="916"/>
      <c r="QNU88" s="916"/>
      <c r="QNV88" s="916"/>
      <c r="QNW88" s="916"/>
      <c r="QNX88" s="916"/>
      <c r="QNY88" s="916"/>
      <c r="QNZ88" s="916"/>
      <c r="QOA88" s="916"/>
      <c r="QOB88" s="916"/>
      <c r="QOC88" s="916"/>
      <c r="QOD88" s="916"/>
      <c r="QOE88" s="916"/>
      <c r="QOF88" s="916"/>
      <c r="QOG88" s="916"/>
      <c r="QOH88" s="916"/>
      <c r="QOI88" s="916"/>
      <c r="QOJ88" s="916"/>
      <c r="QOK88" s="916"/>
      <c r="QOL88" s="916"/>
      <c r="QOM88" s="916"/>
      <c r="QON88" s="916"/>
      <c r="QOO88" s="916"/>
      <c r="QOP88" s="916"/>
      <c r="QOQ88" s="916"/>
      <c r="QOR88" s="916"/>
      <c r="QOS88" s="916"/>
      <c r="QOT88" s="916"/>
      <c r="QOU88" s="916"/>
      <c r="QOV88" s="916"/>
      <c r="QOW88" s="916"/>
      <c r="QOX88" s="916"/>
      <c r="QOY88" s="916"/>
      <c r="QOZ88" s="916"/>
      <c r="QPA88" s="916"/>
      <c r="QPB88" s="916"/>
      <c r="QPC88" s="916"/>
      <c r="QPD88" s="916"/>
      <c r="QPE88" s="916"/>
      <c r="QPF88" s="916"/>
      <c r="QPG88" s="916"/>
      <c r="QPH88" s="916"/>
      <c r="QPI88" s="916"/>
      <c r="QPJ88" s="916"/>
      <c r="QPK88" s="916"/>
      <c r="QPL88" s="916"/>
      <c r="QPM88" s="916"/>
      <c r="QPN88" s="916"/>
      <c r="QPO88" s="916"/>
      <c r="QPP88" s="916"/>
      <c r="QPQ88" s="916"/>
      <c r="QPR88" s="916"/>
      <c r="QPS88" s="916"/>
      <c r="QPT88" s="916"/>
      <c r="QPU88" s="916"/>
      <c r="QPV88" s="916"/>
      <c r="QPW88" s="916"/>
      <c r="QPX88" s="916"/>
      <c r="QPY88" s="916"/>
      <c r="QPZ88" s="916"/>
      <c r="QQA88" s="916"/>
      <c r="QQB88" s="916"/>
      <c r="QQC88" s="916"/>
      <c r="QQD88" s="916"/>
      <c r="QQE88" s="916"/>
      <c r="QQF88" s="916"/>
      <c r="QQG88" s="916"/>
      <c r="QQH88" s="916"/>
      <c r="QQI88" s="916"/>
      <c r="QQJ88" s="916"/>
      <c r="QQK88" s="916"/>
      <c r="QQL88" s="916"/>
      <c r="QQM88" s="916"/>
      <c r="QQN88" s="916"/>
      <c r="QQO88" s="916"/>
      <c r="QQP88" s="916"/>
      <c r="QQQ88" s="916"/>
      <c r="QQR88" s="916"/>
      <c r="QQS88" s="916"/>
      <c r="QQT88" s="916"/>
      <c r="QQU88" s="916"/>
      <c r="QQV88" s="916"/>
      <c r="QQW88" s="916"/>
      <c r="QQX88" s="916"/>
      <c r="QQY88" s="916"/>
      <c r="QQZ88" s="916"/>
      <c r="QRA88" s="916"/>
      <c r="QRB88" s="916"/>
      <c r="QRC88" s="916"/>
      <c r="QRD88" s="916"/>
      <c r="QRE88" s="916"/>
      <c r="QRF88" s="916"/>
      <c r="QRG88" s="916"/>
      <c r="QRH88" s="916"/>
      <c r="QRI88" s="916"/>
      <c r="QRJ88" s="916"/>
      <c r="QRK88" s="916"/>
      <c r="QRL88" s="916"/>
      <c r="QRM88" s="916"/>
      <c r="QRN88" s="916"/>
      <c r="QRO88" s="916"/>
      <c r="QRP88" s="916"/>
      <c r="QRQ88" s="916"/>
      <c r="QRR88" s="916"/>
      <c r="QRS88" s="916"/>
      <c r="QRT88" s="916"/>
      <c r="QRU88" s="916"/>
      <c r="QRV88" s="916"/>
      <c r="QRW88" s="916"/>
      <c r="QRX88" s="916"/>
      <c r="QRY88" s="916"/>
      <c r="QRZ88" s="916"/>
      <c r="QSA88" s="916"/>
      <c r="QSB88" s="916"/>
      <c r="QSC88" s="916"/>
      <c r="QSD88" s="916"/>
      <c r="QSE88" s="916"/>
      <c r="QSF88" s="916"/>
      <c r="QSG88" s="916"/>
      <c r="QSH88" s="916"/>
      <c r="QSI88" s="916"/>
      <c r="QSJ88" s="916"/>
      <c r="QSK88" s="916"/>
      <c r="QSL88" s="916"/>
      <c r="QSM88" s="916"/>
      <c r="QSN88" s="916"/>
      <c r="QSO88" s="916"/>
      <c r="QSP88" s="916"/>
      <c r="QSQ88" s="916"/>
      <c r="QSR88" s="916"/>
      <c r="QSS88" s="916"/>
      <c r="QST88" s="916"/>
      <c r="QSU88" s="916"/>
      <c r="QSV88" s="916"/>
      <c r="QSW88" s="916"/>
      <c r="QSX88" s="916"/>
      <c r="QSY88" s="916"/>
      <c r="QSZ88" s="916"/>
      <c r="QTA88" s="916"/>
      <c r="QTB88" s="916"/>
      <c r="QTC88" s="916"/>
      <c r="QTD88" s="916"/>
      <c r="QTE88" s="916"/>
      <c r="QTF88" s="916"/>
      <c r="QTG88" s="916"/>
      <c r="QTH88" s="916"/>
      <c r="QTI88" s="916"/>
      <c r="QTJ88" s="916"/>
      <c r="QTK88" s="916"/>
      <c r="QTL88" s="916"/>
      <c r="QTM88" s="916"/>
      <c r="QTN88" s="916"/>
      <c r="QTO88" s="916"/>
      <c r="QTP88" s="916"/>
      <c r="QTQ88" s="916"/>
      <c r="QTR88" s="916"/>
      <c r="QTS88" s="916"/>
      <c r="QTT88" s="916"/>
      <c r="QTU88" s="916"/>
      <c r="QTV88" s="916"/>
      <c r="QTW88" s="916"/>
      <c r="QTX88" s="916"/>
      <c r="QTY88" s="916"/>
      <c r="QTZ88" s="916"/>
      <c r="QUA88" s="916"/>
      <c r="QUB88" s="916"/>
      <c r="QUC88" s="916"/>
      <c r="QUD88" s="916"/>
      <c r="QUE88" s="916"/>
      <c r="QUF88" s="916"/>
      <c r="QUG88" s="916"/>
      <c r="QUH88" s="916"/>
      <c r="QUI88" s="916"/>
      <c r="QUJ88" s="916"/>
      <c r="QUK88" s="916"/>
      <c r="QUL88" s="916"/>
      <c r="QUM88" s="916"/>
      <c r="QUN88" s="916"/>
      <c r="QUO88" s="916"/>
      <c r="QUP88" s="916"/>
      <c r="QUQ88" s="916"/>
      <c r="QUR88" s="916"/>
      <c r="QUS88" s="916"/>
      <c r="QUT88" s="916"/>
      <c r="QUU88" s="916"/>
      <c r="QUV88" s="916"/>
      <c r="QUW88" s="916"/>
      <c r="QUX88" s="916"/>
      <c r="QUY88" s="916"/>
      <c r="QUZ88" s="916"/>
      <c r="QVA88" s="916"/>
      <c r="QVB88" s="916"/>
      <c r="QVC88" s="916"/>
      <c r="QVD88" s="916"/>
      <c r="QVE88" s="916"/>
      <c r="QVF88" s="916"/>
      <c r="QVG88" s="916"/>
      <c r="QVH88" s="916"/>
      <c r="QVI88" s="916"/>
      <c r="QVJ88" s="916"/>
      <c r="QVK88" s="916"/>
      <c r="QVL88" s="916"/>
      <c r="QVM88" s="916"/>
      <c r="QVN88" s="916"/>
      <c r="QVO88" s="916"/>
      <c r="QVP88" s="916"/>
      <c r="QVQ88" s="916"/>
      <c r="QVR88" s="916"/>
      <c r="QVS88" s="916"/>
      <c r="QVT88" s="916"/>
      <c r="QVU88" s="916"/>
      <c r="QVV88" s="916"/>
      <c r="QVW88" s="916"/>
      <c r="QVX88" s="916"/>
      <c r="QVY88" s="916"/>
      <c r="QVZ88" s="916"/>
      <c r="QWA88" s="916"/>
      <c r="QWB88" s="916"/>
      <c r="QWC88" s="916"/>
      <c r="QWD88" s="916"/>
      <c r="QWE88" s="916"/>
      <c r="QWF88" s="916"/>
      <c r="QWG88" s="916"/>
      <c r="QWH88" s="916"/>
      <c r="QWI88" s="916"/>
      <c r="QWJ88" s="916"/>
      <c r="QWK88" s="916"/>
      <c r="QWL88" s="916"/>
      <c r="QWM88" s="916"/>
      <c r="QWN88" s="916"/>
      <c r="QWO88" s="916"/>
      <c r="QWP88" s="916"/>
      <c r="QWQ88" s="916"/>
      <c r="QWR88" s="916"/>
      <c r="QWS88" s="916"/>
      <c r="QWT88" s="916"/>
      <c r="QWU88" s="916"/>
      <c r="QWV88" s="916"/>
      <c r="QWW88" s="916"/>
      <c r="QWX88" s="916"/>
      <c r="QWY88" s="916"/>
      <c r="QWZ88" s="916"/>
      <c r="QXA88" s="916"/>
      <c r="QXB88" s="916"/>
      <c r="QXC88" s="916"/>
      <c r="QXD88" s="916"/>
      <c r="QXE88" s="916"/>
      <c r="QXF88" s="916"/>
      <c r="QXG88" s="916"/>
      <c r="QXH88" s="916"/>
      <c r="QXI88" s="916"/>
      <c r="QXJ88" s="916"/>
      <c r="QXK88" s="916"/>
      <c r="QXL88" s="916"/>
      <c r="QXM88" s="916"/>
      <c r="QXN88" s="916"/>
      <c r="QXO88" s="916"/>
      <c r="QXP88" s="916"/>
      <c r="QXQ88" s="916"/>
      <c r="QXR88" s="916"/>
      <c r="QXS88" s="916"/>
      <c r="QXT88" s="916"/>
      <c r="QXU88" s="916"/>
      <c r="QXV88" s="916"/>
      <c r="QXW88" s="916"/>
      <c r="QXX88" s="916"/>
      <c r="QXY88" s="916"/>
      <c r="QXZ88" s="916"/>
      <c r="QYA88" s="916"/>
      <c r="QYB88" s="916"/>
      <c r="QYC88" s="916"/>
      <c r="QYD88" s="916"/>
      <c r="QYE88" s="916"/>
      <c r="QYF88" s="916"/>
      <c r="QYG88" s="916"/>
      <c r="QYH88" s="916"/>
      <c r="QYI88" s="916"/>
      <c r="QYJ88" s="916"/>
      <c r="QYK88" s="916"/>
      <c r="QYL88" s="916"/>
      <c r="QYM88" s="916"/>
      <c r="QYN88" s="916"/>
      <c r="QYO88" s="916"/>
      <c r="QYP88" s="916"/>
      <c r="QYQ88" s="916"/>
      <c r="QYR88" s="916"/>
      <c r="QYS88" s="916"/>
      <c r="QYT88" s="916"/>
      <c r="QYU88" s="916"/>
      <c r="QYV88" s="916"/>
      <c r="QYW88" s="916"/>
      <c r="QYX88" s="916"/>
      <c r="QYY88" s="916"/>
      <c r="QYZ88" s="916"/>
      <c r="QZA88" s="916"/>
      <c r="QZB88" s="916"/>
      <c r="QZC88" s="916"/>
      <c r="QZD88" s="916"/>
      <c r="QZE88" s="916"/>
      <c r="QZF88" s="916"/>
      <c r="QZG88" s="916"/>
      <c r="QZH88" s="916"/>
      <c r="QZI88" s="916"/>
      <c r="QZJ88" s="916"/>
      <c r="QZK88" s="916"/>
      <c r="QZL88" s="916"/>
      <c r="QZM88" s="916"/>
      <c r="QZN88" s="916"/>
      <c r="QZO88" s="916"/>
      <c r="QZP88" s="916"/>
      <c r="QZQ88" s="916"/>
      <c r="QZR88" s="916"/>
      <c r="QZS88" s="916"/>
      <c r="QZT88" s="916"/>
      <c r="QZU88" s="916"/>
      <c r="QZV88" s="916"/>
      <c r="QZW88" s="916"/>
      <c r="QZX88" s="916"/>
      <c r="QZY88" s="916"/>
      <c r="QZZ88" s="916"/>
      <c r="RAA88" s="916"/>
      <c r="RAB88" s="916"/>
      <c r="RAC88" s="916"/>
      <c r="RAD88" s="916"/>
      <c r="RAE88" s="916"/>
      <c r="RAF88" s="916"/>
      <c r="RAG88" s="916"/>
      <c r="RAH88" s="916"/>
      <c r="RAI88" s="916"/>
      <c r="RAJ88" s="916"/>
      <c r="RAK88" s="916"/>
      <c r="RAL88" s="916"/>
      <c r="RAM88" s="916"/>
      <c r="RAN88" s="916"/>
      <c r="RAO88" s="916"/>
      <c r="RAP88" s="916"/>
      <c r="RAQ88" s="916"/>
      <c r="RAR88" s="916"/>
      <c r="RAS88" s="916"/>
      <c r="RAT88" s="916"/>
      <c r="RAU88" s="916"/>
      <c r="RAV88" s="916"/>
      <c r="RAW88" s="916"/>
      <c r="RAX88" s="916"/>
      <c r="RAY88" s="916"/>
      <c r="RAZ88" s="916"/>
      <c r="RBA88" s="916"/>
      <c r="RBB88" s="916"/>
      <c r="RBC88" s="916"/>
      <c r="RBD88" s="916"/>
      <c r="RBE88" s="916"/>
      <c r="RBF88" s="916"/>
      <c r="RBG88" s="916"/>
      <c r="RBH88" s="916"/>
      <c r="RBI88" s="916"/>
      <c r="RBJ88" s="916"/>
      <c r="RBK88" s="916"/>
      <c r="RBL88" s="916"/>
      <c r="RBM88" s="916"/>
      <c r="RBN88" s="916"/>
      <c r="RBO88" s="916"/>
      <c r="RBP88" s="916"/>
      <c r="RBQ88" s="916"/>
      <c r="RBR88" s="916"/>
      <c r="RBS88" s="916"/>
      <c r="RBT88" s="916"/>
      <c r="RBU88" s="916"/>
      <c r="RBV88" s="916"/>
      <c r="RBW88" s="916"/>
      <c r="RBX88" s="916"/>
      <c r="RBY88" s="916"/>
      <c r="RBZ88" s="916"/>
      <c r="RCA88" s="916"/>
      <c r="RCB88" s="916"/>
      <c r="RCC88" s="916"/>
      <c r="RCD88" s="916"/>
      <c r="RCE88" s="916"/>
      <c r="RCF88" s="916"/>
      <c r="RCG88" s="916"/>
      <c r="RCH88" s="916"/>
      <c r="RCI88" s="916"/>
      <c r="RCJ88" s="916"/>
      <c r="RCK88" s="916"/>
      <c r="RCL88" s="916"/>
      <c r="RCM88" s="916"/>
      <c r="RCN88" s="916"/>
      <c r="RCO88" s="916"/>
      <c r="RCP88" s="916"/>
      <c r="RCQ88" s="916"/>
      <c r="RCR88" s="916"/>
      <c r="RCS88" s="916"/>
      <c r="RCT88" s="916"/>
      <c r="RCU88" s="916"/>
      <c r="RCV88" s="916"/>
      <c r="RCW88" s="916"/>
      <c r="RCX88" s="916"/>
      <c r="RCY88" s="916"/>
      <c r="RCZ88" s="916"/>
      <c r="RDA88" s="916"/>
      <c r="RDB88" s="916"/>
      <c r="RDC88" s="916"/>
      <c r="RDD88" s="916"/>
      <c r="RDE88" s="916"/>
      <c r="RDF88" s="916"/>
      <c r="RDG88" s="916"/>
      <c r="RDH88" s="916"/>
      <c r="RDI88" s="916"/>
      <c r="RDJ88" s="916"/>
      <c r="RDK88" s="916"/>
      <c r="RDL88" s="916"/>
      <c r="RDM88" s="916"/>
      <c r="RDN88" s="916"/>
      <c r="RDO88" s="916"/>
      <c r="RDP88" s="916"/>
      <c r="RDQ88" s="916"/>
      <c r="RDR88" s="916"/>
      <c r="RDS88" s="916"/>
      <c r="RDT88" s="916"/>
      <c r="RDU88" s="916"/>
      <c r="RDV88" s="916"/>
      <c r="RDW88" s="916"/>
      <c r="RDX88" s="916"/>
      <c r="RDY88" s="916"/>
      <c r="RDZ88" s="916"/>
      <c r="REA88" s="916"/>
      <c r="REB88" s="916"/>
      <c r="REC88" s="916"/>
      <c r="RED88" s="916"/>
      <c r="REE88" s="916"/>
      <c r="REF88" s="916"/>
      <c r="REG88" s="916"/>
      <c r="REH88" s="916"/>
      <c r="REI88" s="916"/>
      <c r="REJ88" s="916"/>
      <c r="REK88" s="916"/>
      <c r="REL88" s="916"/>
      <c r="REM88" s="916"/>
      <c r="REN88" s="916"/>
      <c r="REO88" s="916"/>
      <c r="REP88" s="916"/>
      <c r="REQ88" s="916"/>
      <c r="RER88" s="916"/>
      <c r="RES88" s="916"/>
      <c r="RET88" s="916"/>
      <c r="REU88" s="916"/>
      <c r="REV88" s="916"/>
      <c r="REW88" s="916"/>
      <c r="REX88" s="916"/>
      <c r="REY88" s="916"/>
      <c r="REZ88" s="916"/>
      <c r="RFA88" s="916"/>
      <c r="RFB88" s="916"/>
      <c r="RFC88" s="916"/>
      <c r="RFD88" s="916"/>
      <c r="RFE88" s="916"/>
      <c r="RFF88" s="916"/>
      <c r="RFG88" s="916"/>
      <c r="RFH88" s="916"/>
      <c r="RFI88" s="916"/>
      <c r="RFJ88" s="916"/>
      <c r="RFK88" s="916"/>
      <c r="RFL88" s="916"/>
      <c r="RFM88" s="916"/>
      <c r="RFN88" s="916"/>
      <c r="RFO88" s="916"/>
      <c r="RFP88" s="916"/>
      <c r="RFQ88" s="916"/>
      <c r="RFR88" s="916"/>
      <c r="RFS88" s="916"/>
      <c r="RFT88" s="916"/>
      <c r="RFU88" s="916"/>
      <c r="RFV88" s="916"/>
      <c r="RFW88" s="916"/>
      <c r="RFX88" s="916"/>
      <c r="RFY88" s="916"/>
      <c r="RFZ88" s="916"/>
      <c r="RGA88" s="916"/>
      <c r="RGB88" s="916"/>
      <c r="RGC88" s="916"/>
      <c r="RGD88" s="916"/>
      <c r="RGE88" s="916"/>
      <c r="RGF88" s="916"/>
      <c r="RGG88" s="916"/>
      <c r="RGH88" s="916"/>
      <c r="RGI88" s="916"/>
      <c r="RGJ88" s="916"/>
      <c r="RGK88" s="916"/>
      <c r="RGL88" s="916"/>
      <c r="RGM88" s="916"/>
      <c r="RGN88" s="916"/>
      <c r="RGO88" s="916"/>
      <c r="RGP88" s="916"/>
      <c r="RGQ88" s="916"/>
      <c r="RGR88" s="916"/>
      <c r="RGS88" s="916"/>
      <c r="RGT88" s="916"/>
      <c r="RGU88" s="916"/>
      <c r="RGV88" s="916"/>
      <c r="RGW88" s="916"/>
      <c r="RGX88" s="916"/>
      <c r="RGY88" s="916"/>
      <c r="RGZ88" s="916"/>
      <c r="RHA88" s="916"/>
      <c r="RHB88" s="916"/>
      <c r="RHC88" s="916"/>
      <c r="RHD88" s="916"/>
      <c r="RHE88" s="916"/>
      <c r="RHF88" s="916"/>
      <c r="RHG88" s="916"/>
      <c r="RHH88" s="916"/>
      <c r="RHI88" s="916"/>
      <c r="RHJ88" s="916"/>
      <c r="RHK88" s="916"/>
      <c r="RHL88" s="916"/>
      <c r="RHM88" s="916"/>
      <c r="RHN88" s="916"/>
      <c r="RHO88" s="916"/>
      <c r="RHP88" s="916"/>
      <c r="RHQ88" s="916"/>
      <c r="RHR88" s="916"/>
      <c r="RHS88" s="916"/>
      <c r="RHT88" s="916"/>
      <c r="RHU88" s="916"/>
      <c r="RHV88" s="916"/>
      <c r="RHW88" s="916"/>
      <c r="RHX88" s="916"/>
      <c r="RHY88" s="916"/>
      <c r="RHZ88" s="916"/>
      <c r="RIA88" s="916"/>
      <c r="RIB88" s="916"/>
      <c r="RIC88" s="916"/>
      <c r="RID88" s="916"/>
      <c r="RIE88" s="916"/>
      <c r="RIF88" s="916"/>
      <c r="RIG88" s="916"/>
      <c r="RIH88" s="916"/>
      <c r="RII88" s="916"/>
      <c r="RIJ88" s="916"/>
      <c r="RIK88" s="916"/>
      <c r="RIL88" s="916"/>
      <c r="RIM88" s="916"/>
      <c r="RIN88" s="916"/>
      <c r="RIO88" s="916"/>
      <c r="RIP88" s="916"/>
      <c r="RIQ88" s="916"/>
      <c r="RIR88" s="916"/>
      <c r="RIS88" s="916"/>
      <c r="RIT88" s="916"/>
      <c r="RIU88" s="916"/>
      <c r="RIV88" s="916"/>
      <c r="RIW88" s="916"/>
      <c r="RIX88" s="916"/>
      <c r="RIY88" s="916"/>
      <c r="RIZ88" s="916"/>
      <c r="RJA88" s="916"/>
      <c r="RJB88" s="916"/>
      <c r="RJC88" s="916"/>
      <c r="RJD88" s="916"/>
      <c r="RJE88" s="916"/>
      <c r="RJF88" s="916"/>
      <c r="RJG88" s="916"/>
      <c r="RJH88" s="916"/>
      <c r="RJI88" s="916"/>
      <c r="RJJ88" s="916"/>
      <c r="RJK88" s="916"/>
      <c r="RJL88" s="916"/>
      <c r="RJM88" s="916"/>
      <c r="RJN88" s="916"/>
      <c r="RJO88" s="916"/>
      <c r="RJP88" s="916"/>
      <c r="RJQ88" s="916"/>
      <c r="RJR88" s="916"/>
      <c r="RJS88" s="916"/>
      <c r="RJT88" s="916"/>
      <c r="RJU88" s="916"/>
      <c r="RJV88" s="916"/>
      <c r="RJW88" s="916"/>
      <c r="RJX88" s="916"/>
      <c r="RJY88" s="916"/>
      <c r="RJZ88" s="916"/>
      <c r="RKA88" s="916"/>
      <c r="RKB88" s="916"/>
      <c r="RKC88" s="916"/>
      <c r="RKD88" s="916"/>
      <c r="RKE88" s="916"/>
      <c r="RKF88" s="916"/>
      <c r="RKG88" s="916"/>
      <c r="RKH88" s="916"/>
      <c r="RKI88" s="916"/>
      <c r="RKJ88" s="916"/>
      <c r="RKK88" s="916"/>
      <c r="RKL88" s="916"/>
      <c r="RKM88" s="916"/>
      <c r="RKN88" s="916"/>
      <c r="RKO88" s="916"/>
      <c r="RKP88" s="916"/>
      <c r="RKQ88" s="916"/>
      <c r="RKR88" s="916"/>
      <c r="RKS88" s="916"/>
      <c r="RKT88" s="916"/>
      <c r="RKU88" s="916"/>
      <c r="RKV88" s="916"/>
      <c r="RKW88" s="916"/>
      <c r="RKX88" s="916"/>
      <c r="RKY88" s="916"/>
      <c r="RKZ88" s="916"/>
      <c r="RLA88" s="916"/>
      <c r="RLB88" s="916"/>
      <c r="RLC88" s="916"/>
      <c r="RLD88" s="916"/>
      <c r="RLE88" s="916"/>
      <c r="RLF88" s="916"/>
      <c r="RLG88" s="916"/>
      <c r="RLH88" s="916"/>
      <c r="RLI88" s="916"/>
      <c r="RLJ88" s="916"/>
      <c r="RLK88" s="916"/>
      <c r="RLL88" s="916"/>
      <c r="RLM88" s="916"/>
      <c r="RLN88" s="916"/>
      <c r="RLO88" s="916"/>
      <c r="RLP88" s="916"/>
      <c r="RLQ88" s="916"/>
      <c r="RLR88" s="916"/>
      <c r="RLS88" s="916"/>
      <c r="RLT88" s="916"/>
      <c r="RLU88" s="916"/>
      <c r="RLV88" s="916"/>
      <c r="RLW88" s="916"/>
      <c r="RLX88" s="916"/>
      <c r="RLY88" s="916"/>
      <c r="RLZ88" s="916"/>
      <c r="RMA88" s="916"/>
      <c r="RMB88" s="916"/>
      <c r="RMC88" s="916"/>
      <c r="RMD88" s="916"/>
      <c r="RME88" s="916"/>
      <c r="RMF88" s="916"/>
      <c r="RMG88" s="916"/>
      <c r="RMH88" s="916"/>
      <c r="RMI88" s="916"/>
      <c r="RMJ88" s="916"/>
      <c r="RMK88" s="916"/>
      <c r="RML88" s="916"/>
      <c r="RMM88" s="916"/>
      <c r="RMN88" s="916"/>
      <c r="RMO88" s="916"/>
      <c r="RMP88" s="916"/>
      <c r="RMQ88" s="916"/>
      <c r="RMR88" s="916"/>
      <c r="RMS88" s="916"/>
      <c r="RMT88" s="916"/>
      <c r="RMU88" s="916"/>
      <c r="RMV88" s="916"/>
      <c r="RMW88" s="916"/>
      <c r="RMX88" s="916"/>
      <c r="RMY88" s="916"/>
      <c r="RMZ88" s="916"/>
      <c r="RNA88" s="916"/>
      <c r="RNB88" s="916"/>
      <c r="RNC88" s="916"/>
      <c r="RND88" s="916"/>
      <c r="RNE88" s="916"/>
      <c r="RNF88" s="916"/>
      <c r="RNG88" s="916"/>
      <c r="RNH88" s="916"/>
      <c r="RNI88" s="916"/>
      <c r="RNJ88" s="916"/>
      <c r="RNK88" s="916"/>
      <c r="RNL88" s="916"/>
      <c r="RNM88" s="916"/>
      <c r="RNN88" s="916"/>
      <c r="RNO88" s="916"/>
      <c r="RNP88" s="916"/>
      <c r="RNQ88" s="916"/>
      <c r="RNR88" s="916"/>
      <c r="RNS88" s="916"/>
      <c r="RNT88" s="916"/>
      <c r="RNU88" s="916"/>
      <c r="RNV88" s="916"/>
      <c r="RNW88" s="916"/>
      <c r="RNX88" s="916"/>
      <c r="RNY88" s="916"/>
      <c r="RNZ88" s="916"/>
      <c r="ROA88" s="916"/>
      <c r="ROB88" s="916"/>
      <c r="ROC88" s="916"/>
      <c r="ROD88" s="916"/>
      <c r="ROE88" s="916"/>
      <c r="ROF88" s="916"/>
      <c r="ROG88" s="916"/>
      <c r="ROH88" s="916"/>
      <c r="ROI88" s="916"/>
      <c r="ROJ88" s="916"/>
      <c r="ROK88" s="916"/>
      <c r="ROL88" s="916"/>
      <c r="ROM88" s="916"/>
      <c r="RON88" s="916"/>
      <c r="ROO88" s="916"/>
      <c r="ROP88" s="916"/>
      <c r="ROQ88" s="916"/>
      <c r="ROR88" s="916"/>
      <c r="ROS88" s="916"/>
      <c r="ROT88" s="916"/>
      <c r="ROU88" s="916"/>
      <c r="ROV88" s="916"/>
      <c r="ROW88" s="916"/>
      <c r="ROX88" s="916"/>
      <c r="ROY88" s="916"/>
      <c r="ROZ88" s="916"/>
      <c r="RPA88" s="916"/>
      <c r="RPB88" s="916"/>
      <c r="RPC88" s="916"/>
      <c r="RPD88" s="916"/>
      <c r="RPE88" s="916"/>
      <c r="RPF88" s="916"/>
      <c r="RPG88" s="916"/>
      <c r="RPH88" s="916"/>
      <c r="RPI88" s="916"/>
      <c r="RPJ88" s="916"/>
      <c r="RPK88" s="916"/>
      <c r="RPL88" s="916"/>
      <c r="RPM88" s="916"/>
      <c r="RPN88" s="916"/>
      <c r="RPO88" s="916"/>
      <c r="RPP88" s="916"/>
      <c r="RPQ88" s="916"/>
      <c r="RPR88" s="916"/>
      <c r="RPS88" s="916"/>
      <c r="RPT88" s="916"/>
      <c r="RPU88" s="916"/>
      <c r="RPV88" s="916"/>
      <c r="RPW88" s="916"/>
      <c r="RPX88" s="916"/>
      <c r="RPY88" s="916"/>
      <c r="RPZ88" s="916"/>
      <c r="RQA88" s="916"/>
      <c r="RQB88" s="916"/>
      <c r="RQC88" s="916"/>
      <c r="RQD88" s="916"/>
      <c r="RQE88" s="916"/>
      <c r="RQF88" s="916"/>
      <c r="RQG88" s="916"/>
      <c r="RQH88" s="916"/>
      <c r="RQI88" s="916"/>
      <c r="RQJ88" s="916"/>
      <c r="RQK88" s="916"/>
      <c r="RQL88" s="916"/>
      <c r="RQM88" s="916"/>
      <c r="RQN88" s="916"/>
      <c r="RQO88" s="916"/>
      <c r="RQP88" s="916"/>
      <c r="RQQ88" s="916"/>
      <c r="RQR88" s="916"/>
      <c r="RQS88" s="916"/>
      <c r="RQT88" s="916"/>
      <c r="RQU88" s="916"/>
      <c r="RQV88" s="916"/>
      <c r="RQW88" s="916"/>
      <c r="RQX88" s="916"/>
      <c r="RQY88" s="916"/>
      <c r="RQZ88" s="916"/>
      <c r="RRA88" s="916"/>
      <c r="RRB88" s="916"/>
      <c r="RRC88" s="916"/>
      <c r="RRD88" s="916"/>
      <c r="RRE88" s="916"/>
      <c r="RRF88" s="916"/>
      <c r="RRG88" s="916"/>
      <c r="RRH88" s="916"/>
      <c r="RRI88" s="916"/>
      <c r="RRJ88" s="916"/>
      <c r="RRK88" s="916"/>
      <c r="RRL88" s="916"/>
      <c r="RRM88" s="916"/>
      <c r="RRN88" s="916"/>
      <c r="RRO88" s="916"/>
      <c r="RRP88" s="916"/>
      <c r="RRQ88" s="916"/>
      <c r="RRR88" s="916"/>
      <c r="RRS88" s="916"/>
      <c r="RRT88" s="916"/>
      <c r="RRU88" s="916"/>
      <c r="RRV88" s="916"/>
      <c r="RRW88" s="916"/>
      <c r="RRX88" s="916"/>
      <c r="RRY88" s="916"/>
      <c r="RRZ88" s="916"/>
      <c r="RSA88" s="916"/>
      <c r="RSB88" s="916"/>
      <c r="RSC88" s="916"/>
      <c r="RSD88" s="916"/>
      <c r="RSE88" s="916"/>
      <c r="RSF88" s="916"/>
      <c r="RSG88" s="916"/>
      <c r="RSH88" s="916"/>
      <c r="RSI88" s="916"/>
      <c r="RSJ88" s="916"/>
      <c r="RSK88" s="916"/>
      <c r="RSL88" s="916"/>
      <c r="RSM88" s="916"/>
      <c r="RSN88" s="916"/>
      <c r="RSO88" s="916"/>
      <c r="RSP88" s="916"/>
      <c r="RSQ88" s="916"/>
      <c r="RSR88" s="916"/>
      <c r="RSS88" s="916"/>
      <c r="RST88" s="916"/>
      <c r="RSU88" s="916"/>
      <c r="RSV88" s="916"/>
      <c r="RSW88" s="916"/>
      <c r="RSX88" s="916"/>
      <c r="RSY88" s="916"/>
      <c r="RSZ88" s="916"/>
      <c r="RTA88" s="916"/>
      <c r="RTB88" s="916"/>
      <c r="RTC88" s="916"/>
      <c r="RTD88" s="916"/>
      <c r="RTE88" s="916"/>
      <c r="RTF88" s="916"/>
      <c r="RTG88" s="916"/>
      <c r="RTH88" s="916"/>
      <c r="RTI88" s="916"/>
      <c r="RTJ88" s="916"/>
      <c r="RTK88" s="916"/>
      <c r="RTL88" s="916"/>
      <c r="RTM88" s="916"/>
      <c r="RTN88" s="916"/>
      <c r="RTO88" s="916"/>
      <c r="RTP88" s="916"/>
      <c r="RTQ88" s="916"/>
      <c r="RTR88" s="916"/>
      <c r="RTS88" s="916"/>
      <c r="RTT88" s="916"/>
      <c r="RTU88" s="916"/>
      <c r="RTV88" s="916"/>
      <c r="RTW88" s="916"/>
      <c r="RTX88" s="916"/>
      <c r="RTY88" s="916"/>
      <c r="RTZ88" s="916"/>
      <c r="RUA88" s="916"/>
      <c r="RUB88" s="916"/>
      <c r="RUC88" s="916"/>
      <c r="RUD88" s="916"/>
      <c r="RUE88" s="916"/>
      <c r="RUF88" s="916"/>
      <c r="RUG88" s="916"/>
      <c r="RUH88" s="916"/>
      <c r="RUI88" s="916"/>
      <c r="RUJ88" s="916"/>
      <c r="RUK88" s="916"/>
      <c r="RUL88" s="916"/>
      <c r="RUM88" s="916"/>
      <c r="RUN88" s="916"/>
      <c r="RUO88" s="916"/>
      <c r="RUP88" s="916"/>
      <c r="RUQ88" s="916"/>
      <c r="RUR88" s="916"/>
      <c r="RUS88" s="916"/>
      <c r="RUT88" s="916"/>
      <c r="RUU88" s="916"/>
      <c r="RUV88" s="916"/>
      <c r="RUW88" s="916"/>
      <c r="RUX88" s="916"/>
      <c r="RUY88" s="916"/>
      <c r="RUZ88" s="916"/>
      <c r="RVA88" s="916"/>
      <c r="RVB88" s="916"/>
      <c r="RVC88" s="916"/>
      <c r="RVD88" s="916"/>
      <c r="RVE88" s="916"/>
      <c r="RVF88" s="916"/>
      <c r="RVG88" s="916"/>
      <c r="RVH88" s="916"/>
      <c r="RVI88" s="916"/>
      <c r="RVJ88" s="916"/>
      <c r="RVK88" s="916"/>
      <c r="RVL88" s="916"/>
      <c r="RVM88" s="916"/>
      <c r="RVN88" s="916"/>
      <c r="RVO88" s="916"/>
      <c r="RVP88" s="916"/>
      <c r="RVQ88" s="916"/>
      <c r="RVR88" s="916"/>
      <c r="RVS88" s="916"/>
      <c r="RVT88" s="916"/>
      <c r="RVU88" s="916"/>
      <c r="RVV88" s="916"/>
      <c r="RVW88" s="916"/>
      <c r="RVX88" s="916"/>
      <c r="RVY88" s="916"/>
      <c r="RVZ88" s="916"/>
      <c r="RWA88" s="916"/>
      <c r="RWB88" s="916"/>
      <c r="RWC88" s="916"/>
      <c r="RWD88" s="916"/>
      <c r="RWE88" s="916"/>
      <c r="RWF88" s="916"/>
      <c r="RWG88" s="916"/>
      <c r="RWH88" s="916"/>
      <c r="RWI88" s="916"/>
      <c r="RWJ88" s="916"/>
      <c r="RWK88" s="916"/>
      <c r="RWL88" s="916"/>
      <c r="RWM88" s="916"/>
      <c r="RWN88" s="916"/>
      <c r="RWO88" s="916"/>
      <c r="RWP88" s="916"/>
      <c r="RWQ88" s="916"/>
      <c r="RWR88" s="916"/>
      <c r="RWS88" s="916"/>
      <c r="RWT88" s="916"/>
      <c r="RWU88" s="916"/>
      <c r="RWV88" s="916"/>
      <c r="RWW88" s="916"/>
      <c r="RWX88" s="916"/>
      <c r="RWY88" s="916"/>
      <c r="RWZ88" s="916"/>
      <c r="RXA88" s="916"/>
      <c r="RXB88" s="916"/>
      <c r="RXC88" s="916"/>
      <c r="RXD88" s="916"/>
      <c r="RXE88" s="916"/>
      <c r="RXF88" s="916"/>
      <c r="RXG88" s="916"/>
      <c r="RXH88" s="916"/>
      <c r="RXI88" s="916"/>
      <c r="RXJ88" s="916"/>
      <c r="RXK88" s="916"/>
      <c r="RXL88" s="916"/>
      <c r="RXM88" s="916"/>
      <c r="RXN88" s="916"/>
      <c r="RXO88" s="916"/>
      <c r="RXP88" s="916"/>
      <c r="RXQ88" s="916"/>
      <c r="RXR88" s="916"/>
      <c r="RXS88" s="916"/>
      <c r="RXT88" s="916"/>
      <c r="RXU88" s="916"/>
      <c r="RXV88" s="916"/>
      <c r="RXW88" s="916"/>
      <c r="RXX88" s="916"/>
      <c r="RXY88" s="916"/>
      <c r="RXZ88" s="916"/>
      <c r="RYA88" s="916"/>
      <c r="RYB88" s="916"/>
      <c r="RYC88" s="916"/>
      <c r="RYD88" s="916"/>
      <c r="RYE88" s="916"/>
      <c r="RYF88" s="916"/>
      <c r="RYG88" s="916"/>
      <c r="RYH88" s="916"/>
      <c r="RYI88" s="916"/>
      <c r="RYJ88" s="916"/>
      <c r="RYK88" s="916"/>
      <c r="RYL88" s="916"/>
      <c r="RYM88" s="916"/>
      <c r="RYN88" s="916"/>
      <c r="RYO88" s="916"/>
      <c r="RYP88" s="916"/>
      <c r="RYQ88" s="916"/>
      <c r="RYR88" s="916"/>
      <c r="RYS88" s="916"/>
      <c r="RYT88" s="916"/>
      <c r="RYU88" s="916"/>
      <c r="RYV88" s="916"/>
      <c r="RYW88" s="916"/>
      <c r="RYX88" s="916"/>
      <c r="RYY88" s="916"/>
      <c r="RYZ88" s="916"/>
      <c r="RZA88" s="916"/>
      <c r="RZB88" s="916"/>
      <c r="RZC88" s="916"/>
      <c r="RZD88" s="916"/>
      <c r="RZE88" s="916"/>
      <c r="RZF88" s="916"/>
      <c r="RZG88" s="916"/>
      <c r="RZH88" s="916"/>
      <c r="RZI88" s="916"/>
      <c r="RZJ88" s="916"/>
      <c r="RZK88" s="916"/>
      <c r="RZL88" s="916"/>
      <c r="RZM88" s="916"/>
      <c r="RZN88" s="916"/>
      <c r="RZO88" s="916"/>
      <c r="RZP88" s="916"/>
      <c r="RZQ88" s="916"/>
      <c r="RZR88" s="916"/>
      <c r="RZS88" s="916"/>
      <c r="RZT88" s="916"/>
      <c r="RZU88" s="916"/>
      <c r="RZV88" s="916"/>
      <c r="RZW88" s="916"/>
      <c r="RZX88" s="916"/>
      <c r="RZY88" s="916"/>
      <c r="RZZ88" s="916"/>
      <c r="SAA88" s="916"/>
      <c r="SAB88" s="916"/>
      <c r="SAC88" s="916"/>
      <c r="SAD88" s="916"/>
      <c r="SAE88" s="916"/>
      <c r="SAF88" s="916"/>
      <c r="SAG88" s="916"/>
      <c r="SAH88" s="916"/>
      <c r="SAI88" s="916"/>
      <c r="SAJ88" s="916"/>
      <c r="SAK88" s="916"/>
      <c r="SAL88" s="916"/>
      <c r="SAM88" s="916"/>
      <c r="SAN88" s="916"/>
      <c r="SAO88" s="916"/>
      <c r="SAP88" s="916"/>
      <c r="SAQ88" s="916"/>
      <c r="SAR88" s="916"/>
      <c r="SAS88" s="916"/>
      <c r="SAT88" s="916"/>
      <c r="SAU88" s="916"/>
      <c r="SAV88" s="916"/>
      <c r="SAW88" s="916"/>
      <c r="SAX88" s="916"/>
      <c r="SAY88" s="916"/>
      <c r="SAZ88" s="916"/>
      <c r="SBA88" s="916"/>
      <c r="SBB88" s="916"/>
      <c r="SBC88" s="916"/>
      <c r="SBD88" s="916"/>
      <c r="SBE88" s="916"/>
      <c r="SBF88" s="916"/>
      <c r="SBG88" s="916"/>
      <c r="SBH88" s="916"/>
      <c r="SBI88" s="916"/>
      <c r="SBJ88" s="916"/>
      <c r="SBK88" s="916"/>
      <c r="SBL88" s="916"/>
      <c r="SBM88" s="916"/>
      <c r="SBN88" s="916"/>
      <c r="SBO88" s="916"/>
      <c r="SBP88" s="916"/>
      <c r="SBQ88" s="916"/>
      <c r="SBR88" s="916"/>
      <c r="SBS88" s="916"/>
      <c r="SBT88" s="916"/>
      <c r="SBU88" s="916"/>
      <c r="SBV88" s="916"/>
      <c r="SBW88" s="916"/>
      <c r="SBX88" s="916"/>
      <c r="SBY88" s="916"/>
      <c r="SBZ88" s="916"/>
      <c r="SCA88" s="916"/>
      <c r="SCB88" s="916"/>
      <c r="SCC88" s="916"/>
      <c r="SCD88" s="916"/>
      <c r="SCE88" s="916"/>
      <c r="SCF88" s="916"/>
      <c r="SCG88" s="916"/>
      <c r="SCH88" s="916"/>
      <c r="SCI88" s="916"/>
      <c r="SCJ88" s="916"/>
      <c r="SCK88" s="916"/>
      <c r="SCL88" s="916"/>
      <c r="SCM88" s="916"/>
      <c r="SCN88" s="916"/>
      <c r="SCO88" s="916"/>
      <c r="SCP88" s="916"/>
      <c r="SCQ88" s="916"/>
      <c r="SCR88" s="916"/>
      <c r="SCS88" s="916"/>
      <c r="SCT88" s="916"/>
      <c r="SCU88" s="916"/>
      <c r="SCV88" s="916"/>
      <c r="SCW88" s="916"/>
      <c r="SCX88" s="916"/>
      <c r="SCY88" s="916"/>
      <c r="SCZ88" s="916"/>
      <c r="SDA88" s="916"/>
      <c r="SDB88" s="916"/>
      <c r="SDC88" s="916"/>
      <c r="SDD88" s="916"/>
      <c r="SDE88" s="916"/>
      <c r="SDF88" s="916"/>
      <c r="SDG88" s="916"/>
      <c r="SDH88" s="916"/>
      <c r="SDI88" s="916"/>
      <c r="SDJ88" s="916"/>
      <c r="SDK88" s="916"/>
      <c r="SDL88" s="916"/>
      <c r="SDM88" s="916"/>
      <c r="SDN88" s="916"/>
      <c r="SDO88" s="916"/>
      <c r="SDP88" s="916"/>
      <c r="SDQ88" s="916"/>
      <c r="SDR88" s="916"/>
      <c r="SDS88" s="916"/>
      <c r="SDT88" s="916"/>
      <c r="SDU88" s="916"/>
      <c r="SDV88" s="916"/>
      <c r="SDW88" s="916"/>
      <c r="SDX88" s="916"/>
      <c r="SDY88" s="916"/>
      <c r="SDZ88" s="916"/>
      <c r="SEA88" s="916"/>
      <c r="SEB88" s="916"/>
      <c r="SEC88" s="916"/>
      <c r="SED88" s="916"/>
      <c r="SEE88" s="916"/>
      <c r="SEF88" s="916"/>
      <c r="SEG88" s="916"/>
      <c r="SEH88" s="916"/>
      <c r="SEI88" s="916"/>
      <c r="SEJ88" s="916"/>
      <c r="SEK88" s="916"/>
      <c r="SEL88" s="916"/>
      <c r="SEM88" s="916"/>
      <c r="SEN88" s="916"/>
      <c r="SEO88" s="916"/>
      <c r="SEP88" s="916"/>
      <c r="SEQ88" s="916"/>
      <c r="SER88" s="916"/>
      <c r="SES88" s="916"/>
      <c r="SET88" s="916"/>
      <c r="SEU88" s="916"/>
      <c r="SEV88" s="916"/>
      <c r="SEW88" s="916"/>
      <c r="SEX88" s="916"/>
      <c r="SEY88" s="916"/>
      <c r="SEZ88" s="916"/>
      <c r="SFA88" s="916"/>
      <c r="SFB88" s="916"/>
      <c r="SFC88" s="916"/>
      <c r="SFD88" s="916"/>
      <c r="SFE88" s="916"/>
      <c r="SFF88" s="916"/>
      <c r="SFG88" s="916"/>
      <c r="SFH88" s="916"/>
      <c r="SFI88" s="916"/>
      <c r="SFJ88" s="916"/>
      <c r="SFK88" s="916"/>
      <c r="SFL88" s="916"/>
      <c r="SFM88" s="916"/>
      <c r="SFN88" s="916"/>
      <c r="SFO88" s="916"/>
      <c r="SFP88" s="916"/>
      <c r="SFQ88" s="916"/>
      <c r="SFR88" s="916"/>
      <c r="SFS88" s="916"/>
      <c r="SFT88" s="916"/>
      <c r="SFU88" s="916"/>
      <c r="SFV88" s="916"/>
      <c r="SFW88" s="916"/>
      <c r="SFX88" s="916"/>
      <c r="SFY88" s="916"/>
      <c r="SFZ88" s="916"/>
      <c r="SGA88" s="916"/>
      <c r="SGB88" s="916"/>
      <c r="SGC88" s="916"/>
      <c r="SGD88" s="916"/>
      <c r="SGE88" s="916"/>
      <c r="SGF88" s="916"/>
      <c r="SGG88" s="916"/>
      <c r="SGH88" s="916"/>
      <c r="SGI88" s="916"/>
      <c r="SGJ88" s="916"/>
      <c r="SGK88" s="916"/>
      <c r="SGL88" s="916"/>
      <c r="SGM88" s="916"/>
      <c r="SGN88" s="916"/>
      <c r="SGO88" s="916"/>
      <c r="SGP88" s="916"/>
      <c r="SGQ88" s="916"/>
      <c r="SGR88" s="916"/>
      <c r="SGS88" s="916"/>
      <c r="SGT88" s="916"/>
      <c r="SGU88" s="916"/>
      <c r="SGV88" s="916"/>
      <c r="SGW88" s="916"/>
      <c r="SGX88" s="916"/>
      <c r="SGY88" s="916"/>
      <c r="SGZ88" s="916"/>
      <c r="SHA88" s="916"/>
      <c r="SHB88" s="916"/>
      <c r="SHC88" s="916"/>
      <c r="SHD88" s="916"/>
      <c r="SHE88" s="916"/>
      <c r="SHF88" s="916"/>
      <c r="SHG88" s="916"/>
      <c r="SHH88" s="916"/>
      <c r="SHI88" s="916"/>
      <c r="SHJ88" s="916"/>
      <c r="SHK88" s="916"/>
      <c r="SHL88" s="916"/>
      <c r="SHM88" s="916"/>
      <c r="SHN88" s="916"/>
      <c r="SHO88" s="916"/>
      <c r="SHP88" s="916"/>
      <c r="SHQ88" s="916"/>
      <c r="SHR88" s="916"/>
      <c r="SHS88" s="916"/>
      <c r="SHT88" s="916"/>
      <c r="SHU88" s="916"/>
      <c r="SHV88" s="916"/>
      <c r="SHW88" s="916"/>
      <c r="SHX88" s="916"/>
      <c r="SHY88" s="916"/>
      <c r="SHZ88" s="916"/>
      <c r="SIA88" s="916"/>
      <c r="SIB88" s="916"/>
      <c r="SIC88" s="916"/>
      <c r="SID88" s="916"/>
      <c r="SIE88" s="916"/>
      <c r="SIF88" s="916"/>
      <c r="SIG88" s="916"/>
      <c r="SIH88" s="916"/>
      <c r="SII88" s="916"/>
      <c r="SIJ88" s="916"/>
      <c r="SIK88" s="916"/>
      <c r="SIL88" s="916"/>
      <c r="SIM88" s="916"/>
      <c r="SIN88" s="916"/>
      <c r="SIO88" s="916"/>
      <c r="SIP88" s="916"/>
      <c r="SIQ88" s="916"/>
      <c r="SIR88" s="916"/>
      <c r="SIS88" s="916"/>
      <c r="SIT88" s="916"/>
      <c r="SIU88" s="916"/>
      <c r="SIV88" s="916"/>
      <c r="SIW88" s="916"/>
      <c r="SIX88" s="916"/>
      <c r="SIY88" s="916"/>
      <c r="SIZ88" s="916"/>
      <c r="SJA88" s="916"/>
      <c r="SJB88" s="916"/>
      <c r="SJC88" s="916"/>
      <c r="SJD88" s="916"/>
      <c r="SJE88" s="916"/>
      <c r="SJF88" s="916"/>
      <c r="SJG88" s="916"/>
      <c r="SJH88" s="916"/>
      <c r="SJI88" s="916"/>
      <c r="SJJ88" s="916"/>
      <c r="SJK88" s="916"/>
      <c r="SJL88" s="916"/>
      <c r="SJM88" s="916"/>
      <c r="SJN88" s="916"/>
      <c r="SJO88" s="916"/>
      <c r="SJP88" s="916"/>
      <c r="SJQ88" s="916"/>
      <c r="SJR88" s="916"/>
      <c r="SJS88" s="916"/>
      <c r="SJT88" s="916"/>
      <c r="SJU88" s="916"/>
      <c r="SJV88" s="916"/>
      <c r="SJW88" s="916"/>
      <c r="SJX88" s="916"/>
      <c r="SJY88" s="916"/>
      <c r="SJZ88" s="916"/>
      <c r="SKA88" s="916"/>
      <c r="SKB88" s="916"/>
      <c r="SKC88" s="916"/>
      <c r="SKD88" s="916"/>
      <c r="SKE88" s="916"/>
      <c r="SKF88" s="916"/>
      <c r="SKG88" s="916"/>
      <c r="SKH88" s="916"/>
      <c r="SKI88" s="916"/>
      <c r="SKJ88" s="916"/>
      <c r="SKK88" s="916"/>
      <c r="SKL88" s="916"/>
      <c r="SKM88" s="916"/>
      <c r="SKN88" s="916"/>
      <c r="SKO88" s="916"/>
      <c r="SKP88" s="916"/>
      <c r="SKQ88" s="916"/>
      <c r="SKR88" s="916"/>
      <c r="SKS88" s="916"/>
      <c r="SKT88" s="916"/>
      <c r="SKU88" s="916"/>
      <c r="SKV88" s="916"/>
      <c r="SKW88" s="916"/>
      <c r="SKX88" s="916"/>
      <c r="SKY88" s="916"/>
      <c r="SKZ88" s="916"/>
      <c r="SLA88" s="916"/>
      <c r="SLB88" s="916"/>
      <c r="SLC88" s="916"/>
      <c r="SLD88" s="916"/>
      <c r="SLE88" s="916"/>
      <c r="SLF88" s="916"/>
      <c r="SLG88" s="916"/>
      <c r="SLH88" s="916"/>
      <c r="SLI88" s="916"/>
      <c r="SLJ88" s="916"/>
      <c r="SLK88" s="916"/>
      <c r="SLL88" s="916"/>
      <c r="SLM88" s="916"/>
      <c r="SLN88" s="916"/>
      <c r="SLO88" s="916"/>
      <c r="SLP88" s="916"/>
      <c r="SLQ88" s="916"/>
      <c r="SLR88" s="916"/>
      <c r="SLS88" s="916"/>
      <c r="SLT88" s="916"/>
      <c r="SLU88" s="916"/>
      <c r="SLV88" s="916"/>
      <c r="SLW88" s="916"/>
      <c r="SLX88" s="916"/>
      <c r="SLY88" s="916"/>
      <c r="SLZ88" s="916"/>
      <c r="SMA88" s="916"/>
      <c r="SMB88" s="916"/>
      <c r="SMC88" s="916"/>
      <c r="SMD88" s="916"/>
      <c r="SME88" s="916"/>
      <c r="SMF88" s="916"/>
      <c r="SMG88" s="916"/>
      <c r="SMH88" s="916"/>
      <c r="SMI88" s="916"/>
      <c r="SMJ88" s="916"/>
      <c r="SMK88" s="916"/>
      <c r="SML88" s="916"/>
      <c r="SMM88" s="916"/>
      <c r="SMN88" s="916"/>
      <c r="SMO88" s="916"/>
      <c r="SMP88" s="916"/>
      <c r="SMQ88" s="916"/>
      <c r="SMR88" s="916"/>
      <c r="SMS88" s="916"/>
      <c r="SMT88" s="916"/>
      <c r="SMU88" s="916"/>
      <c r="SMV88" s="916"/>
      <c r="SMW88" s="916"/>
      <c r="SMX88" s="916"/>
      <c r="SMY88" s="916"/>
      <c r="SMZ88" s="916"/>
      <c r="SNA88" s="916"/>
      <c r="SNB88" s="916"/>
      <c r="SNC88" s="916"/>
      <c r="SND88" s="916"/>
      <c r="SNE88" s="916"/>
      <c r="SNF88" s="916"/>
      <c r="SNG88" s="916"/>
      <c r="SNH88" s="916"/>
      <c r="SNI88" s="916"/>
      <c r="SNJ88" s="916"/>
      <c r="SNK88" s="916"/>
      <c r="SNL88" s="916"/>
      <c r="SNM88" s="916"/>
      <c r="SNN88" s="916"/>
      <c r="SNO88" s="916"/>
      <c r="SNP88" s="916"/>
      <c r="SNQ88" s="916"/>
      <c r="SNR88" s="916"/>
      <c r="SNS88" s="916"/>
      <c r="SNT88" s="916"/>
      <c r="SNU88" s="916"/>
      <c r="SNV88" s="916"/>
      <c r="SNW88" s="916"/>
      <c r="SNX88" s="916"/>
      <c r="SNY88" s="916"/>
      <c r="SNZ88" s="916"/>
      <c r="SOA88" s="916"/>
      <c r="SOB88" s="916"/>
      <c r="SOC88" s="916"/>
      <c r="SOD88" s="916"/>
      <c r="SOE88" s="916"/>
      <c r="SOF88" s="916"/>
      <c r="SOG88" s="916"/>
      <c r="SOH88" s="916"/>
      <c r="SOI88" s="916"/>
      <c r="SOJ88" s="916"/>
      <c r="SOK88" s="916"/>
      <c r="SOL88" s="916"/>
      <c r="SOM88" s="916"/>
      <c r="SON88" s="916"/>
      <c r="SOO88" s="916"/>
      <c r="SOP88" s="916"/>
      <c r="SOQ88" s="916"/>
      <c r="SOR88" s="916"/>
      <c r="SOS88" s="916"/>
      <c r="SOT88" s="916"/>
      <c r="SOU88" s="916"/>
      <c r="SOV88" s="916"/>
      <c r="SOW88" s="916"/>
      <c r="SOX88" s="916"/>
      <c r="SOY88" s="916"/>
      <c r="SOZ88" s="916"/>
      <c r="SPA88" s="916"/>
      <c r="SPB88" s="916"/>
      <c r="SPC88" s="916"/>
      <c r="SPD88" s="916"/>
      <c r="SPE88" s="916"/>
      <c r="SPF88" s="916"/>
      <c r="SPG88" s="916"/>
      <c r="SPH88" s="916"/>
      <c r="SPI88" s="916"/>
      <c r="SPJ88" s="916"/>
      <c r="SPK88" s="916"/>
      <c r="SPL88" s="916"/>
      <c r="SPM88" s="916"/>
      <c r="SPN88" s="916"/>
      <c r="SPO88" s="916"/>
      <c r="SPP88" s="916"/>
      <c r="SPQ88" s="916"/>
      <c r="SPR88" s="916"/>
      <c r="SPS88" s="916"/>
      <c r="SPT88" s="916"/>
      <c r="SPU88" s="916"/>
      <c r="SPV88" s="916"/>
      <c r="SPW88" s="916"/>
      <c r="SPX88" s="916"/>
      <c r="SPY88" s="916"/>
      <c r="SPZ88" s="916"/>
      <c r="SQA88" s="916"/>
      <c r="SQB88" s="916"/>
      <c r="SQC88" s="916"/>
      <c r="SQD88" s="916"/>
      <c r="SQE88" s="916"/>
      <c r="SQF88" s="916"/>
      <c r="SQG88" s="916"/>
      <c r="SQH88" s="916"/>
      <c r="SQI88" s="916"/>
      <c r="SQJ88" s="916"/>
      <c r="SQK88" s="916"/>
      <c r="SQL88" s="916"/>
      <c r="SQM88" s="916"/>
      <c r="SQN88" s="916"/>
      <c r="SQO88" s="916"/>
      <c r="SQP88" s="916"/>
      <c r="SQQ88" s="916"/>
      <c r="SQR88" s="916"/>
      <c r="SQS88" s="916"/>
      <c r="SQT88" s="916"/>
      <c r="SQU88" s="916"/>
      <c r="SQV88" s="916"/>
      <c r="SQW88" s="916"/>
      <c r="SQX88" s="916"/>
      <c r="SQY88" s="916"/>
      <c r="SQZ88" s="916"/>
      <c r="SRA88" s="916"/>
      <c r="SRB88" s="916"/>
      <c r="SRC88" s="916"/>
      <c r="SRD88" s="916"/>
      <c r="SRE88" s="916"/>
      <c r="SRF88" s="916"/>
      <c r="SRG88" s="916"/>
      <c r="SRH88" s="916"/>
      <c r="SRI88" s="916"/>
      <c r="SRJ88" s="916"/>
      <c r="SRK88" s="916"/>
      <c r="SRL88" s="916"/>
      <c r="SRM88" s="916"/>
      <c r="SRN88" s="916"/>
      <c r="SRO88" s="916"/>
      <c r="SRP88" s="916"/>
      <c r="SRQ88" s="916"/>
      <c r="SRR88" s="916"/>
      <c r="SRS88" s="916"/>
      <c r="SRT88" s="916"/>
      <c r="SRU88" s="916"/>
      <c r="SRV88" s="916"/>
      <c r="SRW88" s="916"/>
      <c r="SRX88" s="916"/>
      <c r="SRY88" s="916"/>
      <c r="SRZ88" s="916"/>
      <c r="SSA88" s="916"/>
      <c r="SSB88" s="916"/>
      <c r="SSC88" s="916"/>
      <c r="SSD88" s="916"/>
      <c r="SSE88" s="916"/>
      <c r="SSF88" s="916"/>
      <c r="SSG88" s="916"/>
      <c r="SSH88" s="916"/>
      <c r="SSI88" s="916"/>
      <c r="SSJ88" s="916"/>
      <c r="SSK88" s="916"/>
      <c r="SSL88" s="916"/>
      <c r="SSM88" s="916"/>
      <c r="SSN88" s="916"/>
      <c r="SSO88" s="916"/>
      <c r="SSP88" s="916"/>
      <c r="SSQ88" s="916"/>
      <c r="SSR88" s="916"/>
      <c r="SSS88" s="916"/>
      <c r="SST88" s="916"/>
      <c r="SSU88" s="916"/>
      <c r="SSV88" s="916"/>
      <c r="SSW88" s="916"/>
      <c r="SSX88" s="916"/>
      <c r="SSY88" s="916"/>
      <c r="SSZ88" s="916"/>
      <c r="STA88" s="916"/>
      <c r="STB88" s="916"/>
      <c r="STC88" s="916"/>
      <c r="STD88" s="916"/>
      <c r="STE88" s="916"/>
      <c r="STF88" s="916"/>
      <c r="STG88" s="916"/>
      <c r="STH88" s="916"/>
      <c r="STI88" s="916"/>
      <c r="STJ88" s="916"/>
      <c r="STK88" s="916"/>
      <c r="STL88" s="916"/>
      <c r="STM88" s="916"/>
      <c r="STN88" s="916"/>
      <c r="STO88" s="916"/>
      <c r="STP88" s="916"/>
      <c r="STQ88" s="916"/>
      <c r="STR88" s="916"/>
      <c r="STS88" s="916"/>
      <c r="STT88" s="916"/>
      <c r="STU88" s="916"/>
      <c r="STV88" s="916"/>
      <c r="STW88" s="916"/>
      <c r="STX88" s="916"/>
      <c r="STY88" s="916"/>
      <c r="STZ88" s="916"/>
      <c r="SUA88" s="916"/>
      <c r="SUB88" s="916"/>
      <c r="SUC88" s="916"/>
      <c r="SUD88" s="916"/>
      <c r="SUE88" s="916"/>
      <c r="SUF88" s="916"/>
      <c r="SUG88" s="916"/>
      <c r="SUH88" s="916"/>
      <c r="SUI88" s="916"/>
      <c r="SUJ88" s="916"/>
      <c r="SUK88" s="916"/>
      <c r="SUL88" s="916"/>
      <c r="SUM88" s="916"/>
      <c r="SUN88" s="916"/>
      <c r="SUO88" s="916"/>
      <c r="SUP88" s="916"/>
      <c r="SUQ88" s="916"/>
      <c r="SUR88" s="916"/>
      <c r="SUS88" s="916"/>
      <c r="SUT88" s="916"/>
      <c r="SUU88" s="916"/>
      <c r="SUV88" s="916"/>
      <c r="SUW88" s="916"/>
      <c r="SUX88" s="916"/>
      <c r="SUY88" s="916"/>
      <c r="SUZ88" s="916"/>
      <c r="SVA88" s="916"/>
      <c r="SVB88" s="916"/>
      <c r="SVC88" s="916"/>
      <c r="SVD88" s="916"/>
      <c r="SVE88" s="916"/>
      <c r="SVF88" s="916"/>
      <c r="SVG88" s="916"/>
      <c r="SVH88" s="916"/>
      <c r="SVI88" s="916"/>
      <c r="SVJ88" s="916"/>
      <c r="SVK88" s="916"/>
      <c r="SVL88" s="916"/>
      <c r="SVM88" s="916"/>
      <c r="SVN88" s="916"/>
      <c r="SVO88" s="916"/>
      <c r="SVP88" s="916"/>
      <c r="SVQ88" s="916"/>
      <c r="SVR88" s="916"/>
      <c r="SVS88" s="916"/>
      <c r="SVT88" s="916"/>
      <c r="SVU88" s="916"/>
      <c r="SVV88" s="916"/>
      <c r="SVW88" s="916"/>
      <c r="SVX88" s="916"/>
      <c r="SVY88" s="916"/>
      <c r="SVZ88" s="916"/>
      <c r="SWA88" s="916"/>
      <c r="SWB88" s="916"/>
      <c r="SWC88" s="916"/>
      <c r="SWD88" s="916"/>
      <c r="SWE88" s="916"/>
      <c r="SWF88" s="916"/>
      <c r="SWG88" s="916"/>
      <c r="SWH88" s="916"/>
      <c r="SWI88" s="916"/>
      <c r="SWJ88" s="916"/>
      <c r="SWK88" s="916"/>
      <c r="SWL88" s="916"/>
      <c r="SWM88" s="916"/>
      <c r="SWN88" s="916"/>
      <c r="SWO88" s="916"/>
      <c r="SWP88" s="916"/>
      <c r="SWQ88" s="916"/>
      <c r="SWR88" s="916"/>
      <c r="SWS88" s="916"/>
      <c r="SWT88" s="916"/>
      <c r="SWU88" s="916"/>
      <c r="SWV88" s="916"/>
      <c r="SWW88" s="916"/>
      <c r="SWX88" s="916"/>
      <c r="SWY88" s="916"/>
      <c r="SWZ88" s="916"/>
      <c r="SXA88" s="916"/>
      <c r="SXB88" s="916"/>
      <c r="SXC88" s="916"/>
      <c r="SXD88" s="916"/>
      <c r="SXE88" s="916"/>
      <c r="SXF88" s="916"/>
      <c r="SXG88" s="916"/>
      <c r="SXH88" s="916"/>
      <c r="SXI88" s="916"/>
      <c r="SXJ88" s="916"/>
      <c r="SXK88" s="916"/>
      <c r="SXL88" s="916"/>
      <c r="SXM88" s="916"/>
      <c r="SXN88" s="916"/>
      <c r="SXO88" s="916"/>
      <c r="SXP88" s="916"/>
      <c r="SXQ88" s="916"/>
      <c r="SXR88" s="916"/>
      <c r="SXS88" s="916"/>
      <c r="SXT88" s="916"/>
      <c r="SXU88" s="916"/>
      <c r="SXV88" s="916"/>
      <c r="SXW88" s="916"/>
      <c r="SXX88" s="916"/>
      <c r="SXY88" s="916"/>
      <c r="SXZ88" s="916"/>
      <c r="SYA88" s="916"/>
      <c r="SYB88" s="916"/>
      <c r="SYC88" s="916"/>
      <c r="SYD88" s="916"/>
      <c r="SYE88" s="916"/>
      <c r="SYF88" s="916"/>
      <c r="SYG88" s="916"/>
      <c r="SYH88" s="916"/>
      <c r="SYI88" s="916"/>
      <c r="SYJ88" s="916"/>
      <c r="SYK88" s="916"/>
      <c r="SYL88" s="916"/>
      <c r="SYM88" s="916"/>
      <c r="SYN88" s="916"/>
      <c r="SYO88" s="916"/>
      <c r="SYP88" s="916"/>
      <c r="SYQ88" s="916"/>
      <c r="SYR88" s="916"/>
      <c r="SYS88" s="916"/>
      <c r="SYT88" s="916"/>
      <c r="SYU88" s="916"/>
      <c r="SYV88" s="916"/>
      <c r="SYW88" s="916"/>
      <c r="SYX88" s="916"/>
      <c r="SYY88" s="916"/>
      <c r="SYZ88" s="916"/>
      <c r="SZA88" s="916"/>
      <c r="SZB88" s="916"/>
      <c r="SZC88" s="916"/>
      <c r="SZD88" s="916"/>
      <c r="SZE88" s="916"/>
      <c r="SZF88" s="916"/>
      <c r="SZG88" s="916"/>
      <c r="SZH88" s="916"/>
      <c r="SZI88" s="916"/>
      <c r="SZJ88" s="916"/>
      <c r="SZK88" s="916"/>
      <c r="SZL88" s="916"/>
      <c r="SZM88" s="916"/>
      <c r="SZN88" s="916"/>
      <c r="SZO88" s="916"/>
      <c r="SZP88" s="916"/>
      <c r="SZQ88" s="916"/>
      <c r="SZR88" s="916"/>
      <c r="SZS88" s="916"/>
      <c r="SZT88" s="916"/>
      <c r="SZU88" s="916"/>
      <c r="SZV88" s="916"/>
      <c r="SZW88" s="916"/>
      <c r="SZX88" s="916"/>
      <c r="SZY88" s="916"/>
      <c r="SZZ88" s="916"/>
      <c r="TAA88" s="916"/>
      <c r="TAB88" s="916"/>
      <c r="TAC88" s="916"/>
      <c r="TAD88" s="916"/>
      <c r="TAE88" s="916"/>
      <c r="TAF88" s="916"/>
      <c r="TAG88" s="916"/>
      <c r="TAH88" s="916"/>
      <c r="TAI88" s="916"/>
      <c r="TAJ88" s="916"/>
      <c r="TAK88" s="916"/>
      <c r="TAL88" s="916"/>
      <c r="TAM88" s="916"/>
      <c r="TAN88" s="916"/>
      <c r="TAO88" s="916"/>
      <c r="TAP88" s="916"/>
      <c r="TAQ88" s="916"/>
      <c r="TAR88" s="916"/>
      <c r="TAS88" s="916"/>
      <c r="TAT88" s="916"/>
      <c r="TAU88" s="916"/>
      <c r="TAV88" s="916"/>
      <c r="TAW88" s="916"/>
      <c r="TAX88" s="916"/>
      <c r="TAY88" s="916"/>
      <c r="TAZ88" s="916"/>
      <c r="TBA88" s="916"/>
      <c r="TBB88" s="916"/>
      <c r="TBC88" s="916"/>
      <c r="TBD88" s="916"/>
      <c r="TBE88" s="916"/>
      <c r="TBF88" s="916"/>
      <c r="TBG88" s="916"/>
      <c r="TBH88" s="916"/>
      <c r="TBI88" s="916"/>
      <c r="TBJ88" s="916"/>
      <c r="TBK88" s="916"/>
      <c r="TBL88" s="916"/>
      <c r="TBM88" s="916"/>
      <c r="TBN88" s="916"/>
      <c r="TBO88" s="916"/>
      <c r="TBP88" s="916"/>
      <c r="TBQ88" s="916"/>
      <c r="TBR88" s="916"/>
      <c r="TBS88" s="916"/>
      <c r="TBT88" s="916"/>
      <c r="TBU88" s="916"/>
      <c r="TBV88" s="916"/>
      <c r="TBW88" s="916"/>
      <c r="TBX88" s="916"/>
      <c r="TBY88" s="916"/>
      <c r="TBZ88" s="916"/>
      <c r="TCA88" s="916"/>
      <c r="TCB88" s="916"/>
      <c r="TCC88" s="916"/>
      <c r="TCD88" s="916"/>
      <c r="TCE88" s="916"/>
      <c r="TCF88" s="916"/>
      <c r="TCG88" s="916"/>
      <c r="TCH88" s="916"/>
      <c r="TCI88" s="916"/>
      <c r="TCJ88" s="916"/>
      <c r="TCK88" s="916"/>
      <c r="TCL88" s="916"/>
      <c r="TCM88" s="916"/>
      <c r="TCN88" s="916"/>
      <c r="TCO88" s="916"/>
      <c r="TCP88" s="916"/>
      <c r="TCQ88" s="916"/>
      <c r="TCR88" s="916"/>
      <c r="TCS88" s="916"/>
      <c r="TCT88" s="916"/>
      <c r="TCU88" s="916"/>
      <c r="TCV88" s="916"/>
      <c r="TCW88" s="916"/>
      <c r="TCX88" s="916"/>
      <c r="TCY88" s="916"/>
      <c r="TCZ88" s="916"/>
      <c r="TDA88" s="916"/>
      <c r="TDB88" s="916"/>
      <c r="TDC88" s="916"/>
      <c r="TDD88" s="916"/>
      <c r="TDE88" s="916"/>
      <c r="TDF88" s="916"/>
      <c r="TDG88" s="916"/>
      <c r="TDH88" s="916"/>
      <c r="TDI88" s="916"/>
      <c r="TDJ88" s="916"/>
      <c r="TDK88" s="916"/>
      <c r="TDL88" s="916"/>
      <c r="TDM88" s="916"/>
      <c r="TDN88" s="916"/>
      <c r="TDO88" s="916"/>
      <c r="TDP88" s="916"/>
      <c r="TDQ88" s="916"/>
      <c r="TDR88" s="916"/>
      <c r="TDS88" s="916"/>
      <c r="TDT88" s="916"/>
      <c r="TDU88" s="916"/>
      <c r="TDV88" s="916"/>
      <c r="TDW88" s="916"/>
      <c r="TDX88" s="916"/>
      <c r="TDY88" s="916"/>
      <c r="TDZ88" s="916"/>
      <c r="TEA88" s="916"/>
      <c r="TEB88" s="916"/>
      <c r="TEC88" s="916"/>
      <c r="TED88" s="916"/>
      <c r="TEE88" s="916"/>
      <c r="TEF88" s="916"/>
      <c r="TEG88" s="916"/>
      <c r="TEH88" s="916"/>
      <c r="TEI88" s="916"/>
      <c r="TEJ88" s="916"/>
      <c r="TEK88" s="916"/>
      <c r="TEL88" s="916"/>
      <c r="TEM88" s="916"/>
      <c r="TEN88" s="916"/>
      <c r="TEO88" s="916"/>
      <c r="TEP88" s="916"/>
      <c r="TEQ88" s="916"/>
      <c r="TER88" s="916"/>
      <c r="TES88" s="916"/>
      <c r="TET88" s="916"/>
      <c r="TEU88" s="916"/>
      <c r="TEV88" s="916"/>
      <c r="TEW88" s="916"/>
      <c r="TEX88" s="916"/>
      <c r="TEY88" s="916"/>
      <c r="TEZ88" s="916"/>
      <c r="TFA88" s="916"/>
      <c r="TFB88" s="916"/>
      <c r="TFC88" s="916"/>
      <c r="TFD88" s="916"/>
      <c r="TFE88" s="916"/>
      <c r="TFF88" s="916"/>
      <c r="TFG88" s="916"/>
      <c r="TFH88" s="916"/>
      <c r="TFI88" s="916"/>
      <c r="TFJ88" s="916"/>
      <c r="TFK88" s="916"/>
      <c r="TFL88" s="916"/>
      <c r="TFM88" s="916"/>
      <c r="TFN88" s="916"/>
      <c r="TFO88" s="916"/>
      <c r="TFP88" s="916"/>
      <c r="TFQ88" s="916"/>
      <c r="TFR88" s="916"/>
      <c r="TFS88" s="916"/>
      <c r="TFT88" s="916"/>
      <c r="TFU88" s="916"/>
      <c r="TFV88" s="916"/>
      <c r="TFW88" s="916"/>
      <c r="TFX88" s="916"/>
      <c r="TFY88" s="916"/>
      <c r="TFZ88" s="916"/>
      <c r="TGA88" s="916"/>
      <c r="TGB88" s="916"/>
      <c r="TGC88" s="916"/>
      <c r="TGD88" s="916"/>
      <c r="TGE88" s="916"/>
      <c r="TGF88" s="916"/>
      <c r="TGG88" s="916"/>
      <c r="TGH88" s="916"/>
      <c r="TGI88" s="916"/>
      <c r="TGJ88" s="916"/>
      <c r="TGK88" s="916"/>
      <c r="TGL88" s="916"/>
      <c r="TGM88" s="916"/>
      <c r="TGN88" s="916"/>
      <c r="TGO88" s="916"/>
      <c r="TGP88" s="916"/>
      <c r="TGQ88" s="916"/>
      <c r="TGR88" s="916"/>
      <c r="TGS88" s="916"/>
      <c r="TGT88" s="916"/>
      <c r="TGU88" s="916"/>
      <c r="TGV88" s="916"/>
      <c r="TGW88" s="916"/>
      <c r="TGX88" s="916"/>
      <c r="TGY88" s="916"/>
      <c r="TGZ88" s="916"/>
      <c r="THA88" s="916"/>
      <c r="THB88" s="916"/>
      <c r="THC88" s="916"/>
      <c r="THD88" s="916"/>
      <c r="THE88" s="916"/>
      <c r="THF88" s="916"/>
      <c r="THG88" s="916"/>
      <c r="THH88" s="916"/>
      <c r="THI88" s="916"/>
      <c r="THJ88" s="916"/>
      <c r="THK88" s="916"/>
      <c r="THL88" s="916"/>
      <c r="THM88" s="916"/>
      <c r="THN88" s="916"/>
      <c r="THO88" s="916"/>
      <c r="THP88" s="916"/>
      <c r="THQ88" s="916"/>
      <c r="THR88" s="916"/>
      <c r="THS88" s="916"/>
      <c r="THT88" s="916"/>
      <c r="THU88" s="916"/>
      <c r="THV88" s="916"/>
      <c r="THW88" s="916"/>
      <c r="THX88" s="916"/>
      <c r="THY88" s="916"/>
      <c r="THZ88" s="916"/>
      <c r="TIA88" s="916"/>
      <c r="TIB88" s="916"/>
      <c r="TIC88" s="916"/>
      <c r="TID88" s="916"/>
      <c r="TIE88" s="916"/>
      <c r="TIF88" s="916"/>
      <c r="TIG88" s="916"/>
      <c r="TIH88" s="916"/>
      <c r="TII88" s="916"/>
      <c r="TIJ88" s="916"/>
      <c r="TIK88" s="916"/>
      <c r="TIL88" s="916"/>
      <c r="TIM88" s="916"/>
      <c r="TIN88" s="916"/>
      <c r="TIO88" s="916"/>
      <c r="TIP88" s="916"/>
      <c r="TIQ88" s="916"/>
      <c r="TIR88" s="916"/>
      <c r="TIS88" s="916"/>
      <c r="TIT88" s="916"/>
      <c r="TIU88" s="916"/>
      <c r="TIV88" s="916"/>
      <c r="TIW88" s="916"/>
      <c r="TIX88" s="916"/>
      <c r="TIY88" s="916"/>
      <c r="TIZ88" s="916"/>
      <c r="TJA88" s="916"/>
      <c r="TJB88" s="916"/>
      <c r="TJC88" s="916"/>
      <c r="TJD88" s="916"/>
      <c r="TJE88" s="916"/>
      <c r="TJF88" s="916"/>
      <c r="TJG88" s="916"/>
      <c r="TJH88" s="916"/>
      <c r="TJI88" s="916"/>
      <c r="TJJ88" s="916"/>
      <c r="TJK88" s="916"/>
      <c r="TJL88" s="916"/>
      <c r="TJM88" s="916"/>
      <c r="TJN88" s="916"/>
      <c r="TJO88" s="916"/>
      <c r="TJP88" s="916"/>
      <c r="TJQ88" s="916"/>
      <c r="TJR88" s="916"/>
      <c r="TJS88" s="916"/>
      <c r="TJT88" s="916"/>
      <c r="TJU88" s="916"/>
      <c r="TJV88" s="916"/>
      <c r="TJW88" s="916"/>
      <c r="TJX88" s="916"/>
      <c r="TJY88" s="916"/>
      <c r="TJZ88" s="916"/>
      <c r="TKA88" s="916"/>
      <c r="TKB88" s="916"/>
      <c r="TKC88" s="916"/>
      <c r="TKD88" s="916"/>
      <c r="TKE88" s="916"/>
      <c r="TKF88" s="916"/>
      <c r="TKG88" s="916"/>
      <c r="TKH88" s="916"/>
      <c r="TKI88" s="916"/>
      <c r="TKJ88" s="916"/>
      <c r="TKK88" s="916"/>
      <c r="TKL88" s="916"/>
      <c r="TKM88" s="916"/>
      <c r="TKN88" s="916"/>
      <c r="TKO88" s="916"/>
      <c r="TKP88" s="916"/>
      <c r="TKQ88" s="916"/>
      <c r="TKR88" s="916"/>
      <c r="TKS88" s="916"/>
      <c r="TKT88" s="916"/>
      <c r="TKU88" s="916"/>
      <c r="TKV88" s="916"/>
      <c r="TKW88" s="916"/>
      <c r="TKX88" s="916"/>
      <c r="TKY88" s="916"/>
      <c r="TKZ88" s="916"/>
      <c r="TLA88" s="916"/>
      <c r="TLB88" s="916"/>
      <c r="TLC88" s="916"/>
      <c r="TLD88" s="916"/>
      <c r="TLE88" s="916"/>
      <c r="TLF88" s="916"/>
      <c r="TLG88" s="916"/>
      <c r="TLH88" s="916"/>
      <c r="TLI88" s="916"/>
      <c r="TLJ88" s="916"/>
      <c r="TLK88" s="916"/>
      <c r="TLL88" s="916"/>
      <c r="TLM88" s="916"/>
      <c r="TLN88" s="916"/>
      <c r="TLO88" s="916"/>
      <c r="TLP88" s="916"/>
      <c r="TLQ88" s="916"/>
      <c r="TLR88" s="916"/>
      <c r="TLS88" s="916"/>
      <c r="TLT88" s="916"/>
      <c r="TLU88" s="916"/>
      <c r="TLV88" s="916"/>
      <c r="TLW88" s="916"/>
      <c r="TLX88" s="916"/>
      <c r="TLY88" s="916"/>
      <c r="TLZ88" s="916"/>
      <c r="TMA88" s="916"/>
      <c r="TMB88" s="916"/>
      <c r="TMC88" s="916"/>
      <c r="TMD88" s="916"/>
      <c r="TME88" s="916"/>
      <c r="TMF88" s="916"/>
      <c r="TMG88" s="916"/>
      <c r="TMH88" s="916"/>
      <c r="TMI88" s="916"/>
      <c r="TMJ88" s="916"/>
      <c r="TMK88" s="916"/>
      <c r="TML88" s="916"/>
      <c r="TMM88" s="916"/>
      <c r="TMN88" s="916"/>
      <c r="TMO88" s="916"/>
      <c r="TMP88" s="916"/>
      <c r="TMQ88" s="916"/>
      <c r="TMR88" s="916"/>
      <c r="TMS88" s="916"/>
      <c r="TMT88" s="916"/>
      <c r="TMU88" s="916"/>
      <c r="TMV88" s="916"/>
      <c r="TMW88" s="916"/>
      <c r="TMX88" s="916"/>
      <c r="TMY88" s="916"/>
      <c r="TMZ88" s="916"/>
      <c r="TNA88" s="916"/>
      <c r="TNB88" s="916"/>
      <c r="TNC88" s="916"/>
      <c r="TND88" s="916"/>
      <c r="TNE88" s="916"/>
      <c r="TNF88" s="916"/>
      <c r="TNG88" s="916"/>
      <c r="TNH88" s="916"/>
      <c r="TNI88" s="916"/>
      <c r="TNJ88" s="916"/>
      <c r="TNK88" s="916"/>
      <c r="TNL88" s="916"/>
      <c r="TNM88" s="916"/>
      <c r="TNN88" s="916"/>
      <c r="TNO88" s="916"/>
      <c r="TNP88" s="916"/>
      <c r="TNQ88" s="916"/>
      <c r="TNR88" s="916"/>
      <c r="TNS88" s="916"/>
      <c r="TNT88" s="916"/>
      <c r="TNU88" s="916"/>
      <c r="TNV88" s="916"/>
      <c r="TNW88" s="916"/>
      <c r="TNX88" s="916"/>
      <c r="TNY88" s="916"/>
      <c r="TNZ88" s="916"/>
      <c r="TOA88" s="916"/>
      <c r="TOB88" s="916"/>
      <c r="TOC88" s="916"/>
      <c r="TOD88" s="916"/>
      <c r="TOE88" s="916"/>
      <c r="TOF88" s="916"/>
      <c r="TOG88" s="916"/>
      <c r="TOH88" s="916"/>
      <c r="TOI88" s="916"/>
      <c r="TOJ88" s="916"/>
      <c r="TOK88" s="916"/>
      <c r="TOL88" s="916"/>
      <c r="TOM88" s="916"/>
      <c r="TON88" s="916"/>
      <c r="TOO88" s="916"/>
      <c r="TOP88" s="916"/>
      <c r="TOQ88" s="916"/>
      <c r="TOR88" s="916"/>
      <c r="TOS88" s="916"/>
      <c r="TOT88" s="916"/>
      <c r="TOU88" s="916"/>
      <c r="TOV88" s="916"/>
      <c r="TOW88" s="916"/>
      <c r="TOX88" s="916"/>
      <c r="TOY88" s="916"/>
      <c r="TOZ88" s="916"/>
      <c r="TPA88" s="916"/>
      <c r="TPB88" s="916"/>
      <c r="TPC88" s="916"/>
      <c r="TPD88" s="916"/>
      <c r="TPE88" s="916"/>
      <c r="TPF88" s="916"/>
      <c r="TPG88" s="916"/>
      <c r="TPH88" s="916"/>
      <c r="TPI88" s="916"/>
      <c r="TPJ88" s="916"/>
      <c r="TPK88" s="916"/>
      <c r="TPL88" s="916"/>
      <c r="TPM88" s="916"/>
      <c r="TPN88" s="916"/>
      <c r="TPO88" s="916"/>
      <c r="TPP88" s="916"/>
      <c r="TPQ88" s="916"/>
      <c r="TPR88" s="916"/>
      <c r="TPS88" s="916"/>
      <c r="TPT88" s="916"/>
      <c r="TPU88" s="916"/>
      <c r="TPV88" s="916"/>
      <c r="TPW88" s="916"/>
      <c r="TPX88" s="916"/>
      <c r="TPY88" s="916"/>
      <c r="TPZ88" s="916"/>
      <c r="TQA88" s="916"/>
      <c r="TQB88" s="916"/>
      <c r="TQC88" s="916"/>
      <c r="TQD88" s="916"/>
      <c r="TQE88" s="916"/>
      <c r="TQF88" s="916"/>
      <c r="TQG88" s="916"/>
      <c r="TQH88" s="916"/>
      <c r="TQI88" s="916"/>
      <c r="TQJ88" s="916"/>
      <c r="TQK88" s="916"/>
      <c r="TQL88" s="916"/>
      <c r="TQM88" s="916"/>
      <c r="TQN88" s="916"/>
      <c r="TQO88" s="916"/>
      <c r="TQP88" s="916"/>
      <c r="TQQ88" s="916"/>
      <c r="TQR88" s="916"/>
      <c r="TQS88" s="916"/>
      <c r="TQT88" s="916"/>
      <c r="TQU88" s="916"/>
      <c r="TQV88" s="916"/>
      <c r="TQW88" s="916"/>
      <c r="TQX88" s="916"/>
      <c r="TQY88" s="916"/>
      <c r="TQZ88" s="916"/>
      <c r="TRA88" s="916"/>
      <c r="TRB88" s="916"/>
      <c r="TRC88" s="916"/>
      <c r="TRD88" s="916"/>
      <c r="TRE88" s="916"/>
      <c r="TRF88" s="916"/>
      <c r="TRG88" s="916"/>
      <c r="TRH88" s="916"/>
      <c r="TRI88" s="916"/>
      <c r="TRJ88" s="916"/>
      <c r="TRK88" s="916"/>
      <c r="TRL88" s="916"/>
      <c r="TRM88" s="916"/>
      <c r="TRN88" s="916"/>
      <c r="TRO88" s="916"/>
      <c r="TRP88" s="916"/>
      <c r="TRQ88" s="916"/>
      <c r="TRR88" s="916"/>
      <c r="TRS88" s="916"/>
      <c r="TRT88" s="916"/>
      <c r="TRU88" s="916"/>
      <c r="TRV88" s="916"/>
      <c r="TRW88" s="916"/>
      <c r="TRX88" s="916"/>
      <c r="TRY88" s="916"/>
      <c r="TRZ88" s="916"/>
      <c r="TSA88" s="916"/>
      <c r="TSB88" s="916"/>
      <c r="TSC88" s="916"/>
      <c r="TSD88" s="916"/>
      <c r="TSE88" s="916"/>
      <c r="TSF88" s="916"/>
      <c r="TSG88" s="916"/>
      <c r="TSH88" s="916"/>
      <c r="TSI88" s="916"/>
      <c r="TSJ88" s="916"/>
      <c r="TSK88" s="916"/>
      <c r="TSL88" s="916"/>
      <c r="TSM88" s="916"/>
      <c r="TSN88" s="916"/>
      <c r="TSO88" s="916"/>
      <c r="TSP88" s="916"/>
      <c r="TSQ88" s="916"/>
      <c r="TSR88" s="916"/>
      <c r="TSS88" s="916"/>
      <c r="TST88" s="916"/>
      <c r="TSU88" s="916"/>
      <c r="TSV88" s="916"/>
      <c r="TSW88" s="916"/>
      <c r="TSX88" s="916"/>
      <c r="TSY88" s="916"/>
      <c r="TSZ88" s="916"/>
      <c r="TTA88" s="916"/>
      <c r="TTB88" s="916"/>
      <c r="TTC88" s="916"/>
      <c r="TTD88" s="916"/>
      <c r="TTE88" s="916"/>
      <c r="TTF88" s="916"/>
      <c r="TTG88" s="916"/>
      <c r="TTH88" s="916"/>
      <c r="TTI88" s="916"/>
      <c r="TTJ88" s="916"/>
      <c r="TTK88" s="916"/>
      <c r="TTL88" s="916"/>
      <c r="TTM88" s="916"/>
      <c r="TTN88" s="916"/>
      <c r="TTO88" s="916"/>
      <c r="TTP88" s="916"/>
      <c r="TTQ88" s="916"/>
      <c r="TTR88" s="916"/>
      <c r="TTS88" s="916"/>
      <c r="TTT88" s="916"/>
      <c r="TTU88" s="916"/>
      <c r="TTV88" s="916"/>
      <c r="TTW88" s="916"/>
      <c r="TTX88" s="916"/>
      <c r="TTY88" s="916"/>
      <c r="TTZ88" s="916"/>
      <c r="TUA88" s="916"/>
      <c r="TUB88" s="916"/>
      <c r="TUC88" s="916"/>
      <c r="TUD88" s="916"/>
      <c r="TUE88" s="916"/>
      <c r="TUF88" s="916"/>
      <c r="TUG88" s="916"/>
      <c r="TUH88" s="916"/>
      <c r="TUI88" s="916"/>
      <c r="TUJ88" s="916"/>
      <c r="TUK88" s="916"/>
      <c r="TUL88" s="916"/>
      <c r="TUM88" s="916"/>
      <c r="TUN88" s="916"/>
      <c r="TUO88" s="916"/>
      <c r="TUP88" s="916"/>
      <c r="TUQ88" s="916"/>
      <c r="TUR88" s="916"/>
      <c r="TUS88" s="916"/>
      <c r="TUT88" s="916"/>
      <c r="TUU88" s="916"/>
      <c r="TUV88" s="916"/>
      <c r="TUW88" s="916"/>
      <c r="TUX88" s="916"/>
      <c r="TUY88" s="916"/>
      <c r="TUZ88" s="916"/>
      <c r="TVA88" s="916"/>
      <c r="TVB88" s="916"/>
      <c r="TVC88" s="916"/>
      <c r="TVD88" s="916"/>
      <c r="TVE88" s="916"/>
      <c r="TVF88" s="916"/>
      <c r="TVG88" s="916"/>
      <c r="TVH88" s="916"/>
      <c r="TVI88" s="916"/>
      <c r="TVJ88" s="916"/>
      <c r="TVK88" s="916"/>
      <c r="TVL88" s="916"/>
      <c r="TVM88" s="916"/>
      <c r="TVN88" s="916"/>
      <c r="TVO88" s="916"/>
      <c r="TVP88" s="916"/>
      <c r="TVQ88" s="916"/>
      <c r="TVR88" s="916"/>
      <c r="TVS88" s="916"/>
      <c r="TVT88" s="916"/>
      <c r="TVU88" s="916"/>
      <c r="TVV88" s="916"/>
      <c r="TVW88" s="916"/>
      <c r="TVX88" s="916"/>
      <c r="TVY88" s="916"/>
      <c r="TVZ88" s="916"/>
      <c r="TWA88" s="916"/>
      <c r="TWB88" s="916"/>
      <c r="TWC88" s="916"/>
      <c r="TWD88" s="916"/>
      <c r="TWE88" s="916"/>
      <c r="TWF88" s="916"/>
      <c r="TWG88" s="916"/>
      <c r="TWH88" s="916"/>
      <c r="TWI88" s="916"/>
      <c r="TWJ88" s="916"/>
      <c r="TWK88" s="916"/>
      <c r="TWL88" s="916"/>
      <c r="TWM88" s="916"/>
      <c r="TWN88" s="916"/>
      <c r="TWO88" s="916"/>
      <c r="TWP88" s="916"/>
      <c r="TWQ88" s="916"/>
      <c r="TWR88" s="916"/>
      <c r="TWS88" s="916"/>
      <c r="TWT88" s="916"/>
      <c r="TWU88" s="916"/>
      <c r="TWV88" s="916"/>
      <c r="TWW88" s="916"/>
      <c r="TWX88" s="916"/>
      <c r="TWY88" s="916"/>
      <c r="TWZ88" s="916"/>
      <c r="TXA88" s="916"/>
      <c r="TXB88" s="916"/>
      <c r="TXC88" s="916"/>
      <c r="TXD88" s="916"/>
      <c r="TXE88" s="916"/>
      <c r="TXF88" s="916"/>
      <c r="TXG88" s="916"/>
      <c r="TXH88" s="916"/>
      <c r="TXI88" s="916"/>
      <c r="TXJ88" s="916"/>
      <c r="TXK88" s="916"/>
      <c r="TXL88" s="916"/>
      <c r="TXM88" s="916"/>
      <c r="TXN88" s="916"/>
      <c r="TXO88" s="916"/>
      <c r="TXP88" s="916"/>
      <c r="TXQ88" s="916"/>
      <c r="TXR88" s="916"/>
      <c r="TXS88" s="916"/>
      <c r="TXT88" s="916"/>
      <c r="TXU88" s="916"/>
      <c r="TXV88" s="916"/>
      <c r="TXW88" s="916"/>
      <c r="TXX88" s="916"/>
      <c r="TXY88" s="916"/>
      <c r="TXZ88" s="916"/>
      <c r="TYA88" s="916"/>
      <c r="TYB88" s="916"/>
      <c r="TYC88" s="916"/>
      <c r="TYD88" s="916"/>
      <c r="TYE88" s="916"/>
      <c r="TYF88" s="916"/>
      <c r="TYG88" s="916"/>
      <c r="TYH88" s="916"/>
      <c r="TYI88" s="916"/>
      <c r="TYJ88" s="916"/>
      <c r="TYK88" s="916"/>
      <c r="TYL88" s="916"/>
      <c r="TYM88" s="916"/>
      <c r="TYN88" s="916"/>
      <c r="TYO88" s="916"/>
      <c r="TYP88" s="916"/>
      <c r="TYQ88" s="916"/>
      <c r="TYR88" s="916"/>
      <c r="TYS88" s="916"/>
      <c r="TYT88" s="916"/>
      <c r="TYU88" s="916"/>
      <c r="TYV88" s="916"/>
      <c r="TYW88" s="916"/>
      <c r="TYX88" s="916"/>
      <c r="TYY88" s="916"/>
      <c r="TYZ88" s="916"/>
      <c r="TZA88" s="916"/>
      <c r="TZB88" s="916"/>
      <c r="TZC88" s="916"/>
      <c r="TZD88" s="916"/>
      <c r="TZE88" s="916"/>
      <c r="TZF88" s="916"/>
      <c r="TZG88" s="916"/>
      <c r="TZH88" s="916"/>
      <c r="TZI88" s="916"/>
      <c r="TZJ88" s="916"/>
      <c r="TZK88" s="916"/>
      <c r="TZL88" s="916"/>
      <c r="TZM88" s="916"/>
      <c r="TZN88" s="916"/>
      <c r="TZO88" s="916"/>
      <c r="TZP88" s="916"/>
      <c r="TZQ88" s="916"/>
      <c r="TZR88" s="916"/>
      <c r="TZS88" s="916"/>
      <c r="TZT88" s="916"/>
      <c r="TZU88" s="916"/>
      <c r="TZV88" s="916"/>
      <c r="TZW88" s="916"/>
      <c r="TZX88" s="916"/>
      <c r="TZY88" s="916"/>
      <c r="TZZ88" s="916"/>
      <c r="UAA88" s="916"/>
      <c r="UAB88" s="916"/>
      <c r="UAC88" s="916"/>
      <c r="UAD88" s="916"/>
      <c r="UAE88" s="916"/>
      <c r="UAF88" s="916"/>
      <c r="UAG88" s="916"/>
      <c r="UAH88" s="916"/>
      <c r="UAI88" s="916"/>
      <c r="UAJ88" s="916"/>
      <c r="UAK88" s="916"/>
      <c r="UAL88" s="916"/>
      <c r="UAM88" s="916"/>
      <c r="UAN88" s="916"/>
      <c r="UAO88" s="916"/>
      <c r="UAP88" s="916"/>
      <c r="UAQ88" s="916"/>
      <c r="UAR88" s="916"/>
      <c r="UAS88" s="916"/>
      <c r="UAT88" s="916"/>
      <c r="UAU88" s="916"/>
      <c r="UAV88" s="916"/>
      <c r="UAW88" s="916"/>
      <c r="UAX88" s="916"/>
      <c r="UAY88" s="916"/>
      <c r="UAZ88" s="916"/>
      <c r="UBA88" s="916"/>
      <c r="UBB88" s="916"/>
      <c r="UBC88" s="916"/>
      <c r="UBD88" s="916"/>
      <c r="UBE88" s="916"/>
      <c r="UBF88" s="916"/>
      <c r="UBG88" s="916"/>
      <c r="UBH88" s="916"/>
      <c r="UBI88" s="916"/>
      <c r="UBJ88" s="916"/>
      <c r="UBK88" s="916"/>
      <c r="UBL88" s="916"/>
      <c r="UBM88" s="916"/>
      <c r="UBN88" s="916"/>
      <c r="UBO88" s="916"/>
      <c r="UBP88" s="916"/>
      <c r="UBQ88" s="916"/>
      <c r="UBR88" s="916"/>
      <c r="UBS88" s="916"/>
      <c r="UBT88" s="916"/>
      <c r="UBU88" s="916"/>
      <c r="UBV88" s="916"/>
      <c r="UBW88" s="916"/>
      <c r="UBX88" s="916"/>
      <c r="UBY88" s="916"/>
      <c r="UBZ88" s="916"/>
      <c r="UCA88" s="916"/>
      <c r="UCB88" s="916"/>
      <c r="UCC88" s="916"/>
      <c r="UCD88" s="916"/>
      <c r="UCE88" s="916"/>
      <c r="UCF88" s="916"/>
      <c r="UCG88" s="916"/>
      <c r="UCH88" s="916"/>
      <c r="UCI88" s="916"/>
      <c r="UCJ88" s="916"/>
      <c r="UCK88" s="916"/>
      <c r="UCL88" s="916"/>
      <c r="UCM88" s="916"/>
      <c r="UCN88" s="916"/>
      <c r="UCO88" s="916"/>
      <c r="UCP88" s="916"/>
      <c r="UCQ88" s="916"/>
      <c r="UCR88" s="916"/>
      <c r="UCS88" s="916"/>
      <c r="UCT88" s="916"/>
      <c r="UCU88" s="916"/>
      <c r="UCV88" s="916"/>
      <c r="UCW88" s="916"/>
      <c r="UCX88" s="916"/>
      <c r="UCY88" s="916"/>
      <c r="UCZ88" s="916"/>
      <c r="UDA88" s="916"/>
      <c r="UDB88" s="916"/>
      <c r="UDC88" s="916"/>
      <c r="UDD88" s="916"/>
      <c r="UDE88" s="916"/>
      <c r="UDF88" s="916"/>
      <c r="UDG88" s="916"/>
      <c r="UDH88" s="916"/>
      <c r="UDI88" s="916"/>
      <c r="UDJ88" s="916"/>
      <c r="UDK88" s="916"/>
      <c r="UDL88" s="916"/>
      <c r="UDM88" s="916"/>
      <c r="UDN88" s="916"/>
      <c r="UDO88" s="916"/>
      <c r="UDP88" s="916"/>
      <c r="UDQ88" s="916"/>
      <c r="UDR88" s="916"/>
      <c r="UDS88" s="916"/>
      <c r="UDT88" s="916"/>
      <c r="UDU88" s="916"/>
      <c r="UDV88" s="916"/>
      <c r="UDW88" s="916"/>
      <c r="UDX88" s="916"/>
      <c r="UDY88" s="916"/>
      <c r="UDZ88" s="916"/>
      <c r="UEA88" s="916"/>
      <c r="UEB88" s="916"/>
      <c r="UEC88" s="916"/>
      <c r="UED88" s="916"/>
      <c r="UEE88" s="916"/>
      <c r="UEF88" s="916"/>
      <c r="UEG88" s="916"/>
      <c r="UEH88" s="916"/>
      <c r="UEI88" s="916"/>
      <c r="UEJ88" s="916"/>
      <c r="UEK88" s="916"/>
      <c r="UEL88" s="916"/>
      <c r="UEM88" s="916"/>
      <c r="UEN88" s="916"/>
      <c r="UEO88" s="916"/>
      <c r="UEP88" s="916"/>
      <c r="UEQ88" s="916"/>
      <c r="UER88" s="916"/>
      <c r="UES88" s="916"/>
      <c r="UET88" s="916"/>
      <c r="UEU88" s="916"/>
      <c r="UEV88" s="916"/>
      <c r="UEW88" s="916"/>
      <c r="UEX88" s="916"/>
      <c r="UEY88" s="916"/>
      <c r="UEZ88" s="916"/>
      <c r="UFA88" s="916"/>
      <c r="UFB88" s="916"/>
      <c r="UFC88" s="916"/>
      <c r="UFD88" s="916"/>
      <c r="UFE88" s="916"/>
      <c r="UFF88" s="916"/>
      <c r="UFG88" s="916"/>
      <c r="UFH88" s="916"/>
      <c r="UFI88" s="916"/>
      <c r="UFJ88" s="916"/>
      <c r="UFK88" s="916"/>
      <c r="UFL88" s="916"/>
      <c r="UFM88" s="916"/>
      <c r="UFN88" s="916"/>
      <c r="UFO88" s="916"/>
      <c r="UFP88" s="916"/>
      <c r="UFQ88" s="916"/>
      <c r="UFR88" s="916"/>
      <c r="UFS88" s="916"/>
      <c r="UFT88" s="916"/>
      <c r="UFU88" s="916"/>
      <c r="UFV88" s="916"/>
      <c r="UFW88" s="916"/>
      <c r="UFX88" s="916"/>
      <c r="UFY88" s="916"/>
      <c r="UFZ88" s="916"/>
      <c r="UGA88" s="916"/>
      <c r="UGB88" s="916"/>
      <c r="UGC88" s="916"/>
      <c r="UGD88" s="916"/>
      <c r="UGE88" s="916"/>
      <c r="UGF88" s="916"/>
      <c r="UGG88" s="916"/>
      <c r="UGH88" s="916"/>
      <c r="UGI88" s="916"/>
      <c r="UGJ88" s="916"/>
      <c r="UGK88" s="916"/>
      <c r="UGL88" s="916"/>
      <c r="UGM88" s="916"/>
      <c r="UGN88" s="916"/>
      <c r="UGO88" s="916"/>
      <c r="UGP88" s="916"/>
      <c r="UGQ88" s="916"/>
      <c r="UGR88" s="916"/>
      <c r="UGS88" s="916"/>
      <c r="UGT88" s="916"/>
      <c r="UGU88" s="916"/>
      <c r="UGV88" s="916"/>
      <c r="UGW88" s="916"/>
      <c r="UGX88" s="916"/>
      <c r="UGY88" s="916"/>
      <c r="UGZ88" s="916"/>
      <c r="UHA88" s="916"/>
      <c r="UHB88" s="916"/>
      <c r="UHC88" s="916"/>
      <c r="UHD88" s="916"/>
      <c r="UHE88" s="916"/>
      <c r="UHF88" s="916"/>
      <c r="UHG88" s="916"/>
      <c r="UHH88" s="916"/>
      <c r="UHI88" s="916"/>
      <c r="UHJ88" s="916"/>
      <c r="UHK88" s="916"/>
      <c r="UHL88" s="916"/>
      <c r="UHM88" s="916"/>
      <c r="UHN88" s="916"/>
      <c r="UHO88" s="916"/>
      <c r="UHP88" s="916"/>
      <c r="UHQ88" s="916"/>
      <c r="UHR88" s="916"/>
      <c r="UHS88" s="916"/>
      <c r="UHT88" s="916"/>
      <c r="UHU88" s="916"/>
      <c r="UHV88" s="916"/>
      <c r="UHW88" s="916"/>
      <c r="UHX88" s="916"/>
      <c r="UHY88" s="916"/>
      <c r="UHZ88" s="916"/>
      <c r="UIA88" s="916"/>
      <c r="UIB88" s="916"/>
      <c r="UIC88" s="916"/>
      <c r="UID88" s="916"/>
      <c r="UIE88" s="916"/>
      <c r="UIF88" s="916"/>
      <c r="UIG88" s="916"/>
      <c r="UIH88" s="916"/>
      <c r="UII88" s="916"/>
      <c r="UIJ88" s="916"/>
      <c r="UIK88" s="916"/>
      <c r="UIL88" s="916"/>
      <c r="UIM88" s="916"/>
      <c r="UIN88" s="916"/>
      <c r="UIO88" s="916"/>
      <c r="UIP88" s="916"/>
      <c r="UIQ88" s="916"/>
      <c r="UIR88" s="916"/>
      <c r="UIS88" s="916"/>
      <c r="UIT88" s="916"/>
      <c r="UIU88" s="916"/>
      <c r="UIV88" s="916"/>
      <c r="UIW88" s="916"/>
      <c r="UIX88" s="916"/>
      <c r="UIY88" s="916"/>
      <c r="UIZ88" s="916"/>
      <c r="UJA88" s="916"/>
      <c r="UJB88" s="916"/>
      <c r="UJC88" s="916"/>
      <c r="UJD88" s="916"/>
      <c r="UJE88" s="916"/>
      <c r="UJF88" s="916"/>
      <c r="UJG88" s="916"/>
      <c r="UJH88" s="916"/>
      <c r="UJI88" s="916"/>
      <c r="UJJ88" s="916"/>
      <c r="UJK88" s="916"/>
      <c r="UJL88" s="916"/>
      <c r="UJM88" s="916"/>
      <c r="UJN88" s="916"/>
      <c r="UJO88" s="916"/>
      <c r="UJP88" s="916"/>
      <c r="UJQ88" s="916"/>
      <c r="UJR88" s="916"/>
      <c r="UJS88" s="916"/>
      <c r="UJT88" s="916"/>
      <c r="UJU88" s="916"/>
      <c r="UJV88" s="916"/>
      <c r="UJW88" s="916"/>
      <c r="UJX88" s="916"/>
      <c r="UJY88" s="916"/>
      <c r="UJZ88" s="916"/>
      <c r="UKA88" s="916"/>
      <c r="UKB88" s="916"/>
      <c r="UKC88" s="916"/>
      <c r="UKD88" s="916"/>
      <c r="UKE88" s="916"/>
      <c r="UKF88" s="916"/>
      <c r="UKG88" s="916"/>
      <c r="UKH88" s="916"/>
      <c r="UKI88" s="916"/>
      <c r="UKJ88" s="916"/>
      <c r="UKK88" s="916"/>
      <c r="UKL88" s="916"/>
      <c r="UKM88" s="916"/>
      <c r="UKN88" s="916"/>
      <c r="UKO88" s="916"/>
      <c r="UKP88" s="916"/>
      <c r="UKQ88" s="916"/>
      <c r="UKR88" s="916"/>
      <c r="UKS88" s="916"/>
      <c r="UKT88" s="916"/>
      <c r="UKU88" s="916"/>
      <c r="UKV88" s="916"/>
      <c r="UKW88" s="916"/>
      <c r="UKX88" s="916"/>
      <c r="UKY88" s="916"/>
      <c r="UKZ88" s="916"/>
      <c r="ULA88" s="916"/>
      <c r="ULB88" s="916"/>
      <c r="ULC88" s="916"/>
      <c r="ULD88" s="916"/>
      <c r="ULE88" s="916"/>
      <c r="ULF88" s="916"/>
      <c r="ULG88" s="916"/>
      <c r="ULH88" s="916"/>
      <c r="ULI88" s="916"/>
      <c r="ULJ88" s="916"/>
      <c r="ULK88" s="916"/>
      <c r="ULL88" s="916"/>
      <c r="ULM88" s="916"/>
      <c r="ULN88" s="916"/>
      <c r="ULO88" s="916"/>
      <c r="ULP88" s="916"/>
      <c r="ULQ88" s="916"/>
      <c r="ULR88" s="916"/>
      <c r="ULS88" s="916"/>
      <c r="ULT88" s="916"/>
      <c r="ULU88" s="916"/>
      <c r="ULV88" s="916"/>
      <c r="ULW88" s="916"/>
      <c r="ULX88" s="916"/>
      <c r="ULY88" s="916"/>
      <c r="ULZ88" s="916"/>
      <c r="UMA88" s="916"/>
      <c r="UMB88" s="916"/>
      <c r="UMC88" s="916"/>
      <c r="UMD88" s="916"/>
      <c r="UME88" s="916"/>
      <c r="UMF88" s="916"/>
      <c r="UMG88" s="916"/>
      <c r="UMH88" s="916"/>
      <c r="UMI88" s="916"/>
      <c r="UMJ88" s="916"/>
      <c r="UMK88" s="916"/>
      <c r="UML88" s="916"/>
      <c r="UMM88" s="916"/>
      <c r="UMN88" s="916"/>
      <c r="UMO88" s="916"/>
      <c r="UMP88" s="916"/>
      <c r="UMQ88" s="916"/>
      <c r="UMR88" s="916"/>
      <c r="UMS88" s="916"/>
      <c r="UMT88" s="916"/>
      <c r="UMU88" s="916"/>
      <c r="UMV88" s="916"/>
      <c r="UMW88" s="916"/>
      <c r="UMX88" s="916"/>
      <c r="UMY88" s="916"/>
      <c r="UMZ88" s="916"/>
      <c r="UNA88" s="916"/>
      <c r="UNB88" s="916"/>
      <c r="UNC88" s="916"/>
      <c r="UND88" s="916"/>
      <c r="UNE88" s="916"/>
      <c r="UNF88" s="916"/>
      <c r="UNG88" s="916"/>
      <c r="UNH88" s="916"/>
      <c r="UNI88" s="916"/>
      <c r="UNJ88" s="916"/>
      <c r="UNK88" s="916"/>
      <c r="UNL88" s="916"/>
      <c r="UNM88" s="916"/>
      <c r="UNN88" s="916"/>
      <c r="UNO88" s="916"/>
      <c r="UNP88" s="916"/>
      <c r="UNQ88" s="916"/>
      <c r="UNR88" s="916"/>
      <c r="UNS88" s="916"/>
      <c r="UNT88" s="916"/>
      <c r="UNU88" s="916"/>
      <c r="UNV88" s="916"/>
      <c r="UNW88" s="916"/>
      <c r="UNX88" s="916"/>
      <c r="UNY88" s="916"/>
      <c r="UNZ88" s="916"/>
      <c r="UOA88" s="916"/>
      <c r="UOB88" s="916"/>
      <c r="UOC88" s="916"/>
      <c r="UOD88" s="916"/>
      <c r="UOE88" s="916"/>
      <c r="UOF88" s="916"/>
      <c r="UOG88" s="916"/>
      <c r="UOH88" s="916"/>
      <c r="UOI88" s="916"/>
      <c r="UOJ88" s="916"/>
      <c r="UOK88" s="916"/>
      <c r="UOL88" s="916"/>
      <c r="UOM88" s="916"/>
      <c r="UON88" s="916"/>
      <c r="UOO88" s="916"/>
      <c r="UOP88" s="916"/>
      <c r="UOQ88" s="916"/>
      <c r="UOR88" s="916"/>
      <c r="UOS88" s="916"/>
      <c r="UOT88" s="916"/>
      <c r="UOU88" s="916"/>
      <c r="UOV88" s="916"/>
      <c r="UOW88" s="916"/>
      <c r="UOX88" s="916"/>
      <c r="UOY88" s="916"/>
      <c r="UOZ88" s="916"/>
      <c r="UPA88" s="916"/>
      <c r="UPB88" s="916"/>
      <c r="UPC88" s="916"/>
      <c r="UPD88" s="916"/>
      <c r="UPE88" s="916"/>
      <c r="UPF88" s="916"/>
      <c r="UPG88" s="916"/>
      <c r="UPH88" s="916"/>
      <c r="UPI88" s="916"/>
      <c r="UPJ88" s="916"/>
      <c r="UPK88" s="916"/>
      <c r="UPL88" s="916"/>
      <c r="UPM88" s="916"/>
      <c r="UPN88" s="916"/>
      <c r="UPO88" s="916"/>
      <c r="UPP88" s="916"/>
      <c r="UPQ88" s="916"/>
      <c r="UPR88" s="916"/>
      <c r="UPS88" s="916"/>
      <c r="UPT88" s="916"/>
      <c r="UPU88" s="916"/>
      <c r="UPV88" s="916"/>
      <c r="UPW88" s="916"/>
      <c r="UPX88" s="916"/>
      <c r="UPY88" s="916"/>
      <c r="UPZ88" s="916"/>
      <c r="UQA88" s="916"/>
      <c r="UQB88" s="916"/>
      <c r="UQC88" s="916"/>
      <c r="UQD88" s="916"/>
      <c r="UQE88" s="916"/>
      <c r="UQF88" s="916"/>
      <c r="UQG88" s="916"/>
      <c r="UQH88" s="916"/>
      <c r="UQI88" s="916"/>
      <c r="UQJ88" s="916"/>
      <c r="UQK88" s="916"/>
      <c r="UQL88" s="916"/>
      <c r="UQM88" s="916"/>
      <c r="UQN88" s="916"/>
      <c r="UQO88" s="916"/>
      <c r="UQP88" s="916"/>
      <c r="UQQ88" s="916"/>
      <c r="UQR88" s="916"/>
      <c r="UQS88" s="916"/>
      <c r="UQT88" s="916"/>
      <c r="UQU88" s="916"/>
      <c r="UQV88" s="916"/>
      <c r="UQW88" s="916"/>
      <c r="UQX88" s="916"/>
      <c r="UQY88" s="916"/>
      <c r="UQZ88" s="916"/>
      <c r="URA88" s="916"/>
      <c r="URB88" s="916"/>
      <c r="URC88" s="916"/>
      <c r="URD88" s="916"/>
      <c r="URE88" s="916"/>
      <c r="URF88" s="916"/>
      <c r="URG88" s="916"/>
      <c r="URH88" s="916"/>
      <c r="URI88" s="916"/>
      <c r="URJ88" s="916"/>
      <c r="URK88" s="916"/>
      <c r="URL88" s="916"/>
      <c r="URM88" s="916"/>
      <c r="URN88" s="916"/>
      <c r="URO88" s="916"/>
      <c r="URP88" s="916"/>
      <c r="URQ88" s="916"/>
      <c r="URR88" s="916"/>
      <c r="URS88" s="916"/>
      <c r="URT88" s="916"/>
      <c r="URU88" s="916"/>
      <c r="URV88" s="916"/>
      <c r="URW88" s="916"/>
      <c r="URX88" s="916"/>
      <c r="URY88" s="916"/>
      <c r="URZ88" s="916"/>
      <c r="USA88" s="916"/>
      <c r="USB88" s="916"/>
      <c r="USC88" s="916"/>
      <c r="USD88" s="916"/>
      <c r="USE88" s="916"/>
      <c r="USF88" s="916"/>
      <c r="USG88" s="916"/>
      <c r="USH88" s="916"/>
      <c r="USI88" s="916"/>
      <c r="USJ88" s="916"/>
      <c r="USK88" s="916"/>
      <c r="USL88" s="916"/>
      <c r="USM88" s="916"/>
      <c r="USN88" s="916"/>
      <c r="USO88" s="916"/>
      <c r="USP88" s="916"/>
      <c r="USQ88" s="916"/>
      <c r="USR88" s="916"/>
      <c r="USS88" s="916"/>
      <c r="UST88" s="916"/>
      <c r="USU88" s="916"/>
      <c r="USV88" s="916"/>
      <c r="USW88" s="916"/>
      <c r="USX88" s="916"/>
      <c r="USY88" s="916"/>
      <c r="USZ88" s="916"/>
      <c r="UTA88" s="916"/>
      <c r="UTB88" s="916"/>
      <c r="UTC88" s="916"/>
      <c r="UTD88" s="916"/>
      <c r="UTE88" s="916"/>
      <c r="UTF88" s="916"/>
      <c r="UTG88" s="916"/>
      <c r="UTH88" s="916"/>
      <c r="UTI88" s="916"/>
      <c r="UTJ88" s="916"/>
      <c r="UTK88" s="916"/>
      <c r="UTL88" s="916"/>
      <c r="UTM88" s="916"/>
      <c r="UTN88" s="916"/>
      <c r="UTO88" s="916"/>
      <c r="UTP88" s="916"/>
      <c r="UTQ88" s="916"/>
      <c r="UTR88" s="916"/>
      <c r="UTS88" s="916"/>
      <c r="UTT88" s="916"/>
      <c r="UTU88" s="916"/>
      <c r="UTV88" s="916"/>
      <c r="UTW88" s="916"/>
      <c r="UTX88" s="916"/>
      <c r="UTY88" s="916"/>
      <c r="UTZ88" s="916"/>
      <c r="UUA88" s="916"/>
      <c r="UUB88" s="916"/>
      <c r="UUC88" s="916"/>
      <c r="UUD88" s="916"/>
      <c r="UUE88" s="916"/>
      <c r="UUF88" s="916"/>
      <c r="UUG88" s="916"/>
      <c r="UUH88" s="916"/>
      <c r="UUI88" s="916"/>
      <c r="UUJ88" s="916"/>
      <c r="UUK88" s="916"/>
      <c r="UUL88" s="916"/>
      <c r="UUM88" s="916"/>
      <c r="UUN88" s="916"/>
      <c r="UUO88" s="916"/>
      <c r="UUP88" s="916"/>
      <c r="UUQ88" s="916"/>
      <c r="UUR88" s="916"/>
      <c r="UUS88" s="916"/>
      <c r="UUT88" s="916"/>
      <c r="UUU88" s="916"/>
      <c r="UUV88" s="916"/>
      <c r="UUW88" s="916"/>
      <c r="UUX88" s="916"/>
      <c r="UUY88" s="916"/>
      <c r="UUZ88" s="916"/>
      <c r="UVA88" s="916"/>
      <c r="UVB88" s="916"/>
      <c r="UVC88" s="916"/>
      <c r="UVD88" s="916"/>
      <c r="UVE88" s="916"/>
      <c r="UVF88" s="916"/>
      <c r="UVG88" s="916"/>
      <c r="UVH88" s="916"/>
      <c r="UVI88" s="916"/>
      <c r="UVJ88" s="916"/>
      <c r="UVK88" s="916"/>
      <c r="UVL88" s="916"/>
      <c r="UVM88" s="916"/>
      <c r="UVN88" s="916"/>
      <c r="UVO88" s="916"/>
      <c r="UVP88" s="916"/>
      <c r="UVQ88" s="916"/>
      <c r="UVR88" s="916"/>
      <c r="UVS88" s="916"/>
      <c r="UVT88" s="916"/>
      <c r="UVU88" s="916"/>
      <c r="UVV88" s="916"/>
      <c r="UVW88" s="916"/>
      <c r="UVX88" s="916"/>
      <c r="UVY88" s="916"/>
      <c r="UVZ88" s="916"/>
      <c r="UWA88" s="916"/>
      <c r="UWB88" s="916"/>
      <c r="UWC88" s="916"/>
      <c r="UWD88" s="916"/>
      <c r="UWE88" s="916"/>
      <c r="UWF88" s="916"/>
      <c r="UWG88" s="916"/>
      <c r="UWH88" s="916"/>
      <c r="UWI88" s="916"/>
      <c r="UWJ88" s="916"/>
      <c r="UWK88" s="916"/>
      <c r="UWL88" s="916"/>
      <c r="UWM88" s="916"/>
      <c r="UWN88" s="916"/>
      <c r="UWO88" s="916"/>
      <c r="UWP88" s="916"/>
      <c r="UWQ88" s="916"/>
      <c r="UWR88" s="916"/>
      <c r="UWS88" s="916"/>
      <c r="UWT88" s="916"/>
      <c r="UWU88" s="916"/>
      <c r="UWV88" s="916"/>
      <c r="UWW88" s="916"/>
      <c r="UWX88" s="916"/>
      <c r="UWY88" s="916"/>
      <c r="UWZ88" s="916"/>
      <c r="UXA88" s="916"/>
      <c r="UXB88" s="916"/>
      <c r="UXC88" s="916"/>
      <c r="UXD88" s="916"/>
      <c r="UXE88" s="916"/>
      <c r="UXF88" s="916"/>
      <c r="UXG88" s="916"/>
      <c r="UXH88" s="916"/>
      <c r="UXI88" s="916"/>
      <c r="UXJ88" s="916"/>
      <c r="UXK88" s="916"/>
      <c r="UXL88" s="916"/>
      <c r="UXM88" s="916"/>
      <c r="UXN88" s="916"/>
      <c r="UXO88" s="916"/>
      <c r="UXP88" s="916"/>
      <c r="UXQ88" s="916"/>
      <c r="UXR88" s="916"/>
      <c r="UXS88" s="916"/>
      <c r="UXT88" s="916"/>
      <c r="UXU88" s="916"/>
      <c r="UXV88" s="916"/>
      <c r="UXW88" s="916"/>
      <c r="UXX88" s="916"/>
      <c r="UXY88" s="916"/>
      <c r="UXZ88" s="916"/>
      <c r="UYA88" s="916"/>
      <c r="UYB88" s="916"/>
      <c r="UYC88" s="916"/>
      <c r="UYD88" s="916"/>
      <c r="UYE88" s="916"/>
      <c r="UYF88" s="916"/>
      <c r="UYG88" s="916"/>
      <c r="UYH88" s="916"/>
      <c r="UYI88" s="916"/>
      <c r="UYJ88" s="916"/>
      <c r="UYK88" s="916"/>
      <c r="UYL88" s="916"/>
      <c r="UYM88" s="916"/>
      <c r="UYN88" s="916"/>
      <c r="UYO88" s="916"/>
      <c r="UYP88" s="916"/>
      <c r="UYQ88" s="916"/>
      <c r="UYR88" s="916"/>
      <c r="UYS88" s="916"/>
      <c r="UYT88" s="916"/>
      <c r="UYU88" s="916"/>
      <c r="UYV88" s="916"/>
      <c r="UYW88" s="916"/>
      <c r="UYX88" s="916"/>
      <c r="UYY88" s="916"/>
      <c r="UYZ88" s="916"/>
      <c r="UZA88" s="916"/>
      <c r="UZB88" s="916"/>
      <c r="UZC88" s="916"/>
      <c r="UZD88" s="916"/>
      <c r="UZE88" s="916"/>
      <c r="UZF88" s="916"/>
      <c r="UZG88" s="916"/>
      <c r="UZH88" s="916"/>
      <c r="UZI88" s="916"/>
      <c r="UZJ88" s="916"/>
      <c r="UZK88" s="916"/>
      <c r="UZL88" s="916"/>
      <c r="UZM88" s="916"/>
      <c r="UZN88" s="916"/>
      <c r="UZO88" s="916"/>
      <c r="UZP88" s="916"/>
      <c r="UZQ88" s="916"/>
      <c r="UZR88" s="916"/>
      <c r="UZS88" s="916"/>
      <c r="UZT88" s="916"/>
      <c r="UZU88" s="916"/>
      <c r="UZV88" s="916"/>
      <c r="UZW88" s="916"/>
      <c r="UZX88" s="916"/>
      <c r="UZY88" s="916"/>
      <c r="UZZ88" s="916"/>
      <c r="VAA88" s="916"/>
      <c r="VAB88" s="916"/>
      <c r="VAC88" s="916"/>
      <c r="VAD88" s="916"/>
      <c r="VAE88" s="916"/>
      <c r="VAF88" s="916"/>
      <c r="VAG88" s="916"/>
      <c r="VAH88" s="916"/>
      <c r="VAI88" s="916"/>
      <c r="VAJ88" s="916"/>
      <c r="VAK88" s="916"/>
      <c r="VAL88" s="916"/>
      <c r="VAM88" s="916"/>
      <c r="VAN88" s="916"/>
      <c r="VAO88" s="916"/>
      <c r="VAP88" s="916"/>
      <c r="VAQ88" s="916"/>
      <c r="VAR88" s="916"/>
      <c r="VAS88" s="916"/>
      <c r="VAT88" s="916"/>
      <c r="VAU88" s="916"/>
      <c r="VAV88" s="916"/>
      <c r="VAW88" s="916"/>
      <c r="VAX88" s="916"/>
      <c r="VAY88" s="916"/>
      <c r="VAZ88" s="916"/>
      <c r="VBA88" s="916"/>
      <c r="VBB88" s="916"/>
      <c r="VBC88" s="916"/>
      <c r="VBD88" s="916"/>
      <c r="VBE88" s="916"/>
      <c r="VBF88" s="916"/>
      <c r="VBG88" s="916"/>
      <c r="VBH88" s="916"/>
      <c r="VBI88" s="916"/>
      <c r="VBJ88" s="916"/>
      <c r="VBK88" s="916"/>
      <c r="VBL88" s="916"/>
      <c r="VBM88" s="916"/>
      <c r="VBN88" s="916"/>
      <c r="VBO88" s="916"/>
      <c r="VBP88" s="916"/>
      <c r="VBQ88" s="916"/>
      <c r="VBR88" s="916"/>
      <c r="VBS88" s="916"/>
      <c r="VBT88" s="916"/>
      <c r="VBU88" s="916"/>
      <c r="VBV88" s="916"/>
      <c r="VBW88" s="916"/>
      <c r="VBX88" s="916"/>
      <c r="VBY88" s="916"/>
      <c r="VBZ88" s="916"/>
      <c r="VCA88" s="916"/>
      <c r="VCB88" s="916"/>
      <c r="VCC88" s="916"/>
      <c r="VCD88" s="916"/>
      <c r="VCE88" s="916"/>
      <c r="VCF88" s="916"/>
      <c r="VCG88" s="916"/>
      <c r="VCH88" s="916"/>
      <c r="VCI88" s="916"/>
      <c r="VCJ88" s="916"/>
      <c r="VCK88" s="916"/>
      <c r="VCL88" s="916"/>
      <c r="VCM88" s="916"/>
      <c r="VCN88" s="916"/>
      <c r="VCO88" s="916"/>
      <c r="VCP88" s="916"/>
      <c r="VCQ88" s="916"/>
      <c r="VCR88" s="916"/>
      <c r="VCS88" s="916"/>
      <c r="VCT88" s="916"/>
      <c r="VCU88" s="916"/>
      <c r="VCV88" s="916"/>
      <c r="VCW88" s="916"/>
      <c r="VCX88" s="916"/>
      <c r="VCY88" s="916"/>
      <c r="VCZ88" s="916"/>
      <c r="VDA88" s="916"/>
      <c r="VDB88" s="916"/>
      <c r="VDC88" s="916"/>
      <c r="VDD88" s="916"/>
      <c r="VDE88" s="916"/>
      <c r="VDF88" s="916"/>
      <c r="VDG88" s="916"/>
      <c r="VDH88" s="916"/>
      <c r="VDI88" s="916"/>
      <c r="VDJ88" s="916"/>
      <c r="VDK88" s="916"/>
      <c r="VDL88" s="916"/>
      <c r="VDM88" s="916"/>
      <c r="VDN88" s="916"/>
      <c r="VDO88" s="916"/>
      <c r="VDP88" s="916"/>
      <c r="VDQ88" s="916"/>
      <c r="VDR88" s="916"/>
      <c r="VDS88" s="916"/>
      <c r="VDT88" s="916"/>
      <c r="VDU88" s="916"/>
      <c r="VDV88" s="916"/>
      <c r="VDW88" s="916"/>
      <c r="VDX88" s="916"/>
      <c r="VDY88" s="916"/>
      <c r="VDZ88" s="916"/>
      <c r="VEA88" s="916"/>
      <c r="VEB88" s="916"/>
      <c r="VEC88" s="916"/>
      <c r="VED88" s="916"/>
      <c r="VEE88" s="916"/>
      <c r="VEF88" s="916"/>
      <c r="VEG88" s="916"/>
      <c r="VEH88" s="916"/>
      <c r="VEI88" s="916"/>
      <c r="VEJ88" s="916"/>
      <c r="VEK88" s="916"/>
      <c r="VEL88" s="916"/>
      <c r="VEM88" s="916"/>
      <c r="VEN88" s="916"/>
      <c r="VEO88" s="916"/>
      <c r="VEP88" s="916"/>
      <c r="VEQ88" s="916"/>
      <c r="VER88" s="916"/>
      <c r="VES88" s="916"/>
      <c r="VET88" s="916"/>
      <c r="VEU88" s="916"/>
      <c r="VEV88" s="916"/>
      <c r="VEW88" s="916"/>
      <c r="VEX88" s="916"/>
      <c r="VEY88" s="916"/>
      <c r="VEZ88" s="916"/>
      <c r="VFA88" s="916"/>
      <c r="VFB88" s="916"/>
      <c r="VFC88" s="916"/>
      <c r="VFD88" s="916"/>
      <c r="VFE88" s="916"/>
      <c r="VFF88" s="916"/>
      <c r="VFG88" s="916"/>
      <c r="VFH88" s="916"/>
      <c r="VFI88" s="916"/>
      <c r="VFJ88" s="916"/>
      <c r="VFK88" s="916"/>
      <c r="VFL88" s="916"/>
      <c r="VFM88" s="916"/>
      <c r="VFN88" s="916"/>
      <c r="VFO88" s="916"/>
      <c r="VFP88" s="916"/>
      <c r="VFQ88" s="916"/>
      <c r="VFR88" s="916"/>
      <c r="VFS88" s="916"/>
      <c r="VFT88" s="916"/>
      <c r="VFU88" s="916"/>
      <c r="VFV88" s="916"/>
      <c r="VFW88" s="916"/>
      <c r="VFX88" s="916"/>
      <c r="VFY88" s="916"/>
      <c r="VFZ88" s="916"/>
      <c r="VGA88" s="916"/>
      <c r="VGB88" s="916"/>
      <c r="VGC88" s="916"/>
      <c r="VGD88" s="916"/>
      <c r="VGE88" s="916"/>
      <c r="VGF88" s="916"/>
      <c r="VGG88" s="916"/>
      <c r="VGH88" s="916"/>
      <c r="VGI88" s="916"/>
      <c r="VGJ88" s="916"/>
      <c r="VGK88" s="916"/>
      <c r="VGL88" s="916"/>
      <c r="VGM88" s="916"/>
      <c r="VGN88" s="916"/>
      <c r="VGO88" s="916"/>
      <c r="VGP88" s="916"/>
      <c r="VGQ88" s="916"/>
      <c r="VGR88" s="916"/>
      <c r="VGS88" s="916"/>
      <c r="VGT88" s="916"/>
      <c r="VGU88" s="916"/>
      <c r="VGV88" s="916"/>
      <c r="VGW88" s="916"/>
      <c r="VGX88" s="916"/>
      <c r="VGY88" s="916"/>
      <c r="VGZ88" s="916"/>
      <c r="VHA88" s="916"/>
      <c r="VHB88" s="916"/>
      <c r="VHC88" s="916"/>
      <c r="VHD88" s="916"/>
      <c r="VHE88" s="916"/>
      <c r="VHF88" s="916"/>
      <c r="VHG88" s="916"/>
      <c r="VHH88" s="916"/>
      <c r="VHI88" s="916"/>
      <c r="VHJ88" s="916"/>
      <c r="VHK88" s="916"/>
      <c r="VHL88" s="916"/>
      <c r="VHM88" s="916"/>
      <c r="VHN88" s="916"/>
      <c r="VHO88" s="916"/>
      <c r="VHP88" s="916"/>
      <c r="VHQ88" s="916"/>
      <c r="VHR88" s="916"/>
      <c r="VHS88" s="916"/>
      <c r="VHT88" s="916"/>
      <c r="VHU88" s="916"/>
      <c r="VHV88" s="916"/>
      <c r="VHW88" s="916"/>
      <c r="VHX88" s="916"/>
      <c r="VHY88" s="916"/>
      <c r="VHZ88" s="916"/>
      <c r="VIA88" s="916"/>
      <c r="VIB88" s="916"/>
      <c r="VIC88" s="916"/>
      <c r="VID88" s="916"/>
      <c r="VIE88" s="916"/>
      <c r="VIF88" s="916"/>
      <c r="VIG88" s="916"/>
      <c r="VIH88" s="916"/>
      <c r="VII88" s="916"/>
      <c r="VIJ88" s="916"/>
      <c r="VIK88" s="916"/>
      <c r="VIL88" s="916"/>
      <c r="VIM88" s="916"/>
      <c r="VIN88" s="916"/>
      <c r="VIO88" s="916"/>
      <c r="VIP88" s="916"/>
      <c r="VIQ88" s="916"/>
      <c r="VIR88" s="916"/>
      <c r="VIS88" s="916"/>
      <c r="VIT88" s="916"/>
      <c r="VIU88" s="916"/>
      <c r="VIV88" s="916"/>
      <c r="VIW88" s="916"/>
      <c r="VIX88" s="916"/>
      <c r="VIY88" s="916"/>
      <c r="VIZ88" s="916"/>
      <c r="VJA88" s="916"/>
      <c r="VJB88" s="916"/>
      <c r="VJC88" s="916"/>
      <c r="VJD88" s="916"/>
      <c r="VJE88" s="916"/>
      <c r="VJF88" s="916"/>
      <c r="VJG88" s="916"/>
      <c r="VJH88" s="916"/>
      <c r="VJI88" s="916"/>
      <c r="VJJ88" s="916"/>
      <c r="VJK88" s="916"/>
      <c r="VJL88" s="916"/>
      <c r="VJM88" s="916"/>
      <c r="VJN88" s="916"/>
      <c r="VJO88" s="916"/>
      <c r="VJP88" s="916"/>
      <c r="VJQ88" s="916"/>
      <c r="VJR88" s="916"/>
      <c r="VJS88" s="916"/>
      <c r="VJT88" s="916"/>
      <c r="VJU88" s="916"/>
      <c r="VJV88" s="916"/>
      <c r="VJW88" s="916"/>
      <c r="VJX88" s="916"/>
      <c r="VJY88" s="916"/>
      <c r="VJZ88" s="916"/>
      <c r="VKA88" s="916"/>
      <c r="VKB88" s="916"/>
      <c r="VKC88" s="916"/>
      <c r="VKD88" s="916"/>
      <c r="VKE88" s="916"/>
      <c r="VKF88" s="916"/>
      <c r="VKG88" s="916"/>
      <c r="VKH88" s="916"/>
      <c r="VKI88" s="916"/>
      <c r="VKJ88" s="916"/>
      <c r="VKK88" s="916"/>
      <c r="VKL88" s="916"/>
      <c r="VKM88" s="916"/>
      <c r="VKN88" s="916"/>
      <c r="VKO88" s="916"/>
      <c r="VKP88" s="916"/>
      <c r="VKQ88" s="916"/>
      <c r="VKR88" s="916"/>
      <c r="VKS88" s="916"/>
      <c r="VKT88" s="916"/>
      <c r="VKU88" s="916"/>
      <c r="VKV88" s="916"/>
      <c r="VKW88" s="916"/>
      <c r="VKX88" s="916"/>
      <c r="VKY88" s="916"/>
      <c r="VKZ88" s="916"/>
      <c r="VLA88" s="916"/>
      <c r="VLB88" s="916"/>
      <c r="VLC88" s="916"/>
      <c r="VLD88" s="916"/>
      <c r="VLE88" s="916"/>
      <c r="VLF88" s="916"/>
      <c r="VLG88" s="916"/>
      <c r="VLH88" s="916"/>
      <c r="VLI88" s="916"/>
      <c r="VLJ88" s="916"/>
      <c r="VLK88" s="916"/>
      <c r="VLL88" s="916"/>
      <c r="VLM88" s="916"/>
      <c r="VLN88" s="916"/>
      <c r="VLO88" s="916"/>
      <c r="VLP88" s="916"/>
      <c r="VLQ88" s="916"/>
      <c r="VLR88" s="916"/>
      <c r="VLS88" s="916"/>
      <c r="VLT88" s="916"/>
      <c r="VLU88" s="916"/>
      <c r="VLV88" s="916"/>
      <c r="VLW88" s="916"/>
      <c r="VLX88" s="916"/>
      <c r="VLY88" s="916"/>
      <c r="VLZ88" s="916"/>
      <c r="VMA88" s="916"/>
      <c r="VMB88" s="916"/>
      <c r="VMC88" s="916"/>
      <c r="VMD88" s="916"/>
      <c r="VME88" s="916"/>
      <c r="VMF88" s="916"/>
      <c r="VMG88" s="916"/>
      <c r="VMH88" s="916"/>
      <c r="VMI88" s="916"/>
      <c r="VMJ88" s="916"/>
      <c r="VMK88" s="916"/>
      <c r="VML88" s="916"/>
      <c r="VMM88" s="916"/>
      <c r="VMN88" s="916"/>
      <c r="VMO88" s="916"/>
      <c r="VMP88" s="916"/>
      <c r="VMQ88" s="916"/>
      <c r="VMR88" s="916"/>
      <c r="VMS88" s="916"/>
      <c r="VMT88" s="916"/>
      <c r="VMU88" s="916"/>
      <c r="VMV88" s="916"/>
      <c r="VMW88" s="916"/>
      <c r="VMX88" s="916"/>
      <c r="VMY88" s="916"/>
      <c r="VMZ88" s="916"/>
      <c r="VNA88" s="916"/>
      <c r="VNB88" s="916"/>
      <c r="VNC88" s="916"/>
      <c r="VND88" s="916"/>
      <c r="VNE88" s="916"/>
      <c r="VNF88" s="916"/>
      <c r="VNG88" s="916"/>
      <c r="VNH88" s="916"/>
      <c r="VNI88" s="916"/>
      <c r="VNJ88" s="916"/>
      <c r="VNK88" s="916"/>
      <c r="VNL88" s="916"/>
      <c r="VNM88" s="916"/>
      <c r="VNN88" s="916"/>
      <c r="VNO88" s="916"/>
      <c r="VNP88" s="916"/>
      <c r="VNQ88" s="916"/>
      <c r="VNR88" s="916"/>
      <c r="VNS88" s="916"/>
      <c r="VNT88" s="916"/>
      <c r="VNU88" s="916"/>
      <c r="VNV88" s="916"/>
      <c r="VNW88" s="916"/>
      <c r="VNX88" s="916"/>
      <c r="VNY88" s="916"/>
      <c r="VNZ88" s="916"/>
      <c r="VOA88" s="916"/>
      <c r="VOB88" s="916"/>
      <c r="VOC88" s="916"/>
      <c r="VOD88" s="916"/>
      <c r="VOE88" s="916"/>
      <c r="VOF88" s="916"/>
      <c r="VOG88" s="916"/>
      <c r="VOH88" s="916"/>
      <c r="VOI88" s="916"/>
      <c r="VOJ88" s="916"/>
      <c r="VOK88" s="916"/>
      <c r="VOL88" s="916"/>
      <c r="VOM88" s="916"/>
      <c r="VON88" s="916"/>
      <c r="VOO88" s="916"/>
      <c r="VOP88" s="916"/>
      <c r="VOQ88" s="916"/>
      <c r="VOR88" s="916"/>
      <c r="VOS88" s="916"/>
      <c r="VOT88" s="916"/>
      <c r="VOU88" s="916"/>
      <c r="VOV88" s="916"/>
      <c r="VOW88" s="916"/>
      <c r="VOX88" s="916"/>
      <c r="VOY88" s="916"/>
      <c r="VOZ88" s="916"/>
      <c r="VPA88" s="916"/>
      <c r="VPB88" s="916"/>
      <c r="VPC88" s="916"/>
      <c r="VPD88" s="916"/>
      <c r="VPE88" s="916"/>
      <c r="VPF88" s="916"/>
      <c r="VPG88" s="916"/>
      <c r="VPH88" s="916"/>
      <c r="VPI88" s="916"/>
      <c r="VPJ88" s="916"/>
      <c r="VPK88" s="916"/>
      <c r="VPL88" s="916"/>
      <c r="VPM88" s="916"/>
      <c r="VPN88" s="916"/>
      <c r="VPO88" s="916"/>
      <c r="VPP88" s="916"/>
      <c r="VPQ88" s="916"/>
      <c r="VPR88" s="916"/>
      <c r="VPS88" s="916"/>
      <c r="VPT88" s="916"/>
      <c r="VPU88" s="916"/>
      <c r="VPV88" s="916"/>
      <c r="VPW88" s="916"/>
      <c r="VPX88" s="916"/>
      <c r="VPY88" s="916"/>
      <c r="VPZ88" s="916"/>
      <c r="VQA88" s="916"/>
      <c r="VQB88" s="916"/>
      <c r="VQC88" s="916"/>
      <c r="VQD88" s="916"/>
      <c r="VQE88" s="916"/>
      <c r="VQF88" s="916"/>
      <c r="VQG88" s="916"/>
      <c r="VQH88" s="916"/>
      <c r="VQI88" s="916"/>
      <c r="VQJ88" s="916"/>
      <c r="VQK88" s="916"/>
      <c r="VQL88" s="916"/>
      <c r="VQM88" s="916"/>
      <c r="VQN88" s="916"/>
      <c r="VQO88" s="916"/>
      <c r="VQP88" s="916"/>
      <c r="VQQ88" s="916"/>
      <c r="VQR88" s="916"/>
      <c r="VQS88" s="916"/>
      <c r="VQT88" s="916"/>
      <c r="VQU88" s="916"/>
      <c r="VQV88" s="916"/>
      <c r="VQW88" s="916"/>
      <c r="VQX88" s="916"/>
      <c r="VQY88" s="916"/>
      <c r="VQZ88" s="916"/>
      <c r="VRA88" s="916"/>
      <c r="VRB88" s="916"/>
      <c r="VRC88" s="916"/>
      <c r="VRD88" s="916"/>
      <c r="VRE88" s="916"/>
      <c r="VRF88" s="916"/>
      <c r="VRG88" s="916"/>
      <c r="VRH88" s="916"/>
      <c r="VRI88" s="916"/>
      <c r="VRJ88" s="916"/>
      <c r="VRK88" s="916"/>
      <c r="VRL88" s="916"/>
      <c r="VRM88" s="916"/>
      <c r="VRN88" s="916"/>
      <c r="VRO88" s="916"/>
      <c r="VRP88" s="916"/>
      <c r="VRQ88" s="916"/>
      <c r="VRR88" s="916"/>
      <c r="VRS88" s="916"/>
      <c r="VRT88" s="916"/>
      <c r="VRU88" s="916"/>
      <c r="VRV88" s="916"/>
      <c r="VRW88" s="916"/>
      <c r="VRX88" s="916"/>
      <c r="VRY88" s="916"/>
      <c r="VRZ88" s="916"/>
      <c r="VSA88" s="916"/>
      <c r="VSB88" s="916"/>
      <c r="VSC88" s="916"/>
      <c r="VSD88" s="916"/>
      <c r="VSE88" s="916"/>
      <c r="VSF88" s="916"/>
      <c r="VSG88" s="916"/>
      <c r="VSH88" s="916"/>
      <c r="VSI88" s="916"/>
      <c r="VSJ88" s="916"/>
      <c r="VSK88" s="916"/>
      <c r="VSL88" s="916"/>
      <c r="VSM88" s="916"/>
      <c r="VSN88" s="916"/>
      <c r="VSO88" s="916"/>
      <c r="VSP88" s="916"/>
      <c r="VSQ88" s="916"/>
      <c r="VSR88" s="916"/>
      <c r="VSS88" s="916"/>
      <c r="VST88" s="916"/>
      <c r="VSU88" s="916"/>
      <c r="VSV88" s="916"/>
      <c r="VSW88" s="916"/>
      <c r="VSX88" s="916"/>
      <c r="VSY88" s="916"/>
      <c r="VSZ88" s="916"/>
      <c r="VTA88" s="916"/>
      <c r="VTB88" s="916"/>
      <c r="VTC88" s="916"/>
      <c r="VTD88" s="916"/>
      <c r="VTE88" s="916"/>
      <c r="VTF88" s="916"/>
      <c r="VTG88" s="916"/>
      <c r="VTH88" s="916"/>
      <c r="VTI88" s="916"/>
      <c r="VTJ88" s="916"/>
      <c r="VTK88" s="916"/>
      <c r="VTL88" s="916"/>
      <c r="VTM88" s="916"/>
      <c r="VTN88" s="916"/>
      <c r="VTO88" s="916"/>
      <c r="VTP88" s="916"/>
      <c r="VTQ88" s="916"/>
      <c r="VTR88" s="916"/>
      <c r="VTS88" s="916"/>
      <c r="VTT88" s="916"/>
      <c r="VTU88" s="916"/>
      <c r="VTV88" s="916"/>
      <c r="VTW88" s="916"/>
      <c r="VTX88" s="916"/>
      <c r="VTY88" s="916"/>
      <c r="VTZ88" s="916"/>
      <c r="VUA88" s="916"/>
      <c r="VUB88" s="916"/>
      <c r="VUC88" s="916"/>
      <c r="VUD88" s="916"/>
      <c r="VUE88" s="916"/>
      <c r="VUF88" s="916"/>
      <c r="VUG88" s="916"/>
      <c r="VUH88" s="916"/>
      <c r="VUI88" s="916"/>
      <c r="VUJ88" s="916"/>
      <c r="VUK88" s="916"/>
      <c r="VUL88" s="916"/>
      <c r="VUM88" s="916"/>
      <c r="VUN88" s="916"/>
      <c r="VUO88" s="916"/>
      <c r="VUP88" s="916"/>
      <c r="VUQ88" s="916"/>
      <c r="VUR88" s="916"/>
      <c r="VUS88" s="916"/>
      <c r="VUT88" s="916"/>
      <c r="VUU88" s="916"/>
      <c r="VUV88" s="916"/>
      <c r="VUW88" s="916"/>
      <c r="VUX88" s="916"/>
      <c r="VUY88" s="916"/>
      <c r="VUZ88" s="916"/>
      <c r="VVA88" s="916"/>
      <c r="VVB88" s="916"/>
      <c r="VVC88" s="916"/>
      <c r="VVD88" s="916"/>
      <c r="VVE88" s="916"/>
      <c r="VVF88" s="916"/>
      <c r="VVG88" s="916"/>
      <c r="VVH88" s="916"/>
      <c r="VVI88" s="916"/>
      <c r="VVJ88" s="916"/>
      <c r="VVK88" s="916"/>
      <c r="VVL88" s="916"/>
      <c r="VVM88" s="916"/>
      <c r="VVN88" s="916"/>
      <c r="VVO88" s="916"/>
      <c r="VVP88" s="916"/>
      <c r="VVQ88" s="916"/>
      <c r="VVR88" s="916"/>
      <c r="VVS88" s="916"/>
      <c r="VVT88" s="916"/>
      <c r="VVU88" s="916"/>
      <c r="VVV88" s="916"/>
      <c r="VVW88" s="916"/>
      <c r="VVX88" s="916"/>
      <c r="VVY88" s="916"/>
      <c r="VVZ88" s="916"/>
      <c r="VWA88" s="916"/>
      <c r="VWB88" s="916"/>
      <c r="VWC88" s="916"/>
      <c r="VWD88" s="916"/>
      <c r="VWE88" s="916"/>
      <c r="VWF88" s="916"/>
      <c r="VWG88" s="916"/>
      <c r="VWH88" s="916"/>
      <c r="VWI88" s="916"/>
      <c r="VWJ88" s="916"/>
      <c r="VWK88" s="916"/>
      <c r="VWL88" s="916"/>
      <c r="VWM88" s="916"/>
      <c r="VWN88" s="916"/>
      <c r="VWO88" s="916"/>
      <c r="VWP88" s="916"/>
      <c r="VWQ88" s="916"/>
      <c r="VWR88" s="916"/>
      <c r="VWS88" s="916"/>
      <c r="VWT88" s="916"/>
      <c r="VWU88" s="916"/>
      <c r="VWV88" s="916"/>
      <c r="VWW88" s="916"/>
      <c r="VWX88" s="916"/>
      <c r="VWY88" s="916"/>
      <c r="VWZ88" s="916"/>
      <c r="VXA88" s="916"/>
      <c r="VXB88" s="916"/>
      <c r="VXC88" s="916"/>
      <c r="VXD88" s="916"/>
      <c r="VXE88" s="916"/>
      <c r="VXF88" s="916"/>
      <c r="VXG88" s="916"/>
      <c r="VXH88" s="916"/>
      <c r="VXI88" s="916"/>
      <c r="VXJ88" s="916"/>
      <c r="VXK88" s="916"/>
      <c r="VXL88" s="916"/>
      <c r="VXM88" s="916"/>
      <c r="VXN88" s="916"/>
      <c r="VXO88" s="916"/>
      <c r="VXP88" s="916"/>
      <c r="VXQ88" s="916"/>
      <c r="VXR88" s="916"/>
      <c r="VXS88" s="916"/>
      <c r="VXT88" s="916"/>
      <c r="VXU88" s="916"/>
      <c r="VXV88" s="916"/>
      <c r="VXW88" s="916"/>
      <c r="VXX88" s="916"/>
      <c r="VXY88" s="916"/>
      <c r="VXZ88" s="916"/>
      <c r="VYA88" s="916"/>
      <c r="VYB88" s="916"/>
      <c r="VYC88" s="916"/>
      <c r="VYD88" s="916"/>
      <c r="VYE88" s="916"/>
      <c r="VYF88" s="916"/>
      <c r="VYG88" s="916"/>
      <c r="VYH88" s="916"/>
      <c r="VYI88" s="916"/>
      <c r="VYJ88" s="916"/>
      <c r="VYK88" s="916"/>
      <c r="VYL88" s="916"/>
      <c r="VYM88" s="916"/>
      <c r="VYN88" s="916"/>
      <c r="VYO88" s="916"/>
      <c r="VYP88" s="916"/>
      <c r="VYQ88" s="916"/>
      <c r="VYR88" s="916"/>
      <c r="VYS88" s="916"/>
      <c r="VYT88" s="916"/>
      <c r="VYU88" s="916"/>
      <c r="VYV88" s="916"/>
      <c r="VYW88" s="916"/>
      <c r="VYX88" s="916"/>
      <c r="VYY88" s="916"/>
      <c r="VYZ88" s="916"/>
      <c r="VZA88" s="916"/>
      <c r="VZB88" s="916"/>
      <c r="VZC88" s="916"/>
      <c r="VZD88" s="916"/>
      <c r="VZE88" s="916"/>
      <c r="VZF88" s="916"/>
      <c r="VZG88" s="916"/>
      <c r="VZH88" s="916"/>
      <c r="VZI88" s="916"/>
      <c r="VZJ88" s="916"/>
      <c r="VZK88" s="916"/>
      <c r="VZL88" s="916"/>
      <c r="VZM88" s="916"/>
      <c r="VZN88" s="916"/>
      <c r="VZO88" s="916"/>
      <c r="VZP88" s="916"/>
      <c r="VZQ88" s="916"/>
      <c r="VZR88" s="916"/>
      <c r="VZS88" s="916"/>
      <c r="VZT88" s="916"/>
      <c r="VZU88" s="916"/>
      <c r="VZV88" s="916"/>
      <c r="VZW88" s="916"/>
      <c r="VZX88" s="916"/>
      <c r="VZY88" s="916"/>
      <c r="VZZ88" s="916"/>
      <c r="WAA88" s="916"/>
      <c r="WAB88" s="916"/>
      <c r="WAC88" s="916"/>
      <c r="WAD88" s="916"/>
      <c r="WAE88" s="916"/>
      <c r="WAF88" s="916"/>
      <c r="WAG88" s="916"/>
      <c r="WAH88" s="916"/>
      <c r="WAI88" s="916"/>
      <c r="WAJ88" s="916"/>
      <c r="WAK88" s="916"/>
      <c r="WAL88" s="916"/>
      <c r="WAM88" s="916"/>
      <c r="WAN88" s="916"/>
      <c r="WAO88" s="916"/>
      <c r="WAP88" s="916"/>
      <c r="WAQ88" s="916"/>
      <c r="WAR88" s="916"/>
      <c r="WAS88" s="916"/>
      <c r="WAT88" s="916"/>
      <c r="WAU88" s="916"/>
      <c r="WAV88" s="916"/>
      <c r="WAW88" s="916"/>
      <c r="WAX88" s="916"/>
      <c r="WAY88" s="916"/>
      <c r="WAZ88" s="916"/>
      <c r="WBA88" s="916"/>
      <c r="WBB88" s="916"/>
      <c r="WBC88" s="916"/>
      <c r="WBD88" s="916"/>
      <c r="WBE88" s="916"/>
      <c r="WBF88" s="916"/>
      <c r="WBG88" s="916"/>
      <c r="WBH88" s="916"/>
      <c r="WBI88" s="916"/>
      <c r="WBJ88" s="916"/>
      <c r="WBK88" s="916"/>
      <c r="WBL88" s="916"/>
      <c r="WBM88" s="916"/>
      <c r="WBN88" s="916"/>
      <c r="WBO88" s="916"/>
      <c r="WBP88" s="916"/>
      <c r="WBQ88" s="916"/>
      <c r="WBR88" s="916"/>
      <c r="WBS88" s="916"/>
      <c r="WBT88" s="916"/>
      <c r="WBU88" s="916"/>
      <c r="WBV88" s="916"/>
      <c r="WBW88" s="916"/>
      <c r="WBX88" s="916"/>
      <c r="WBY88" s="916"/>
      <c r="WBZ88" s="916"/>
      <c r="WCA88" s="916"/>
      <c r="WCB88" s="916"/>
      <c r="WCC88" s="916"/>
      <c r="WCD88" s="916"/>
      <c r="WCE88" s="916"/>
      <c r="WCF88" s="916"/>
      <c r="WCG88" s="916"/>
      <c r="WCH88" s="916"/>
      <c r="WCI88" s="916"/>
      <c r="WCJ88" s="916"/>
      <c r="WCK88" s="916"/>
      <c r="WCL88" s="916"/>
      <c r="WCM88" s="916"/>
      <c r="WCN88" s="916"/>
      <c r="WCO88" s="916"/>
      <c r="WCP88" s="916"/>
      <c r="WCQ88" s="916"/>
      <c r="WCR88" s="916"/>
      <c r="WCS88" s="916"/>
      <c r="WCT88" s="916"/>
      <c r="WCU88" s="916"/>
      <c r="WCV88" s="916"/>
      <c r="WCW88" s="916"/>
      <c r="WCX88" s="916"/>
      <c r="WCY88" s="916"/>
      <c r="WCZ88" s="916"/>
      <c r="WDA88" s="916"/>
      <c r="WDB88" s="916"/>
      <c r="WDC88" s="916"/>
      <c r="WDD88" s="916"/>
      <c r="WDE88" s="916"/>
      <c r="WDF88" s="916"/>
      <c r="WDG88" s="916"/>
      <c r="WDH88" s="916"/>
      <c r="WDI88" s="916"/>
      <c r="WDJ88" s="916"/>
      <c r="WDK88" s="916"/>
      <c r="WDL88" s="916"/>
      <c r="WDM88" s="916"/>
      <c r="WDN88" s="916"/>
      <c r="WDO88" s="916"/>
      <c r="WDP88" s="916"/>
      <c r="WDQ88" s="916"/>
      <c r="WDR88" s="916"/>
      <c r="WDS88" s="916"/>
      <c r="WDT88" s="916"/>
      <c r="WDU88" s="916"/>
      <c r="WDV88" s="916"/>
      <c r="WDW88" s="916"/>
      <c r="WDX88" s="916"/>
      <c r="WDY88" s="916"/>
      <c r="WDZ88" s="916"/>
      <c r="WEA88" s="916"/>
      <c r="WEB88" s="916"/>
      <c r="WEC88" s="916"/>
      <c r="WED88" s="916"/>
      <c r="WEE88" s="916"/>
      <c r="WEF88" s="916"/>
      <c r="WEG88" s="916"/>
      <c r="WEH88" s="916"/>
      <c r="WEI88" s="916"/>
      <c r="WEJ88" s="916"/>
      <c r="WEK88" s="916"/>
      <c r="WEL88" s="916"/>
      <c r="WEM88" s="916"/>
      <c r="WEN88" s="916"/>
      <c r="WEO88" s="916"/>
      <c r="WEP88" s="916"/>
      <c r="WEQ88" s="916"/>
      <c r="WER88" s="916"/>
      <c r="WES88" s="916"/>
      <c r="WET88" s="916"/>
      <c r="WEU88" s="916"/>
      <c r="WEV88" s="916"/>
      <c r="WEW88" s="916"/>
      <c r="WEX88" s="916"/>
      <c r="WEY88" s="916"/>
      <c r="WEZ88" s="916"/>
      <c r="WFA88" s="916"/>
      <c r="WFB88" s="916"/>
      <c r="WFC88" s="916"/>
      <c r="WFD88" s="916"/>
      <c r="WFE88" s="916"/>
      <c r="WFF88" s="916"/>
      <c r="WFG88" s="916"/>
      <c r="WFH88" s="916"/>
      <c r="WFI88" s="916"/>
      <c r="WFJ88" s="916"/>
      <c r="WFK88" s="916"/>
      <c r="WFL88" s="916"/>
      <c r="WFM88" s="916"/>
      <c r="WFN88" s="916"/>
      <c r="WFO88" s="916"/>
      <c r="WFP88" s="916"/>
      <c r="WFQ88" s="916"/>
      <c r="WFR88" s="916"/>
      <c r="WFS88" s="916"/>
      <c r="WFT88" s="916"/>
      <c r="WFU88" s="916"/>
      <c r="WFV88" s="916"/>
      <c r="WFW88" s="916"/>
      <c r="WFX88" s="916"/>
      <c r="WFY88" s="916"/>
      <c r="WFZ88" s="916"/>
      <c r="WGA88" s="916"/>
      <c r="WGB88" s="916"/>
      <c r="WGC88" s="916"/>
      <c r="WGD88" s="916"/>
      <c r="WGE88" s="916"/>
      <c r="WGF88" s="916"/>
      <c r="WGG88" s="916"/>
      <c r="WGH88" s="916"/>
      <c r="WGI88" s="916"/>
      <c r="WGJ88" s="916"/>
      <c r="WGK88" s="916"/>
      <c r="WGL88" s="916"/>
      <c r="WGM88" s="916"/>
      <c r="WGN88" s="916"/>
      <c r="WGO88" s="916"/>
      <c r="WGP88" s="916"/>
      <c r="WGQ88" s="916"/>
      <c r="WGR88" s="916"/>
      <c r="WGS88" s="916"/>
      <c r="WGT88" s="916"/>
      <c r="WGU88" s="916"/>
      <c r="WGV88" s="916"/>
      <c r="WGW88" s="916"/>
      <c r="WGX88" s="916"/>
      <c r="WGY88" s="916"/>
      <c r="WGZ88" s="916"/>
      <c r="WHA88" s="916"/>
      <c r="WHB88" s="916"/>
      <c r="WHC88" s="916"/>
      <c r="WHD88" s="916"/>
      <c r="WHE88" s="916"/>
      <c r="WHF88" s="916"/>
      <c r="WHG88" s="916"/>
      <c r="WHH88" s="916"/>
      <c r="WHI88" s="916"/>
      <c r="WHJ88" s="916"/>
      <c r="WHK88" s="916"/>
      <c r="WHL88" s="916"/>
      <c r="WHM88" s="916"/>
      <c r="WHN88" s="916"/>
      <c r="WHO88" s="916"/>
      <c r="WHP88" s="916"/>
      <c r="WHQ88" s="916"/>
      <c r="WHR88" s="916"/>
      <c r="WHS88" s="916"/>
      <c r="WHT88" s="916"/>
      <c r="WHU88" s="916"/>
      <c r="WHV88" s="916"/>
      <c r="WHW88" s="916"/>
      <c r="WHX88" s="916"/>
      <c r="WHY88" s="916"/>
      <c r="WHZ88" s="916"/>
      <c r="WIA88" s="916"/>
      <c r="WIB88" s="916"/>
      <c r="WIC88" s="916"/>
      <c r="WID88" s="916"/>
      <c r="WIE88" s="916"/>
      <c r="WIF88" s="916"/>
      <c r="WIG88" s="916"/>
      <c r="WIH88" s="916"/>
      <c r="WII88" s="916"/>
      <c r="WIJ88" s="916"/>
      <c r="WIK88" s="916"/>
      <c r="WIL88" s="916"/>
      <c r="WIM88" s="916"/>
      <c r="WIN88" s="916"/>
      <c r="WIO88" s="916"/>
      <c r="WIP88" s="916"/>
      <c r="WIQ88" s="916"/>
      <c r="WIR88" s="916"/>
      <c r="WIS88" s="916"/>
      <c r="WIT88" s="916"/>
      <c r="WIU88" s="916"/>
      <c r="WIV88" s="916"/>
      <c r="WIW88" s="916"/>
      <c r="WIX88" s="916"/>
      <c r="WIY88" s="916"/>
      <c r="WIZ88" s="916"/>
      <c r="WJA88" s="916"/>
      <c r="WJB88" s="916"/>
      <c r="WJC88" s="916"/>
      <c r="WJD88" s="916"/>
      <c r="WJE88" s="916"/>
      <c r="WJF88" s="916"/>
      <c r="WJG88" s="916"/>
      <c r="WJH88" s="916"/>
      <c r="WJI88" s="916"/>
      <c r="WJJ88" s="916"/>
      <c r="WJK88" s="916"/>
      <c r="WJL88" s="916"/>
      <c r="WJM88" s="916"/>
      <c r="WJN88" s="916"/>
      <c r="WJO88" s="916"/>
      <c r="WJP88" s="916"/>
      <c r="WJQ88" s="916"/>
      <c r="WJR88" s="916"/>
      <c r="WJS88" s="916"/>
      <c r="WJT88" s="916"/>
      <c r="WJU88" s="916"/>
      <c r="WJV88" s="916"/>
      <c r="WJW88" s="916"/>
      <c r="WJX88" s="916"/>
      <c r="WJY88" s="916"/>
      <c r="WJZ88" s="916"/>
      <c r="WKA88" s="916"/>
      <c r="WKB88" s="916"/>
      <c r="WKC88" s="916"/>
      <c r="WKD88" s="916"/>
      <c r="WKE88" s="916"/>
      <c r="WKF88" s="916"/>
      <c r="WKG88" s="916"/>
      <c r="WKH88" s="916"/>
      <c r="WKI88" s="916"/>
      <c r="WKJ88" s="916"/>
      <c r="WKK88" s="916"/>
      <c r="WKL88" s="916"/>
      <c r="WKM88" s="916"/>
      <c r="WKN88" s="916"/>
      <c r="WKO88" s="916"/>
      <c r="WKP88" s="916"/>
      <c r="WKQ88" s="916"/>
      <c r="WKR88" s="916"/>
      <c r="WKS88" s="916"/>
      <c r="WKT88" s="916"/>
      <c r="WKU88" s="916"/>
      <c r="WKV88" s="916"/>
      <c r="WKW88" s="916"/>
      <c r="WKX88" s="916"/>
      <c r="WKY88" s="916"/>
      <c r="WKZ88" s="916"/>
      <c r="WLA88" s="916"/>
      <c r="WLB88" s="916"/>
      <c r="WLC88" s="916"/>
      <c r="WLD88" s="916"/>
      <c r="WLE88" s="916"/>
      <c r="WLF88" s="916"/>
      <c r="WLG88" s="916"/>
      <c r="WLH88" s="916"/>
      <c r="WLI88" s="916"/>
      <c r="WLJ88" s="916"/>
      <c r="WLK88" s="916"/>
      <c r="WLL88" s="916"/>
      <c r="WLM88" s="916"/>
      <c r="WLN88" s="916"/>
      <c r="WLO88" s="916"/>
      <c r="WLP88" s="916"/>
      <c r="WLQ88" s="916"/>
      <c r="WLR88" s="916"/>
      <c r="WLS88" s="916"/>
      <c r="WLT88" s="916"/>
      <c r="WLU88" s="916"/>
      <c r="WLV88" s="916"/>
      <c r="WLW88" s="916"/>
      <c r="WLX88" s="916"/>
      <c r="WLY88" s="916"/>
      <c r="WLZ88" s="916"/>
      <c r="WMA88" s="916"/>
      <c r="WMB88" s="916"/>
      <c r="WMC88" s="916"/>
      <c r="WMD88" s="916"/>
      <c r="WME88" s="916"/>
      <c r="WMF88" s="916"/>
      <c r="WMG88" s="916"/>
      <c r="WMH88" s="916"/>
      <c r="WMI88" s="916"/>
      <c r="WMJ88" s="916"/>
      <c r="WMK88" s="916"/>
      <c r="WML88" s="916"/>
      <c r="WMM88" s="916"/>
      <c r="WMN88" s="916"/>
      <c r="WMO88" s="916"/>
      <c r="WMP88" s="916"/>
      <c r="WMQ88" s="916"/>
      <c r="WMR88" s="916"/>
      <c r="WMS88" s="916"/>
      <c r="WMT88" s="916"/>
      <c r="WMU88" s="916"/>
      <c r="WMV88" s="916"/>
      <c r="WMW88" s="916"/>
      <c r="WMX88" s="916"/>
      <c r="WMY88" s="916"/>
      <c r="WMZ88" s="916"/>
      <c r="WNA88" s="916"/>
      <c r="WNB88" s="916"/>
      <c r="WNC88" s="916"/>
      <c r="WND88" s="916"/>
      <c r="WNE88" s="916"/>
      <c r="WNF88" s="916"/>
      <c r="WNG88" s="916"/>
      <c r="WNH88" s="916"/>
      <c r="WNI88" s="916"/>
      <c r="WNJ88" s="916"/>
      <c r="WNK88" s="916"/>
      <c r="WNL88" s="916"/>
      <c r="WNM88" s="916"/>
      <c r="WNN88" s="916"/>
      <c r="WNO88" s="916"/>
      <c r="WNP88" s="916"/>
      <c r="WNQ88" s="916"/>
      <c r="WNR88" s="916"/>
      <c r="WNS88" s="916"/>
      <c r="WNT88" s="916"/>
      <c r="WNU88" s="916"/>
      <c r="WNV88" s="916"/>
      <c r="WNW88" s="916"/>
      <c r="WNX88" s="916"/>
      <c r="WNY88" s="916"/>
      <c r="WNZ88" s="916"/>
      <c r="WOA88" s="916"/>
      <c r="WOB88" s="916"/>
      <c r="WOC88" s="916"/>
      <c r="WOD88" s="916"/>
      <c r="WOE88" s="916"/>
      <c r="WOF88" s="916"/>
      <c r="WOG88" s="916"/>
      <c r="WOH88" s="916"/>
      <c r="WOI88" s="916"/>
      <c r="WOJ88" s="916"/>
      <c r="WOK88" s="916"/>
      <c r="WOL88" s="916"/>
      <c r="WOM88" s="916"/>
      <c r="WON88" s="916"/>
      <c r="WOO88" s="916"/>
      <c r="WOP88" s="916"/>
      <c r="WOQ88" s="916"/>
      <c r="WOR88" s="916"/>
      <c r="WOS88" s="916"/>
      <c r="WOT88" s="916"/>
      <c r="WOU88" s="916"/>
      <c r="WOV88" s="916"/>
      <c r="WOW88" s="916"/>
      <c r="WOX88" s="916"/>
      <c r="WOY88" s="916"/>
      <c r="WOZ88" s="916"/>
      <c r="WPA88" s="916"/>
      <c r="WPB88" s="916"/>
      <c r="WPC88" s="916"/>
      <c r="WPD88" s="916"/>
      <c r="WPE88" s="916"/>
      <c r="WPF88" s="916"/>
      <c r="WPG88" s="916"/>
      <c r="WPH88" s="916"/>
      <c r="WPI88" s="916"/>
      <c r="WPJ88" s="916"/>
      <c r="WPK88" s="916"/>
      <c r="WPL88" s="916"/>
      <c r="WPM88" s="916"/>
      <c r="WPN88" s="916"/>
      <c r="WPO88" s="916"/>
      <c r="WPP88" s="916"/>
      <c r="WPQ88" s="916"/>
      <c r="WPR88" s="916"/>
      <c r="WPS88" s="916"/>
      <c r="WPT88" s="916"/>
      <c r="WPU88" s="916"/>
      <c r="WPV88" s="916"/>
      <c r="WPW88" s="916"/>
      <c r="WPX88" s="916"/>
      <c r="WPY88" s="916"/>
      <c r="WPZ88" s="916"/>
      <c r="WQA88" s="916"/>
      <c r="WQB88" s="916"/>
      <c r="WQC88" s="916"/>
      <c r="WQD88" s="916"/>
      <c r="WQE88" s="916"/>
      <c r="WQF88" s="916"/>
      <c r="WQG88" s="916"/>
      <c r="WQH88" s="916"/>
      <c r="WQI88" s="916"/>
      <c r="WQJ88" s="916"/>
      <c r="WQK88" s="916"/>
      <c r="WQL88" s="916"/>
      <c r="WQM88" s="916"/>
      <c r="WQN88" s="916"/>
      <c r="WQO88" s="916"/>
      <c r="WQP88" s="916"/>
      <c r="WQQ88" s="916"/>
      <c r="WQR88" s="916"/>
      <c r="WQS88" s="916"/>
      <c r="WQT88" s="916"/>
      <c r="WQU88" s="916"/>
      <c r="WQV88" s="916"/>
      <c r="WQW88" s="916"/>
      <c r="WQX88" s="916"/>
      <c r="WQY88" s="916"/>
      <c r="WQZ88" s="916"/>
      <c r="WRA88" s="916"/>
      <c r="WRB88" s="916"/>
      <c r="WRC88" s="916"/>
      <c r="WRD88" s="916"/>
      <c r="WRE88" s="916"/>
      <c r="WRF88" s="916"/>
      <c r="WRG88" s="916"/>
      <c r="WRH88" s="916"/>
      <c r="WRI88" s="916"/>
      <c r="WRJ88" s="916"/>
      <c r="WRK88" s="916"/>
      <c r="WRL88" s="916"/>
      <c r="WRM88" s="916"/>
      <c r="WRN88" s="916"/>
      <c r="WRO88" s="916"/>
      <c r="WRP88" s="916"/>
      <c r="WRQ88" s="916"/>
      <c r="WRR88" s="916"/>
      <c r="WRS88" s="916"/>
      <c r="WRT88" s="916"/>
      <c r="WRU88" s="916"/>
      <c r="WRV88" s="916"/>
      <c r="WRW88" s="916"/>
      <c r="WRX88" s="916"/>
      <c r="WRY88" s="916"/>
      <c r="WRZ88" s="916"/>
      <c r="WSA88" s="916"/>
      <c r="WSB88" s="916"/>
      <c r="WSC88" s="916"/>
      <c r="WSD88" s="916"/>
      <c r="WSE88" s="916"/>
      <c r="WSF88" s="916"/>
      <c r="WSG88" s="916"/>
      <c r="WSH88" s="916"/>
      <c r="WSI88" s="916"/>
      <c r="WSJ88" s="916"/>
      <c r="WSK88" s="916"/>
      <c r="WSL88" s="916"/>
      <c r="WSM88" s="916"/>
      <c r="WSN88" s="916"/>
      <c r="WSO88" s="916"/>
      <c r="WSP88" s="916"/>
      <c r="WSQ88" s="916"/>
      <c r="WSR88" s="916"/>
      <c r="WSS88" s="916"/>
      <c r="WST88" s="916"/>
      <c r="WSU88" s="916"/>
      <c r="WSV88" s="916"/>
      <c r="WSW88" s="916"/>
      <c r="WSX88" s="916"/>
      <c r="WSY88" s="916"/>
      <c r="WSZ88" s="916"/>
      <c r="WTA88" s="916"/>
      <c r="WTB88" s="916"/>
      <c r="WTC88" s="916"/>
      <c r="WTD88" s="916"/>
      <c r="WTE88" s="916"/>
      <c r="WTF88" s="916"/>
      <c r="WTG88" s="916"/>
      <c r="WTH88" s="916"/>
      <c r="WTI88" s="916"/>
      <c r="WTJ88" s="916"/>
      <c r="WTK88" s="916"/>
      <c r="WTL88" s="916"/>
      <c r="WTM88" s="916"/>
      <c r="WTN88" s="916"/>
      <c r="WTO88" s="916"/>
      <c r="WTP88" s="916"/>
      <c r="WTQ88" s="916"/>
      <c r="WTR88" s="916"/>
      <c r="WTS88" s="916"/>
      <c r="WTT88" s="916"/>
      <c r="WTU88" s="916"/>
      <c r="WTV88" s="916"/>
      <c r="WTW88" s="916"/>
      <c r="WTX88" s="916"/>
      <c r="WTY88" s="916"/>
      <c r="WTZ88" s="916"/>
      <c r="WUA88" s="916"/>
      <c r="WUB88" s="916"/>
      <c r="WUC88" s="916"/>
      <c r="WUD88" s="916"/>
      <c r="WUE88" s="916"/>
      <c r="WUF88" s="916"/>
      <c r="WUG88" s="916"/>
      <c r="WUH88" s="916"/>
      <c r="WUI88" s="916"/>
      <c r="WUJ88" s="916"/>
      <c r="WUK88" s="916"/>
      <c r="WUL88" s="916"/>
      <c r="WUM88" s="916"/>
      <c r="WUN88" s="916"/>
      <c r="WUO88" s="916"/>
      <c r="WUP88" s="916"/>
      <c r="WUQ88" s="916"/>
      <c r="WUR88" s="916"/>
      <c r="WUS88" s="916"/>
      <c r="WUT88" s="916"/>
      <c r="WUU88" s="916"/>
      <c r="WUV88" s="916"/>
      <c r="WUW88" s="916"/>
      <c r="WUX88" s="916"/>
      <c r="WUY88" s="916"/>
      <c r="WUZ88" s="916"/>
      <c r="WVA88" s="916"/>
      <c r="WVB88" s="916"/>
      <c r="WVC88" s="916"/>
      <c r="WVD88" s="916"/>
      <c r="WVE88" s="916"/>
      <c r="WVF88" s="916"/>
      <c r="WVG88" s="916"/>
      <c r="WVH88" s="916"/>
      <c r="WVI88" s="916"/>
      <c r="WVJ88" s="916"/>
      <c r="WVK88" s="916"/>
      <c r="WVL88" s="916"/>
      <c r="WVM88" s="916"/>
      <c r="WVN88" s="916"/>
      <c r="WVO88" s="916"/>
      <c r="WVP88" s="916"/>
      <c r="WVQ88" s="916"/>
      <c r="WVR88" s="916"/>
      <c r="WVS88" s="916"/>
      <c r="WVT88" s="916"/>
      <c r="WVU88" s="916"/>
      <c r="WVV88" s="916"/>
      <c r="WVW88" s="916"/>
      <c r="WVX88" s="916"/>
      <c r="WVY88" s="916"/>
      <c r="WVZ88" s="916"/>
      <c r="WWA88" s="916"/>
      <c r="WWB88" s="916"/>
      <c r="WWC88" s="916"/>
      <c r="WWD88" s="916"/>
      <c r="WWE88" s="916"/>
      <c r="WWF88" s="916"/>
      <c r="WWG88" s="916"/>
      <c r="WWH88" s="916"/>
      <c r="WWI88" s="916"/>
      <c r="WWJ88" s="916"/>
      <c r="WWK88" s="916"/>
      <c r="WWL88" s="916"/>
      <c r="WWM88" s="916"/>
      <c r="WWN88" s="916"/>
      <c r="WWO88" s="916"/>
      <c r="WWP88" s="916"/>
      <c r="WWQ88" s="916"/>
      <c r="WWR88" s="916"/>
      <c r="WWS88" s="916"/>
      <c r="WWT88" s="916"/>
      <c r="WWU88" s="916"/>
      <c r="WWV88" s="916"/>
      <c r="WWW88" s="916"/>
      <c r="WWX88" s="916"/>
      <c r="WWY88" s="916"/>
      <c r="WWZ88" s="916"/>
      <c r="WXA88" s="916"/>
      <c r="WXB88" s="916"/>
      <c r="WXC88" s="916"/>
      <c r="WXD88" s="916"/>
      <c r="WXE88" s="916"/>
      <c r="WXF88" s="916"/>
      <c r="WXG88" s="916"/>
      <c r="WXH88" s="916"/>
      <c r="WXI88" s="916"/>
      <c r="WXJ88" s="916"/>
      <c r="WXK88" s="916"/>
      <c r="WXL88" s="916"/>
      <c r="WXM88" s="916"/>
      <c r="WXN88" s="916"/>
      <c r="WXO88" s="916"/>
      <c r="WXP88" s="916"/>
      <c r="WXQ88" s="916"/>
      <c r="WXR88" s="916"/>
      <c r="WXS88" s="916"/>
      <c r="WXT88" s="916"/>
      <c r="WXU88" s="916"/>
      <c r="WXV88" s="916"/>
      <c r="WXW88" s="916"/>
      <c r="WXX88" s="916"/>
      <c r="WXY88" s="916"/>
      <c r="WXZ88" s="916"/>
      <c r="WYA88" s="916"/>
      <c r="WYB88" s="916"/>
      <c r="WYC88" s="916"/>
      <c r="WYD88" s="916"/>
      <c r="WYE88" s="916"/>
      <c r="WYF88" s="916"/>
      <c r="WYG88" s="916"/>
      <c r="WYH88" s="916"/>
      <c r="WYI88" s="916"/>
      <c r="WYJ88" s="916"/>
      <c r="WYK88" s="916"/>
      <c r="WYL88" s="916"/>
      <c r="WYM88" s="916"/>
      <c r="WYN88" s="916"/>
      <c r="WYO88" s="916"/>
      <c r="WYP88" s="916"/>
      <c r="WYQ88" s="916"/>
      <c r="WYR88" s="916"/>
      <c r="WYS88" s="916"/>
      <c r="WYT88" s="916"/>
      <c r="WYU88" s="916"/>
      <c r="WYV88" s="916"/>
      <c r="WYW88" s="916"/>
      <c r="WYX88" s="916"/>
      <c r="WYY88" s="916"/>
      <c r="WYZ88" s="916"/>
      <c r="WZA88" s="916"/>
      <c r="WZB88" s="916"/>
      <c r="WZC88" s="916"/>
      <c r="WZD88" s="916"/>
      <c r="WZE88" s="916"/>
      <c r="WZF88" s="916"/>
      <c r="WZG88" s="916"/>
      <c r="WZH88" s="916"/>
      <c r="WZI88" s="916"/>
      <c r="WZJ88" s="916"/>
      <c r="WZK88" s="916"/>
      <c r="WZL88" s="916"/>
      <c r="WZM88" s="916"/>
      <c r="WZN88" s="916"/>
      <c r="WZO88" s="916"/>
      <c r="WZP88" s="916"/>
      <c r="WZQ88" s="916"/>
      <c r="WZR88" s="916"/>
      <c r="WZS88" s="916"/>
      <c r="WZT88" s="916"/>
      <c r="WZU88" s="916"/>
      <c r="WZV88" s="916"/>
      <c r="WZW88" s="916"/>
      <c r="WZX88" s="916"/>
      <c r="WZY88" s="916"/>
      <c r="WZZ88" s="916"/>
      <c r="XAA88" s="916"/>
      <c r="XAB88" s="916"/>
      <c r="XAC88" s="916"/>
      <c r="XAD88" s="916"/>
      <c r="XAE88" s="916"/>
      <c r="XAF88" s="916"/>
      <c r="XAG88" s="916"/>
      <c r="XAH88" s="916"/>
      <c r="XAI88" s="916"/>
      <c r="XAJ88" s="916"/>
      <c r="XAK88" s="916"/>
      <c r="XAL88" s="916"/>
      <c r="XAM88" s="916"/>
      <c r="XAN88" s="916"/>
      <c r="XAO88" s="916"/>
      <c r="XAP88" s="916"/>
      <c r="XAQ88" s="916"/>
      <c r="XAR88" s="916"/>
      <c r="XAS88" s="916"/>
      <c r="XAT88" s="916"/>
      <c r="XAU88" s="916"/>
      <c r="XAV88" s="916"/>
      <c r="XAW88" s="916"/>
      <c r="XAX88" s="916"/>
      <c r="XAY88" s="916"/>
      <c r="XAZ88" s="916"/>
      <c r="XBA88" s="916"/>
      <c r="XBB88" s="916"/>
      <c r="XBC88" s="916"/>
      <c r="XBD88" s="916"/>
      <c r="XBE88" s="916"/>
      <c r="XBF88" s="916"/>
      <c r="XBG88" s="916"/>
      <c r="XBH88" s="916"/>
      <c r="XBI88" s="916"/>
      <c r="XBJ88" s="916"/>
      <c r="XBK88" s="916"/>
      <c r="XBL88" s="916"/>
      <c r="XBM88" s="916"/>
      <c r="XBN88" s="916"/>
      <c r="XBO88" s="916"/>
      <c r="XBP88" s="916"/>
      <c r="XBQ88" s="916"/>
      <c r="XBR88" s="916"/>
      <c r="XBS88" s="916"/>
      <c r="XBT88" s="916"/>
      <c r="XBU88" s="916"/>
      <c r="XBV88" s="916"/>
      <c r="XBW88" s="916"/>
      <c r="XBX88" s="916"/>
      <c r="XBY88" s="916"/>
      <c r="XBZ88" s="916"/>
      <c r="XCA88" s="916"/>
      <c r="XCB88" s="916"/>
      <c r="XCC88" s="916"/>
      <c r="XCD88" s="916"/>
      <c r="XCE88" s="916"/>
      <c r="XCF88" s="916"/>
      <c r="XCG88" s="916"/>
      <c r="XCH88" s="916"/>
      <c r="XCI88" s="916"/>
      <c r="XCJ88" s="916"/>
      <c r="XCK88" s="916"/>
      <c r="XCL88" s="916"/>
      <c r="XCM88" s="916"/>
      <c r="XCN88" s="916"/>
      <c r="XCO88" s="916"/>
      <c r="XCP88" s="916"/>
      <c r="XCQ88" s="916"/>
      <c r="XCR88" s="916"/>
      <c r="XCS88" s="916"/>
      <c r="XCT88" s="916"/>
      <c r="XCU88" s="916"/>
      <c r="XCV88" s="916"/>
      <c r="XCW88" s="916"/>
      <c r="XCX88" s="916"/>
      <c r="XCY88" s="916"/>
      <c r="XCZ88" s="916"/>
      <c r="XDA88" s="916"/>
      <c r="XDB88" s="916"/>
      <c r="XDC88" s="916"/>
      <c r="XDD88" s="916"/>
      <c r="XDE88" s="916"/>
      <c r="XDF88" s="916"/>
      <c r="XDG88" s="916"/>
      <c r="XDH88" s="916"/>
      <c r="XDI88" s="916"/>
      <c r="XDJ88" s="916"/>
      <c r="XDK88" s="916"/>
      <c r="XDL88" s="916"/>
      <c r="XDM88" s="916"/>
      <c r="XDN88" s="916"/>
      <c r="XDO88" s="916"/>
      <c r="XDP88" s="916"/>
      <c r="XDQ88" s="916"/>
      <c r="XDR88" s="916"/>
      <c r="XDS88" s="916"/>
      <c r="XDT88" s="916"/>
      <c r="XDU88" s="916"/>
      <c r="XDV88" s="916"/>
      <c r="XDW88" s="916"/>
      <c r="XDX88" s="916"/>
      <c r="XDY88" s="916"/>
      <c r="XDZ88" s="916"/>
      <c r="XEA88" s="916"/>
      <c r="XEB88" s="916"/>
      <c r="XEC88" s="916"/>
      <c r="XED88" s="916"/>
      <c r="XEE88" s="916"/>
      <c r="XEF88" s="916"/>
      <c r="XEG88" s="916"/>
      <c r="XEH88" s="916"/>
      <c r="XEI88" s="916"/>
      <c r="XEJ88" s="916"/>
      <c r="XEK88" s="916"/>
      <c r="XEL88" s="916"/>
      <c r="XEM88" s="916"/>
      <c r="XEN88" s="916"/>
      <c r="XEO88" s="916"/>
      <c r="XEP88" s="916"/>
      <c r="XEQ88" s="916"/>
      <c r="XER88" s="916"/>
      <c r="XES88" s="916"/>
      <c r="XET88" s="916"/>
      <c r="XEU88" s="916"/>
      <c r="XEV88" s="916"/>
      <c r="XEW88" s="916"/>
      <c r="XEX88" s="916"/>
      <c r="XEY88" s="916"/>
      <c r="XEZ88" s="916"/>
      <c r="XFA88" s="916"/>
      <c r="XFB88" s="916"/>
      <c r="XFC88" s="916"/>
      <c r="XFD88" s="916"/>
    </row>
    <row r="89" spans="1:16384" s="1014" customFormat="1" ht="25.5" customHeight="1">
      <c r="A89" s="1004"/>
      <c r="B89" s="1005"/>
      <c r="C89" s="1005"/>
      <c r="D89" s="1005"/>
      <c r="E89" s="1005">
        <v>75</v>
      </c>
      <c r="F89" s="1006" t="s">
        <v>1263</v>
      </c>
      <c r="G89" s="945" t="s">
        <v>1264</v>
      </c>
      <c r="H89" s="947" t="s">
        <v>192</v>
      </c>
      <c r="I89" s="947" t="s">
        <v>1265</v>
      </c>
      <c r="J89" s="948">
        <f t="shared" si="12"/>
        <v>9.8712328767123285</v>
      </c>
      <c r="K89" s="964" t="s">
        <v>465</v>
      </c>
      <c r="L89" s="1007">
        <v>37800000</v>
      </c>
      <c r="M89" s="964" t="s">
        <v>466</v>
      </c>
      <c r="N89" s="1008">
        <v>100</v>
      </c>
      <c r="O89" s="1009">
        <v>6</v>
      </c>
      <c r="P89" s="1006" t="s">
        <v>1276</v>
      </c>
      <c r="Q89" s="952"/>
      <c r="R89" s="953"/>
      <c r="S89" s="1010">
        <v>41744</v>
      </c>
      <c r="T89" s="1010">
        <v>41746</v>
      </c>
      <c r="U89" s="1011" t="s">
        <v>683</v>
      </c>
      <c r="V89" s="1011"/>
      <c r="W89" s="1012">
        <v>38115000</v>
      </c>
      <c r="X89" s="956">
        <v>7.8</v>
      </c>
      <c r="Y89" s="956">
        <f>X89*W89</f>
        <v>297297000</v>
      </c>
      <c r="Z89" s="956"/>
      <c r="AA89" s="1013">
        <v>6</v>
      </c>
      <c r="AB89" s="959">
        <v>45349</v>
      </c>
      <c r="AC89" s="960">
        <f t="shared" si="14"/>
        <v>9.8767123287671232</v>
      </c>
      <c r="AD89" s="960" t="s">
        <v>1286</v>
      </c>
      <c r="AF89" s="962"/>
      <c r="AG89" s="963"/>
    </row>
    <row r="90" spans="1:16384" s="1014" customFormat="1" ht="25.5" customHeight="1">
      <c r="A90" s="1004"/>
      <c r="B90" s="1005"/>
      <c r="C90" s="1005"/>
      <c r="D90" s="1005"/>
      <c r="E90" s="1005">
        <v>75</v>
      </c>
      <c r="F90" s="1006" t="s">
        <v>1263</v>
      </c>
      <c r="G90" s="945" t="s">
        <v>1264</v>
      </c>
      <c r="H90" s="947" t="s">
        <v>192</v>
      </c>
      <c r="I90" s="947" t="s">
        <v>1265</v>
      </c>
      <c r="J90" s="948">
        <f t="shared" si="12"/>
        <v>9.8712328767123285</v>
      </c>
      <c r="K90" s="964" t="s">
        <v>465</v>
      </c>
      <c r="L90" s="1015">
        <v>4200000</v>
      </c>
      <c r="M90" s="964" t="s">
        <v>466</v>
      </c>
      <c r="N90" s="1008">
        <v>100</v>
      </c>
      <c r="O90" s="1009">
        <v>6</v>
      </c>
      <c r="P90" s="1006" t="s">
        <v>1276</v>
      </c>
      <c r="Q90" s="952"/>
      <c r="R90" s="953"/>
      <c r="S90" s="1010">
        <v>41744</v>
      </c>
      <c r="T90" s="1010">
        <v>41746</v>
      </c>
      <c r="U90" s="1011" t="s">
        <v>683</v>
      </c>
      <c r="V90" s="1011"/>
      <c r="W90" s="1012">
        <v>4235000</v>
      </c>
      <c r="X90" s="956">
        <v>7.8</v>
      </c>
      <c r="Y90" s="956">
        <f>X90*W90</f>
        <v>33033000</v>
      </c>
      <c r="Z90" s="956"/>
      <c r="AA90" s="1013">
        <v>6</v>
      </c>
      <c r="AB90" s="959">
        <v>45349</v>
      </c>
      <c r="AC90" s="960">
        <f>(AB90-S90)/365</f>
        <v>9.8767123287671232</v>
      </c>
      <c r="AD90" s="960" t="s">
        <v>1286</v>
      </c>
      <c r="AF90" s="962"/>
      <c r="AG90" s="963"/>
    </row>
    <row r="91" spans="1:16384" s="1041" customFormat="1" ht="25.5" customHeight="1">
      <c r="A91" s="1021"/>
      <c r="B91" s="1022"/>
      <c r="C91" s="1022"/>
      <c r="D91" s="1022"/>
      <c r="E91" s="1022">
        <v>76</v>
      </c>
      <c r="F91" s="1023" t="s">
        <v>1263</v>
      </c>
      <c r="G91" s="1024" t="s">
        <v>1264</v>
      </c>
      <c r="H91" s="1025" t="s">
        <v>192</v>
      </c>
      <c r="I91" s="1025" t="s">
        <v>1265</v>
      </c>
      <c r="J91" s="1026">
        <f t="shared" si="12"/>
        <v>9.8356164383561637</v>
      </c>
      <c r="K91" s="1027" t="s">
        <v>465</v>
      </c>
      <c r="L91" s="1028">
        <v>20700000</v>
      </c>
      <c r="M91" s="1027" t="s">
        <v>466</v>
      </c>
      <c r="N91" s="1029">
        <v>100</v>
      </c>
      <c r="O91" s="1030">
        <v>6</v>
      </c>
      <c r="P91" s="1023" t="s">
        <v>1276</v>
      </c>
      <c r="Q91" s="1031"/>
      <c r="R91" s="1032"/>
      <c r="S91" s="1033">
        <v>41757</v>
      </c>
      <c r="T91" s="1034">
        <v>41759</v>
      </c>
      <c r="U91" s="1035" t="s">
        <v>683</v>
      </c>
      <c r="V91" s="1035"/>
      <c r="W91" s="1036">
        <v>20917350</v>
      </c>
      <c r="X91" s="1037">
        <v>7.8</v>
      </c>
      <c r="Y91" s="1037">
        <f>X91*W91</f>
        <v>163155330</v>
      </c>
      <c r="Z91" s="1037"/>
      <c r="AA91" s="1038">
        <v>6</v>
      </c>
      <c r="AB91" s="1039">
        <v>45349</v>
      </c>
      <c r="AC91" s="1040">
        <f>(AB91-S91)/365</f>
        <v>9.8410958904109584</v>
      </c>
      <c r="AD91" s="1040" t="s">
        <v>1293</v>
      </c>
      <c r="AF91" s="1042"/>
      <c r="AG91" s="1043"/>
    </row>
    <row r="92" spans="1:16384" s="1041" customFormat="1" ht="25.5" customHeight="1">
      <c r="A92" s="1021"/>
      <c r="B92" s="1022"/>
      <c r="C92" s="1022"/>
      <c r="D92" s="1022"/>
      <c r="E92" s="1022">
        <v>76</v>
      </c>
      <c r="F92" s="1023" t="s">
        <v>1263</v>
      </c>
      <c r="G92" s="1024" t="s">
        <v>1264</v>
      </c>
      <c r="H92" s="1025" t="s">
        <v>192</v>
      </c>
      <c r="I92" s="1025" t="s">
        <v>1265</v>
      </c>
      <c r="J92" s="1026">
        <f t="shared" si="12"/>
        <v>9.8356164383561637</v>
      </c>
      <c r="K92" s="1027" t="s">
        <v>465</v>
      </c>
      <c r="L92" s="1044">
        <v>2300000</v>
      </c>
      <c r="M92" s="1027" t="s">
        <v>466</v>
      </c>
      <c r="N92" s="1029">
        <v>100</v>
      </c>
      <c r="O92" s="1030">
        <v>6</v>
      </c>
      <c r="P92" s="1023" t="s">
        <v>1276</v>
      </c>
      <c r="Q92" s="1031"/>
      <c r="R92" s="1032"/>
      <c r="S92" s="1033">
        <v>41757</v>
      </c>
      <c r="T92" s="1034">
        <v>41759</v>
      </c>
      <c r="U92" s="1035" t="s">
        <v>683</v>
      </c>
      <c r="V92" s="1035"/>
      <c r="W92" s="1036">
        <v>2324150</v>
      </c>
      <c r="X92" s="1037">
        <v>7.8</v>
      </c>
      <c r="Y92" s="1037">
        <f>X92*W92</f>
        <v>18128370</v>
      </c>
      <c r="Z92" s="1037"/>
      <c r="AA92" s="1038">
        <v>6</v>
      </c>
      <c r="AB92" s="1039">
        <v>45349</v>
      </c>
      <c r="AC92" s="1040">
        <f>(AB92-S92)/365</f>
        <v>9.8410958904109584</v>
      </c>
      <c r="AD92" s="1040" t="s">
        <v>1293</v>
      </c>
      <c r="AF92" s="1042"/>
      <c r="AG92" s="1043"/>
    </row>
    <row r="93" spans="1:16384" s="1074" customFormat="1" ht="25.5" customHeight="1">
      <c r="A93" s="1070"/>
      <c r="B93" s="1071"/>
      <c r="C93" s="1071"/>
      <c r="D93" s="1071"/>
      <c r="E93" s="1071">
        <v>77</v>
      </c>
      <c r="F93" s="897" t="s">
        <v>1263</v>
      </c>
      <c r="G93" s="898" t="s">
        <v>1264</v>
      </c>
      <c r="H93" s="899" t="s">
        <v>192</v>
      </c>
      <c r="I93" s="899" t="s">
        <v>1265</v>
      </c>
      <c r="J93" s="900">
        <f t="shared" si="12"/>
        <v>9.7972602739726025</v>
      </c>
      <c r="K93" s="901" t="s">
        <v>465</v>
      </c>
      <c r="L93" s="902">
        <v>21600000</v>
      </c>
      <c r="M93" s="901" t="s">
        <v>466</v>
      </c>
      <c r="N93" s="903">
        <v>100</v>
      </c>
      <c r="O93" s="904">
        <v>6</v>
      </c>
      <c r="P93" s="897" t="s">
        <v>1276</v>
      </c>
      <c r="Q93" s="905"/>
      <c r="R93" s="906"/>
      <c r="S93" s="1072">
        <v>41771</v>
      </c>
      <c r="T93" s="907">
        <v>41773</v>
      </c>
      <c r="U93" s="908" t="s">
        <v>683</v>
      </c>
      <c r="V93" s="908"/>
      <c r="W93" s="1073">
        <v>21877200</v>
      </c>
      <c r="X93" s="909">
        <v>7.8</v>
      </c>
      <c r="Y93" s="909">
        <f t="shared" ref="Y93" si="15">X93*W93</f>
        <v>170642160</v>
      </c>
      <c r="Z93" s="909"/>
      <c r="AA93" s="910">
        <v>6</v>
      </c>
      <c r="AB93" s="911">
        <v>45349</v>
      </c>
      <c r="AC93" s="912">
        <f t="shared" ref="AC93" si="16">(AB93-S93)/365</f>
        <v>9.8027397260273972</v>
      </c>
      <c r="AD93" s="912" t="s">
        <v>1297</v>
      </c>
      <c r="AF93" s="914"/>
      <c r="AG93" s="915"/>
    </row>
    <row r="94" spans="1:16384" s="1074" customFormat="1" ht="25.5" customHeight="1">
      <c r="A94" s="1070"/>
      <c r="B94" s="1071"/>
      <c r="C94" s="1071"/>
      <c r="D94" s="1071"/>
      <c r="E94" s="1071">
        <v>77</v>
      </c>
      <c r="F94" s="897" t="s">
        <v>1263</v>
      </c>
      <c r="G94" s="898" t="s">
        <v>1264</v>
      </c>
      <c r="H94" s="899" t="s">
        <v>192</v>
      </c>
      <c r="I94" s="899" t="s">
        <v>1265</v>
      </c>
      <c r="J94" s="900">
        <f t="shared" si="12"/>
        <v>9.7972602739726025</v>
      </c>
      <c r="K94" s="901" t="s">
        <v>465</v>
      </c>
      <c r="L94" s="1075">
        <v>2400000</v>
      </c>
      <c r="M94" s="901" t="s">
        <v>466</v>
      </c>
      <c r="N94" s="903">
        <v>100</v>
      </c>
      <c r="O94" s="904">
        <v>6</v>
      </c>
      <c r="P94" s="897" t="s">
        <v>1276</v>
      </c>
      <c r="Q94" s="905"/>
      <c r="R94" s="906"/>
      <c r="S94" s="1072">
        <v>41771</v>
      </c>
      <c r="T94" s="907">
        <v>41773</v>
      </c>
      <c r="U94" s="908" t="s">
        <v>683</v>
      </c>
      <c r="V94" s="908"/>
      <c r="W94" s="1073">
        <v>2430800</v>
      </c>
      <c r="X94" s="909">
        <v>7.8</v>
      </c>
      <c r="Y94" s="909">
        <f>X94*W94</f>
        <v>18960240</v>
      </c>
      <c r="Z94" s="909"/>
      <c r="AA94" s="910">
        <v>6</v>
      </c>
      <c r="AB94" s="911">
        <v>45349</v>
      </c>
      <c r="AC94" s="912">
        <f>(AB94-S94)/365</f>
        <v>9.8027397260273972</v>
      </c>
      <c r="AD94" s="912" t="s">
        <v>1297</v>
      </c>
      <c r="AF94" s="914"/>
      <c r="AG94" s="915"/>
    </row>
    <row r="95" spans="1:16384" s="1066" customFormat="1" ht="25.5" customHeight="1">
      <c r="A95" s="1046"/>
      <c r="B95" s="1047"/>
      <c r="C95" s="1047"/>
      <c r="D95" s="1047"/>
      <c r="E95" s="1047">
        <v>78</v>
      </c>
      <c r="F95" s="1048" t="s">
        <v>1263</v>
      </c>
      <c r="G95" s="1049" t="s">
        <v>1264</v>
      </c>
      <c r="H95" s="1050" t="s">
        <v>192</v>
      </c>
      <c r="I95" s="1050" t="s">
        <v>1265</v>
      </c>
      <c r="J95" s="1051">
        <f t="shared" si="12"/>
        <v>9.7780821917808218</v>
      </c>
      <c r="K95" s="1052" t="s">
        <v>465</v>
      </c>
      <c r="L95" s="1053">
        <v>18900000</v>
      </c>
      <c r="M95" s="1052" t="s">
        <v>466</v>
      </c>
      <c r="N95" s="1054">
        <v>100</v>
      </c>
      <c r="O95" s="1055">
        <v>6</v>
      </c>
      <c r="P95" s="1048" t="s">
        <v>1276</v>
      </c>
      <c r="Q95" s="1056"/>
      <c r="R95" s="1057"/>
      <c r="S95" s="1058">
        <v>41778</v>
      </c>
      <c r="T95" s="1059">
        <v>41780</v>
      </c>
      <c r="U95" s="1060" t="s">
        <v>683</v>
      </c>
      <c r="V95" s="1060"/>
      <c r="W95" s="1061">
        <v>19164600</v>
      </c>
      <c r="X95" s="1062">
        <v>7.8</v>
      </c>
      <c r="Y95" s="1062">
        <f t="shared" ref="Y95" si="17">X95*W95</f>
        <v>149483880</v>
      </c>
      <c r="Z95" s="1062"/>
      <c r="AA95" s="1063">
        <v>6</v>
      </c>
      <c r="AB95" s="1064">
        <v>45349</v>
      </c>
      <c r="AC95" s="1065">
        <f t="shared" ref="AC95" si="18">(AB95-S95)/365</f>
        <v>9.7835616438356166</v>
      </c>
      <c r="AD95" s="1065" t="s">
        <v>1296</v>
      </c>
      <c r="AF95" s="1067"/>
      <c r="AG95" s="1068"/>
    </row>
    <row r="96" spans="1:16384" s="1066" customFormat="1" ht="25.5" customHeight="1">
      <c r="A96" s="1046"/>
      <c r="B96" s="1047"/>
      <c r="C96" s="1047"/>
      <c r="D96" s="1047"/>
      <c r="E96" s="1047">
        <v>78</v>
      </c>
      <c r="F96" s="1048" t="s">
        <v>1263</v>
      </c>
      <c r="G96" s="1049" t="s">
        <v>1264</v>
      </c>
      <c r="H96" s="1050" t="s">
        <v>192</v>
      </c>
      <c r="I96" s="1050" t="s">
        <v>1265</v>
      </c>
      <c r="J96" s="1051">
        <f t="shared" si="12"/>
        <v>9.7780821917808218</v>
      </c>
      <c r="K96" s="1052" t="s">
        <v>465</v>
      </c>
      <c r="L96" s="1069">
        <v>2100000</v>
      </c>
      <c r="M96" s="1052" t="s">
        <v>466</v>
      </c>
      <c r="N96" s="1054">
        <v>100</v>
      </c>
      <c r="O96" s="1055">
        <v>6</v>
      </c>
      <c r="P96" s="1048" t="s">
        <v>1276</v>
      </c>
      <c r="Q96" s="1056"/>
      <c r="R96" s="1057"/>
      <c r="S96" s="1058">
        <v>41778</v>
      </c>
      <c r="T96" s="1059">
        <v>41780</v>
      </c>
      <c r="U96" s="1060" t="s">
        <v>683</v>
      </c>
      <c r="V96" s="1060"/>
      <c r="W96" s="1061">
        <v>2129400</v>
      </c>
      <c r="X96" s="1062">
        <v>7.8</v>
      </c>
      <c r="Y96" s="1062">
        <f>X96*W96</f>
        <v>16609320</v>
      </c>
      <c r="Z96" s="1062"/>
      <c r="AA96" s="1063">
        <v>6</v>
      </c>
      <c r="AB96" s="1064">
        <v>45349</v>
      </c>
      <c r="AC96" s="1065">
        <f>(AB96-S96)/365</f>
        <v>9.7835616438356166</v>
      </c>
      <c r="AD96" s="1065" t="s">
        <v>1296</v>
      </c>
      <c r="AF96" s="1067"/>
      <c r="AG96" s="1068"/>
    </row>
    <row r="97" spans="1:33" s="890" customFormat="1" ht="25.5" customHeight="1">
      <c r="A97" s="872"/>
      <c r="B97" s="873"/>
      <c r="C97" s="873"/>
      <c r="D97" s="873"/>
      <c r="E97" s="873">
        <v>79</v>
      </c>
      <c r="F97" s="874" t="s">
        <v>1263</v>
      </c>
      <c r="G97" s="875" t="s">
        <v>1264</v>
      </c>
      <c r="H97" s="1076" t="s">
        <v>192</v>
      </c>
      <c r="I97" s="1076" t="s">
        <v>1265</v>
      </c>
      <c r="J97" s="876">
        <f t="shared" si="12"/>
        <v>9.7260273972602747</v>
      </c>
      <c r="K97" s="877" t="s">
        <v>465</v>
      </c>
      <c r="L97" s="878">
        <v>16200000</v>
      </c>
      <c r="M97" s="877" t="s">
        <v>466</v>
      </c>
      <c r="N97" s="879">
        <v>100</v>
      </c>
      <c r="O97" s="880">
        <v>6</v>
      </c>
      <c r="P97" s="874" t="s">
        <v>1276</v>
      </c>
      <c r="Q97" s="882"/>
      <c r="R97" s="1077"/>
      <c r="S97" s="883">
        <v>41795</v>
      </c>
      <c r="T97" s="883">
        <v>41799</v>
      </c>
      <c r="U97" s="884" t="s">
        <v>683</v>
      </c>
      <c r="V97" s="884"/>
      <c r="W97" s="885">
        <v>16475400</v>
      </c>
      <c r="X97" s="886">
        <v>7.8</v>
      </c>
      <c r="Y97" s="886">
        <f t="shared" ref="Y97" si="19">X97*W97</f>
        <v>128508120</v>
      </c>
      <c r="Z97" s="886"/>
      <c r="AA97" s="887">
        <v>6</v>
      </c>
      <c r="AB97" s="888">
        <v>45349</v>
      </c>
      <c r="AC97" s="889">
        <f t="shared" ref="AC97" si="20">(AB97-S97)/365</f>
        <v>9.7369863013698623</v>
      </c>
      <c r="AD97" s="889" t="s">
        <v>1305</v>
      </c>
      <c r="AF97" s="891"/>
      <c r="AG97" s="892"/>
    </row>
    <row r="98" spans="1:33" s="890" customFormat="1" ht="25.5" customHeight="1">
      <c r="A98" s="872"/>
      <c r="B98" s="873"/>
      <c r="C98" s="873"/>
      <c r="D98" s="873"/>
      <c r="E98" s="873">
        <v>79</v>
      </c>
      <c r="F98" s="874" t="s">
        <v>1263</v>
      </c>
      <c r="G98" s="875" t="s">
        <v>1264</v>
      </c>
      <c r="H98" s="1076" t="s">
        <v>192</v>
      </c>
      <c r="I98" s="1076" t="s">
        <v>1265</v>
      </c>
      <c r="J98" s="876">
        <f t="shared" si="12"/>
        <v>9.7260273972602747</v>
      </c>
      <c r="K98" s="877" t="s">
        <v>465</v>
      </c>
      <c r="L98" s="1078">
        <v>1800000</v>
      </c>
      <c r="M98" s="877" t="s">
        <v>466</v>
      </c>
      <c r="N98" s="879">
        <v>100</v>
      </c>
      <c r="O98" s="880">
        <v>6</v>
      </c>
      <c r="P98" s="874" t="s">
        <v>1276</v>
      </c>
      <c r="Q98" s="882"/>
      <c r="R98" s="1077"/>
      <c r="S98" s="883">
        <v>41795</v>
      </c>
      <c r="T98" s="883">
        <v>41799</v>
      </c>
      <c r="U98" s="884" t="s">
        <v>683</v>
      </c>
      <c r="V98" s="884"/>
      <c r="W98" s="885">
        <v>1830600</v>
      </c>
      <c r="X98" s="886">
        <v>7.8</v>
      </c>
      <c r="Y98" s="886">
        <f>X98*W98</f>
        <v>14278680</v>
      </c>
      <c r="Z98" s="886"/>
      <c r="AA98" s="887">
        <v>6</v>
      </c>
      <c r="AB98" s="888">
        <v>45349</v>
      </c>
      <c r="AC98" s="889">
        <f>(AB98-S98)/365</f>
        <v>9.7369863013698623</v>
      </c>
      <c r="AD98" s="889" t="s">
        <v>1305</v>
      </c>
      <c r="AF98" s="891"/>
      <c r="AG98" s="892"/>
    </row>
    <row r="99" spans="1:33" s="890" customFormat="1" ht="25.5" customHeight="1">
      <c r="A99" s="872"/>
      <c r="B99" s="873"/>
      <c r="C99" s="873"/>
      <c r="D99" s="873"/>
      <c r="E99" s="873">
        <v>81</v>
      </c>
      <c r="F99" s="874" t="s">
        <v>1263</v>
      </c>
      <c r="G99" s="875" t="s">
        <v>1264</v>
      </c>
      <c r="H99" s="1076" t="s">
        <v>192</v>
      </c>
      <c r="I99" s="1076" t="s">
        <v>1265</v>
      </c>
      <c r="J99" s="876">
        <f t="shared" si="12"/>
        <v>9.6958904109589046</v>
      </c>
      <c r="K99" s="877" t="s">
        <v>465</v>
      </c>
      <c r="L99" s="878">
        <v>12600000</v>
      </c>
      <c r="M99" s="877" t="s">
        <v>466</v>
      </c>
      <c r="N99" s="879">
        <v>100</v>
      </c>
      <c r="O99" s="880">
        <v>6</v>
      </c>
      <c r="P99" s="874" t="s">
        <v>1276</v>
      </c>
      <c r="Q99" s="882"/>
      <c r="R99" s="1077"/>
      <c r="S99" s="883">
        <v>41808</v>
      </c>
      <c r="T99" s="883">
        <v>41810</v>
      </c>
      <c r="U99" s="884" t="s">
        <v>683</v>
      </c>
      <c r="V99" s="884"/>
      <c r="W99" s="885">
        <v>12837300</v>
      </c>
      <c r="X99" s="886">
        <v>7.8</v>
      </c>
      <c r="Y99" s="886">
        <f t="shared" ref="Y99" si="21">X99*W99</f>
        <v>100130940</v>
      </c>
      <c r="Z99" s="886"/>
      <c r="AA99" s="887">
        <v>6</v>
      </c>
      <c r="AB99" s="888">
        <v>45349</v>
      </c>
      <c r="AC99" s="889">
        <f t="shared" ref="AC99" si="22">(AB99-S99)/365</f>
        <v>9.7013698630136993</v>
      </c>
      <c r="AD99" s="889" t="s">
        <v>1305</v>
      </c>
      <c r="AF99" s="891"/>
      <c r="AG99" s="892"/>
    </row>
    <row r="100" spans="1:33" s="890" customFormat="1" ht="25.5" customHeight="1">
      <c r="A100" s="872"/>
      <c r="B100" s="873"/>
      <c r="C100" s="873"/>
      <c r="D100" s="873"/>
      <c r="E100" s="873">
        <v>81</v>
      </c>
      <c r="F100" s="874" t="s">
        <v>1263</v>
      </c>
      <c r="G100" s="875" t="s">
        <v>1264</v>
      </c>
      <c r="H100" s="1076" t="s">
        <v>192</v>
      </c>
      <c r="I100" s="1076" t="s">
        <v>1265</v>
      </c>
      <c r="J100" s="876">
        <f t="shared" si="12"/>
        <v>9.6958904109589046</v>
      </c>
      <c r="K100" s="877" t="s">
        <v>465</v>
      </c>
      <c r="L100" s="1078">
        <v>1400000</v>
      </c>
      <c r="M100" s="877" t="s">
        <v>466</v>
      </c>
      <c r="N100" s="879">
        <v>100</v>
      </c>
      <c r="O100" s="880">
        <v>6</v>
      </c>
      <c r="P100" s="874" t="s">
        <v>1276</v>
      </c>
      <c r="Q100" s="882"/>
      <c r="R100" s="1077"/>
      <c r="S100" s="883">
        <v>41808</v>
      </c>
      <c r="T100" s="883">
        <v>41810</v>
      </c>
      <c r="U100" s="884" t="s">
        <v>683</v>
      </c>
      <c r="V100" s="884"/>
      <c r="W100" s="885">
        <v>1426366.67</v>
      </c>
      <c r="X100" s="886">
        <v>7.8</v>
      </c>
      <c r="Y100" s="886">
        <f>X100*W100</f>
        <v>11125660.025999999</v>
      </c>
      <c r="Z100" s="886"/>
      <c r="AA100" s="887">
        <v>6</v>
      </c>
      <c r="AB100" s="888">
        <v>45349</v>
      </c>
      <c r="AC100" s="889">
        <f>(AB100-S100)/365</f>
        <v>9.7013698630136993</v>
      </c>
      <c r="AD100" s="889" t="s">
        <v>1305</v>
      </c>
      <c r="AF100" s="891"/>
      <c r="AG100" s="892"/>
    </row>
    <row r="101" spans="1:33" s="737" customFormat="1" ht="25.5" customHeight="1">
      <c r="A101" s="674"/>
      <c r="B101" s="730"/>
      <c r="C101" s="730"/>
      <c r="D101" s="730"/>
      <c r="E101" s="730">
        <v>82</v>
      </c>
      <c r="F101" s="731" t="s">
        <v>1263</v>
      </c>
      <c r="G101" s="587" t="s">
        <v>1264</v>
      </c>
      <c r="H101" s="669" t="s">
        <v>192</v>
      </c>
      <c r="I101" s="669" t="s">
        <v>1265</v>
      </c>
      <c r="J101" s="589">
        <f t="shared" si="12"/>
        <v>9.668493150684931</v>
      </c>
      <c r="K101" s="590" t="s">
        <v>465</v>
      </c>
      <c r="L101" s="732">
        <v>13500000</v>
      </c>
      <c r="M101" s="590" t="s">
        <v>466</v>
      </c>
      <c r="N101" s="733">
        <v>100</v>
      </c>
      <c r="O101" s="734">
        <v>6</v>
      </c>
      <c r="P101" s="731" t="s">
        <v>1276</v>
      </c>
      <c r="Q101" s="675"/>
      <c r="R101" s="604"/>
      <c r="S101" s="676">
        <v>41815</v>
      </c>
      <c r="T101" s="676">
        <v>41820</v>
      </c>
      <c r="U101" s="735" t="s">
        <v>683</v>
      </c>
      <c r="V101" s="735"/>
      <c r="W101" s="736">
        <v>13776750</v>
      </c>
      <c r="X101" s="598">
        <v>7.8</v>
      </c>
      <c r="Y101" s="598">
        <f t="shared" ref="Y101" si="23">X101*W101</f>
        <v>107458650</v>
      </c>
      <c r="Z101" s="598"/>
      <c r="AA101" s="677">
        <v>6</v>
      </c>
      <c r="AB101" s="688">
        <v>45349</v>
      </c>
      <c r="AC101" s="601">
        <f t="shared" ref="AC101" si="24">(AB101-S101)/365</f>
        <v>9.6821917808219187</v>
      </c>
      <c r="AD101" s="601" t="s">
        <v>1303</v>
      </c>
      <c r="AF101" s="602"/>
      <c r="AG101" s="603"/>
    </row>
    <row r="102" spans="1:33" s="737" customFormat="1" ht="25.5" customHeight="1">
      <c r="A102" s="674"/>
      <c r="B102" s="730"/>
      <c r="C102" s="730"/>
      <c r="D102" s="730"/>
      <c r="E102" s="730">
        <v>82</v>
      </c>
      <c r="F102" s="731" t="s">
        <v>1263</v>
      </c>
      <c r="G102" s="587" t="s">
        <v>1264</v>
      </c>
      <c r="H102" s="669" t="s">
        <v>192</v>
      </c>
      <c r="I102" s="669" t="s">
        <v>1265</v>
      </c>
      <c r="J102" s="589">
        <f t="shared" si="12"/>
        <v>9.668493150684931</v>
      </c>
      <c r="K102" s="590" t="s">
        <v>465</v>
      </c>
      <c r="L102" s="894">
        <v>1500000</v>
      </c>
      <c r="M102" s="590" t="s">
        <v>466</v>
      </c>
      <c r="N102" s="733">
        <v>100</v>
      </c>
      <c r="O102" s="734">
        <v>6</v>
      </c>
      <c r="P102" s="731" t="s">
        <v>1276</v>
      </c>
      <c r="Q102" s="675"/>
      <c r="R102" s="604"/>
      <c r="S102" s="676">
        <v>41815</v>
      </c>
      <c r="T102" s="676">
        <v>41820</v>
      </c>
      <c r="U102" s="735" t="s">
        <v>683</v>
      </c>
      <c r="V102" s="735"/>
      <c r="W102" s="736">
        <v>1530750</v>
      </c>
      <c r="X102" s="598">
        <v>7.8</v>
      </c>
      <c r="Y102" s="598">
        <f>X102*W102</f>
        <v>11939850</v>
      </c>
      <c r="Z102" s="598"/>
      <c r="AA102" s="677">
        <v>6</v>
      </c>
      <c r="AB102" s="688">
        <v>45349</v>
      </c>
      <c r="AC102" s="601">
        <f>(AB102-S102)/365</f>
        <v>9.6821917808219187</v>
      </c>
      <c r="AD102" s="601" t="s">
        <v>1303</v>
      </c>
      <c r="AF102" s="602"/>
      <c r="AG102" s="603"/>
    </row>
    <row r="103" spans="1:33" s="1014" customFormat="1" ht="25.5" customHeight="1">
      <c r="A103" s="1004"/>
      <c r="B103" s="1005"/>
      <c r="C103" s="1005"/>
      <c r="D103" s="1005"/>
      <c r="E103" s="1005">
        <v>83</v>
      </c>
      <c r="F103" s="1006" t="s">
        <v>1263</v>
      </c>
      <c r="G103" s="945" t="s">
        <v>1264</v>
      </c>
      <c r="H103" s="947" t="s">
        <v>192</v>
      </c>
      <c r="I103" s="947" t="s">
        <v>1265</v>
      </c>
      <c r="J103" s="948">
        <f t="shared" si="12"/>
        <v>9.6602739726027398</v>
      </c>
      <c r="K103" s="964" t="s">
        <v>465</v>
      </c>
      <c r="L103" s="1007">
        <v>4500000</v>
      </c>
      <c r="M103" s="964" t="s">
        <v>466</v>
      </c>
      <c r="N103" s="1008">
        <v>100</v>
      </c>
      <c r="O103" s="1009">
        <v>6</v>
      </c>
      <c r="P103" s="1006" t="s">
        <v>1276</v>
      </c>
      <c r="Q103" s="952"/>
      <c r="R103" s="953"/>
      <c r="S103" s="1010">
        <v>41820</v>
      </c>
      <c r="T103" s="1010">
        <v>41823</v>
      </c>
      <c r="U103" s="1011" t="s">
        <v>683</v>
      </c>
      <c r="V103" s="1011"/>
      <c r="W103" s="1012">
        <v>4594500</v>
      </c>
      <c r="X103" s="956">
        <v>7.8</v>
      </c>
      <c r="Y103" s="956">
        <f t="shared" ref="Y103" si="25">X103*W103</f>
        <v>35837100</v>
      </c>
      <c r="Z103" s="956"/>
      <c r="AA103" s="1013">
        <v>6</v>
      </c>
      <c r="AB103" s="959">
        <v>45349</v>
      </c>
      <c r="AC103" s="960">
        <f t="shared" ref="AC103" si="26">(AB103-S103)/365</f>
        <v>9.668493150684931</v>
      </c>
      <c r="AD103" s="960" t="s">
        <v>1304</v>
      </c>
      <c r="AF103" s="962"/>
      <c r="AG103" s="963"/>
    </row>
    <row r="104" spans="1:33" s="1014" customFormat="1" ht="25.5" customHeight="1">
      <c r="A104" s="1004"/>
      <c r="B104" s="1005"/>
      <c r="C104" s="1005"/>
      <c r="D104" s="1005"/>
      <c r="E104" s="1005">
        <v>83</v>
      </c>
      <c r="F104" s="1006" t="s">
        <v>1263</v>
      </c>
      <c r="G104" s="945" t="s">
        <v>1264</v>
      </c>
      <c r="H104" s="947" t="s">
        <v>192</v>
      </c>
      <c r="I104" s="947" t="s">
        <v>1265</v>
      </c>
      <c r="J104" s="948">
        <f t="shared" si="12"/>
        <v>9.6602739726027398</v>
      </c>
      <c r="K104" s="964" t="s">
        <v>465</v>
      </c>
      <c r="L104" s="1015">
        <v>500000</v>
      </c>
      <c r="M104" s="964" t="s">
        <v>466</v>
      </c>
      <c r="N104" s="1008">
        <v>100</v>
      </c>
      <c r="O104" s="1009">
        <v>6</v>
      </c>
      <c r="P104" s="1006" t="s">
        <v>1276</v>
      </c>
      <c r="Q104" s="952"/>
      <c r="R104" s="953"/>
      <c r="S104" s="1010">
        <v>41820</v>
      </c>
      <c r="T104" s="1010">
        <v>41823</v>
      </c>
      <c r="U104" s="1011" t="s">
        <v>683</v>
      </c>
      <c r="V104" s="1011"/>
      <c r="W104" s="1012">
        <v>510500</v>
      </c>
      <c r="X104" s="956">
        <v>7.8</v>
      </c>
      <c r="Y104" s="956">
        <f>X104*W104</f>
        <v>3981900</v>
      </c>
      <c r="Z104" s="956"/>
      <c r="AA104" s="1013">
        <v>6</v>
      </c>
      <c r="AB104" s="959">
        <v>45349</v>
      </c>
      <c r="AC104" s="960">
        <f>(AB104-S104)/365</f>
        <v>9.668493150684931</v>
      </c>
      <c r="AD104" s="960" t="s">
        <v>1304</v>
      </c>
      <c r="AF104" s="962"/>
      <c r="AG104" s="963"/>
    </row>
    <row r="105" spans="1:33" s="737" customFormat="1" ht="25.5" customHeight="1">
      <c r="A105" s="674"/>
      <c r="B105" s="730"/>
      <c r="C105" s="730"/>
      <c r="D105" s="730"/>
      <c r="E105" s="730">
        <v>84</v>
      </c>
      <c r="F105" s="731" t="s">
        <v>1263</v>
      </c>
      <c r="G105" s="587" t="s">
        <v>1264</v>
      </c>
      <c r="H105" s="669" t="s">
        <v>192</v>
      </c>
      <c r="I105" s="669" t="s">
        <v>1265</v>
      </c>
      <c r="J105" s="589">
        <f t="shared" si="12"/>
        <v>9.6438356164383556</v>
      </c>
      <c r="K105" s="590" t="s">
        <v>465</v>
      </c>
      <c r="L105" s="732">
        <v>11700000</v>
      </c>
      <c r="M105" s="590" t="s">
        <v>466</v>
      </c>
      <c r="N105" s="733">
        <v>100</v>
      </c>
      <c r="O105" s="734">
        <v>6</v>
      </c>
      <c r="P105" s="731" t="s">
        <v>1275</v>
      </c>
      <c r="Q105" s="675"/>
      <c r="R105" s="604"/>
      <c r="S105" s="676">
        <v>41827</v>
      </c>
      <c r="T105" s="676">
        <v>41829</v>
      </c>
      <c r="U105" s="735" t="s">
        <v>683</v>
      </c>
      <c r="V105" s="735"/>
      <c r="W105" s="736">
        <v>11957400</v>
      </c>
      <c r="X105" s="598">
        <v>7.8</v>
      </c>
      <c r="Y105" s="598">
        <f t="shared" ref="Y105" si="27">X105*W105</f>
        <v>93267720</v>
      </c>
      <c r="Z105" s="598"/>
      <c r="AA105" s="677">
        <v>6</v>
      </c>
      <c r="AB105" s="688">
        <v>45349</v>
      </c>
      <c r="AC105" s="601">
        <f t="shared" ref="AC105" si="28">(AB105-S105)/365</f>
        <v>9.6493150684931503</v>
      </c>
      <c r="AD105" s="601" t="s">
        <v>1306</v>
      </c>
      <c r="AF105" s="602"/>
      <c r="AG105" s="603"/>
    </row>
    <row r="106" spans="1:33" s="737" customFormat="1" ht="25.5" customHeight="1">
      <c r="A106" s="674"/>
      <c r="B106" s="730"/>
      <c r="C106" s="730"/>
      <c r="D106" s="730"/>
      <c r="E106" s="730">
        <v>84</v>
      </c>
      <c r="F106" s="731" t="s">
        <v>1263</v>
      </c>
      <c r="G106" s="587" t="s">
        <v>1264</v>
      </c>
      <c r="H106" s="669" t="s">
        <v>192</v>
      </c>
      <c r="I106" s="669" t="s">
        <v>1265</v>
      </c>
      <c r="J106" s="589">
        <f t="shared" si="12"/>
        <v>9.6438356164383556</v>
      </c>
      <c r="K106" s="590" t="s">
        <v>465</v>
      </c>
      <c r="L106" s="894">
        <v>1300000</v>
      </c>
      <c r="M106" s="590" t="s">
        <v>466</v>
      </c>
      <c r="N106" s="733">
        <v>100</v>
      </c>
      <c r="O106" s="734">
        <v>6</v>
      </c>
      <c r="P106" s="731" t="s">
        <v>1275</v>
      </c>
      <c r="Q106" s="675"/>
      <c r="R106" s="604"/>
      <c r="S106" s="676">
        <v>41827</v>
      </c>
      <c r="T106" s="676">
        <v>41829</v>
      </c>
      <c r="U106" s="735" t="s">
        <v>683</v>
      </c>
      <c r="V106" s="735"/>
      <c r="W106" s="736">
        <v>1328600</v>
      </c>
      <c r="X106" s="598">
        <v>7.8</v>
      </c>
      <c r="Y106" s="598">
        <f>X106*W106</f>
        <v>10363080</v>
      </c>
      <c r="Z106" s="598"/>
      <c r="AA106" s="677">
        <v>6</v>
      </c>
      <c r="AB106" s="688">
        <v>45349</v>
      </c>
      <c r="AC106" s="601">
        <f>(AB106-S106)/365</f>
        <v>9.6493150684931503</v>
      </c>
      <c r="AD106" s="601" t="s">
        <v>1306</v>
      </c>
      <c r="AF106" s="602"/>
      <c r="AG106" s="603"/>
    </row>
    <row r="107" spans="1:33" s="1074" customFormat="1" ht="25.5" customHeight="1">
      <c r="A107" s="1070"/>
      <c r="B107" s="1071"/>
      <c r="C107" s="1071"/>
      <c r="D107" s="1071"/>
      <c r="E107" s="1071">
        <v>80</v>
      </c>
      <c r="F107" s="897" t="s">
        <v>1300</v>
      </c>
      <c r="G107" s="898" t="s">
        <v>1301</v>
      </c>
      <c r="H107" s="899" t="s">
        <v>744</v>
      </c>
      <c r="I107" s="899" t="s">
        <v>193</v>
      </c>
      <c r="J107" s="900">
        <f>(AB107-T107)/365</f>
        <v>1.9205479452054794</v>
      </c>
      <c r="K107" s="901" t="s">
        <v>341</v>
      </c>
      <c r="L107" s="1075">
        <v>-400000</v>
      </c>
      <c r="M107" s="901" t="s">
        <v>466</v>
      </c>
      <c r="N107" s="903">
        <v>109.47572959999999</v>
      </c>
      <c r="O107" s="904">
        <v>5.0279999999999996</v>
      </c>
      <c r="P107" s="897" t="s">
        <v>1302</v>
      </c>
      <c r="Q107" s="905"/>
      <c r="R107" s="906"/>
      <c r="S107" s="907">
        <v>41830</v>
      </c>
      <c r="T107" s="907">
        <v>41835</v>
      </c>
      <c r="U107" s="908" t="s">
        <v>683</v>
      </c>
      <c r="V107" s="908"/>
      <c r="W107" s="1073">
        <v>-439777.91</v>
      </c>
      <c r="X107" s="909">
        <v>7.8</v>
      </c>
      <c r="Y107" s="909">
        <f>X107*W107</f>
        <v>-3430267.6979999999</v>
      </c>
      <c r="Z107" s="909"/>
      <c r="AA107" s="910">
        <v>5.625</v>
      </c>
      <c r="AB107" s="911">
        <v>42536</v>
      </c>
      <c r="AC107" s="912">
        <f>(AB107-S107)/365</f>
        <v>1.9342465753424658</v>
      </c>
      <c r="AD107" s="912"/>
      <c r="AF107" s="914"/>
      <c r="AG107" s="915"/>
    </row>
    <row r="108" spans="1:33" s="737" customFormat="1" ht="25.5" customHeight="1">
      <c r="A108" s="674"/>
      <c r="B108" s="730"/>
      <c r="C108" s="730"/>
      <c r="D108" s="730"/>
      <c r="E108" s="730">
        <v>81</v>
      </c>
      <c r="F108" s="731" t="s">
        <v>1263</v>
      </c>
      <c r="G108" s="587" t="s">
        <v>1264</v>
      </c>
      <c r="H108" s="669" t="s">
        <v>192</v>
      </c>
      <c r="I108" s="669" t="s">
        <v>1265</v>
      </c>
      <c r="J108" s="589">
        <f t="shared" ref="J108:J111" si="29">(AB108-T108)/365</f>
        <v>9.6054794520547944</v>
      </c>
      <c r="K108" s="590" t="s">
        <v>465</v>
      </c>
      <c r="L108" s="732">
        <v>12600000</v>
      </c>
      <c r="M108" s="590" t="s">
        <v>466</v>
      </c>
      <c r="N108" s="733">
        <v>100</v>
      </c>
      <c r="O108" s="734">
        <v>6</v>
      </c>
      <c r="P108" s="731" t="s">
        <v>1275</v>
      </c>
      <c r="Q108" s="675"/>
      <c r="R108" s="604"/>
      <c r="S108" s="676">
        <v>41841</v>
      </c>
      <c r="T108" s="676">
        <v>41843</v>
      </c>
      <c r="U108" s="735" t="s">
        <v>683</v>
      </c>
      <c r="V108" s="735"/>
      <c r="W108" s="736">
        <f>--12906600</f>
        <v>12906600</v>
      </c>
      <c r="X108" s="598">
        <v>7.8</v>
      </c>
      <c r="Y108" s="598">
        <f t="shared" ref="Y108" si="30">X108*W108</f>
        <v>100671480</v>
      </c>
      <c r="Z108" s="598"/>
      <c r="AA108" s="677">
        <v>6</v>
      </c>
      <c r="AB108" s="688">
        <v>45349</v>
      </c>
      <c r="AC108" s="601">
        <f>(AB108-S108)/365</f>
        <v>9.6109589041095891</v>
      </c>
      <c r="AD108" s="601" t="s">
        <v>1317</v>
      </c>
      <c r="AF108" s="602"/>
      <c r="AG108" s="603"/>
    </row>
    <row r="109" spans="1:33" s="737" customFormat="1" ht="25.5" customHeight="1">
      <c r="A109" s="674"/>
      <c r="B109" s="730"/>
      <c r="C109" s="730"/>
      <c r="D109" s="730"/>
      <c r="E109" s="730">
        <v>81</v>
      </c>
      <c r="F109" s="731" t="s">
        <v>1263</v>
      </c>
      <c r="G109" s="587" t="s">
        <v>1264</v>
      </c>
      <c r="H109" s="669" t="s">
        <v>192</v>
      </c>
      <c r="I109" s="669" t="s">
        <v>1265</v>
      </c>
      <c r="J109" s="589">
        <f t="shared" si="29"/>
        <v>9.6054794520547944</v>
      </c>
      <c r="K109" s="590" t="s">
        <v>465</v>
      </c>
      <c r="L109" s="894">
        <v>1400000</v>
      </c>
      <c r="M109" s="590" t="s">
        <v>466</v>
      </c>
      <c r="N109" s="733">
        <v>100</v>
      </c>
      <c r="O109" s="734">
        <v>6</v>
      </c>
      <c r="P109" s="731" t="s">
        <v>1275</v>
      </c>
      <c r="Q109" s="675"/>
      <c r="R109" s="604"/>
      <c r="S109" s="676">
        <v>41841</v>
      </c>
      <c r="T109" s="676">
        <v>41843</v>
      </c>
      <c r="U109" s="735" t="s">
        <v>683</v>
      </c>
      <c r="V109" s="735"/>
      <c r="W109" s="736">
        <v>1434066.67</v>
      </c>
      <c r="X109" s="598">
        <v>7.8</v>
      </c>
      <c r="Y109" s="598">
        <f>X109*W109</f>
        <v>11185720.025999999</v>
      </c>
      <c r="Z109" s="598"/>
      <c r="AA109" s="677">
        <v>6</v>
      </c>
      <c r="AB109" s="688">
        <v>45349</v>
      </c>
      <c r="AC109" s="601">
        <f>(AB109-S109)/365</f>
        <v>9.6109589041095891</v>
      </c>
      <c r="AD109" s="601" t="s">
        <v>1317</v>
      </c>
      <c r="AF109" s="602"/>
      <c r="AG109" s="603"/>
    </row>
    <row r="110" spans="1:33" s="890" customFormat="1" ht="25.5" customHeight="1">
      <c r="A110" s="872"/>
      <c r="B110" s="873"/>
      <c r="C110" s="873"/>
      <c r="D110" s="873"/>
      <c r="E110" s="873">
        <v>82</v>
      </c>
      <c r="F110" s="874" t="s">
        <v>1263</v>
      </c>
      <c r="G110" s="875" t="s">
        <v>1264</v>
      </c>
      <c r="H110" s="1076" t="s">
        <v>192</v>
      </c>
      <c r="I110" s="1076" t="s">
        <v>1265</v>
      </c>
      <c r="J110" s="876">
        <f t="shared" si="29"/>
        <v>9.5726027397260278</v>
      </c>
      <c r="K110" s="877" t="s">
        <v>465</v>
      </c>
      <c r="L110" s="878">
        <v>29700000</v>
      </c>
      <c r="M110" s="877" t="s">
        <v>466</v>
      </c>
      <c r="N110" s="879">
        <v>100</v>
      </c>
      <c r="O110" s="880">
        <v>6</v>
      </c>
      <c r="P110" s="874" t="s">
        <v>1275</v>
      </c>
      <c r="Q110" s="882"/>
      <c r="R110" s="1077"/>
      <c r="S110" s="883">
        <v>41851</v>
      </c>
      <c r="T110" s="883">
        <v>41855</v>
      </c>
      <c r="U110" s="884" t="s">
        <v>683</v>
      </c>
      <c r="V110" s="884"/>
      <c r="W110" s="885">
        <v>30477150</v>
      </c>
      <c r="X110" s="886">
        <v>7.8</v>
      </c>
      <c r="Y110" s="886">
        <f t="shared" ref="Y110" si="31">X110*W110</f>
        <v>237721770</v>
      </c>
      <c r="Z110" s="886"/>
      <c r="AA110" s="887">
        <v>6</v>
      </c>
      <c r="AB110" s="888">
        <v>45349</v>
      </c>
      <c r="AC110" s="889">
        <f t="shared" ref="AC110" si="32">(AB110-S110)/365</f>
        <v>9.5835616438356173</v>
      </c>
      <c r="AD110" s="889" t="s">
        <v>1331</v>
      </c>
      <c r="AF110" s="891"/>
      <c r="AG110" s="892"/>
    </row>
    <row r="111" spans="1:33" s="890" customFormat="1" ht="25.5" customHeight="1">
      <c r="A111" s="872"/>
      <c r="B111" s="873"/>
      <c r="C111" s="873"/>
      <c r="D111" s="873"/>
      <c r="E111" s="873">
        <v>82</v>
      </c>
      <c r="F111" s="874" t="s">
        <v>1263</v>
      </c>
      <c r="G111" s="875" t="s">
        <v>1264</v>
      </c>
      <c r="H111" s="1076" t="s">
        <v>192</v>
      </c>
      <c r="I111" s="1076" t="s">
        <v>1265</v>
      </c>
      <c r="J111" s="876">
        <f t="shared" si="29"/>
        <v>9.5726027397260278</v>
      </c>
      <c r="K111" s="877" t="s">
        <v>465</v>
      </c>
      <c r="L111" s="1078">
        <v>3300000</v>
      </c>
      <c r="M111" s="877" t="s">
        <v>466</v>
      </c>
      <c r="N111" s="879">
        <v>100</v>
      </c>
      <c r="O111" s="880">
        <v>6</v>
      </c>
      <c r="P111" s="874" t="s">
        <v>1275</v>
      </c>
      <c r="Q111" s="882"/>
      <c r="R111" s="1077"/>
      <c r="S111" s="883">
        <v>41851</v>
      </c>
      <c r="T111" s="883">
        <v>41855</v>
      </c>
      <c r="U111" s="884" t="s">
        <v>683</v>
      </c>
      <c r="V111" s="884"/>
      <c r="W111" s="885">
        <v>3386350</v>
      </c>
      <c r="X111" s="886">
        <v>7.8</v>
      </c>
      <c r="Y111" s="886">
        <f>X111*W111</f>
        <v>26413530</v>
      </c>
      <c r="Z111" s="886"/>
      <c r="AA111" s="887">
        <v>6</v>
      </c>
      <c r="AB111" s="888">
        <v>45349</v>
      </c>
      <c r="AC111" s="889">
        <f>(AB111-S111)/365</f>
        <v>9.5835616438356173</v>
      </c>
      <c r="AD111" s="889" t="s">
        <v>1331</v>
      </c>
      <c r="AF111" s="891"/>
      <c r="AG111" s="892"/>
    </row>
    <row r="112" spans="1:33" s="1177" customFormat="1" ht="25.5" customHeight="1">
      <c r="A112" s="1161"/>
      <c r="B112" s="1162"/>
      <c r="C112" s="1162"/>
      <c r="D112" s="1162"/>
      <c r="E112" s="1162">
        <v>83</v>
      </c>
      <c r="F112" s="1166" t="s">
        <v>1320</v>
      </c>
      <c r="G112" s="1169" t="s">
        <v>415</v>
      </c>
      <c r="H112" s="1163" t="s">
        <v>743</v>
      </c>
      <c r="I112" s="1163" t="s">
        <v>421</v>
      </c>
      <c r="J112" s="1164">
        <f>(AB112-T112)/365</f>
        <v>3.7315068493150685</v>
      </c>
      <c r="K112" s="1165" t="s">
        <v>1238</v>
      </c>
      <c r="L112" s="1171">
        <v>-4000000</v>
      </c>
      <c r="M112" s="1165" t="s">
        <v>330</v>
      </c>
      <c r="N112" s="1172">
        <v>119.536</v>
      </c>
      <c r="O112" s="1173">
        <v>1.7170000000000001</v>
      </c>
      <c r="P112" s="1166" t="s">
        <v>1302</v>
      </c>
      <c r="Q112" s="1174"/>
      <c r="R112" s="1168"/>
      <c r="S112" s="1156">
        <v>41821</v>
      </c>
      <c r="T112" s="1156">
        <v>41843</v>
      </c>
      <c r="U112" s="1167" t="s">
        <v>683</v>
      </c>
      <c r="V112" s="1167"/>
      <c r="W112" s="1175">
        <v>-4859023.33</v>
      </c>
      <c r="X112" s="1160">
        <v>7.8</v>
      </c>
      <c r="Y112" s="1160">
        <f>X112*W112</f>
        <v>-37900381.973999999</v>
      </c>
      <c r="Z112" s="1160"/>
      <c r="AA112" s="1176">
        <v>7.125</v>
      </c>
      <c r="AB112" s="1170">
        <v>43205</v>
      </c>
      <c r="AC112" s="1157">
        <f>(AB112-S112)/365</f>
        <v>3.7917808219178082</v>
      </c>
      <c r="AD112" s="1157"/>
      <c r="AF112" s="1158"/>
      <c r="AG112" s="1159"/>
    </row>
    <row r="113" spans="1:33" s="727" customFormat="1" ht="25.5" customHeight="1">
      <c r="A113" s="707"/>
      <c r="B113" s="708"/>
      <c r="C113" s="708"/>
      <c r="D113" s="708"/>
      <c r="E113" s="708">
        <v>304</v>
      </c>
      <c r="F113" s="709" t="s">
        <v>1263</v>
      </c>
      <c r="G113" s="710" t="s">
        <v>1264</v>
      </c>
      <c r="H113" s="711" t="s">
        <v>192</v>
      </c>
      <c r="I113" s="711" t="s">
        <v>1265</v>
      </c>
      <c r="J113" s="712">
        <f t="shared" ref="J113:J114" si="33">(AB113-T113)/365</f>
        <v>9.5452054794520542</v>
      </c>
      <c r="K113" s="713" t="s">
        <v>465</v>
      </c>
      <c r="L113" s="714">
        <v>11700000</v>
      </c>
      <c r="M113" s="713" t="s">
        <v>466</v>
      </c>
      <c r="N113" s="715">
        <v>100</v>
      </c>
      <c r="O113" s="716">
        <v>6</v>
      </c>
      <c r="P113" s="709" t="s">
        <v>1275</v>
      </c>
      <c r="Q113" s="718"/>
      <c r="R113" s="719"/>
      <c r="S113" s="720">
        <v>41862</v>
      </c>
      <c r="T113" s="720">
        <v>41865</v>
      </c>
      <c r="U113" s="721" t="s">
        <v>683</v>
      </c>
      <c r="V113" s="721"/>
      <c r="W113" s="722">
        <v>12025650</v>
      </c>
      <c r="X113" s="723">
        <v>7.8</v>
      </c>
      <c r="Y113" s="723">
        <f t="shared" ref="Y113" si="34">X113*W113</f>
        <v>93800070</v>
      </c>
      <c r="Z113" s="723"/>
      <c r="AA113" s="724">
        <v>6</v>
      </c>
      <c r="AB113" s="725">
        <v>45349</v>
      </c>
      <c r="AC113" s="726">
        <f t="shared" ref="AC113" si="35">(AB113-S113)/365</f>
        <v>9.5534246575342472</v>
      </c>
      <c r="AD113" s="726" t="s">
        <v>1306</v>
      </c>
      <c r="AF113" s="728"/>
      <c r="AG113" s="729"/>
    </row>
    <row r="114" spans="1:33" s="727" customFormat="1" ht="25.5" customHeight="1">
      <c r="A114" s="707"/>
      <c r="B114" s="708"/>
      <c r="C114" s="708"/>
      <c r="D114" s="708"/>
      <c r="E114" s="708">
        <v>304</v>
      </c>
      <c r="F114" s="709" t="s">
        <v>1263</v>
      </c>
      <c r="G114" s="710" t="s">
        <v>1264</v>
      </c>
      <c r="H114" s="711" t="s">
        <v>192</v>
      </c>
      <c r="I114" s="711" t="s">
        <v>1265</v>
      </c>
      <c r="J114" s="712">
        <f t="shared" si="33"/>
        <v>9.5452054794520542</v>
      </c>
      <c r="K114" s="713" t="s">
        <v>465</v>
      </c>
      <c r="L114" s="1354">
        <v>1300000</v>
      </c>
      <c r="M114" s="713" t="s">
        <v>466</v>
      </c>
      <c r="N114" s="715">
        <v>100</v>
      </c>
      <c r="O114" s="716">
        <v>6</v>
      </c>
      <c r="P114" s="709" t="s">
        <v>1275</v>
      </c>
      <c r="Q114" s="718"/>
      <c r="R114" s="719"/>
      <c r="S114" s="720">
        <v>41862</v>
      </c>
      <c r="T114" s="720">
        <v>41865</v>
      </c>
      <c r="U114" s="721" t="s">
        <v>683</v>
      </c>
      <c r="V114" s="721"/>
      <c r="W114" s="722">
        <v>1336183.33</v>
      </c>
      <c r="X114" s="723">
        <v>7.8</v>
      </c>
      <c r="Y114" s="723">
        <f>X114*W114</f>
        <v>10422229.973999999</v>
      </c>
      <c r="Z114" s="723"/>
      <c r="AA114" s="724">
        <v>6</v>
      </c>
      <c r="AB114" s="725">
        <v>45349</v>
      </c>
      <c r="AC114" s="726">
        <f>(AB114-S114)/365</f>
        <v>9.5534246575342472</v>
      </c>
      <c r="AD114" s="726" t="s">
        <v>1306</v>
      </c>
      <c r="AF114" s="728"/>
      <c r="AG114" s="729"/>
    </row>
    <row r="115" spans="1:33" s="1308" customFormat="1" ht="25.5" customHeight="1">
      <c r="A115" s="1289"/>
      <c r="B115" s="1290"/>
      <c r="C115" s="1290"/>
      <c r="D115" s="1290"/>
      <c r="E115" s="1290">
        <v>84</v>
      </c>
      <c r="F115" s="1291" t="s">
        <v>1263</v>
      </c>
      <c r="G115" s="1292" t="s">
        <v>1264</v>
      </c>
      <c r="H115" s="1293" t="s">
        <v>192</v>
      </c>
      <c r="I115" s="1293" t="s">
        <v>1265</v>
      </c>
      <c r="J115" s="1294">
        <f>(AB115-T115)/365</f>
        <v>9.5041095890410965</v>
      </c>
      <c r="K115" s="1295" t="s">
        <v>465</v>
      </c>
      <c r="L115" s="1296">
        <v>18000000</v>
      </c>
      <c r="M115" s="1295" t="s">
        <v>466</v>
      </c>
      <c r="N115" s="1297">
        <v>100</v>
      </c>
      <c r="O115" s="1298">
        <v>6</v>
      </c>
      <c r="P115" s="1291" t="s">
        <v>1275</v>
      </c>
      <c r="Q115" s="1299"/>
      <c r="R115" s="1300"/>
      <c r="S115" s="1301">
        <v>41878</v>
      </c>
      <c r="T115" s="1301">
        <v>41880</v>
      </c>
      <c r="U115" s="1302" t="s">
        <v>683</v>
      </c>
      <c r="V115" s="1302"/>
      <c r="W115" s="1303">
        <v>18006000</v>
      </c>
      <c r="X115" s="1304">
        <v>7.8</v>
      </c>
      <c r="Y115" s="1304">
        <f t="shared" ref="Y115" si="36">X115*W115</f>
        <v>140446800</v>
      </c>
      <c r="Z115" s="1304"/>
      <c r="AA115" s="1305">
        <v>6</v>
      </c>
      <c r="AB115" s="1306">
        <v>45349</v>
      </c>
      <c r="AC115" s="1307">
        <f t="shared" ref="AC115" si="37">(AB115-S115)/365</f>
        <v>9.5095890410958912</v>
      </c>
      <c r="AD115" s="1307" t="s">
        <v>1353</v>
      </c>
      <c r="AF115" s="1309"/>
      <c r="AG115" s="1310"/>
    </row>
    <row r="116" spans="1:33" s="1308" customFormat="1" ht="25.5" customHeight="1">
      <c r="A116" s="1289"/>
      <c r="B116" s="1290"/>
      <c r="C116" s="1290"/>
      <c r="D116" s="1290"/>
      <c r="E116" s="1290">
        <v>84</v>
      </c>
      <c r="F116" s="1291" t="s">
        <v>1263</v>
      </c>
      <c r="G116" s="1292" t="s">
        <v>1264</v>
      </c>
      <c r="H116" s="1293" t="s">
        <v>192</v>
      </c>
      <c r="I116" s="1293" t="s">
        <v>1265</v>
      </c>
      <c r="J116" s="1294">
        <f>(AB116-T116)/365</f>
        <v>9.5041095890410965</v>
      </c>
      <c r="K116" s="1295" t="s">
        <v>465</v>
      </c>
      <c r="L116" s="1311">
        <v>2000000</v>
      </c>
      <c r="M116" s="1295" t="s">
        <v>466</v>
      </c>
      <c r="N116" s="1297">
        <v>100</v>
      </c>
      <c r="O116" s="1298">
        <v>6</v>
      </c>
      <c r="P116" s="1291" t="s">
        <v>1275</v>
      </c>
      <c r="Q116" s="1299"/>
      <c r="R116" s="1300"/>
      <c r="S116" s="1301">
        <v>41878</v>
      </c>
      <c r="T116" s="1301">
        <v>41880</v>
      </c>
      <c r="U116" s="1302" t="s">
        <v>683</v>
      </c>
      <c r="V116" s="1302"/>
      <c r="W116" s="1303">
        <v>2000666.67</v>
      </c>
      <c r="X116" s="1304">
        <v>7.8</v>
      </c>
      <c r="Y116" s="1304">
        <f>X116*W116</f>
        <v>15605200.025999999</v>
      </c>
      <c r="Z116" s="1304"/>
      <c r="AA116" s="1305">
        <v>6</v>
      </c>
      <c r="AB116" s="1306">
        <v>45349</v>
      </c>
      <c r="AC116" s="1307">
        <f>(AB116-S116)/365</f>
        <v>9.5095890410958912</v>
      </c>
      <c r="AD116" s="1307" t="s">
        <v>1353</v>
      </c>
      <c r="AF116" s="1309"/>
      <c r="AG116" s="1310"/>
    </row>
    <row r="117" spans="1:33" s="1416" customFormat="1" ht="25.5" customHeight="1">
      <c r="A117" s="1397"/>
      <c r="B117" s="1398"/>
      <c r="C117" s="1398"/>
      <c r="D117" s="1398"/>
      <c r="E117" s="1398">
        <v>85</v>
      </c>
      <c r="F117" s="1399" t="s">
        <v>1263</v>
      </c>
      <c r="G117" s="1400" t="s">
        <v>1264</v>
      </c>
      <c r="H117" s="1401" t="s">
        <v>192</v>
      </c>
      <c r="I117" s="1401" t="s">
        <v>1265</v>
      </c>
      <c r="J117" s="1402">
        <f>(AB117-T117)/365</f>
        <v>9.4164383561643827</v>
      </c>
      <c r="K117" s="1403" t="s">
        <v>465</v>
      </c>
      <c r="L117" s="1404">
        <v>28800000</v>
      </c>
      <c r="M117" s="1403" t="s">
        <v>466</v>
      </c>
      <c r="N117" s="1405">
        <v>100</v>
      </c>
      <c r="O117" s="1406">
        <v>6</v>
      </c>
      <c r="P117" s="1399" t="s">
        <v>1275</v>
      </c>
      <c r="Q117" s="1407"/>
      <c r="R117" s="1408"/>
      <c r="S117" s="1409">
        <v>41908</v>
      </c>
      <c r="T117" s="1409">
        <v>41912</v>
      </c>
      <c r="U117" s="1410" t="s">
        <v>683</v>
      </c>
      <c r="V117" s="1410"/>
      <c r="W117" s="1411">
        <v>28958400</v>
      </c>
      <c r="X117" s="1412">
        <v>7.8</v>
      </c>
      <c r="Y117" s="1412">
        <f t="shared" ref="Y117" si="38">X117*W117</f>
        <v>225875520</v>
      </c>
      <c r="Z117" s="1412"/>
      <c r="AA117" s="1413">
        <v>6</v>
      </c>
      <c r="AB117" s="1414">
        <v>45349</v>
      </c>
      <c r="AC117" s="1415">
        <f t="shared" ref="AC117" si="39">(AB117-S117)/365</f>
        <v>9.4273972602739722</v>
      </c>
      <c r="AD117" s="1415" t="s">
        <v>1362</v>
      </c>
      <c r="AF117" s="1417"/>
      <c r="AG117" s="1418"/>
    </row>
    <row r="118" spans="1:33" s="1416" customFormat="1" ht="25.5" customHeight="1">
      <c r="A118" s="1397"/>
      <c r="B118" s="1398"/>
      <c r="C118" s="1398"/>
      <c r="D118" s="1398"/>
      <c r="E118" s="1398">
        <v>85</v>
      </c>
      <c r="F118" s="1399" t="s">
        <v>1263</v>
      </c>
      <c r="G118" s="1400" t="s">
        <v>1264</v>
      </c>
      <c r="H118" s="1401" t="s">
        <v>192</v>
      </c>
      <c r="I118" s="1401" t="s">
        <v>1265</v>
      </c>
      <c r="J118" s="1402">
        <f>(AB118-T118)/365</f>
        <v>9.4164383561643827</v>
      </c>
      <c r="K118" s="1403" t="s">
        <v>465</v>
      </c>
      <c r="L118" s="1419">
        <v>3200000</v>
      </c>
      <c r="M118" s="1403" t="s">
        <v>466</v>
      </c>
      <c r="N118" s="1405">
        <v>100</v>
      </c>
      <c r="O118" s="1406">
        <v>6</v>
      </c>
      <c r="P118" s="1399" t="s">
        <v>1275</v>
      </c>
      <c r="Q118" s="1407"/>
      <c r="R118" s="1408"/>
      <c r="S118" s="1409">
        <v>41908</v>
      </c>
      <c r="T118" s="1409">
        <v>41912</v>
      </c>
      <c r="U118" s="1410" t="s">
        <v>683</v>
      </c>
      <c r="V118" s="1410"/>
      <c r="W118" s="1411">
        <v>3217600</v>
      </c>
      <c r="X118" s="1412">
        <v>7.8</v>
      </c>
      <c r="Y118" s="1412">
        <f>X118*W118</f>
        <v>25097280</v>
      </c>
      <c r="Z118" s="1412"/>
      <c r="AA118" s="1413">
        <v>6</v>
      </c>
      <c r="AB118" s="1414">
        <v>45349</v>
      </c>
      <c r="AC118" s="1415">
        <f>(AB118-S118)/365</f>
        <v>9.4273972602739722</v>
      </c>
      <c r="AD118" s="1415" t="s">
        <v>1362</v>
      </c>
      <c r="AF118" s="1417"/>
      <c r="AG118" s="1418"/>
    </row>
    <row r="119" spans="1:33" s="1395" customFormat="1" ht="25.5" customHeight="1">
      <c r="A119" s="1384"/>
      <c r="B119" s="1385"/>
      <c r="C119" s="1385"/>
      <c r="D119" s="1385"/>
      <c r="E119" s="1385">
        <v>86</v>
      </c>
      <c r="F119" s="1386" t="s">
        <v>1263</v>
      </c>
      <c r="G119" s="972" t="s">
        <v>1264</v>
      </c>
      <c r="H119" s="974" t="s">
        <v>192</v>
      </c>
      <c r="I119" s="974" t="s">
        <v>1265</v>
      </c>
      <c r="J119" s="975">
        <f t="shared" ref="J119:J120" si="40">(AB119-T119)/365</f>
        <v>9.3506849315068497</v>
      </c>
      <c r="K119" s="1387" t="s">
        <v>465</v>
      </c>
      <c r="L119" s="1388">
        <v>12600000</v>
      </c>
      <c r="M119" s="1387" t="s">
        <v>466</v>
      </c>
      <c r="N119" s="1389">
        <v>100</v>
      </c>
      <c r="O119" s="1390">
        <v>6</v>
      </c>
      <c r="P119" s="1386" t="s">
        <v>1275</v>
      </c>
      <c r="Q119" s="979"/>
      <c r="R119" s="980"/>
      <c r="S119" s="1391">
        <v>41934</v>
      </c>
      <c r="T119" s="1391">
        <v>41936</v>
      </c>
      <c r="U119" s="1392" t="s">
        <v>683</v>
      </c>
      <c r="V119" s="1392"/>
      <c r="W119" s="1393">
        <v>12719700</v>
      </c>
      <c r="X119" s="983">
        <v>7.8</v>
      </c>
      <c r="Y119" s="983">
        <f t="shared" ref="Y119" si="41">X119*W119</f>
        <v>99213660</v>
      </c>
      <c r="Z119" s="983"/>
      <c r="AA119" s="1394">
        <v>6</v>
      </c>
      <c r="AB119" s="986">
        <v>45349</v>
      </c>
      <c r="AC119" s="987">
        <f t="shared" ref="AC119" si="42">(AB119-S119)/365</f>
        <v>9.3561643835616444</v>
      </c>
      <c r="AD119" s="987" t="s">
        <v>1317</v>
      </c>
      <c r="AF119" s="989"/>
      <c r="AG119" s="990"/>
    </row>
    <row r="120" spans="1:33" s="1395" customFormat="1" ht="25.5" customHeight="1">
      <c r="A120" s="1384"/>
      <c r="B120" s="1385"/>
      <c r="C120" s="1385"/>
      <c r="D120" s="1385"/>
      <c r="E120" s="1385">
        <v>86</v>
      </c>
      <c r="F120" s="1386" t="s">
        <v>1263</v>
      </c>
      <c r="G120" s="972" t="s">
        <v>1264</v>
      </c>
      <c r="H120" s="974" t="s">
        <v>192</v>
      </c>
      <c r="I120" s="974" t="s">
        <v>1265</v>
      </c>
      <c r="J120" s="975">
        <f t="shared" si="40"/>
        <v>9.3506849315068497</v>
      </c>
      <c r="K120" s="1387" t="s">
        <v>465</v>
      </c>
      <c r="L120" s="1396">
        <v>1400000</v>
      </c>
      <c r="M120" s="1387" t="s">
        <v>466</v>
      </c>
      <c r="N120" s="1389">
        <v>100</v>
      </c>
      <c r="O120" s="1390">
        <v>6</v>
      </c>
      <c r="P120" s="1386" t="s">
        <v>1275</v>
      </c>
      <c r="Q120" s="979"/>
      <c r="R120" s="980"/>
      <c r="S120" s="1391">
        <v>41934</v>
      </c>
      <c r="T120" s="1391">
        <v>41936</v>
      </c>
      <c r="U120" s="1392" t="s">
        <v>683</v>
      </c>
      <c r="V120" s="1392"/>
      <c r="W120" s="1393">
        <v>1413300</v>
      </c>
      <c r="X120" s="983">
        <v>7.8</v>
      </c>
      <c r="Y120" s="983">
        <f>X120*W120</f>
        <v>11023740</v>
      </c>
      <c r="Z120" s="983"/>
      <c r="AA120" s="1394">
        <v>6</v>
      </c>
      <c r="AB120" s="986">
        <v>45349</v>
      </c>
      <c r="AC120" s="987">
        <f>(AB120-S120)/365</f>
        <v>9.3561643835616444</v>
      </c>
      <c r="AD120" s="987" t="s">
        <v>1317</v>
      </c>
      <c r="AF120" s="989"/>
      <c r="AG120" s="990"/>
    </row>
    <row r="121" spans="1:33" s="1395" customFormat="1" ht="25.5" customHeight="1">
      <c r="A121" s="1384"/>
      <c r="B121" s="1385"/>
      <c r="C121" s="1385"/>
      <c r="D121" s="1385"/>
      <c r="E121" s="1385">
        <v>87</v>
      </c>
      <c r="F121" s="1386" t="s">
        <v>1263</v>
      </c>
      <c r="G121" s="972" t="s">
        <v>1264</v>
      </c>
      <c r="H121" s="974" t="s">
        <v>192</v>
      </c>
      <c r="I121" s="974" t="s">
        <v>1265</v>
      </c>
      <c r="J121" s="975">
        <f t="shared" ref="J121:J122" si="43">(AB121-T121)/365</f>
        <v>9.3506849315068497</v>
      </c>
      <c r="K121" s="1387" t="s">
        <v>465</v>
      </c>
      <c r="L121" s="1388">
        <v>12600000</v>
      </c>
      <c r="M121" s="1387" t="s">
        <v>466</v>
      </c>
      <c r="N121" s="1389">
        <v>100</v>
      </c>
      <c r="O121" s="1390">
        <v>6</v>
      </c>
      <c r="P121" s="1386" t="s">
        <v>1275</v>
      </c>
      <c r="Q121" s="979"/>
      <c r="R121" s="980"/>
      <c r="S121" s="1391">
        <v>41934</v>
      </c>
      <c r="T121" s="1391">
        <v>41936</v>
      </c>
      <c r="U121" s="1392" t="s">
        <v>683</v>
      </c>
      <c r="V121" s="1392"/>
      <c r="W121" s="1393">
        <v>12719700</v>
      </c>
      <c r="X121" s="983">
        <v>7.8</v>
      </c>
      <c r="Y121" s="983">
        <f t="shared" ref="Y121" si="44">X121*W121</f>
        <v>99213660</v>
      </c>
      <c r="Z121" s="983"/>
      <c r="AA121" s="1394">
        <v>6</v>
      </c>
      <c r="AB121" s="986">
        <v>45349</v>
      </c>
      <c r="AC121" s="987">
        <f t="shared" ref="AC121" si="45">(AB121-S121)/365</f>
        <v>9.3561643835616444</v>
      </c>
      <c r="AD121" s="987" t="s">
        <v>1317</v>
      </c>
      <c r="AF121" s="989"/>
      <c r="AG121" s="990"/>
    </row>
    <row r="122" spans="1:33" s="1395" customFormat="1" ht="25.5" customHeight="1">
      <c r="A122" s="1384"/>
      <c r="B122" s="1385"/>
      <c r="C122" s="1385"/>
      <c r="D122" s="1385"/>
      <c r="E122" s="1385">
        <v>87</v>
      </c>
      <c r="F122" s="1386" t="s">
        <v>1263</v>
      </c>
      <c r="G122" s="972" t="s">
        <v>1264</v>
      </c>
      <c r="H122" s="974" t="s">
        <v>192</v>
      </c>
      <c r="I122" s="974" t="s">
        <v>1265</v>
      </c>
      <c r="J122" s="975">
        <f t="shared" si="43"/>
        <v>9.3506849315068497</v>
      </c>
      <c r="K122" s="1387" t="s">
        <v>465</v>
      </c>
      <c r="L122" s="1396">
        <v>1400000</v>
      </c>
      <c r="M122" s="1387" t="s">
        <v>466</v>
      </c>
      <c r="N122" s="1389">
        <v>100</v>
      </c>
      <c r="O122" s="1390">
        <v>6</v>
      </c>
      <c r="P122" s="1386" t="s">
        <v>1275</v>
      </c>
      <c r="Q122" s="979"/>
      <c r="R122" s="980"/>
      <c r="S122" s="1391">
        <v>41934</v>
      </c>
      <c r="T122" s="1391">
        <v>41936</v>
      </c>
      <c r="U122" s="1392" t="s">
        <v>683</v>
      </c>
      <c r="V122" s="1392"/>
      <c r="W122" s="1393">
        <v>1413300</v>
      </c>
      <c r="X122" s="983">
        <v>7.8</v>
      </c>
      <c r="Y122" s="983">
        <f>X122*W122</f>
        <v>11023740</v>
      </c>
      <c r="Z122" s="983"/>
      <c r="AA122" s="1394">
        <v>6</v>
      </c>
      <c r="AB122" s="986">
        <v>45349</v>
      </c>
      <c r="AC122" s="987">
        <f>(AB122-S122)/365</f>
        <v>9.3561643835616444</v>
      </c>
      <c r="AD122" s="987" t="s">
        <v>1317</v>
      </c>
      <c r="AF122" s="989"/>
      <c r="AG122" s="990"/>
    </row>
    <row r="123" spans="1:33" s="1395" customFormat="1" ht="25.5" customHeight="1">
      <c r="A123" s="1384"/>
      <c r="B123" s="1385"/>
      <c r="C123" s="1385"/>
      <c r="D123" s="1385"/>
      <c r="E123" s="1385">
        <v>88</v>
      </c>
      <c r="F123" s="1386" t="s">
        <v>1263</v>
      </c>
      <c r="G123" s="972" t="s">
        <v>1264</v>
      </c>
      <c r="H123" s="974" t="s">
        <v>192</v>
      </c>
      <c r="I123" s="974" t="s">
        <v>1265</v>
      </c>
      <c r="J123" s="975">
        <f t="shared" ref="J123:J124" si="46">(AB123-T123)/365</f>
        <v>9.3780821917808215</v>
      </c>
      <c r="K123" s="1387" t="s">
        <v>465</v>
      </c>
      <c r="L123" s="1388">
        <v>24300000</v>
      </c>
      <c r="M123" s="1387" t="s">
        <v>466</v>
      </c>
      <c r="N123" s="1389">
        <v>100</v>
      </c>
      <c r="O123" s="1390">
        <v>6</v>
      </c>
      <c r="P123" s="1386" t="s">
        <v>1275</v>
      </c>
      <c r="Q123" s="979"/>
      <c r="R123" s="980"/>
      <c r="S123" s="1391">
        <v>41922</v>
      </c>
      <c r="T123" s="1391">
        <v>41926</v>
      </c>
      <c r="U123" s="1392" t="s">
        <v>683</v>
      </c>
      <c r="V123" s="1392"/>
      <c r="W123" s="1393">
        <v>24490350</v>
      </c>
      <c r="X123" s="983">
        <v>7.8</v>
      </c>
      <c r="Y123" s="983">
        <f t="shared" ref="Y123" si="47">X123*W123</f>
        <v>191024730</v>
      </c>
      <c r="Z123" s="983"/>
      <c r="AA123" s="1394">
        <v>6</v>
      </c>
      <c r="AB123" s="986">
        <v>45349</v>
      </c>
      <c r="AC123" s="987">
        <f t="shared" ref="AC123" si="48">(AB123-S123)/365</f>
        <v>9.3890410958904109</v>
      </c>
      <c r="AD123" s="987" t="s">
        <v>1297</v>
      </c>
      <c r="AF123" s="989"/>
      <c r="AG123" s="990"/>
    </row>
    <row r="124" spans="1:33" s="1395" customFormat="1" ht="25.5" customHeight="1">
      <c r="A124" s="1384"/>
      <c r="B124" s="1385"/>
      <c r="C124" s="1385"/>
      <c r="D124" s="1385"/>
      <c r="E124" s="1385">
        <v>88</v>
      </c>
      <c r="F124" s="1386" t="s">
        <v>1263</v>
      </c>
      <c r="G124" s="972" t="s">
        <v>1264</v>
      </c>
      <c r="H124" s="974" t="s">
        <v>192</v>
      </c>
      <c r="I124" s="974" t="s">
        <v>1265</v>
      </c>
      <c r="J124" s="975">
        <f t="shared" si="46"/>
        <v>9.3780821917808215</v>
      </c>
      <c r="K124" s="1387" t="s">
        <v>465</v>
      </c>
      <c r="L124" s="1396">
        <v>2700000</v>
      </c>
      <c r="M124" s="1387" t="s">
        <v>466</v>
      </c>
      <c r="N124" s="1389">
        <v>100</v>
      </c>
      <c r="O124" s="1390">
        <v>6</v>
      </c>
      <c r="P124" s="1386" t="s">
        <v>1275</v>
      </c>
      <c r="Q124" s="979"/>
      <c r="R124" s="980"/>
      <c r="S124" s="1391">
        <v>41922</v>
      </c>
      <c r="T124" s="1391">
        <v>41926</v>
      </c>
      <c r="U124" s="1392" t="s">
        <v>683</v>
      </c>
      <c r="V124" s="1392"/>
      <c r="W124" s="1393">
        <v>2721150</v>
      </c>
      <c r="X124" s="983">
        <v>7.8</v>
      </c>
      <c r="Y124" s="983">
        <f>X124*W124</f>
        <v>21224970</v>
      </c>
      <c r="Z124" s="983"/>
      <c r="AA124" s="1394">
        <v>6</v>
      </c>
      <c r="AB124" s="986">
        <v>45349</v>
      </c>
      <c r="AC124" s="987">
        <f>(AB124-S124)/365</f>
        <v>9.3890410958904109</v>
      </c>
      <c r="AD124" s="987" t="s">
        <v>1297</v>
      </c>
      <c r="AF124" s="989"/>
      <c r="AG124" s="990"/>
    </row>
    <row r="125" spans="1:33" s="1774" customFormat="1" ht="25.5" customHeight="1">
      <c r="A125" s="1755"/>
      <c r="B125" s="1756"/>
      <c r="C125" s="1756"/>
      <c r="D125" s="1756"/>
      <c r="E125" s="1756">
        <v>89</v>
      </c>
      <c r="F125" s="1757" t="s">
        <v>1542</v>
      </c>
      <c r="G125" s="1758" t="s">
        <v>1543</v>
      </c>
      <c r="H125" s="1759" t="s">
        <v>744</v>
      </c>
      <c r="I125" s="1759" t="s">
        <v>421</v>
      </c>
      <c r="J125" s="1760">
        <v>34.171115674195754</v>
      </c>
      <c r="K125" s="1761" t="s">
        <v>465</v>
      </c>
      <c r="L125" s="1762">
        <v>4000000</v>
      </c>
      <c r="M125" s="1761" t="s">
        <v>466</v>
      </c>
      <c r="N125" s="1763">
        <v>129.00299999999999</v>
      </c>
      <c r="O125" s="1764">
        <v>4.05</v>
      </c>
      <c r="P125" s="1757" t="s">
        <v>946</v>
      </c>
      <c r="Q125" s="1765" t="s">
        <v>1493</v>
      </c>
      <c r="R125" s="1766" t="s">
        <v>1494</v>
      </c>
      <c r="S125" s="1767">
        <v>42625</v>
      </c>
      <c r="T125" s="1767">
        <v>42628</v>
      </c>
      <c r="U125" s="1768" t="s">
        <v>683</v>
      </c>
      <c r="V125" s="1768"/>
      <c r="W125" s="1769">
        <v>5233245</v>
      </c>
      <c r="X125" s="1770">
        <v>7.8</v>
      </c>
      <c r="Y125" s="1770">
        <f>X125*W125</f>
        <v>40819311</v>
      </c>
      <c r="Z125" s="1770"/>
      <c r="AA125" s="1771">
        <v>5.625</v>
      </c>
      <c r="AB125" s="1772">
        <v>55110</v>
      </c>
      <c r="AC125" s="1773">
        <f>(AB125-S125)/365</f>
        <v>34.205479452054796</v>
      </c>
      <c r="AD125" s="1773"/>
      <c r="AF125" s="1775"/>
      <c r="AG125" s="1776"/>
    </row>
    <row r="126" spans="1:33" s="1774" customFormat="1" ht="25.5" customHeight="1">
      <c r="A126" s="1755"/>
      <c r="B126" s="1756"/>
      <c r="C126" s="1756"/>
      <c r="D126" s="1756"/>
      <c r="E126" s="1756">
        <v>90</v>
      </c>
      <c r="F126" s="1757" t="s">
        <v>1542</v>
      </c>
      <c r="G126" s="1758" t="s">
        <v>1543</v>
      </c>
      <c r="H126" s="1759" t="s">
        <v>744</v>
      </c>
      <c r="I126" s="1759" t="s">
        <v>421</v>
      </c>
      <c r="J126" s="1760">
        <v>34.171115674195754</v>
      </c>
      <c r="K126" s="1761" t="s">
        <v>465</v>
      </c>
      <c r="L126" s="1762">
        <v>4000000</v>
      </c>
      <c r="M126" s="1761" t="s">
        <v>466</v>
      </c>
      <c r="N126" s="1763">
        <v>129.673</v>
      </c>
      <c r="O126" s="1764">
        <v>4.0199999999999996</v>
      </c>
      <c r="P126" s="1757" t="s">
        <v>946</v>
      </c>
      <c r="Q126" s="1765" t="s">
        <v>1493</v>
      </c>
      <c r="R126" s="1766" t="s">
        <v>1494</v>
      </c>
      <c r="S126" s="1767">
        <v>42625</v>
      </c>
      <c r="T126" s="1767">
        <v>42628</v>
      </c>
      <c r="U126" s="1768" t="s">
        <v>683</v>
      </c>
      <c r="V126" s="1768"/>
      <c r="W126" s="1769">
        <v>5260045</v>
      </c>
      <c r="X126" s="1770">
        <v>7.8</v>
      </c>
      <c r="Y126" s="1770">
        <f t="shared" ref="Y126:Y127" si="49">X126*W126</f>
        <v>41028351</v>
      </c>
      <c r="Z126" s="1770"/>
      <c r="AA126" s="1771">
        <v>5.625</v>
      </c>
      <c r="AB126" s="1772">
        <v>55110</v>
      </c>
      <c r="AC126" s="1773">
        <f t="shared" ref="AC126:AC127" si="50">(AB126-S126)/365</f>
        <v>34.205479452054796</v>
      </c>
      <c r="AD126" s="1773"/>
      <c r="AF126" s="1775"/>
      <c r="AG126" s="1776"/>
    </row>
    <row r="127" spans="1:33" s="1774" customFormat="1" ht="25.5" customHeight="1">
      <c r="A127" s="1755"/>
      <c r="B127" s="1756"/>
      <c r="C127" s="1756"/>
      <c r="D127" s="1756"/>
      <c r="E127" s="1756">
        <v>91</v>
      </c>
      <c r="F127" s="1757" t="s">
        <v>1542</v>
      </c>
      <c r="G127" s="1758" t="s">
        <v>1543</v>
      </c>
      <c r="H127" s="1759" t="s">
        <v>744</v>
      </c>
      <c r="I127" s="1759" t="s">
        <v>421</v>
      </c>
      <c r="J127" s="1760">
        <v>34.171115674195754</v>
      </c>
      <c r="K127" s="1761" t="s">
        <v>465</v>
      </c>
      <c r="L127" s="1762">
        <v>10000000</v>
      </c>
      <c r="M127" s="1761" t="s">
        <v>466</v>
      </c>
      <c r="N127" s="1763">
        <v>130.12299999999999</v>
      </c>
      <c r="O127" s="1764">
        <v>4</v>
      </c>
      <c r="P127" s="1757" t="s">
        <v>946</v>
      </c>
      <c r="Q127" s="1765" t="s">
        <v>1493</v>
      </c>
      <c r="R127" s="1766" t="s">
        <v>1494</v>
      </c>
      <c r="S127" s="1767">
        <v>42625</v>
      </c>
      <c r="T127" s="1767">
        <v>42628</v>
      </c>
      <c r="U127" s="1768" t="s">
        <v>683</v>
      </c>
      <c r="V127" s="1768"/>
      <c r="W127" s="1769">
        <v>13195112.5</v>
      </c>
      <c r="X127" s="1770">
        <v>7.8</v>
      </c>
      <c r="Y127" s="1770">
        <f t="shared" si="49"/>
        <v>102921877.5</v>
      </c>
      <c r="Z127" s="1770"/>
      <c r="AA127" s="1771">
        <v>5.625</v>
      </c>
      <c r="AB127" s="1772">
        <v>55110</v>
      </c>
      <c r="AC127" s="1773">
        <f t="shared" si="50"/>
        <v>34.205479452054796</v>
      </c>
      <c r="AD127" s="1773"/>
      <c r="AF127" s="1775"/>
      <c r="AG127" s="1776"/>
    </row>
    <row r="128" spans="1:33">
      <c r="Y128" s="3"/>
      <c r="Z128" s="3"/>
    </row>
  </sheetData>
  <mergeCells count="1">
    <mergeCell ref="G5:U5"/>
  </mergeCells>
  <phoneticPr fontId="4" type="noConversion"/>
  <conditionalFormatting sqref="F57">
    <cfRule type="duplicateValues" dxfId="3" priority="4"/>
  </conditionalFormatting>
  <conditionalFormatting sqref="F57">
    <cfRule type="duplicateValues" dxfId="2" priority="3"/>
  </conditionalFormatting>
  <conditionalFormatting sqref="F59">
    <cfRule type="duplicateValues" dxfId="1" priority="2"/>
  </conditionalFormatting>
  <conditionalFormatting sqref="F59">
    <cfRule type="duplicateValues" dxfId="0" priority="1"/>
  </conditionalFormatting>
  <pageMargins left="0.28999999999999998" right="0.33" top="1" bottom="1" header="0.5" footer="0.5"/>
  <pageSetup scale="2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AY53"/>
  <sheetViews>
    <sheetView topLeftCell="E1" zoomScale="85" zoomScaleNormal="85" workbookViewId="0">
      <pane xSplit="1" ySplit="5" topLeftCell="F41" activePane="bottomRight" state="frozen"/>
      <selection activeCell="E1" sqref="E1"/>
      <selection pane="topRight" activeCell="F1" sqref="F1"/>
      <selection pane="bottomLeft" activeCell="E6" sqref="E6"/>
      <selection pane="bottomRight" activeCell="F1" sqref="F1:F1048576"/>
    </sheetView>
  </sheetViews>
  <sheetFormatPr defaultRowHeight="12.75"/>
  <cols>
    <col min="1" max="2" width="16.28515625" customWidth="1"/>
    <col min="3" max="3" width="10.7109375" customWidth="1"/>
    <col min="4" max="4" width="11.5703125" customWidth="1"/>
    <col min="6" max="6" width="15.7109375" customWidth="1"/>
    <col min="7" max="7" width="23.140625" customWidth="1"/>
    <col min="8" max="10" width="9" customWidth="1"/>
    <col min="12" max="12" width="15.85546875" customWidth="1"/>
    <col min="13" max="13" width="11.28515625" customWidth="1"/>
    <col min="14" max="14" width="10.140625" customWidth="1"/>
    <col min="15" max="15" width="12.5703125" customWidth="1"/>
    <col min="16" max="16" width="13.5703125" customWidth="1"/>
    <col min="17" max="17" width="13.42578125" customWidth="1"/>
    <col min="18" max="18" width="22" customWidth="1"/>
    <col min="19" max="20" width="10.7109375" style="637" customWidth="1"/>
    <col min="21" max="21" width="13.42578125" customWidth="1"/>
    <col min="23" max="23" width="13.5703125" customWidth="1"/>
    <col min="24" max="24" width="13.42578125" customWidth="1"/>
    <col min="25" max="25" width="15" customWidth="1"/>
    <col min="26" max="26" width="13.42578125" customWidth="1"/>
    <col min="27" max="27" width="10.140625" customWidth="1"/>
    <col min="28" max="28" width="11.7109375" style="637" customWidth="1"/>
    <col min="33" max="33" width="10.140625" bestFit="1" customWidth="1"/>
    <col min="34" max="34" width="9.85546875" bestFit="1" customWidth="1"/>
  </cols>
  <sheetData>
    <row r="1" spans="1:37" ht="16.5">
      <c r="E1" s="1"/>
      <c r="F1" s="116" t="s">
        <v>999</v>
      </c>
      <c r="G1" s="1"/>
      <c r="H1" s="1"/>
      <c r="I1" s="1"/>
      <c r="J1" s="1"/>
      <c r="K1" s="1"/>
      <c r="L1" s="1"/>
      <c r="O1" s="1" t="s">
        <v>1209</v>
      </c>
    </row>
    <row r="4" spans="1:37">
      <c r="AB4" s="659"/>
      <c r="AC4" s="85"/>
      <c r="AG4" s="85"/>
    </row>
    <row r="5" spans="1:37" ht="38.25">
      <c r="A5" s="10"/>
      <c r="B5" s="10"/>
      <c r="C5" s="10"/>
      <c r="D5" s="10"/>
      <c r="E5" s="8" t="s">
        <v>296</v>
      </c>
      <c r="F5" s="8" t="s">
        <v>293</v>
      </c>
      <c r="G5" s="8" t="s">
        <v>300</v>
      </c>
      <c r="H5" s="8"/>
      <c r="I5" s="8"/>
      <c r="J5" s="8"/>
      <c r="K5" s="8" t="s">
        <v>294</v>
      </c>
      <c r="L5" s="9" t="s">
        <v>302</v>
      </c>
      <c r="M5" s="7" t="s">
        <v>301</v>
      </c>
      <c r="N5" s="7" t="s">
        <v>304</v>
      </c>
      <c r="O5" s="7" t="s">
        <v>305</v>
      </c>
      <c r="P5" s="8" t="s">
        <v>297</v>
      </c>
      <c r="Q5" s="8" t="s">
        <v>303</v>
      </c>
      <c r="R5" s="8" t="s">
        <v>312</v>
      </c>
      <c r="S5" s="639" t="s">
        <v>298</v>
      </c>
      <c r="T5" s="639" t="s">
        <v>299</v>
      </c>
      <c r="U5" s="228" t="s">
        <v>752</v>
      </c>
      <c r="V5" s="10"/>
      <c r="W5" s="10" t="s">
        <v>436</v>
      </c>
      <c r="X5" s="10" t="s">
        <v>475</v>
      </c>
      <c r="Y5" s="84" t="s">
        <v>440</v>
      </c>
      <c r="Z5" s="84"/>
      <c r="AA5" s="10"/>
      <c r="AB5" s="660"/>
      <c r="AC5" s="10"/>
      <c r="AF5" s="29"/>
      <c r="AG5" s="29"/>
      <c r="AH5" s="29"/>
    </row>
    <row r="6" spans="1:37" ht="25.5">
      <c r="A6" s="73"/>
      <c r="B6" s="73"/>
      <c r="C6" s="73"/>
      <c r="D6" s="33"/>
      <c r="E6" s="26">
        <v>1</v>
      </c>
      <c r="F6" s="15" t="s">
        <v>451</v>
      </c>
      <c r="G6" s="20" t="s">
        <v>452</v>
      </c>
      <c r="H6" s="20"/>
      <c r="I6" s="20"/>
      <c r="J6" s="20"/>
      <c r="K6" s="26" t="s">
        <v>309</v>
      </c>
      <c r="L6" s="24">
        <v>1000000</v>
      </c>
      <c r="M6" s="578" t="s">
        <v>945</v>
      </c>
      <c r="N6" s="28">
        <v>97.638000000000005</v>
      </c>
      <c r="O6" s="30">
        <v>6.430288</v>
      </c>
      <c r="P6" s="32" t="s">
        <v>353</v>
      </c>
      <c r="Q6" s="20" t="s">
        <v>344</v>
      </c>
      <c r="R6" s="14" t="s">
        <v>445</v>
      </c>
      <c r="S6" s="640">
        <v>39617</v>
      </c>
      <c r="T6" s="640">
        <v>39624</v>
      </c>
      <c r="U6" s="40"/>
      <c r="V6" s="12"/>
      <c r="W6" s="77">
        <f>1971760/2</f>
        <v>985880</v>
      </c>
      <c r="X6" s="76"/>
      <c r="AA6" s="88"/>
      <c r="AB6" s="659"/>
      <c r="AC6" s="92"/>
      <c r="AF6" s="161"/>
      <c r="AG6" s="190"/>
      <c r="AH6" s="77"/>
    </row>
    <row r="7" spans="1:37" ht="25.5">
      <c r="A7" s="33"/>
      <c r="B7" s="33"/>
      <c r="C7" s="33"/>
      <c r="D7" s="33"/>
      <c r="E7" s="13">
        <v>2</v>
      </c>
      <c r="F7" s="47" t="s">
        <v>391</v>
      </c>
      <c r="G7" s="48" t="s">
        <v>390</v>
      </c>
      <c r="H7" s="48"/>
      <c r="I7" s="48"/>
      <c r="J7" s="48"/>
      <c r="K7" s="26" t="s">
        <v>309</v>
      </c>
      <c r="L7" s="24">
        <v>500000</v>
      </c>
      <c r="M7" s="26" t="s">
        <v>466</v>
      </c>
      <c r="N7" s="13">
        <v>98.34</v>
      </c>
      <c r="O7" s="13">
        <v>5.9002160000000003</v>
      </c>
      <c r="P7" s="22" t="s">
        <v>316</v>
      </c>
      <c r="Q7" s="17" t="s">
        <v>317</v>
      </c>
      <c r="R7" s="14" t="s">
        <v>318</v>
      </c>
      <c r="S7" s="640">
        <v>39617</v>
      </c>
      <c r="T7" s="640">
        <v>39624</v>
      </c>
      <c r="U7" s="40"/>
      <c r="V7" s="12"/>
      <c r="W7" s="77">
        <f>1492058.33*0.5/1.5</f>
        <v>497352.77666666667</v>
      </c>
      <c r="X7" s="76"/>
      <c r="AA7" s="33"/>
      <c r="AB7" s="659"/>
      <c r="AC7" s="92"/>
      <c r="AF7" s="161"/>
      <c r="AG7" s="190"/>
      <c r="AH7" s="77"/>
    </row>
    <row r="8" spans="1:37" ht="38.25">
      <c r="A8" s="73"/>
      <c r="B8" s="73"/>
      <c r="C8" s="73"/>
      <c r="D8" s="73"/>
      <c r="E8" s="46">
        <v>3</v>
      </c>
      <c r="F8" s="12" t="s">
        <v>435</v>
      </c>
      <c r="G8" s="14" t="s">
        <v>505</v>
      </c>
      <c r="H8" s="14"/>
      <c r="I8" s="14"/>
      <c r="J8" s="14"/>
      <c r="K8" s="26" t="s">
        <v>309</v>
      </c>
      <c r="L8" s="24">
        <v>500000</v>
      </c>
      <c r="M8" s="26" t="s">
        <v>466</v>
      </c>
      <c r="N8" s="107">
        <v>100.5</v>
      </c>
      <c r="O8" s="108">
        <v>7.0089790000000001</v>
      </c>
      <c r="P8" s="32" t="s">
        <v>350</v>
      </c>
      <c r="Q8" s="20" t="s">
        <v>351</v>
      </c>
      <c r="R8" s="14" t="s">
        <v>352</v>
      </c>
      <c r="S8" s="640">
        <v>39617</v>
      </c>
      <c r="T8" s="640">
        <v>39624</v>
      </c>
      <c r="U8" s="40"/>
      <c r="V8" s="64"/>
      <c r="W8" s="110">
        <v>505072.92</v>
      </c>
      <c r="X8" s="110"/>
      <c r="Y8" s="64"/>
      <c r="Z8" s="64"/>
      <c r="AA8" s="88"/>
      <c r="AB8" s="659"/>
      <c r="AC8" s="92"/>
      <c r="AF8" s="161"/>
      <c r="AG8" s="190"/>
      <c r="AH8" s="77"/>
    </row>
    <row r="9" spans="1:37" ht="38.25">
      <c r="A9" s="73"/>
      <c r="B9" s="73"/>
      <c r="C9" s="73"/>
      <c r="D9" s="73"/>
      <c r="E9" s="46">
        <v>4</v>
      </c>
      <c r="F9" s="47" t="s">
        <v>490</v>
      </c>
      <c r="G9" s="53" t="s">
        <v>491</v>
      </c>
      <c r="H9" s="53"/>
      <c r="I9" s="53"/>
      <c r="J9" s="53"/>
      <c r="K9" s="26" t="s">
        <v>309</v>
      </c>
      <c r="L9" s="24">
        <v>500000</v>
      </c>
      <c r="M9" s="26" t="s">
        <v>466</v>
      </c>
      <c r="N9" s="59">
        <v>97.5</v>
      </c>
      <c r="O9" s="51">
        <v>6.0715789999999998</v>
      </c>
      <c r="P9" s="32" t="s">
        <v>358</v>
      </c>
      <c r="Q9" s="20" t="s">
        <v>403</v>
      </c>
      <c r="R9" s="14" t="s">
        <v>492</v>
      </c>
      <c r="S9" s="640">
        <v>39618</v>
      </c>
      <c r="T9" s="640">
        <v>39625</v>
      </c>
      <c r="U9" s="40"/>
      <c r="V9" s="64"/>
      <c r="W9" s="110">
        <v>493875</v>
      </c>
      <c r="X9" s="110"/>
      <c r="Y9" s="110"/>
      <c r="Z9" s="110"/>
      <c r="AA9" s="88"/>
      <c r="AB9" s="659"/>
      <c r="AC9" s="92"/>
      <c r="AF9" s="161"/>
      <c r="AG9" s="190"/>
      <c r="AH9" s="77"/>
    </row>
    <row r="10" spans="1:37" ht="25.5">
      <c r="A10" s="73"/>
      <c r="B10" s="73"/>
      <c r="C10" s="73"/>
      <c r="D10" s="73"/>
      <c r="E10" s="46">
        <v>5</v>
      </c>
      <c r="F10" s="47" t="s">
        <v>488</v>
      </c>
      <c r="G10" s="48" t="s">
        <v>489</v>
      </c>
      <c r="H10" s="48"/>
      <c r="I10" s="48"/>
      <c r="J10" s="48"/>
      <c r="K10" s="26" t="s">
        <v>309</v>
      </c>
      <c r="L10" s="24">
        <v>500000</v>
      </c>
      <c r="M10" s="26" t="s">
        <v>466</v>
      </c>
      <c r="N10" s="59">
        <v>96.454999999999998</v>
      </c>
      <c r="O10" s="51">
        <v>6.5160629999999999</v>
      </c>
      <c r="P10" s="22" t="s">
        <v>316</v>
      </c>
      <c r="Q10" s="17" t="s">
        <v>317</v>
      </c>
      <c r="R10" s="14" t="s">
        <v>318</v>
      </c>
      <c r="S10" s="640">
        <v>39618</v>
      </c>
      <c r="T10" s="640">
        <v>39625</v>
      </c>
      <c r="U10" s="40"/>
      <c r="V10" s="64"/>
      <c r="W10" s="117">
        <f>1472575*0.5/1.5</f>
        <v>490858.33333333331</v>
      </c>
      <c r="X10" s="110"/>
      <c r="Y10" s="110"/>
      <c r="Z10" s="110"/>
      <c r="AA10" s="88"/>
      <c r="AB10" s="659"/>
      <c r="AC10" s="92"/>
      <c r="AF10" s="161"/>
      <c r="AG10" s="190"/>
      <c r="AH10" s="77"/>
    </row>
    <row r="11" spans="1:37" ht="25.5">
      <c r="A11" s="86"/>
      <c r="B11" s="86"/>
      <c r="C11" s="73"/>
      <c r="D11" s="73"/>
      <c r="E11" s="91">
        <v>6</v>
      </c>
      <c r="F11" s="55" t="s">
        <v>449</v>
      </c>
      <c r="G11" s="53" t="s">
        <v>450</v>
      </c>
      <c r="H11" s="53"/>
      <c r="I11" s="53"/>
      <c r="J11" s="53"/>
      <c r="K11" s="26" t="s">
        <v>309</v>
      </c>
      <c r="L11" s="24">
        <v>500000</v>
      </c>
      <c r="M11" s="26" t="s">
        <v>466</v>
      </c>
      <c r="N11" s="114">
        <v>98.15</v>
      </c>
      <c r="O11" s="91">
        <v>5.9241000000000001</v>
      </c>
      <c r="P11" s="32" t="s">
        <v>355</v>
      </c>
      <c r="Q11" s="20" t="s">
        <v>356</v>
      </c>
      <c r="R11" s="14" t="s">
        <v>357</v>
      </c>
      <c r="S11" s="640">
        <v>39618</v>
      </c>
      <c r="T11" s="640">
        <v>39625</v>
      </c>
      <c r="U11" s="40"/>
      <c r="V11" s="64"/>
      <c r="W11" s="110">
        <v>497468.75</v>
      </c>
      <c r="X11" s="110"/>
      <c r="Y11" s="110"/>
      <c r="Z11" s="110"/>
      <c r="AA11" s="86"/>
      <c r="AB11" s="661"/>
      <c r="AC11" s="92"/>
      <c r="AF11" s="161"/>
      <c r="AG11" s="190"/>
      <c r="AH11" s="77"/>
    </row>
    <row r="12" spans="1:37" ht="25.5">
      <c r="A12" s="86"/>
      <c r="B12" s="86"/>
      <c r="C12" s="73"/>
      <c r="D12" s="73"/>
      <c r="E12" s="91">
        <v>7</v>
      </c>
      <c r="F12" s="55" t="s">
        <v>500</v>
      </c>
      <c r="G12" s="53" t="s">
        <v>501</v>
      </c>
      <c r="H12" s="53"/>
      <c r="I12" s="53"/>
      <c r="J12" s="53"/>
      <c r="K12" s="26" t="s">
        <v>309</v>
      </c>
      <c r="L12" s="24">
        <v>800000</v>
      </c>
      <c r="M12" s="26" t="s">
        <v>466</v>
      </c>
      <c r="N12" s="114">
        <v>102.42</v>
      </c>
      <c r="O12" s="91">
        <v>5.5568150000000003</v>
      </c>
      <c r="P12" s="22" t="s">
        <v>453</v>
      </c>
      <c r="Q12" s="17" t="s">
        <v>454</v>
      </c>
      <c r="R12" s="29" t="s">
        <v>455</v>
      </c>
      <c r="S12" s="640">
        <v>39623</v>
      </c>
      <c r="T12" s="640">
        <v>39629</v>
      </c>
      <c r="U12" s="40"/>
      <c r="V12" s="64"/>
      <c r="W12" s="110">
        <v>829985</v>
      </c>
      <c r="X12" s="110"/>
      <c r="Y12" s="110"/>
      <c r="Z12" s="110"/>
      <c r="AA12" s="115"/>
      <c r="AB12" s="661"/>
      <c r="AC12" s="92"/>
      <c r="AF12" s="161"/>
      <c r="AG12" s="190"/>
      <c r="AH12" s="77"/>
    </row>
    <row r="13" spans="1:37" ht="25.5">
      <c r="A13" s="94"/>
      <c r="B13" s="94"/>
      <c r="C13" s="94"/>
      <c r="D13" s="94"/>
      <c r="E13" s="65">
        <v>8</v>
      </c>
      <c r="F13" s="35" t="s">
        <v>371</v>
      </c>
      <c r="G13" s="38" t="s">
        <v>383</v>
      </c>
      <c r="H13" s="38"/>
      <c r="I13" s="38"/>
      <c r="J13" s="38"/>
      <c r="K13" s="34" t="s">
        <v>329</v>
      </c>
      <c r="L13" s="44">
        <v>100000</v>
      </c>
      <c r="M13" s="68" t="s">
        <v>466</v>
      </c>
      <c r="N13" s="96">
        <v>111.125</v>
      </c>
      <c r="O13" s="65">
        <v>6.7906000000000004</v>
      </c>
      <c r="P13" s="37" t="s">
        <v>378</v>
      </c>
      <c r="Q13" s="37" t="s">
        <v>379</v>
      </c>
      <c r="R13" s="39" t="s">
        <v>380</v>
      </c>
      <c r="S13" s="643">
        <v>39629</v>
      </c>
      <c r="T13" s="643">
        <v>39636</v>
      </c>
      <c r="U13" s="41"/>
      <c r="V13" s="79"/>
      <c r="W13" s="97">
        <v>114493.75</v>
      </c>
      <c r="X13" s="98">
        <f>SUM(W6:W$13)</f>
        <v>4414986.5299999993</v>
      </c>
      <c r="Y13" s="98">
        <f>X13*7.8</f>
        <v>34436894.933999993</v>
      </c>
      <c r="Z13" s="98"/>
      <c r="AA13" s="99"/>
      <c r="AB13" s="662"/>
      <c r="AC13" s="101"/>
      <c r="AD13" s="102"/>
      <c r="AE13" s="102"/>
      <c r="AF13" s="162"/>
      <c r="AG13" s="190"/>
      <c r="AH13" s="78"/>
    </row>
    <row r="14" spans="1:37" ht="38.25">
      <c r="A14" s="18"/>
      <c r="B14" s="18"/>
      <c r="C14" s="18"/>
      <c r="D14" s="18"/>
      <c r="E14" s="13">
        <v>9</v>
      </c>
      <c r="F14" s="55" t="s">
        <v>449</v>
      </c>
      <c r="G14" s="53" t="s">
        <v>450</v>
      </c>
      <c r="H14" s="53"/>
      <c r="I14" s="53"/>
      <c r="J14" s="53"/>
      <c r="K14" s="26" t="s">
        <v>309</v>
      </c>
      <c r="L14" s="24">
        <v>500000</v>
      </c>
      <c r="M14" s="26" t="s">
        <v>466</v>
      </c>
      <c r="N14" s="69">
        <v>97.531000000000006</v>
      </c>
      <c r="O14" s="91">
        <v>6.0351679999999996</v>
      </c>
      <c r="P14" s="52" t="s">
        <v>319</v>
      </c>
      <c r="Q14" s="48" t="s">
        <v>320</v>
      </c>
      <c r="R14" s="109" t="s">
        <v>405</v>
      </c>
      <c r="S14" s="642">
        <v>39689</v>
      </c>
      <c r="T14" s="642">
        <v>39695</v>
      </c>
      <c r="U14" s="54"/>
      <c r="V14" s="3"/>
      <c r="W14" s="143">
        <v>499686.25</v>
      </c>
      <c r="X14" s="143"/>
      <c r="Y14" s="110"/>
      <c r="Z14" s="110"/>
      <c r="AA14" s="86"/>
      <c r="AB14" s="661"/>
      <c r="AC14" s="92"/>
      <c r="AD14" s="92"/>
      <c r="AE14" s="3"/>
      <c r="AF14" s="161"/>
      <c r="AG14" s="190"/>
      <c r="AH14" s="77"/>
      <c r="AI14" s="77"/>
      <c r="AJ14" s="3"/>
      <c r="AK14" s="3"/>
    </row>
    <row r="15" spans="1:37" ht="38.25">
      <c r="A15" s="94"/>
      <c r="B15" s="94"/>
      <c r="C15" s="94"/>
      <c r="D15" s="94"/>
      <c r="E15" s="65">
        <v>10</v>
      </c>
      <c r="F15" s="66" t="s">
        <v>541</v>
      </c>
      <c r="G15" s="39" t="s">
        <v>542</v>
      </c>
      <c r="H15" s="39"/>
      <c r="I15" s="39"/>
      <c r="J15" s="39"/>
      <c r="K15" s="34" t="s">
        <v>309</v>
      </c>
      <c r="L15" s="140">
        <v>1000000</v>
      </c>
      <c r="M15" s="34" t="s">
        <v>466</v>
      </c>
      <c r="N15" s="96">
        <v>94.89</v>
      </c>
      <c r="O15" s="65">
        <v>6.1869870000000002</v>
      </c>
      <c r="P15" s="37" t="s">
        <v>350</v>
      </c>
      <c r="Q15" s="38" t="s">
        <v>351</v>
      </c>
      <c r="R15" s="39" t="s">
        <v>352</v>
      </c>
      <c r="S15" s="643">
        <v>39689</v>
      </c>
      <c r="T15" s="643">
        <v>39695</v>
      </c>
      <c r="U15" s="41"/>
      <c r="V15" s="102"/>
      <c r="W15" s="98">
        <v>971295.83</v>
      </c>
      <c r="X15" s="98"/>
      <c r="Y15" s="98"/>
      <c r="Z15" s="98"/>
      <c r="AA15" s="103"/>
      <c r="AB15" s="662"/>
      <c r="AC15" s="101"/>
      <c r="AD15" s="102"/>
      <c r="AE15" s="102"/>
      <c r="AF15" s="162"/>
      <c r="AG15" s="190"/>
      <c r="AH15" s="78"/>
    </row>
    <row r="16" spans="1:37" ht="51">
      <c r="A16" s="18"/>
      <c r="B16" s="18"/>
      <c r="C16" s="18"/>
      <c r="D16" s="18"/>
      <c r="E16" s="13">
        <v>11</v>
      </c>
      <c r="F16" s="55" t="s">
        <v>536</v>
      </c>
      <c r="G16" s="53" t="s">
        <v>551</v>
      </c>
      <c r="H16" s="53"/>
      <c r="I16" s="53"/>
      <c r="J16" s="53"/>
      <c r="K16" s="26" t="s">
        <v>465</v>
      </c>
      <c r="L16" s="24">
        <v>1000000</v>
      </c>
      <c r="M16" s="26" t="s">
        <v>466</v>
      </c>
      <c r="N16" s="114">
        <v>101.379</v>
      </c>
      <c r="O16" s="91">
        <v>6.0620070000000004</v>
      </c>
      <c r="P16" s="32" t="s">
        <v>470</v>
      </c>
      <c r="Q16" s="32" t="s">
        <v>506</v>
      </c>
      <c r="R16" s="14" t="s">
        <v>507</v>
      </c>
      <c r="S16" s="642">
        <v>39694</v>
      </c>
      <c r="T16" s="642">
        <v>39699</v>
      </c>
      <c r="U16" s="54"/>
      <c r="V16" s="64"/>
      <c r="W16" s="110">
        <v>1019171.94</v>
      </c>
      <c r="X16" s="110"/>
      <c r="Y16" s="110"/>
      <c r="Z16" s="110"/>
      <c r="AA16" s="86"/>
      <c r="AB16" s="661"/>
      <c r="AC16" s="92"/>
      <c r="AF16" s="161"/>
      <c r="AG16" s="190"/>
      <c r="AH16" s="77"/>
    </row>
    <row r="17" spans="1:51" ht="38.25">
      <c r="A17" s="86"/>
      <c r="B17" s="86"/>
      <c r="C17" s="73"/>
      <c r="D17" s="73"/>
      <c r="E17" s="91">
        <v>12</v>
      </c>
      <c r="F17" s="47" t="s">
        <v>533</v>
      </c>
      <c r="G17" s="53" t="s">
        <v>534</v>
      </c>
      <c r="H17" s="53"/>
      <c r="I17" s="53"/>
      <c r="J17" s="53"/>
      <c r="K17" s="91" t="s">
        <v>309</v>
      </c>
      <c r="L17" s="63">
        <v>1000000</v>
      </c>
      <c r="M17" s="113" t="s">
        <v>466</v>
      </c>
      <c r="N17" s="114">
        <v>96.835999999999999</v>
      </c>
      <c r="O17" s="91">
        <v>6.0310269999999999</v>
      </c>
      <c r="P17" s="111" t="s">
        <v>325</v>
      </c>
      <c r="Q17" s="112" t="s">
        <v>553</v>
      </c>
      <c r="R17" s="53" t="s">
        <v>327</v>
      </c>
      <c r="S17" s="642">
        <v>39702</v>
      </c>
      <c r="T17" s="642">
        <v>39708</v>
      </c>
      <c r="U17" s="54"/>
      <c r="V17" s="64"/>
      <c r="W17" s="110">
        <v>968818.33</v>
      </c>
      <c r="X17" s="110"/>
      <c r="Y17" s="110"/>
      <c r="Z17" s="110"/>
      <c r="AA17" s="86"/>
      <c r="AB17" s="661"/>
      <c r="AC17" s="92"/>
      <c r="AF17" s="161"/>
      <c r="AG17" s="190"/>
      <c r="AH17" s="77"/>
    </row>
    <row r="18" spans="1:51" ht="25.5">
      <c r="A18" s="86"/>
      <c r="B18" s="86"/>
      <c r="C18" s="73"/>
      <c r="D18" s="73"/>
      <c r="E18" s="91">
        <v>13</v>
      </c>
      <c r="F18" s="47" t="s">
        <v>557</v>
      </c>
      <c r="G18" s="109" t="s">
        <v>564</v>
      </c>
      <c r="H18" s="109"/>
      <c r="I18" s="109"/>
      <c r="J18" s="109"/>
      <c r="K18" s="26" t="s">
        <v>465</v>
      </c>
      <c r="L18" s="24">
        <v>1000000</v>
      </c>
      <c r="M18" s="26" t="s">
        <v>466</v>
      </c>
      <c r="N18" s="114">
        <v>97.33</v>
      </c>
      <c r="O18" s="91">
        <v>5.2717929999999997</v>
      </c>
      <c r="P18" s="111" t="s">
        <v>310</v>
      </c>
      <c r="Q18" s="112" t="s">
        <v>538</v>
      </c>
      <c r="R18" s="53" t="s">
        <v>539</v>
      </c>
      <c r="S18" s="642">
        <v>39713</v>
      </c>
      <c r="T18" s="642">
        <v>39716</v>
      </c>
      <c r="U18" s="54"/>
      <c r="V18" s="64"/>
      <c r="W18" s="110">
        <v>995334.72</v>
      </c>
      <c r="X18" s="110"/>
      <c r="Y18" s="110"/>
      <c r="Z18" s="110"/>
      <c r="AA18" s="86"/>
      <c r="AB18" s="661"/>
      <c r="AC18" s="92"/>
      <c r="AF18" s="161"/>
      <c r="AG18" s="190"/>
      <c r="AH18" s="77"/>
    </row>
    <row r="19" spans="1:51" s="102" customFormat="1" ht="25.5">
      <c r="A19" s="103"/>
      <c r="B19" s="103"/>
      <c r="C19" s="94"/>
      <c r="D19" s="94"/>
      <c r="E19" s="65">
        <v>14</v>
      </c>
      <c r="F19" s="35" t="s">
        <v>559</v>
      </c>
      <c r="G19" s="141" t="s">
        <v>561</v>
      </c>
      <c r="H19" s="141"/>
      <c r="I19" s="141"/>
      <c r="J19" s="141"/>
      <c r="K19" s="34" t="s">
        <v>465</v>
      </c>
      <c r="L19" s="140">
        <v>1000000</v>
      </c>
      <c r="M19" s="34" t="s">
        <v>466</v>
      </c>
      <c r="N19" s="96">
        <v>92.77</v>
      </c>
      <c r="O19" s="65">
        <v>6.4998870000000002</v>
      </c>
      <c r="P19" s="37" t="s">
        <v>353</v>
      </c>
      <c r="Q19" s="38" t="s">
        <v>344</v>
      </c>
      <c r="R19" s="39" t="s">
        <v>445</v>
      </c>
      <c r="S19" s="643">
        <v>39714</v>
      </c>
      <c r="T19" s="643">
        <v>39717</v>
      </c>
      <c r="U19" s="41"/>
      <c r="W19" s="98">
        <v>930387.5</v>
      </c>
      <c r="X19" s="98"/>
      <c r="Y19" s="98"/>
      <c r="Z19" s="98"/>
      <c r="AA19" s="103"/>
      <c r="AB19" s="662"/>
      <c r="AC19" s="101"/>
      <c r="AF19" s="162"/>
      <c r="AG19" s="206"/>
      <c r="AH19" s="78"/>
    </row>
    <row r="20" spans="1:51" s="64" customFormat="1" ht="16.5">
      <c r="A20" s="86"/>
      <c r="B20" s="86"/>
      <c r="C20" s="73"/>
      <c r="D20" s="73"/>
      <c r="E20" s="91"/>
      <c r="F20" s="47"/>
      <c r="G20" s="109"/>
      <c r="H20" s="109"/>
      <c r="I20" s="109"/>
      <c r="J20" s="109"/>
      <c r="K20" s="46"/>
      <c r="L20" s="105"/>
      <c r="M20" s="46"/>
      <c r="N20" s="114"/>
      <c r="O20" s="91"/>
      <c r="P20" s="52"/>
      <c r="Q20" s="48"/>
      <c r="R20" s="53"/>
      <c r="S20" s="642"/>
      <c r="T20" s="642"/>
      <c r="U20" s="54"/>
      <c r="W20" s="110"/>
      <c r="X20" s="110"/>
      <c r="Y20" s="110"/>
      <c r="Z20" s="110"/>
      <c r="AA20" s="86"/>
      <c r="AB20" s="661"/>
      <c r="AC20" s="104"/>
      <c r="AF20" s="214"/>
      <c r="AG20" s="215"/>
      <c r="AH20" s="117"/>
    </row>
    <row r="21" spans="1:51" s="226" customFormat="1">
      <c r="A21" s="202"/>
      <c r="B21" s="202"/>
      <c r="C21" s="120"/>
      <c r="D21" s="120"/>
      <c r="E21" s="121"/>
      <c r="F21" s="207"/>
      <c r="G21" s="124"/>
      <c r="H21" s="124"/>
      <c r="I21" s="124"/>
      <c r="J21" s="124"/>
      <c r="K21" s="121"/>
      <c r="L21" s="208"/>
      <c r="M21" s="197"/>
      <c r="N21" s="123"/>
      <c r="O21" s="121"/>
      <c r="P21" s="145"/>
      <c r="Q21" s="146"/>
      <c r="R21" s="124"/>
      <c r="S21" s="652"/>
      <c r="T21" s="652"/>
      <c r="U21" s="125"/>
      <c r="V21" s="126"/>
      <c r="W21" s="127"/>
      <c r="X21" s="200"/>
      <c r="Y21" s="200"/>
      <c r="Z21" s="200"/>
      <c r="AA21" s="129"/>
      <c r="AB21" s="663"/>
      <c r="AC21" s="131"/>
      <c r="AD21" s="131"/>
      <c r="AE21" s="200"/>
      <c r="AF21" s="200"/>
      <c r="AG21" s="196"/>
      <c r="AH21" s="126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s="64" customFormat="1" ht="16.5">
      <c r="A22" s="86"/>
      <c r="B22" s="86"/>
      <c r="C22" s="73"/>
      <c r="D22" s="73"/>
      <c r="E22" s="91"/>
      <c r="F22" s="47"/>
      <c r="G22" s="109"/>
      <c r="H22" s="109"/>
      <c r="I22" s="109"/>
      <c r="J22" s="109"/>
      <c r="K22" s="46"/>
      <c r="L22" s="105"/>
      <c r="M22" s="46"/>
      <c r="N22" s="114"/>
      <c r="O22" s="91"/>
      <c r="P22" s="52"/>
      <c r="Q22" s="48"/>
      <c r="R22" s="53"/>
      <c r="S22" s="642"/>
      <c r="T22" s="642"/>
      <c r="U22" s="54"/>
      <c r="W22" s="110"/>
      <c r="X22" s="110"/>
      <c r="Y22" s="110"/>
      <c r="Z22" s="110"/>
      <c r="AA22" s="86"/>
      <c r="AB22" s="661"/>
      <c r="AC22" s="104"/>
      <c r="AF22" s="214"/>
      <c r="AG22" s="215"/>
      <c r="AH22" s="117"/>
    </row>
    <row r="23" spans="1:51" ht="25.5">
      <c r="A23" s="94"/>
      <c r="B23" s="94"/>
      <c r="C23" s="94"/>
      <c r="D23" s="94"/>
      <c r="E23" s="65">
        <v>15</v>
      </c>
      <c r="F23" s="66" t="s">
        <v>729</v>
      </c>
      <c r="G23" s="39" t="s">
        <v>730</v>
      </c>
      <c r="H23" s="58" t="s">
        <v>725</v>
      </c>
      <c r="I23" s="58" t="s">
        <v>576</v>
      </c>
      <c r="J23" s="205">
        <f>(AB23-S23)/365</f>
        <v>-109.65479452054795</v>
      </c>
      <c r="K23" s="34" t="s">
        <v>465</v>
      </c>
      <c r="L23" s="140">
        <v>200000</v>
      </c>
      <c r="M23" s="34" t="s">
        <v>466</v>
      </c>
      <c r="N23" s="96">
        <v>99.771000000000001</v>
      </c>
      <c r="O23" s="65">
        <v>7.356115</v>
      </c>
      <c r="P23" s="209" t="s">
        <v>633</v>
      </c>
      <c r="Q23" s="38" t="s">
        <v>634</v>
      </c>
      <c r="R23" s="141" t="s">
        <v>635</v>
      </c>
      <c r="S23" s="643">
        <v>40024</v>
      </c>
      <c r="T23" s="643">
        <v>40031</v>
      </c>
      <c r="U23" s="41"/>
      <c r="V23" s="41"/>
      <c r="W23" s="98">
        <v>199542</v>
      </c>
      <c r="X23" s="98"/>
      <c r="Y23" s="78"/>
      <c r="Z23" s="78"/>
      <c r="AA23" s="103"/>
      <c r="AB23" s="662"/>
      <c r="AC23" s="101"/>
      <c r="AD23" s="103"/>
      <c r="AE23" s="100"/>
      <c r="AF23" s="162"/>
      <c r="AG23" s="206"/>
      <c r="AH23" s="78"/>
    </row>
    <row r="24" spans="1:51" ht="51">
      <c r="A24" s="73"/>
      <c r="B24" s="73"/>
      <c r="C24" s="73"/>
      <c r="D24" s="73"/>
      <c r="E24" s="91">
        <v>16</v>
      </c>
      <c r="F24" s="55" t="s">
        <v>734</v>
      </c>
      <c r="G24" s="53" t="s">
        <v>735</v>
      </c>
      <c r="H24" s="112" t="s">
        <v>725</v>
      </c>
      <c r="I24" s="112" t="s">
        <v>576</v>
      </c>
      <c r="J24" s="204">
        <f>(AB24-S24)/365</f>
        <v>-109.71232876712328</v>
      </c>
      <c r="K24" s="46" t="s">
        <v>465</v>
      </c>
      <c r="L24" s="24">
        <v>1000000</v>
      </c>
      <c r="M24" s="46" t="s">
        <v>466</v>
      </c>
      <c r="N24" s="114">
        <v>101.64700000000001</v>
      </c>
      <c r="O24" s="91">
        <v>7.3879919999999997</v>
      </c>
      <c r="P24" s="203" t="s">
        <v>636</v>
      </c>
      <c r="Q24" s="20" t="s">
        <v>738</v>
      </c>
      <c r="R24" s="29" t="s">
        <v>739</v>
      </c>
      <c r="S24" s="642">
        <v>40045</v>
      </c>
      <c r="T24" s="642">
        <v>40050</v>
      </c>
      <c r="U24" s="54"/>
      <c r="V24" s="74"/>
      <c r="W24" s="143">
        <v>1019011.67</v>
      </c>
      <c r="X24" s="143"/>
      <c r="Y24" s="110"/>
      <c r="Z24" s="110"/>
      <c r="AA24" s="86"/>
      <c r="AB24" s="661"/>
      <c r="AC24" s="101"/>
      <c r="AF24" s="162"/>
      <c r="AG24" s="206"/>
      <c r="AH24" s="78"/>
    </row>
    <row r="25" spans="1:51" s="200" customFormat="1" ht="16.5">
      <c r="A25" s="120"/>
      <c r="B25" s="120"/>
      <c r="C25" s="120"/>
      <c r="D25" s="120"/>
      <c r="E25" s="121"/>
      <c r="F25" s="193"/>
      <c r="G25" s="124"/>
      <c r="H25" s="146"/>
      <c r="I25" s="146"/>
      <c r="J25" s="269"/>
      <c r="K25" s="197"/>
      <c r="L25" s="198"/>
      <c r="M25" s="197"/>
      <c r="N25" s="123"/>
      <c r="O25" s="121"/>
      <c r="P25" s="270"/>
      <c r="Q25" s="195"/>
      <c r="R25" s="199"/>
      <c r="S25" s="652"/>
      <c r="T25" s="652"/>
      <c r="U25" s="125"/>
      <c r="V25" s="126"/>
      <c r="W25" s="127"/>
      <c r="X25" s="127"/>
      <c r="Y25" s="128"/>
      <c r="Z25" s="128"/>
      <c r="AA25" s="202"/>
      <c r="AB25" s="663"/>
      <c r="AC25" s="131"/>
      <c r="AF25" s="232"/>
      <c r="AG25" s="271"/>
      <c r="AH25" s="201"/>
    </row>
    <row r="26" spans="1:51" s="79" customFormat="1" ht="38.25">
      <c r="A26" s="94"/>
      <c r="B26" s="94"/>
      <c r="C26" s="94"/>
      <c r="D26" s="94"/>
      <c r="E26" s="65">
        <v>17</v>
      </c>
      <c r="F26" s="66" t="s">
        <v>785</v>
      </c>
      <c r="G26" s="141" t="s">
        <v>786</v>
      </c>
      <c r="H26" s="58" t="s">
        <v>787</v>
      </c>
      <c r="I26" s="58" t="s">
        <v>789</v>
      </c>
      <c r="J26" s="205">
        <f t="shared" ref="J26:J31" si="0">(AB26-S26)/365</f>
        <v>-110.55068493150685</v>
      </c>
      <c r="K26" s="34" t="s">
        <v>465</v>
      </c>
      <c r="L26" s="140">
        <v>200000</v>
      </c>
      <c r="M26" s="34" t="s">
        <v>466</v>
      </c>
      <c r="N26" s="96">
        <v>100.343</v>
      </c>
      <c r="O26" s="65">
        <v>6.8270556999999998</v>
      </c>
      <c r="P26" s="37" t="s">
        <v>355</v>
      </c>
      <c r="Q26" s="38" t="s">
        <v>648</v>
      </c>
      <c r="R26" s="39" t="s">
        <v>649</v>
      </c>
      <c r="S26" s="643">
        <v>40351</v>
      </c>
      <c r="T26" s="643">
        <v>40354</v>
      </c>
      <c r="U26" s="245" t="s">
        <v>760</v>
      </c>
      <c r="W26" s="97">
        <v>200724.19</v>
      </c>
      <c r="X26" s="97">
        <v>7.76</v>
      </c>
      <c r="Y26" s="78">
        <f>W26*$X$26</f>
        <v>1557619.7143999999</v>
      </c>
      <c r="Z26" s="78"/>
      <c r="AA26" s="103"/>
      <c r="AB26" s="662"/>
      <c r="AC26" s="101"/>
      <c r="AD26" s="101"/>
      <c r="AF26" s="162"/>
      <c r="AG26" s="206"/>
      <c r="AH26" s="78"/>
      <c r="AI26" s="102"/>
    </row>
    <row r="27" spans="1:51" ht="38.25">
      <c r="A27" s="73"/>
      <c r="B27" s="73"/>
      <c r="C27" s="73"/>
      <c r="D27" s="73"/>
      <c r="E27" s="91">
        <v>18</v>
      </c>
      <c r="F27" s="55" t="s">
        <v>733</v>
      </c>
      <c r="G27" s="53" t="s">
        <v>740</v>
      </c>
      <c r="H27" s="112" t="s">
        <v>725</v>
      </c>
      <c r="I27" s="112" t="s">
        <v>576</v>
      </c>
      <c r="J27" s="204">
        <f t="shared" si="0"/>
        <v>-111.03013698630137</v>
      </c>
      <c r="K27" s="46" t="s">
        <v>465</v>
      </c>
      <c r="L27" s="24">
        <v>2000000</v>
      </c>
      <c r="M27" s="46" t="s">
        <v>466</v>
      </c>
      <c r="N27" s="91">
        <v>109.893</v>
      </c>
      <c r="O27" s="91">
        <v>6.1317439</v>
      </c>
      <c r="P27" s="32" t="s">
        <v>355</v>
      </c>
      <c r="Q27" s="20" t="s">
        <v>648</v>
      </c>
      <c r="R27" s="14" t="s">
        <v>649</v>
      </c>
      <c r="S27" s="642">
        <v>40526</v>
      </c>
      <c r="T27" s="642">
        <v>40533</v>
      </c>
      <c r="U27" s="229" t="s">
        <v>760</v>
      </c>
      <c r="V27" s="91"/>
      <c r="W27" s="143">
        <v>2252082.2200000002</v>
      </c>
      <c r="X27" s="91"/>
      <c r="Y27" s="91"/>
      <c r="Z27" s="91"/>
      <c r="AA27" s="91"/>
      <c r="AB27" s="661"/>
      <c r="AC27" s="101"/>
    </row>
    <row r="28" spans="1:51" s="61" customFormat="1" ht="38.25">
      <c r="A28" s="288"/>
      <c r="B28" s="288"/>
      <c r="C28" s="288"/>
      <c r="D28" s="288"/>
      <c r="E28" s="288">
        <v>19</v>
      </c>
      <c r="F28" s="289" t="s">
        <v>877</v>
      </c>
      <c r="G28" s="290" t="s">
        <v>878</v>
      </c>
      <c r="H28" s="291" t="s">
        <v>879</v>
      </c>
      <c r="I28" s="291" t="s">
        <v>880</v>
      </c>
      <c r="J28" s="292">
        <f t="shared" si="0"/>
        <v>-111.03287671232877</v>
      </c>
      <c r="K28" s="293" t="s">
        <v>465</v>
      </c>
      <c r="L28" s="294" t="s">
        <v>881</v>
      </c>
      <c r="M28" s="293" t="s">
        <v>466</v>
      </c>
      <c r="N28" s="295">
        <v>99.62</v>
      </c>
      <c r="O28" s="288">
        <v>6.0505282999999999</v>
      </c>
      <c r="P28" s="296" t="s">
        <v>882</v>
      </c>
      <c r="Q28" s="297" t="s">
        <v>883</v>
      </c>
      <c r="R28" s="290" t="s">
        <v>849</v>
      </c>
      <c r="S28" s="657">
        <v>40527</v>
      </c>
      <c r="T28" s="657">
        <v>40533</v>
      </c>
      <c r="U28" s="298" t="s">
        <v>884</v>
      </c>
      <c r="V28" s="289"/>
      <c r="W28" s="299"/>
      <c r="X28" s="299"/>
      <c r="Y28" s="299"/>
      <c r="Z28" s="299"/>
      <c r="AA28" s="288"/>
      <c r="AB28" s="664"/>
      <c r="AC28" s="300"/>
    </row>
    <row r="29" spans="1:51" s="74" customFormat="1" ht="25.5">
      <c r="A29" s="73"/>
      <c r="B29" s="73"/>
      <c r="C29" s="73"/>
      <c r="D29" s="73"/>
      <c r="E29" s="91">
        <v>19</v>
      </c>
      <c r="F29" s="55" t="s">
        <v>895</v>
      </c>
      <c r="G29" s="53" t="s">
        <v>894</v>
      </c>
      <c r="H29" s="112" t="s">
        <v>852</v>
      </c>
      <c r="I29" s="112" t="s">
        <v>854</v>
      </c>
      <c r="J29" s="204">
        <f t="shared" si="0"/>
        <v>-111.0931506849315</v>
      </c>
      <c r="K29" s="46" t="s">
        <v>465</v>
      </c>
      <c r="L29" s="24">
        <v>1500000</v>
      </c>
      <c r="M29" s="46" t="s">
        <v>466</v>
      </c>
      <c r="N29" s="114">
        <v>98.941000000000003</v>
      </c>
      <c r="O29" s="91">
        <v>6.3949749000000002</v>
      </c>
      <c r="P29" s="32" t="s">
        <v>378</v>
      </c>
      <c r="Q29" s="32" t="s">
        <v>379</v>
      </c>
      <c r="R29" s="14" t="s">
        <v>380</v>
      </c>
      <c r="S29" s="642">
        <v>40549</v>
      </c>
      <c r="T29" s="642">
        <v>40557</v>
      </c>
      <c r="U29" s="229" t="s">
        <v>760</v>
      </c>
      <c r="W29" s="143">
        <v>1484115</v>
      </c>
      <c r="Y29" s="117">
        <f>W29*$X$26</f>
        <v>11516732.4</v>
      </c>
      <c r="Z29" s="117"/>
      <c r="AA29" s="86"/>
      <c r="AB29" s="661"/>
      <c r="AC29" s="104"/>
      <c r="AD29" s="104"/>
      <c r="AF29" s="214"/>
      <c r="AG29" s="215"/>
      <c r="AH29" s="117"/>
    </row>
    <row r="30" spans="1:51" s="74" customFormat="1" ht="38.25">
      <c r="A30" s="73"/>
      <c r="B30" s="73"/>
      <c r="C30" s="73"/>
      <c r="D30" s="73"/>
      <c r="E30" s="91">
        <v>20</v>
      </c>
      <c r="F30" s="55" t="s">
        <v>919</v>
      </c>
      <c r="G30" s="53" t="s">
        <v>920</v>
      </c>
      <c r="H30" s="17" t="s">
        <v>631</v>
      </c>
      <c r="I30" s="17" t="s">
        <v>918</v>
      </c>
      <c r="J30" s="204">
        <f t="shared" si="0"/>
        <v>-111.18630136986302</v>
      </c>
      <c r="K30" s="46" t="s">
        <v>465</v>
      </c>
      <c r="L30" s="24">
        <v>500000</v>
      </c>
      <c r="M30" s="46" t="s">
        <v>466</v>
      </c>
      <c r="N30" s="114">
        <v>96.3</v>
      </c>
      <c r="O30" s="91">
        <v>6.0059275000000003</v>
      </c>
      <c r="P30" s="203" t="s">
        <v>831</v>
      </c>
      <c r="Q30" s="20" t="s">
        <v>830</v>
      </c>
      <c r="R30" s="29" t="s">
        <v>833</v>
      </c>
      <c r="S30" s="642">
        <v>40583</v>
      </c>
      <c r="T30" s="642">
        <v>40588</v>
      </c>
      <c r="U30" s="229" t="s">
        <v>760</v>
      </c>
      <c r="W30" s="143">
        <v>488680.56</v>
      </c>
      <c r="X30" s="143"/>
      <c r="Y30" s="117">
        <f>W30*7.8</f>
        <v>3811708.3679999998</v>
      </c>
      <c r="Z30" s="110"/>
      <c r="AA30" s="86"/>
      <c r="AB30" s="661"/>
      <c r="AC30" s="92"/>
      <c r="AF30" s="214"/>
      <c r="AG30" s="215"/>
      <c r="AH30" s="117"/>
    </row>
    <row r="31" spans="1:51" s="74" customFormat="1" ht="38.25">
      <c r="A31" s="303"/>
      <c r="B31" s="73"/>
      <c r="C31" s="303"/>
      <c r="D31" s="303"/>
      <c r="E31" s="91">
        <v>21</v>
      </c>
      <c r="F31" s="55" t="s">
        <v>1000</v>
      </c>
      <c r="G31" s="53" t="s">
        <v>920</v>
      </c>
      <c r="H31" s="17" t="s">
        <v>631</v>
      </c>
      <c r="I31" s="17" t="s">
        <v>918</v>
      </c>
      <c r="J31" s="204">
        <f t="shared" si="0"/>
        <v>-111.54794520547945</v>
      </c>
      <c r="K31" s="46" t="s">
        <v>465</v>
      </c>
      <c r="L31" s="49">
        <v>3000000</v>
      </c>
      <c r="M31" s="46" t="s">
        <v>466</v>
      </c>
      <c r="N31" s="50">
        <v>95.45</v>
      </c>
      <c r="O31" s="91">
        <v>6.1444558999999996</v>
      </c>
      <c r="P31" s="203" t="s">
        <v>1001</v>
      </c>
      <c r="Q31" s="20" t="s">
        <v>1002</v>
      </c>
      <c r="R31" s="29" t="s">
        <v>1003</v>
      </c>
      <c r="S31" s="642">
        <v>40715</v>
      </c>
      <c r="T31" s="642">
        <v>40718</v>
      </c>
      <c r="U31" s="229" t="s">
        <v>760</v>
      </c>
      <c r="W31" s="143">
        <v>2883666.67</v>
      </c>
      <c r="X31" s="143"/>
      <c r="Y31" s="117">
        <f>W31*7.8</f>
        <v>22492600.026000001</v>
      </c>
      <c r="Z31" s="110"/>
      <c r="AA31" s="86"/>
      <c r="AB31" s="661"/>
      <c r="AC31" s="92"/>
      <c r="AF31" s="214"/>
      <c r="AG31" s="215"/>
      <c r="AH31" s="117"/>
    </row>
    <row r="32" spans="1:51" s="74" customFormat="1" ht="33.75" customHeight="1">
      <c r="A32" s="303"/>
      <c r="B32" s="73"/>
      <c r="C32" s="303"/>
      <c r="D32" s="303"/>
      <c r="E32" s="91">
        <v>22</v>
      </c>
      <c r="F32" s="55" t="s">
        <v>1053</v>
      </c>
      <c r="G32" s="53" t="s">
        <v>920</v>
      </c>
      <c r="H32" s="112" t="s">
        <v>631</v>
      </c>
      <c r="I32" s="112" t="s">
        <v>918</v>
      </c>
      <c r="J32" s="319">
        <f>(AB32-S32)/365</f>
        <v>-111.8054794520548</v>
      </c>
      <c r="K32" s="46" t="s">
        <v>465</v>
      </c>
      <c r="L32" s="49">
        <v>14000000</v>
      </c>
      <c r="M32" s="46" t="s">
        <v>466</v>
      </c>
      <c r="N32" s="50">
        <v>94.78</v>
      </c>
      <c r="O32" s="91">
        <v>6.2589608999999999</v>
      </c>
      <c r="P32" s="227" t="s">
        <v>1050</v>
      </c>
      <c r="Q32" s="48" t="s">
        <v>1052</v>
      </c>
      <c r="R32" s="109" t="s">
        <v>1051</v>
      </c>
      <c r="S32" s="642">
        <v>40809</v>
      </c>
      <c r="T32" s="642">
        <v>40814</v>
      </c>
      <c r="U32" s="229" t="s">
        <v>760</v>
      </c>
      <c r="W32" s="143">
        <v>13564366.67</v>
      </c>
      <c r="X32" s="143"/>
      <c r="Y32" s="117">
        <f>W32*7.8</f>
        <v>105802060.02599999</v>
      </c>
      <c r="Z32" s="110"/>
      <c r="AA32" s="86"/>
      <c r="AB32" s="661"/>
      <c r="AC32" s="104"/>
      <c r="AF32" s="214"/>
      <c r="AG32" s="215"/>
      <c r="AH32" s="117"/>
    </row>
    <row r="33" spans="1:34" s="74" customFormat="1" ht="31.5" customHeight="1">
      <c r="A33" s="73"/>
      <c r="B33" s="73"/>
      <c r="C33" s="73"/>
      <c r="D33" s="73"/>
      <c r="E33" s="277">
        <v>23</v>
      </c>
      <c r="F33" s="55" t="s">
        <v>1087</v>
      </c>
      <c r="G33" s="109" t="s">
        <v>1095</v>
      </c>
      <c r="H33" s="112" t="s">
        <v>1089</v>
      </c>
      <c r="I33" s="112" t="s">
        <v>1090</v>
      </c>
      <c r="J33" s="319">
        <f t="shared" ref="J33:J38" si="1">(AB33-T33)/365</f>
        <v>-111.92054794520548</v>
      </c>
      <c r="K33" s="46" t="s">
        <v>465</v>
      </c>
      <c r="L33" s="341">
        <v>2500000</v>
      </c>
      <c r="M33" s="46" t="s">
        <v>466</v>
      </c>
      <c r="N33" s="114">
        <v>99.849000000000004</v>
      </c>
      <c r="O33" s="91">
        <v>6.3949999999999996</v>
      </c>
      <c r="P33" s="52" t="s">
        <v>1093</v>
      </c>
      <c r="Q33" s="52" t="s">
        <v>1091</v>
      </c>
      <c r="R33" s="53" t="s">
        <v>1092</v>
      </c>
      <c r="S33" s="642">
        <v>40844</v>
      </c>
      <c r="T33" s="642">
        <v>40851</v>
      </c>
      <c r="U33" s="229" t="s">
        <v>760</v>
      </c>
      <c r="W33" s="143">
        <v>2496225</v>
      </c>
      <c r="Y33" s="117">
        <f>W33*7.8</f>
        <v>19470555</v>
      </c>
      <c r="Z33" s="117"/>
      <c r="AA33" s="86"/>
      <c r="AB33" s="661"/>
      <c r="AC33" s="104"/>
      <c r="AD33" s="104"/>
      <c r="AF33" s="214"/>
      <c r="AG33" s="215"/>
    </row>
    <row r="34" spans="1:34" s="74" customFormat="1" ht="25.5">
      <c r="A34" s="281"/>
      <c r="B34" s="73"/>
      <c r="C34" s="73"/>
      <c r="D34" s="73"/>
      <c r="E34" s="277">
        <v>24</v>
      </c>
      <c r="F34" s="55" t="s">
        <v>238</v>
      </c>
      <c r="G34" s="109" t="s">
        <v>240</v>
      </c>
      <c r="H34" s="112" t="s">
        <v>241</v>
      </c>
      <c r="I34" s="112" t="s">
        <v>257</v>
      </c>
      <c r="J34" s="319">
        <f t="shared" si="1"/>
        <v>-112.49041095890411</v>
      </c>
      <c r="K34" s="46" t="s">
        <v>465</v>
      </c>
      <c r="L34" s="341">
        <v>8000000</v>
      </c>
      <c r="M34" s="46" t="s">
        <v>466</v>
      </c>
      <c r="N34" s="114">
        <v>99.926000000000002</v>
      </c>
      <c r="O34" s="91">
        <v>6</v>
      </c>
      <c r="P34" s="227" t="s">
        <v>284</v>
      </c>
      <c r="Q34" s="48" t="s">
        <v>259</v>
      </c>
      <c r="R34" s="75" t="s">
        <v>283</v>
      </c>
      <c r="S34" s="642">
        <v>41054</v>
      </c>
      <c r="T34" s="642">
        <v>41059</v>
      </c>
      <c r="U34" s="229" t="s">
        <v>759</v>
      </c>
      <c r="W34" s="117">
        <f>L34*N34/100</f>
        <v>7994080</v>
      </c>
      <c r="X34" s="143">
        <v>7.8</v>
      </c>
      <c r="Y34" s="117">
        <f>X34*W34</f>
        <v>62353824</v>
      </c>
      <c r="Z34" s="117"/>
      <c r="AA34" s="86"/>
      <c r="AB34" s="642"/>
      <c r="AC34" s="104"/>
      <c r="AD34" s="75"/>
      <c r="AF34" s="214"/>
      <c r="AG34" s="215"/>
    </row>
    <row r="35" spans="1:34" s="518" customFormat="1" ht="25.5">
      <c r="A35" s="758"/>
      <c r="B35" s="739"/>
      <c r="C35" s="739"/>
      <c r="D35" s="739"/>
      <c r="E35" s="759">
        <v>25</v>
      </c>
      <c r="F35" s="741" t="s">
        <v>668</v>
      </c>
      <c r="G35" s="742" t="s">
        <v>669</v>
      </c>
      <c r="H35" s="760" t="s">
        <v>671</v>
      </c>
      <c r="I35" s="760" t="s">
        <v>1090</v>
      </c>
      <c r="J35" s="744">
        <f t="shared" si="1"/>
        <v>-113.58904109589041</v>
      </c>
      <c r="K35" s="745" t="s">
        <v>465</v>
      </c>
      <c r="L35" s="746">
        <v>13000000</v>
      </c>
      <c r="M35" s="745" t="s">
        <v>466</v>
      </c>
      <c r="N35" s="747">
        <v>87.016000000000005</v>
      </c>
      <c r="O35" s="740">
        <v>6.3281499999999999</v>
      </c>
      <c r="P35" s="763" t="s">
        <v>712</v>
      </c>
      <c r="Q35" s="764" t="s">
        <v>713</v>
      </c>
      <c r="R35" s="816" t="s">
        <v>673</v>
      </c>
      <c r="S35" s="796">
        <v>41451</v>
      </c>
      <c r="T35" s="796">
        <v>41460</v>
      </c>
      <c r="U35" s="750" t="s">
        <v>715</v>
      </c>
      <c r="W35" s="751">
        <v>11408677.220000001</v>
      </c>
      <c r="X35" s="752">
        <v>7.8</v>
      </c>
      <c r="Y35" s="751">
        <f>X35*W35</f>
        <v>88987682.316</v>
      </c>
      <c r="Z35" s="751"/>
      <c r="AA35" s="753"/>
      <c r="AB35" s="796"/>
      <c r="AC35" s="754"/>
      <c r="AD35" s="755"/>
      <c r="AF35" s="756"/>
      <c r="AG35" s="757"/>
    </row>
    <row r="36" spans="1:34" s="518" customFormat="1" ht="38.25">
      <c r="A36" s="758"/>
      <c r="B36" s="739"/>
      <c r="C36" s="739"/>
      <c r="D36" s="739"/>
      <c r="E36" s="759">
        <v>26</v>
      </c>
      <c r="F36" s="741" t="s">
        <v>668</v>
      </c>
      <c r="G36" s="742" t="s">
        <v>669</v>
      </c>
      <c r="H36" s="760" t="s">
        <v>671</v>
      </c>
      <c r="I36" s="760" t="s">
        <v>1090</v>
      </c>
      <c r="J36" s="744">
        <f t="shared" si="1"/>
        <v>-113.58630136986301</v>
      </c>
      <c r="K36" s="745" t="s">
        <v>465</v>
      </c>
      <c r="L36" s="746">
        <v>2000000</v>
      </c>
      <c r="M36" s="745" t="s">
        <v>466</v>
      </c>
      <c r="N36" s="747">
        <v>87.832999999999998</v>
      </c>
      <c r="O36" s="740">
        <v>6.2600899999999999</v>
      </c>
      <c r="P36" s="763" t="s">
        <v>331</v>
      </c>
      <c r="Q36" s="764" t="s">
        <v>595</v>
      </c>
      <c r="R36" s="742" t="s">
        <v>596</v>
      </c>
      <c r="S36" s="796">
        <v>41451</v>
      </c>
      <c r="T36" s="796">
        <v>41459</v>
      </c>
      <c r="U36" s="750" t="s">
        <v>715</v>
      </c>
      <c r="W36" s="751">
        <v>1771223.89</v>
      </c>
      <c r="X36" s="752">
        <v>7.8</v>
      </c>
      <c r="Y36" s="751">
        <f>X36*W36</f>
        <v>13815546.341999998</v>
      </c>
      <c r="Z36" s="751"/>
      <c r="AA36" s="753"/>
      <c r="AB36" s="796"/>
      <c r="AC36" s="754"/>
      <c r="AD36" s="755"/>
      <c r="AF36" s="756"/>
      <c r="AG36" s="757"/>
    </row>
    <row r="37" spans="1:34" s="761" customFormat="1" ht="38.25">
      <c r="A37" s="739"/>
      <c r="B37" s="739"/>
      <c r="C37" s="739"/>
      <c r="D37" s="739"/>
      <c r="E37" s="797">
        <v>27</v>
      </c>
      <c r="F37" s="761" t="s">
        <v>1144</v>
      </c>
      <c r="G37" s="742" t="s">
        <v>1137</v>
      </c>
      <c r="H37" s="760" t="s">
        <v>23</v>
      </c>
      <c r="I37" s="760" t="s">
        <v>159</v>
      </c>
      <c r="J37" s="744">
        <f t="shared" si="1"/>
        <v>-113.67671232876712</v>
      </c>
      <c r="K37" s="745" t="s">
        <v>465</v>
      </c>
      <c r="L37" s="799">
        <v>5000000</v>
      </c>
      <c r="M37" s="762" t="s">
        <v>466</v>
      </c>
      <c r="N37" s="747">
        <v>100</v>
      </c>
      <c r="O37" s="747">
        <v>6.0004299999999997</v>
      </c>
      <c r="P37" s="763" t="s">
        <v>584</v>
      </c>
      <c r="Q37" s="764" t="s">
        <v>1138</v>
      </c>
      <c r="R37" s="742" t="s">
        <v>1139</v>
      </c>
      <c r="S37" s="796">
        <v>41480</v>
      </c>
      <c r="T37" s="796">
        <v>41492</v>
      </c>
      <c r="U37" s="750" t="s">
        <v>683</v>
      </c>
      <c r="V37" s="518"/>
      <c r="W37" s="767">
        <v>5000000</v>
      </c>
      <c r="X37" s="752">
        <v>7.8</v>
      </c>
      <c r="Y37" s="751">
        <f>X37*W37</f>
        <v>39000000</v>
      </c>
      <c r="Z37" s="751"/>
      <c r="AA37" s="753"/>
      <c r="AB37" s="800"/>
      <c r="AC37" s="754"/>
      <c r="AD37" s="754"/>
      <c r="AE37" s="518"/>
      <c r="AF37" s="756"/>
      <c r="AG37" s="757"/>
      <c r="AH37" s="751"/>
    </row>
    <row r="38" spans="1:34" s="761" customFormat="1" ht="25.5">
      <c r="A38" s="739"/>
      <c r="B38" s="739"/>
      <c r="C38" s="739"/>
      <c r="D38" s="739"/>
      <c r="E38" s="797">
        <v>28</v>
      </c>
      <c r="F38" s="761" t="s">
        <v>1210</v>
      </c>
      <c r="G38" s="742" t="s">
        <v>1216</v>
      </c>
      <c r="H38" s="760" t="s">
        <v>516</v>
      </c>
      <c r="I38" s="760" t="s">
        <v>516</v>
      </c>
      <c r="J38" s="744">
        <f t="shared" si="1"/>
        <v>-113.83835616438355</v>
      </c>
      <c r="K38" s="745" t="s">
        <v>465</v>
      </c>
      <c r="L38" s="799">
        <v>2000000</v>
      </c>
      <c r="M38" s="762" t="s">
        <v>466</v>
      </c>
      <c r="N38" s="747">
        <v>100</v>
      </c>
      <c r="O38" s="747">
        <v>6</v>
      </c>
      <c r="P38" s="763" t="s">
        <v>1213</v>
      </c>
      <c r="Q38" s="764" t="s">
        <v>1214</v>
      </c>
      <c r="R38" s="742" t="s">
        <v>1215</v>
      </c>
      <c r="S38" s="796">
        <v>41544</v>
      </c>
      <c r="T38" s="796">
        <v>41551</v>
      </c>
      <c r="U38" s="750" t="s">
        <v>683</v>
      </c>
      <c r="V38" s="518"/>
      <c r="W38" s="767">
        <v>2000000</v>
      </c>
      <c r="X38" s="752">
        <v>7.8</v>
      </c>
      <c r="Y38" s="751">
        <f>X38*W38</f>
        <v>15600000</v>
      </c>
      <c r="Z38" s="751"/>
      <c r="AA38" s="753"/>
      <c r="AB38" s="800"/>
      <c r="AC38" s="754"/>
      <c r="AD38" s="754"/>
      <c r="AE38" s="518"/>
      <c r="AF38" s="756"/>
      <c r="AG38" s="757"/>
      <c r="AH38" s="751"/>
    </row>
    <row r="39" spans="1:34" s="795" customFormat="1" ht="31.5" customHeight="1">
      <c r="A39" s="789"/>
      <c r="B39" s="789"/>
      <c r="C39" s="789"/>
      <c r="D39" s="789"/>
      <c r="E39" s="817">
        <v>29</v>
      </c>
      <c r="F39" s="818" t="s">
        <v>1087</v>
      </c>
      <c r="G39" s="710" t="s">
        <v>1095</v>
      </c>
      <c r="H39" s="819" t="s">
        <v>158</v>
      </c>
      <c r="I39" s="819" t="s">
        <v>1090</v>
      </c>
      <c r="J39" s="712">
        <f>(AB39-T39)/365</f>
        <v>-114.12054794520547</v>
      </c>
      <c r="K39" s="713" t="s">
        <v>1238</v>
      </c>
      <c r="L39" s="792">
        <v>-2500000</v>
      </c>
      <c r="M39" s="820" t="s">
        <v>466</v>
      </c>
      <c r="N39" s="793">
        <v>109.1</v>
      </c>
      <c r="O39" s="790">
        <v>3.4348450000000001</v>
      </c>
      <c r="P39" s="821" t="s">
        <v>583</v>
      </c>
      <c r="Q39" s="821" t="s">
        <v>1138</v>
      </c>
      <c r="R39" s="822" t="s">
        <v>1178</v>
      </c>
      <c r="S39" s="807">
        <v>41649</v>
      </c>
      <c r="T39" s="807">
        <v>41654</v>
      </c>
      <c r="U39" s="794" t="s">
        <v>599</v>
      </c>
      <c r="W39" s="809">
        <v>-2758932.29</v>
      </c>
      <c r="X39" s="795">
        <v>7.8</v>
      </c>
      <c r="Y39" s="723">
        <f>W39*7.8</f>
        <v>-21519671.862</v>
      </c>
      <c r="Z39" s="723"/>
      <c r="AA39" s="717"/>
      <c r="AB39" s="725"/>
      <c r="AC39" s="726"/>
      <c r="AD39" s="726"/>
      <c r="AF39" s="728"/>
      <c r="AG39" s="729"/>
    </row>
    <row r="40" spans="1:34" s="629" customFormat="1" ht="38.25">
      <c r="A40" s="667"/>
      <c r="B40" s="667"/>
      <c r="C40" s="667"/>
      <c r="D40" s="667"/>
      <c r="E40" s="668">
        <v>30</v>
      </c>
      <c r="F40" s="629" t="s">
        <v>1250</v>
      </c>
      <c r="G40" s="587" t="s">
        <v>1251</v>
      </c>
      <c r="H40" s="669" t="s">
        <v>192</v>
      </c>
      <c r="I40" s="669" t="s">
        <v>421</v>
      </c>
      <c r="J40" s="589">
        <f t="shared" ref="J40:J41" si="2">(AB40-T40)/365</f>
        <v>-114.16164383561645</v>
      </c>
      <c r="K40" s="590" t="s">
        <v>465</v>
      </c>
      <c r="L40" s="670">
        <v>5000000</v>
      </c>
      <c r="M40" s="590" t="s">
        <v>466</v>
      </c>
      <c r="N40" s="671">
        <v>95.384</v>
      </c>
      <c r="O40" s="584">
        <v>6.0061600000000004</v>
      </c>
      <c r="P40" s="594" t="s">
        <v>331</v>
      </c>
      <c r="Q40" s="604" t="s">
        <v>595</v>
      </c>
      <c r="R40" s="587" t="s">
        <v>596</v>
      </c>
      <c r="S40" s="650">
        <v>41663</v>
      </c>
      <c r="T40" s="650">
        <v>41669</v>
      </c>
      <c r="U40" s="597" t="s">
        <v>599</v>
      </c>
      <c r="V40" s="672"/>
      <c r="W40" s="599">
        <v>4837134.03</v>
      </c>
      <c r="X40" s="673">
        <v>7.8</v>
      </c>
      <c r="Y40" s="598">
        <f t="shared" ref="Y40" si="3">X40*W40</f>
        <v>37729645.434</v>
      </c>
      <c r="Z40" s="598"/>
      <c r="AA40" s="600"/>
      <c r="AB40" s="650"/>
      <c r="AC40" s="601"/>
      <c r="AD40" s="601"/>
      <c r="AE40" s="672"/>
      <c r="AF40" s="602"/>
      <c r="AG40" s="603"/>
      <c r="AH40" s="598"/>
    </row>
    <row r="41" spans="1:34" s="629" customFormat="1" ht="38.25">
      <c r="A41" s="667"/>
      <c r="B41" s="667"/>
      <c r="C41" s="667"/>
      <c r="D41" s="667"/>
      <c r="E41" s="668">
        <v>31</v>
      </c>
      <c r="F41" s="629" t="s">
        <v>1250</v>
      </c>
      <c r="G41" s="587" t="s">
        <v>1251</v>
      </c>
      <c r="H41" s="669" t="s">
        <v>192</v>
      </c>
      <c r="I41" s="669" t="s">
        <v>421</v>
      </c>
      <c r="J41" s="589">
        <f t="shared" si="2"/>
        <v>-114.16164383561645</v>
      </c>
      <c r="K41" s="590" t="s">
        <v>465</v>
      </c>
      <c r="L41" s="670">
        <v>1000000</v>
      </c>
      <c r="M41" s="590" t="s">
        <v>466</v>
      </c>
      <c r="N41" s="671">
        <v>95.355999999999995</v>
      </c>
      <c r="O41" s="584">
        <v>6.0101100000000001</v>
      </c>
      <c r="P41" s="594" t="s">
        <v>677</v>
      </c>
      <c r="Q41" s="604" t="s">
        <v>1219</v>
      </c>
      <c r="R41" s="587" t="s">
        <v>1220</v>
      </c>
      <c r="S41" s="650">
        <v>41663</v>
      </c>
      <c r="T41" s="650">
        <v>41669</v>
      </c>
      <c r="U41" s="597" t="s">
        <v>599</v>
      </c>
      <c r="V41" s="672"/>
      <c r="W41" s="599">
        <v>967146.81</v>
      </c>
      <c r="X41" s="673">
        <v>7.8</v>
      </c>
      <c r="Y41" s="598">
        <f>X41*W41</f>
        <v>7543745.1180000007</v>
      </c>
      <c r="Z41" s="598"/>
      <c r="AA41" s="600"/>
      <c r="AB41" s="650"/>
      <c r="AC41" s="601"/>
      <c r="AD41" s="601"/>
      <c r="AE41" s="672"/>
      <c r="AF41" s="602"/>
      <c r="AG41" s="603"/>
      <c r="AH41" s="598"/>
    </row>
    <row r="42" spans="1:34" s="791" customFormat="1" ht="38.25">
      <c r="A42" s="789"/>
      <c r="B42" s="789"/>
      <c r="C42" s="789"/>
      <c r="D42" s="789"/>
      <c r="E42" s="804">
        <v>32</v>
      </c>
      <c r="F42" s="791" t="s">
        <v>1250</v>
      </c>
      <c r="G42" s="710" t="s">
        <v>1251</v>
      </c>
      <c r="H42" s="711" t="s">
        <v>192</v>
      </c>
      <c r="I42" s="711" t="s">
        <v>421</v>
      </c>
      <c r="J42" s="712">
        <f>(AB42-T42)/365</f>
        <v>-114.21369863013699</v>
      </c>
      <c r="K42" s="713" t="s">
        <v>465</v>
      </c>
      <c r="L42" s="805">
        <v>3000000</v>
      </c>
      <c r="M42" s="713" t="s">
        <v>466</v>
      </c>
      <c r="N42" s="793">
        <v>96.155000000000001</v>
      </c>
      <c r="O42" s="790">
        <v>5.90008</v>
      </c>
      <c r="P42" s="806" t="s">
        <v>331</v>
      </c>
      <c r="Q42" s="719" t="s">
        <v>595</v>
      </c>
      <c r="R42" s="710" t="s">
        <v>596</v>
      </c>
      <c r="S42" s="807">
        <v>41682</v>
      </c>
      <c r="T42" s="807">
        <v>41688</v>
      </c>
      <c r="U42" s="794" t="s">
        <v>599</v>
      </c>
      <c r="V42" s="795"/>
      <c r="W42" s="808">
        <v>2933472.92</v>
      </c>
      <c r="X42" s="809">
        <v>7.8</v>
      </c>
      <c r="Y42" s="723">
        <f>X42*W42</f>
        <v>22881088.776000001</v>
      </c>
      <c r="Z42" s="723"/>
      <c r="AA42" s="717"/>
      <c r="AB42" s="807"/>
      <c r="AC42" s="726"/>
      <c r="AD42" s="726"/>
      <c r="AE42" s="795"/>
      <c r="AF42" s="728"/>
      <c r="AG42" s="729"/>
      <c r="AH42" s="723"/>
    </row>
    <row r="43" spans="1:34" s="629" customFormat="1" ht="25.5">
      <c r="A43" s="667"/>
      <c r="B43" s="667"/>
      <c r="C43" s="667"/>
      <c r="D43" s="600"/>
      <c r="E43" s="593">
        <v>33</v>
      </c>
      <c r="F43" s="866" t="s">
        <v>451</v>
      </c>
      <c r="G43" s="604" t="s">
        <v>1374</v>
      </c>
      <c r="H43" s="870" t="s">
        <v>1269</v>
      </c>
      <c r="I43" s="870" t="s">
        <v>193</v>
      </c>
      <c r="J43" s="589">
        <f>(AB43-T43)/365</f>
        <v>-114.27945205479452</v>
      </c>
      <c r="K43" s="590" t="s">
        <v>1238</v>
      </c>
      <c r="L43" s="670">
        <v>-1000000</v>
      </c>
      <c r="M43" s="590" t="s">
        <v>945</v>
      </c>
      <c r="N43" s="867">
        <v>105.718</v>
      </c>
      <c r="O43" s="871">
        <v>0.86778</v>
      </c>
      <c r="P43" s="868" t="s">
        <v>60</v>
      </c>
      <c r="Q43" s="595" t="s">
        <v>1257</v>
      </c>
      <c r="R43" s="596" t="s">
        <v>1258</v>
      </c>
      <c r="S43" s="650">
        <v>41709</v>
      </c>
      <c r="T43" s="650">
        <v>41712</v>
      </c>
      <c r="U43" s="597" t="s">
        <v>599</v>
      </c>
      <c r="V43" s="586"/>
      <c r="W43" s="598">
        <f>-1079846.67</f>
        <v>-1079846.67</v>
      </c>
      <c r="X43" s="673">
        <v>7.8</v>
      </c>
      <c r="Y43" s="598">
        <f>X43*W43</f>
        <v>-8422804.0259999987</v>
      </c>
      <c r="AA43" s="869"/>
      <c r="AB43" s="688"/>
      <c r="AC43" s="601"/>
      <c r="AF43" s="602"/>
      <c r="AG43" s="603"/>
      <c r="AH43" s="598"/>
    </row>
    <row r="44" spans="1:34" s="967" customFormat="1" ht="38.25">
      <c r="A44" s="1004"/>
      <c r="B44" s="1005"/>
      <c r="C44" s="1016"/>
      <c r="D44" s="1016"/>
      <c r="E44" s="1017">
        <v>34</v>
      </c>
      <c r="F44" s="967" t="s">
        <v>1288</v>
      </c>
      <c r="G44" s="945" t="s">
        <v>1289</v>
      </c>
      <c r="H44" s="947" t="s">
        <v>192</v>
      </c>
      <c r="I44" s="947" t="s">
        <v>421</v>
      </c>
      <c r="J44" s="948">
        <f>(AB44-T44)/365</f>
        <v>-114.43013698630136</v>
      </c>
      <c r="K44" s="964" t="s">
        <v>465</v>
      </c>
      <c r="L44" s="1018">
        <v>12000000</v>
      </c>
      <c r="M44" s="964" t="s">
        <v>466</v>
      </c>
      <c r="N44" s="951">
        <v>99.554000000000002</v>
      </c>
      <c r="O44" s="942">
        <v>6.0099799999999997</v>
      </c>
      <c r="P44" s="952" t="s">
        <v>1290</v>
      </c>
      <c r="Q44" s="953" t="s">
        <v>1291</v>
      </c>
      <c r="R44" s="945" t="s">
        <v>1292</v>
      </c>
      <c r="S44" s="954">
        <v>41758</v>
      </c>
      <c r="T44" s="954">
        <v>41767</v>
      </c>
      <c r="U44" s="955" t="s">
        <v>599</v>
      </c>
      <c r="V44" s="1019"/>
      <c r="W44" s="957">
        <v>11946480</v>
      </c>
      <c r="X44" s="1020">
        <v>7.8</v>
      </c>
      <c r="Y44" s="956">
        <f>X44*W44</f>
        <v>93182544</v>
      </c>
      <c r="Z44" s="956"/>
      <c r="AA44" s="958"/>
      <c r="AB44" s="954"/>
      <c r="AC44" s="960"/>
      <c r="AD44" s="960"/>
      <c r="AE44" s="1019"/>
      <c r="AF44" s="962"/>
      <c r="AG44" s="963"/>
      <c r="AH44" s="956"/>
    </row>
    <row r="45" spans="1:34" s="741" customFormat="1" ht="39.75" customHeight="1">
      <c r="A45" s="823"/>
      <c r="B45" s="740"/>
      <c r="C45" s="740"/>
      <c r="D45" s="740"/>
      <c r="E45" s="759">
        <v>35</v>
      </c>
      <c r="F45" s="761" t="s">
        <v>1357</v>
      </c>
      <c r="G45" s="742" t="s">
        <v>1358</v>
      </c>
      <c r="H45" s="1382" t="s">
        <v>516</v>
      </c>
      <c r="I45" s="760" t="s">
        <v>1361</v>
      </c>
      <c r="J45" s="744">
        <f>(AB45-T45)/365</f>
        <v>-114.83561643835617</v>
      </c>
      <c r="K45" s="745" t="s">
        <v>465</v>
      </c>
      <c r="L45" s="746">
        <v>4000000</v>
      </c>
      <c r="M45" s="762" t="s">
        <v>945</v>
      </c>
      <c r="N45" s="1381">
        <v>99.433999999999997</v>
      </c>
      <c r="O45" s="760">
        <v>4.628101</v>
      </c>
      <c r="P45" s="763" t="s">
        <v>1290</v>
      </c>
      <c r="Q45" s="764" t="s">
        <v>1359</v>
      </c>
      <c r="R45" s="742" t="s">
        <v>1360</v>
      </c>
      <c r="S45" s="796">
        <v>41906</v>
      </c>
      <c r="T45" s="796">
        <v>41915</v>
      </c>
      <c r="U45" s="1383" t="s">
        <v>683</v>
      </c>
      <c r="W45" s="751">
        <v>3977360</v>
      </c>
      <c r="X45" s="767">
        <v>7.8</v>
      </c>
      <c r="Y45" s="751">
        <f t="shared" ref="Y45" si="4">X45*W45</f>
        <v>31023408</v>
      </c>
      <c r="Z45" s="751"/>
      <c r="AA45" s="753"/>
      <c r="AB45" s="800"/>
      <c r="AC45" s="754"/>
      <c r="AD45" s="798"/>
      <c r="AF45" s="756"/>
      <c r="AG45" s="757"/>
    </row>
    <row r="46" spans="1:34" s="741" customFormat="1" ht="39.75" customHeight="1">
      <c r="A46" s="823"/>
      <c r="B46" s="740"/>
      <c r="C46" s="740"/>
      <c r="D46" s="740"/>
      <c r="E46" s="759">
        <v>36</v>
      </c>
      <c r="F46" s="761" t="s">
        <v>1357</v>
      </c>
      <c r="G46" s="742" t="s">
        <v>1358</v>
      </c>
      <c r="H46" s="1382" t="s">
        <v>516</v>
      </c>
      <c r="I46" s="760" t="s">
        <v>1361</v>
      </c>
      <c r="J46" s="744">
        <f>(AB46-T46)/365</f>
        <v>-114.92876712328767</v>
      </c>
      <c r="K46" s="762" t="s">
        <v>1238</v>
      </c>
      <c r="L46" s="746">
        <v>4000000</v>
      </c>
      <c r="M46" s="762" t="s">
        <v>945</v>
      </c>
      <c r="N46" s="1381">
        <v>99.85</v>
      </c>
      <c r="O46" s="760">
        <v>4.5335700000000001</v>
      </c>
      <c r="P46" s="763" t="s">
        <v>60</v>
      </c>
      <c r="Q46" s="764" t="s">
        <v>1257</v>
      </c>
      <c r="R46" s="742" t="s">
        <v>1258</v>
      </c>
      <c r="S46" s="796">
        <v>41946</v>
      </c>
      <c r="T46" s="796">
        <v>41949</v>
      </c>
      <c r="U46" s="1383" t="s">
        <v>683</v>
      </c>
      <c r="W46" s="751">
        <v>4010500</v>
      </c>
      <c r="X46" s="767">
        <v>7.8</v>
      </c>
      <c r="Y46" s="751">
        <f t="shared" ref="Y46" si="5">X46*W46</f>
        <v>31281900</v>
      </c>
      <c r="Z46" s="751"/>
      <c r="AA46" s="753"/>
      <c r="AB46" s="800"/>
      <c r="AC46" s="754"/>
      <c r="AD46" s="798"/>
      <c r="AF46" s="756"/>
      <c r="AG46" s="757"/>
    </row>
    <row r="47" spans="1:34" s="74" customFormat="1" ht="16.5">
      <c r="A47" s="73"/>
      <c r="B47" s="73"/>
      <c r="C47" s="73"/>
      <c r="D47" s="73"/>
      <c r="E47" s="91"/>
      <c r="F47" s="55"/>
      <c r="G47" s="53"/>
      <c r="H47" s="112"/>
      <c r="I47" s="112"/>
      <c r="J47" s="204"/>
      <c r="K47" s="46"/>
      <c r="L47" s="24"/>
      <c r="M47" s="46"/>
      <c r="N47" s="114"/>
      <c r="O47" s="91"/>
      <c r="P47" s="32"/>
      <c r="Q47" s="32"/>
      <c r="R47" s="14"/>
      <c r="S47" s="642"/>
      <c r="T47" s="642"/>
      <c r="U47" s="229"/>
      <c r="W47" s="143"/>
      <c r="Y47" s="117"/>
      <c r="Z47" s="117"/>
      <c r="AA47" s="86"/>
      <c r="AB47" s="661"/>
      <c r="AC47" s="104"/>
      <c r="AD47" s="104"/>
      <c r="AF47" s="214"/>
      <c r="AG47" s="215"/>
      <c r="AH47" s="117"/>
    </row>
    <row r="48" spans="1:34" s="74" customFormat="1" ht="16.5">
      <c r="A48" s="73"/>
      <c r="B48" s="73"/>
      <c r="C48" s="73"/>
      <c r="D48" s="73"/>
      <c r="E48" s="91"/>
      <c r="F48" s="55"/>
      <c r="G48" s="53"/>
      <c r="H48" s="112"/>
      <c r="I48" s="112"/>
      <c r="J48" s="204"/>
      <c r="K48" s="46"/>
      <c r="L48" s="24"/>
      <c r="M48" s="46"/>
      <c r="N48" s="114"/>
      <c r="O48" s="91"/>
      <c r="P48" s="32"/>
      <c r="Q48" s="32"/>
      <c r="R48" s="14"/>
      <c r="S48" s="642"/>
      <c r="T48" s="642"/>
      <c r="U48" s="229"/>
      <c r="W48" s="143"/>
      <c r="Y48" s="117"/>
      <c r="Z48" s="117"/>
      <c r="AA48" s="86"/>
      <c r="AB48" s="661"/>
      <c r="AC48" s="104"/>
      <c r="AD48" s="104"/>
      <c r="AF48" s="214"/>
      <c r="AG48" s="215"/>
      <c r="AH48" s="117"/>
    </row>
    <row r="49" spans="1:29">
      <c r="A49" s="73"/>
      <c r="B49" s="73"/>
      <c r="C49" s="73"/>
      <c r="D49" s="73"/>
      <c r="E49" s="91"/>
      <c r="F49" s="47"/>
      <c r="G49" s="48"/>
      <c r="H49" s="48"/>
      <c r="I49" s="48"/>
      <c r="J49" s="48"/>
      <c r="K49" s="46"/>
      <c r="L49" s="49"/>
      <c r="M49" s="113"/>
      <c r="N49" s="114"/>
      <c r="O49" s="91"/>
      <c r="P49" s="111"/>
      <c r="Q49" s="112"/>
      <c r="R49" s="109"/>
      <c r="S49" s="642"/>
      <c r="T49" s="642"/>
      <c r="U49" s="54"/>
      <c r="V49" s="64"/>
      <c r="W49" s="110"/>
      <c r="X49" s="110"/>
      <c r="Y49" s="110"/>
      <c r="Z49" s="110"/>
      <c r="AA49" s="86"/>
      <c r="AB49" s="661"/>
      <c r="AC49" s="104"/>
    </row>
    <row r="50" spans="1:29">
      <c r="A50" s="73"/>
      <c r="B50" s="73"/>
      <c r="C50" s="73"/>
      <c r="D50" s="73"/>
      <c r="E50" s="91"/>
      <c r="F50" s="47"/>
      <c r="G50" s="48"/>
      <c r="H50" s="48"/>
      <c r="I50" s="48"/>
      <c r="J50" s="48"/>
      <c r="K50" s="46"/>
      <c r="L50" s="49"/>
      <c r="M50" s="113"/>
      <c r="N50" s="114"/>
      <c r="O50" s="91"/>
      <c r="P50" s="111"/>
      <c r="Q50" s="112"/>
      <c r="R50" s="109"/>
      <c r="S50" s="642"/>
      <c r="T50" s="642"/>
      <c r="U50" s="54"/>
      <c r="V50" s="64"/>
      <c r="W50" s="110"/>
      <c r="X50" s="110"/>
      <c r="Y50" s="110"/>
      <c r="Z50" s="110"/>
      <c r="AA50" s="86"/>
      <c r="AB50" s="661"/>
      <c r="AC50" s="104"/>
    </row>
    <row r="51" spans="1:29">
      <c r="Y51" s="3"/>
      <c r="Z51" s="3"/>
    </row>
    <row r="52" spans="1:29">
      <c r="F52" s="738"/>
      <c r="G52" s="738"/>
      <c r="H52" s="738"/>
      <c r="I52" s="738"/>
      <c r="J52" s="738"/>
      <c r="K52" s="738"/>
      <c r="L52" s="738"/>
      <c r="M52" s="738"/>
      <c r="N52" s="738"/>
      <c r="O52" s="738"/>
      <c r="P52" s="738"/>
      <c r="Q52" s="738"/>
      <c r="R52" s="738"/>
      <c r="S52" s="815"/>
      <c r="T52" s="815"/>
      <c r="U52" s="738"/>
      <c r="V52" s="738"/>
      <c r="W52" s="738"/>
      <c r="X52" s="738"/>
      <c r="Y52" s="738"/>
      <c r="Z52" s="738"/>
      <c r="AA52" s="738"/>
      <c r="AB52" s="815"/>
      <c r="AC52" s="738"/>
    </row>
    <row r="53" spans="1:29">
      <c r="F53" s="738"/>
      <c r="G53" s="738"/>
      <c r="H53" s="738"/>
      <c r="I53" s="738"/>
      <c r="J53" s="738"/>
      <c r="K53" s="738"/>
      <c r="L53" s="738"/>
      <c r="M53" s="738"/>
      <c r="N53" s="738"/>
      <c r="O53" s="738"/>
      <c r="P53" s="738"/>
      <c r="Q53" s="738"/>
      <c r="R53" s="738"/>
      <c r="S53" s="815"/>
      <c r="T53" s="815"/>
      <c r="U53" s="738"/>
      <c r="V53" s="738"/>
      <c r="W53" s="738"/>
      <c r="X53" s="738"/>
      <c r="Y53" s="738"/>
      <c r="Z53" s="738"/>
      <c r="AA53" s="738"/>
      <c r="AB53" s="815"/>
      <c r="AC53" s="738"/>
    </row>
  </sheetData>
  <phoneticPr fontId="4" type="noConversion"/>
  <hyperlinks>
    <hyperlink ref="R35" r:id="rId1" display="Na.Li@hk.email.gs.com"/>
  </hyperlinks>
  <pageMargins left="0.37" right="0.28000000000000003" top="0.43" bottom="0.42" header="0.31" footer="0.27"/>
  <pageSetup scale="23" orientation="landscape" r:id="rId2"/>
  <headerFooter alignWithMargins="0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2"/>
  <dimension ref="A1:AH15"/>
  <sheetViews>
    <sheetView topLeftCell="E1" zoomScalePageLayoutView="115" workbookViewId="0">
      <pane xSplit="1" ySplit="5" topLeftCell="F6" activePane="bottomRight" state="frozen"/>
      <selection activeCell="E1" sqref="E1"/>
      <selection pane="topRight" activeCell="F1" sqref="F1"/>
      <selection pane="bottomLeft" activeCell="E6" sqref="E6"/>
      <selection pane="bottomRight" activeCell="F1" sqref="F1"/>
    </sheetView>
  </sheetViews>
  <sheetFormatPr defaultRowHeight="12.75"/>
  <cols>
    <col min="1" max="2" width="16.28515625" customWidth="1"/>
    <col min="3" max="3" width="10.7109375" customWidth="1"/>
    <col min="4" max="4" width="11.5703125" customWidth="1"/>
    <col min="6" max="6" width="15.7109375" customWidth="1"/>
    <col min="7" max="7" width="23.140625" customWidth="1"/>
    <col min="8" max="10" width="9" customWidth="1"/>
    <col min="12" max="12" width="15.85546875" customWidth="1"/>
    <col min="13" max="13" width="11.28515625" customWidth="1"/>
    <col min="14" max="14" width="10.140625" customWidth="1"/>
    <col min="15" max="15" width="12.5703125" customWidth="1"/>
    <col min="16" max="16" width="12.28515625" customWidth="1"/>
    <col min="17" max="17" width="13.42578125" customWidth="1"/>
    <col min="18" max="18" width="22" customWidth="1"/>
    <col min="19" max="20" width="10.7109375" style="637" customWidth="1"/>
    <col min="21" max="21" width="13.42578125" customWidth="1"/>
    <col min="23" max="23" width="13.5703125" customWidth="1"/>
    <col min="24" max="26" width="13.42578125" customWidth="1"/>
    <col min="27" max="27" width="10.140625" customWidth="1"/>
    <col min="28" max="28" width="11.7109375" customWidth="1"/>
    <col min="33" max="33" width="10.140625" bestFit="1" customWidth="1"/>
    <col min="34" max="34" width="9.85546875" bestFit="1" customWidth="1"/>
  </cols>
  <sheetData>
    <row r="1" spans="1:34" ht="16.5">
      <c r="E1" s="1"/>
      <c r="F1" s="116" t="s">
        <v>1506</v>
      </c>
      <c r="G1" s="1"/>
      <c r="H1" s="1"/>
      <c r="I1" s="1"/>
      <c r="J1" s="1"/>
      <c r="K1" s="1"/>
      <c r="L1" s="1"/>
      <c r="O1" s="1" t="s">
        <v>484</v>
      </c>
      <c r="Q1" s="1" t="s">
        <v>228</v>
      </c>
    </row>
    <row r="2" spans="1:34">
      <c r="E2" s="1" t="s">
        <v>295</v>
      </c>
      <c r="F2" s="134">
        <f ca="1">TODAY()</f>
        <v>42654</v>
      </c>
    </row>
    <row r="4" spans="1:34">
      <c r="X4">
        <v>7.77</v>
      </c>
      <c r="AB4" s="85"/>
      <c r="AC4" s="85"/>
      <c r="AG4" s="85"/>
    </row>
    <row r="5" spans="1:34" ht="38.25">
      <c r="A5" s="10"/>
      <c r="B5" s="10"/>
      <c r="C5" s="10"/>
      <c r="D5" s="10"/>
      <c r="E5" s="8" t="s">
        <v>296</v>
      </c>
      <c r="F5" s="8" t="s">
        <v>293</v>
      </c>
      <c r="G5" s="8" t="s">
        <v>300</v>
      </c>
      <c r="H5" s="8"/>
      <c r="I5" s="8"/>
      <c r="J5" s="8"/>
      <c r="K5" s="8" t="s">
        <v>294</v>
      </c>
      <c r="L5" s="9" t="s">
        <v>302</v>
      </c>
      <c r="M5" s="7" t="s">
        <v>301</v>
      </c>
      <c r="N5" s="7" t="s">
        <v>304</v>
      </c>
      <c r="O5" s="7" t="s">
        <v>305</v>
      </c>
      <c r="P5" s="8" t="s">
        <v>297</v>
      </c>
      <c r="Q5" s="8" t="s">
        <v>303</v>
      </c>
      <c r="R5" s="8" t="s">
        <v>312</v>
      </c>
      <c r="S5" s="639" t="s">
        <v>298</v>
      </c>
      <c r="T5" s="639" t="s">
        <v>299</v>
      </c>
      <c r="U5" s="228" t="s">
        <v>752</v>
      </c>
      <c r="V5" s="10"/>
      <c r="W5" s="10" t="s">
        <v>436</v>
      </c>
      <c r="X5" s="10" t="s">
        <v>475</v>
      </c>
      <c r="Y5" s="84" t="s">
        <v>440</v>
      </c>
      <c r="Z5" s="84"/>
      <c r="AA5" s="10"/>
      <c r="AB5" s="10"/>
      <c r="AC5" s="10"/>
      <c r="AF5" s="29"/>
      <c r="AG5" s="29"/>
      <c r="AH5" s="29"/>
    </row>
    <row r="6" spans="1:34" s="74" customFormat="1" ht="38.25">
      <c r="A6" s="73"/>
      <c r="B6" s="73"/>
      <c r="C6" s="73"/>
      <c r="D6" s="73"/>
      <c r="E6" s="91">
        <v>1</v>
      </c>
      <c r="F6" s="55" t="s">
        <v>815</v>
      </c>
      <c r="G6" s="53" t="s">
        <v>816</v>
      </c>
      <c r="H6" s="17" t="s">
        <v>817</v>
      </c>
      <c r="I6" s="17" t="s">
        <v>818</v>
      </c>
      <c r="J6" s="204">
        <f>(AB6-S6)/365</f>
        <v>-111.15342465753425</v>
      </c>
      <c r="K6" s="46" t="s">
        <v>465</v>
      </c>
      <c r="L6" s="24">
        <v>2400000</v>
      </c>
      <c r="M6" s="167" t="s">
        <v>945</v>
      </c>
      <c r="N6" s="114">
        <v>107.9</v>
      </c>
      <c r="O6" s="91">
        <v>7.1413970999999998</v>
      </c>
      <c r="P6" s="32" t="s">
        <v>355</v>
      </c>
      <c r="Q6" s="20" t="s">
        <v>648</v>
      </c>
      <c r="R6" s="14" t="s">
        <v>649</v>
      </c>
      <c r="S6" s="642">
        <v>40571</v>
      </c>
      <c r="T6" s="642">
        <v>40576</v>
      </c>
      <c r="U6" s="229" t="s">
        <v>760</v>
      </c>
      <c r="W6" s="143">
        <v>2595450</v>
      </c>
      <c r="X6" s="143">
        <v>7.8</v>
      </c>
      <c r="Y6" s="117">
        <f>W6*X6</f>
        <v>20244510</v>
      </c>
      <c r="Z6" s="70"/>
      <c r="AA6" s="86"/>
      <c r="AB6" s="275"/>
      <c r="AC6" s="104"/>
      <c r="AF6" s="214"/>
      <c r="AG6" s="215"/>
      <c r="AH6" s="117"/>
    </row>
    <row r="7" spans="1:34" s="74" customFormat="1" ht="38.25">
      <c r="A7" s="73"/>
      <c r="B7" s="73"/>
      <c r="C7" s="18"/>
      <c r="D7" s="18"/>
      <c r="E7" s="91">
        <v>2</v>
      </c>
      <c r="F7" s="55" t="s">
        <v>1000</v>
      </c>
      <c r="G7" s="53" t="s">
        <v>920</v>
      </c>
      <c r="H7" s="17" t="s">
        <v>631</v>
      </c>
      <c r="I7" s="17" t="s">
        <v>918</v>
      </c>
      <c r="J7" s="204">
        <f>(AB7-S7)/365</f>
        <v>-111.55068493150685</v>
      </c>
      <c r="K7" s="46" t="s">
        <v>465</v>
      </c>
      <c r="L7" s="24">
        <v>400000</v>
      </c>
      <c r="M7" s="167" t="s">
        <v>945</v>
      </c>
      <c r="N7" s="114">
        <v>95.29</v>
      </c>
      <c r="O7" s="91">
        <v>6.1686326999999999</v>
      </c>
      <c r="P7" s="203" t="s">
        <v>820</v>
      </c>
      <c r="Q7" s="20" t="s">
        <v>887</v>
      </c>
      <c r="R7" s="29" t="s">
        <v>888</v>
      </c>
      <c r="S7" s="642">
        <v>40716</v>
      </c>
      <c r="T7" s="642">
        <v>40721</v>
      </c>
      <c r="U7" s="229" t="s">
        <v>760</v>
      </c>
      <c r="W7" s="143">
        <v>384032.22</v>
      </c>
      <c r="X7" s="74">
        <v>7.8</v>
      </c>
      <c r="Y7" s="117">
        <f>W7*X7</f>
        <v>2995451.3159999996</v>
      </c>
      <c r="Z7" s="117"/>
      <c r="AA7" s="86"/>
      <c r="AB7" s="275"/>
      <c r="AC7" s="104"/>
      <c r="AD7" s="104"/>
      <c r="AF7" s="214"/>
      <c r="AG7" s="215"/>
      <c r="AH7" s="117"/>
    </row>
    <row r="8" spans="1:34" s="74" customFormat="1" ht="16.5">
      <c r="A8" s="73"/>
      <c r="B8" s="73"/>
      <c r="C8" s="73"/>
      <c r="D8" s="73"/>
      <c r="E8" s="91"/>
      <c r="F8" s="55"/>
      <c r="G8" s="53"/>
      <c r="H8" s="112"/>
      <c r="I8" s="112"/>
      <c r="J8" s="204"/>
      <c r="K8" s="46"/>
      <c r="L8" s="24"/>
      <c r="M8" s="46"/>
      <c r="N8" s="114"/>
      <c r="O8" s="91"/>
      <c r="P8" s="32"/>
      <c r="Q8" s="32"/>
      <c r="R8" s="14"/>
      <c r="S8" s="642"/>
      <c r="T8" s="642"/>
      <c r="U8" s="229"/>
      <c r="W8" s="143"/>
      <c r="Y8" s="117"/>
      <c r="Z8" s="117"/>
      <c r="AA8" s="86"/>
      <c r="AB8" s="87"/>
      <c r="AC8" s="104"/>
      <c r="AD8" s="104"/>
      <c r="AF8" s="214"/>
      <c r="AG8" s="215"/>
      <c r="AH8" s="117"/>
    </row>
    <row r="9" spans="1:34" s="74" customFormat="1" ht="16.5">
      <c r="A9" s="73"/>
      <c r="B9" s="73"/>
      <c r="C9" s="73"/>
      <c r="D9" s="73"/>
      <c r="E9" s="91"/>
      <c r="F9" s="55"/>
      <c r="G9" s="53"/>
      <c r="H9" s="112"/>
      <c r="I9" s="112"/>
      <c r="J9" s="204"/>
      <c r="K9" s="46"/>
      <c r="L9" s="24"/>
      <c r="M9" s="46"/>
      <c r="N9" s="114"/>
      <c r="O9" s="91"/>
      <c r="P9" s="32"/>
      <c r="Q9" s="32"/>
      <c r="R9" s="14"/>
      <c r="S9" s="642"/>
      <c r="T9" s="642"/>
      <c r="U9" s="229"/>
      <c r="W9" s="143"/>
      <c r="Y9" s="117"/>
      <c r="Z9" s="117"/>
      <c r="AA9" s="86"/>
      <c r="AB9" s="87"/>
      <c r="AC9" s="104"/>
      <c r="AD9" s="104"/>
      <c r="AF9" s="214"/>
      <c r="AG9" s="215"/>
      <c r="AH9" s="117"/>
    </row>
    <row r="10" spans="1:34" s="74" customFormat="1" ht="16.5">
      <c r="A10" s="73"/>
      <c r="B10" s="73"/>
      <c r="C10" s="73"/>
      <c r="D10" s="73"/>
      <c r="E10" s="91"/>
      <c r="F10" s="55"/>
      <c r="G10" s="53"/>
      <c r="H10" s="112"/>
      <c r="I10" s="112"/>
      <c r="J10" s="204"/>
      <c r="K10" s="46"/>
      <c r="L10" s="24"/>
      <c r="M10" s="46"/>
      <c r="N10" s="114"/>
      <c r="O10" s="91"/>
      <c r="P10" s="32"/>
      <c r="Q10" s="32"/>
      <c r="R10" s="14"/>
      <c r="S10" s="642"/>
      <c r="T10" s="642"/>
      <c r="U10" s="229"/>
      <c r="W10" s="143"/>
      <c r="Y10" s="117"/>
      <c r="Z10" s="117"/>
      <c r="AA10" s="86"/>
      <c r="AB10" s="87"/>
      <c r="AC10" s="104"/>
      <c r="AD10" s="104"/>
      <c r="AF10" s="214"/>
      <c r="AG10" s="215"/>
      <c r="AH10" s="117"/>
    </row>
    <row r="11" spans="1:34" s="74" customFormat="1" ht="16.5">
      <c r="A11" s="73"/>
      <c r="B11" s="73"/>
      <c r="C11" s="73"/>
      <c r="D11" s="73"/>
      <c r="E11" s="91"/>
      <c r="F11" s="55"/>
      <c r="G11" s="53"/>
      <c r="H11" s="112"/>
      <c r="I11" s="112"/>
      <c r="J11" s="204"/>
      <c r="K11" s="46"/>
      <c r="L11" s="24"/>
      <c r="M11" s="46"/>
      <c r="N11" s="114"/>
      <c r="O11" s="91"/>
      <c r="P11" s="32"/>
      <c r="Q11" s="32"/>
      <c r="R11" s="14"/>
      <c r="S11" s="642"/>
      <c r="T11" s="642"/>
      <c r="U11" s="229"/>
      <c r="W11" s="143"/>
      <c r="Y11" s="117"/>
      <c r="Z11" s="117"/>
      <c r="AA11" s="86"/>
      <c r="AB11" s="87"/>
      <c r="AC11" s="104"/>
      <c r="AD11" s="104"/>
      <c r="AF11" s="214"/>
      <c r="AG11" s="215"/>
      <c r="AH11" s="117"/>
    </row>
    <row r="12" spans="1:34" s="74" customFormat="1" ht="16.5">
      <c r="A12" s="73"/>
      <c r="B12" s="73"/>
      <c r="C12" s="73"/>
      <c r="D12" s="73"/>
      <c r="E12" s="91"/>
      <c r="F12" s="55"/>
      <c r="G12" s="53"/>
      <c r="H12" s="112"/>
      <c r="I12" s="112"/>
      <c r="J12" s="204"/>
      <c r="K12" s="46"/>
      <c r="L12" s="24"/>
      <c r="M12" s="46"/>
      <c r="N12" s="114"/>
      <c r="O12" s="91"/>
      <c r="P12" s="32"/>
      <c r="Q12" s="32"/>
      <c r="R12" s="14"/>
      <c r="S12" s="642"/>
      <c r="T12" s="642"/>
      <c r="U12" s="229"/>
      <c r="W12" s="143"/>
      <c r="Y12" s="117"/>
      <c r="Z12" s="117"/>
      <c r="AA12" s="86"/>
      <c r="AB12" s="87"/>
      <c r="AC12" s="104"/>
      <c r="AD12" s="104"/>
      <c r="AF12" s="214"/>
      <c r="AG12" s="215"/>
      <c r="AH12" s="117"/>
    </row>
    <row r="13" spans="1:34">
      <c r="A13" s="73"/>
      <c r="B13" s="73"/>
      <c r="C13" s="73"/>
      <c r="D13" s="73"/>
      <c r="E13" s="91"/>
      <c r="F13" s="47"/>
      <c r="G13" s="48"/>
      <c r="H13" s="48"/>
      <c r="I13" s="48"/>
      <c r="J13" s="48"/>
      <c r="K13" s="46"/>
      <c r="L13" s="49"/>
      <c r="M13" s="113"/>
      <c r="N13" s="114"/>
      <c r="O13" s="91"/>
      <c r="P13" s="111"/>
      <c r="Q13" s="112"/>
      <c r="R13" s="109"/>
      <c r="S13" s="642"/>
      <c r="T13" s="642"/>
      <c r="U13" s="54"/>
      <c r="V13" s="64"/>
      <c r="W13" s="110"/>
      <c r="X13" s="110"/>
      <c r="Y13" s="110"/>
      <c r="Z13" s="110"/>
      <c r="AA13" s="86"/>
      <c r="AB13" s="87"/>
      <c r="AC13" s="104"/>
    </row>
    <row r="14" spans="1:34">
      <c r="A14" s="73"/>
      <c r="B14" s="73"/>
      <c r="C14" s="73"/>
      <c r="D14" s="73"/>
      <c r="E14" s="91"/>
      <c r="F14" s="47"/>
      <c r="G14" s="48"/>
      <c r="H14" s="48"/>
      <c r="I14" s="48"/>
      <c r="J14" s="48"/>
      <c r="K14" s="46"/>
      <c r="L14" s="49"/>
      <c r="M14" s="113"/>
      <c r="N14" s="114"/>
      <c r="O14" s="91"/>
      <c r="P14" s="111"/>
      <c r="Q14" s="112"/>
      <c r="R14" s="109"/>
      <c r="S14" s="642"/>
      <c r="T14" s="642"/>
      <c r="U14" s="54"/>
      <c r="V14" s="64"/>
      <c r="W14" s="110"/>
      <c r="X14" s="110"/>
      <c r="Y14" s="110"/>
      <c r="Z14" s="110"/>
      <c r="AA14" s="86"/>
      <c r="AB14" s="87"/>
      <c r="AC14" s="104"/>
    </row>
    <row r="15" spans="1:34">
      <c r="Y15" s="3"/>
      <c r="Z15" s="3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AUM &amp; Performance</vt:lpstr>
      <vt:lpstr>new monthly</vt:lpstr>
      <vt:lpstr>12528_buy</vt:lpstr>
      <vt:lpstr>12528-sell</vt:lpstr>
      <vt:lpstr>HK CL A-12229</vt:lpstr>
      <vt:lpstr>HK Class G-12630</vt:lpstr>
      <vt:lpstr>Macau A-12366</vt:lpstr>
      <vt:lpstr>Macau G</vt:lpstr>
      <vt:lpstr>HK Capital</vt:lpstr>
      <vt:lpstr>Inhouse &amp; clients</vt:lpstr>
      <vt:lpstr>'HK CL A-12229'!Print_Area</vt:lpstr>
      <vt:lpstr>'Macau A-12366'!Print_Area</vt:lpstr>
      <vt:lpstr>'new monthly'!Print_Area</vt:lpstr>
      <vt:lpstr>'HK CL A-12229'!Print_Titles</vt:lpstr>
    </vt:vector>
  </TitlesOfParts>
  <Company>China Life Insurance Co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Wong</dc:creator>
  <cp:lastModifiedBy>jones.au</cp:lastModifiedBy>
  <cp:lastPrinted>2014-08-25T09:12:44Z</cp:lastPrinted>
  <dcterms:created xsi:type="dcterms:W3CDTF">2007-05-15T05:25:46Z</dcterms:created>
  <dcterms:modified xsi:type="dcterms:W3CDTF">2016-10-11T02:40:33Z</dcterms:modified>
</cp:coreProperties>
</file>