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enn\Desktop\mycell\materials\FTO\"/>
    </mc:Choice>
  </mc:AlternateContent>
  <bookViews>
    <workbookView xWindow="0" yWindow="0" windowWidth="16380" windowHeight="8190" tabRatio="991"/>
  </bookViews>
  <sheets>
    <sheet name="results" sheetId="1" r:id="rId1"/>
    <sheet name="Costs" sheetId="6" r:id="rId2"/>
    <sheet name="Energy" sheetId="4" r:id="rId3"/>
    <sheet name="Rough Calculations" sheetId="5" r:id="rId4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1" i="6" l="1"/>
  <c r="I10" i="6"/>
  <c r="I4" i="6"/>
  <c r="I5" i="6"/>
  <c r="I6" i="6"/>
  <c r="I7" i="6"/>
  <c r="I8" i="6"/>
  <c r="I9" i="6"/>
  <c r="I3" i="6"/>
  <c r="J5" i="6"/>
  <c r="J4" i="6"/>
  <c r="G8" i="6"/>
  <c r="G7" i="6"/>
  <c r="G6" i="6"/>
  <c r="G5" i="6"/>
  <c r="G4" i="6"/>
  <c r="G3" i="6"/>
  <c r="I3" i="4"/>
  <c r="E13" i="5"/>
  <c r="B20" i="5" s="1"/>
  <c r="B23" i="5" s="1"/>
  <c r="B24" i="5" s="1"/>
  <c r="B21" i="4"/>
  <c r="B26" i="4"/>
  <c r="B27" i="4" s="1"/>
  <c r="B28" i="4" s="1"/>
  <c r="B25" i="4"/>
  <c r="J10" i="4"/>
  <c r="F33" i="5"/>
  <c r="F34" i="5" s="1"/>
  <c r="F35" i="5" s="1"/>
  <c r="B33" i="5"/>
  <c r="B34" i="5" s="1"/>
  <c r="B35" i="5" s="1"/>
  <c r="B36" i="5" s="1"/>
  <c r="B29" i="5"/>
  <c r="B41" i="5" s="1"/>
  <c r="O11" i="5" s="1"/>
  <c r="P22" i="5"/>
  <c r="R22" i="5" s="1"/>
  <c r="R23" i="5" s="1"/>
  <c r="R21" i="5"/>
  <c r="P21" i="5"/>
  <c r="Q15" i="5"/>
  <c r="P15" i="5"/>
  <c r="E14" i="5"/>
  <c r="F13" i="5"/>
  <c r="E20" i="5" s="1"/>
  <c r="E23" i="5" s="1"/>
  <c r="E24" i="5" s="1"/>
  <c r="E25" i="5" s="1"/>
  <c r="E26" i="5" s="1"/>
  <c r="E27" i="5" s="1"/>
  <c r="S12" i="5"/>
  <c r="O10" i="5"/>
  <c r="R8" i="5"/>
  <c r="R7" i="5"/>
  <c r="J5" i="4"/>
  <c r="J4" i="4"/>
  <c r="I6" i="4"/>
  <c r="I7" i="4"/>
  <c r="I8" i="4"/>
  <c r="I9" i="4"/>
  <c r="I10" i="4" l="1"/>
  <c r="B18" i="4" s="1"/>
  <c r="B31" i="4" s="1"/>
  <c r="B32" i="4" s="1"/>
  <c r="K24" i="5"/>
  <c r="B25" i="5"/>
  <c r="B26" i="5" s="1"/>
  <c r="B27" i="5" s="1"/>
  <c r="O9" i="5" s="1"/>
  <c r="P6" i="5" l="1"/>
  <c r="Q6" i="5" s="1"/>
  <c r="P12" i="5"/>
  <c r="Q12" i="5" s="1"/>
  <c r="P9" i="5"/>
  <c r="P10" i="5"/>
  <c r="Q10" i="5" s="1"/>
  <c r="P11" i="5"/>
  <c r="Q11" i="5" s="1"/>
  <c r="Q9" i="5"/>
</calcChain>
</file>

<file path=xl/comments1.xml><?xml version="1.0" encoding="utf-8"?>
<comments xmlns="http://schemas.openxmlformats.org/spreadsheetml/2006/main">
  <authors>
    <author>Philip Bennett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takes into account the spray pyrolysis only using 80% of material. </t>
        </r>
      </text>
    </comment>
  </commentList>
</comments>
</file>

<file path=xl/comments2.xml><?xml version="1.0" encoding="utf-8"?>
<comments xmlns="http://schemas.openxmlformats.org/spreadsheetml/2006/main">
  <authors>
    <author>Philip Bennett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Calculated in 'Rough calculations' sheet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due to cathode deposition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 xml:space="preserve">Philip Bennett: 
</t>
        </r>
        <r>
          <rPr>
            <sz val="9"/>
            <color indexed="81"/>
            <rFont val="Tahoma"/>
            <family val="2"/>
          </rPr>
          <t>is material used for active area?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my own estimation based on time and power of other processes</t>
        </r>
      </text>
    </comment>
  </commentList>
</comments>
</file>

<file path=xl/comments3.xml><?xml version="1.0" encoding="utf-8"?>
<comments xmlns="http://schemas.openxmlformats.org/spreadsheetml/2006/main">
  <authors>
    <author>Philip Bennett</author>
  </authors>
  <commentList>
    <comment ref="S6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1.21 micron thick layer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Philip Bennett:</t>
        </r>
        <r>
          <rPr>
            <sz val="9"/>
            <color indexed="81"/>
            <rFont val="Tahoma"/>
            <family val="2"/>
          </rPr>
          <t xml:space="preserve">
using density =6.99 g/cm^3</t>
        </r>
      </text>
    </comment>
  </commentList>
</comments>
</file>

<file path=xl/sharedStrings.xml><?xml version="1.0" encoding="utf-8"?>
<sst xmlns="http://schemas.openxmlformats.org/spreadsheetml/2006/main" count="172" uniqueCount="121">
  <si>
    <t>Property</t>
  </si>
  <si>
    <t>Value</t>
  </si>
  <si>
    <t>Units</t>
  </si>
  <si>
    <t>density</t>
  </si>
  <si>
    <t>m-3</t>
  </si>
  <si>
    <t>cost</t>
  </si>
  <si>
    <t>$/Kg</t>
  </si>
  <si>
    <t>Energy</t>
  </si>
  <si>
    <t>J/Kg</t>
  </si>
  <si>
    <t>J/kg</t>
  </si>
  <si>
    <t>g</t>
  </si>
  <si>
    <t>MJ energy Eq</t>
  </si>
  <si>
    <t>chemicals needed</t>
  </si>
  <si>
    <t>Mass for sample (g)</t>
  </si>
  <si>
    <t>for 1kg of FTO (g)</t>
  </si>
  <si>
    <t>for 1kg of FTO (kg)</t>
  </si>
  <si>
    <t>for 1m^2 of panel (kg)</t>
  </si>
  <si>
    <t>Embedded energy (MJ/kg)</t>
  </si>
  <si>
    <t>SnCl2</t>
  </si>
  <si>
    <t>Deionised water</t>
  </si>
  <si>
    <t>ethanol</t>
  </si>
  <si>
    <t>ammonium fluoride</t>
  </si>
  <si>
    <t>hydrochloric acid</t>
  </si>
  <si>
    <t>methanol</t>
  </si>
  <si>
    <t>distilled water</t>
  </si>
  <si>
    <t>-</t>
  </si>
  <si>
    <t>Y</t>
  </si>
  <si>
    <t>N</t>
  </si>
  <si>
    <t>Embedded energy for 1kg of material (MJ)</t>
  </si>
  <si>
    <t>For 1m^2 panel (MJ)</t>
  </si>
  <si>
    <t>Chemicals needed</t>
  </si>
  <si>
    <t>Is mass dependent on thickness?</t>
  </si>
  <si>
    <t>For 1kg of FTO (g)</t>
  </si>
  <si>
    <t>For 1kg of FTO (kg)</t>
  </si>
  <si>
    <t>For 1m^2 of panel (kg)</t>
  </si>
  <si>
    <t>Studies on micro-structural and electrical properties of spray-deposited fluorine-doped tin oxide thin films from low-cost precursor</t>
  </si>
  <si>
    <t>optimum from paper</t>
  </si>
  <si>
    <t>μm</t>
  </si>
  <si>
    <t>of precursor</t>
  </si>
  <si>
    <t>g/cm^3</t>
  </si>
  <si>
    <t>density of tin oxide</t>
  </si>
  <si>
    <t>Wt of F doping</t>
  </si>
  <si>
    <t>Sn</t>
  </si>
  <si>
    <t>Cl</t>
  </si>
  <si>
    <t>H</t>
  </si>
  <si>
    <t>O</t>
  </si>
  <si>
    <t>precursor components</t>
  </si>
  <si>
    <t>RFM</t>
  </si>
  <si>
    <t>Tin precursor</t>
  </si>
  <si>
    <t>.5H2O used in other paper</t>
  </si>
  <si>
    <t>F</t>
  </si>
  <si>
    <t>NH4F</t>
  </si>
  <si>
    <t>Fluorine precuror</t>
  </si>
  <si>
    <t>which is correct?</t>
  </si>
  <si>
    <t>processes</t>
  </si>
  <si>
    <t>power</t>
  </si>
  <si>
    <t>time</t>
  </si>
  <si>
    <t>energy</t>
  </si>
  <si>
    <t>dependent on thickness</t>
  </si>
  <si>
    <t xml:space="preserve">Material usage ratio </t>
  </si>
  <si>
    <t>spray pyrolysis</t>
  </si>
  <si>
    <t>SnCl2+ H2O -&gt; SnO + 2HCl</t>
  </si>
  <si>
    <t>heating</t>
  </si>
  <si>
    <t>SnO + 1/2 O2 -&gt; SnO2</t>
  </si>
  <si>
    <t>11g of precursor</t>
  </si>
  <si>
    <t>with other precursor</t>
  </si>
  <si>
    <t>Mass (kg)</t>
  </si>
  <si>
    <t>Emedded energy</t>
  </si>
  <si>
    <t>moles</t>
  </si>
  <si>
    <t>1kg of FTO</t>
  </si>
  <si>
    <t>grams of SnO2 from those moles</t>
  </si>
  <si>
    <t>g SnO2</t>
  </si>
  <si>
    <t>ratio to 1kg</t>
  </si>
  <si>
    <t>Total film mass</t>
  </si>
  <si>
    <t>times ingredients for 1kg of film</t>
  </si>
  <si>
    <t>Mass of fluorine dopant</t>
  </si>
  <si>
    <t>Moles of fluorine</t>
  </si>
  <si>
    <t>Mass of NH4F</t>
  </si>
  <si>
    <t>Vol of SnCl2 cm^3</t>
  </si>
  <si>
    <t>Glass slide dimensions 75*25mm</t>
  </si>
  <si>
    <t>M^2</t>
  </si>
  <si>
    <t>M^3 of film</t>
  </si>
  <si>
    <t>Kg of film</t>
  </si>
  <si>
    <t>FTO</t>
  </si>
  <si>
    <t>assuming 80% mass usage ratio (from other paper)</t>
  </si>
  <si>
    <t xml:space="preserve">ml of HCl </t>
  </si>
  <si>
    <t>heated to 90 degrees for 10 minutes</t>
  </si>
  <si>
    <t>ml of Methanol</t>
  </si>
  <si>
    <t>to make a 50ml solution</t>
  </si>
  <si>
    <t>Totals:</t>
  </si>
  <si>
    <t>Processing</t>
  </si>
  <si>
    <t>Material</t>
  </si>
  <si>
    <t>Material usage ratio</t>
  </si>
  <si>
    <t>Area covered</t>
  </si>
  <si>
    <t>Is energy requirement dependent on layer thickness?</t>
  </si>
  <si>
    <t>Energy (J)</t>
  </si>
  <si>
    <t>FTO precursor</t>
  </si>
  <si>
    <t>Dissolving SnCl2</t>
  </si>
  <si>
    <t>SnCl2, HCl</t>
  </si>
  <si>
    <t>MJ/kg</t>
  </si>
  <si>
    <t xml:space="preserve">J </t>
  </si>
  <si>
    <t>grams of FTO layer for 1 sample chemical amounts</t>
  </si>
  <si>
    <t>J/kg FTO made</t>
  </si>
  <si>
    <t>kWh of electricity</t>
  </si>
  <si>
    <t>Energy to manufacture 1kg of FTO layer</t>
  </si>
  <si>
    <t>Embedded energy in 1kg of solar panel material</t>
  </si>
  <si>
    <t>Embedded energy in 1m^2 of cleaning materials</t>
  </si>
  <si>
    <t>MJ/m^2</t>
  </si>
  <si>
    <t>Total energy for 1kg of solar panel material</t>
  </si>
  <si>
    <t>Cost (£/kg)</t>
  </si>
  <si>
    <t>SnCl2.2H2O</t>
  </si>
  <si>
    <t>Ref</t>
  </si>
  <si>
    <t>https://www.alfa.com/en/catalog/A14610/</t>
  </si>
  <si>
    <t>http://darrantchemicals.co.uk/deionised-water?gclid=CjwKEAiA_9nFBRCsurz7y_Px8xoSJAAUqvKCNpsym31bCB3wKonR42_3cfTbbcKHPhik37fa4_q64xoC2dPw_wcB</t>
  </si>
  <si>
    <t>https://www.alibaba.com/product-detail/Bulk-Ethanol_50018247018.html</t>
  </si>
  <si>
    <t>https://www.alibaba.com/showroom/ammonium-fluoride-bulk.html</t>
  </si>
  <si>
    <t>https://www.alibaba.com/product-detail/Hydrochloric-Acid-31-to-37-Industrial_60258155331.html</t>
  </si>
  <si>
    <t>http://www.chemiphase.co.uk/methanol-99-85-virgin-grade/</t>
  </si>
  <si>
    <t>http://www.thedistilledwatercompany.com/buy-distilled-water?gclid=CjwKEAjwwcjGBRDj-P7TwcinyBkSJADymblTWo_7_L3O-CtGzYCcLIoRnVphxuRFRP1ZhMHINTce6RoCbw7w_wcB</t>
  </si>
  <si>
    <t>Cost for solar panel 1kg solar panel material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</si>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</sst>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USD]\ * #,##0.00_-;\-[$USD]\ * #,##0.00_-;_-[$USD]\ * &quot;-&quot;??_-;_-@_-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0" borderId="0" xfId="1"/>
    <xf numFmtId="4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chemiphase.co.uk/methanol-99-85-virgin-gra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50" zoomScaleNormal="150" workbookViewId="0">
      <selection activeCell="B5" sqref="B5"/>
    </sheetView>
  </sheetViews>
  <sheetFormatPr defaultRowHeight="12.75" x14ac:dyDescent="0.2"/>
  <cols>
    <col min="2" max="2" width="12.42578125" bestFit="1" customWidth="1"/>
    <col min="6" max="6" width="17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6990</v>
      </c>
      <c r="C2" s="2" t="s">
        <v>4</v>
      </c>
    </row>
    <row r="3" spans="1:3" x14ac:dyDescent="0.2">
      <c r="A3" s="2" t="s">
        <v>5</v>
      </c>
      <c r="B3" s="2">
        <v>127.27842859722556</v>
      </c>
      <c r="C3" s="2" t="s">
        <v>6</v>
      </c>
    </row>
    <row r="4" spans="1:3" x14ac:dyDescent="0.2">
      <c r="A4" s="2" t="s">
        <v>7</v>
      </c>
      <c r="B4">
        <v>378764638.39393908</v>
      </c>
      <c r="C4" s="2" t="s">
        <v>8</v>
      </c>
    </row>
    <row r="5" spans="1:3" x14ac:dyDescent="0.2">
      <c r="A5" s="3"/>
      <c r="C5" s="3"/>
    </row>
    <row r="12" spans="1:3" x14ac:dyDescent="0.2">
      <c r="B1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1"/>
  <sheetViews>
    <sheetView workbookViewId="0">
      <selection activeCell="I11" sqref="I11"/>
    </sheetView>
  </sheetViews>
  <sheetFormatPr defaultRowHeight="12.75" x14ac:dyDescent="0.2"/>
  <cols>
    <col min="2" max="2" width="16.7109375" bestFit="1" customWidth="1"/>
    <col min="3" max="3" width="17.7109375" bestFit="1" customWidth="1"/>
    <col min="4" max="4" width="15.5703125" bestFit="1" customWidth="1"/>
    <col min="5" max="5" width="16.5703125" bestFit="1" customWidth="1"/>
    <col min="6" max="6" width="18.85546875" bestFit="1" customWidth="1"/>
    <col min="7" max="7" width="10.140625" bestFit="1" customWidth="1"/>
    <col min="8" max="8" width="28.7109375" customWidth="1"/>
    <col min="9" max="9" width="14.85546875" customWidth="1"/>
    <col min="10" max="10" width="12.28515625" customWidth="1"/>
  </cols>
  <sheetData>
    <row r="2" spans="2:10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109</v>
      </c>
      <c r="H2" t="s">
        <v>111</v>
      </c>
      <c r="I2" t="s">
        <v>119</v>
      </c>
    </row>
    <row r="3" spans="2:10" x14ac:dyDescent="0.2">
      <c r="B3" t="s">
        <v>110</v>
      </c>
      <c r="C3">
        <v>11</v>
      </c>
      <c r="D3">
        <v>1048.0648243500045</v>
      </c>
      <c r="E3">
        <v>1.0480648243500046</v>
      </c>
      <c r="G3">
        <f>182.7/2.5</f>
        <v>73.08</v>
      </c>
      <c r="H3" t="s">
        <v>112</v>
      </c>
      <c r="I3" s="16">
        <f>G3*E3/0.8</f>
        <v>95.740721704372916</v>
      </c>
      <c r="J3" s="16">
        <v>0</v>
      </c>
    </row>
    <row r="4" spans="2:10" x14ac:dyDescent="0.2">
      <c r="B4" t="s">
        <v>19</v>
      </c>
      <c r="F4">
        <v>2.58E-2</v>
      </c>
      <c r="G4">
        <f>60.98/200</f>
        <v>0.3049</v>
      </c>
      <c r="H4" t="s">
        <v>113</v>
      </c>
      <c r="I4" s="16">
        <f t="shared" ref="I3:J9" si="0">G4*E4/0.8</f>
        <v>0</v>
      </c>
      <c r="J4" s="16">
        <f>G4*F4</f>
        <v>7.8664200000000007E-3</v>
      </c>
    </row>
    <row r="5" spans="2:10" x14ac:dyDescent="0.2">
      <c r="B5" t="s">
        <v>20</v>
      </c>
      <c r="F5">
        <v>3.27E-2</v>
      </c>
      <c r="G5">
        <f>0.9*0.82/0.789</f>
        <v>0.93536121673003791</v>
      </c>
      <c r="H5" t="s">
        <v>114</v>
      </c>
      <c r="I5" s="16">
        <f t="shared" si="0"/>
        <v>0</v>
      </c>
      <c r="J5" s="16">
        <f>G5*F5</f>
        <v>3.0586311787072239E-2</v>
      </c>
    </row>
    <row r="6" spans="2:10" x14ac:dyDescent="0.2">
      <c r="B6" t="s">
        <v>21</v>
      </c>
      <c r="C6">
        <v>6.1382267472196617</v>
      </c>
      <c r="D6">
        <v>584.84177614957048</v>
      </c>
      <c r="E6">
        <v>0.58484177614957045</v>
      </c>
      <c r="G6">
        <f>1300*0.81/1000</f>
        <v>1.0529999999999999</v>
      </c>
      <c r="H6" t="s">
        <v>115</v>
      </c>
      <c r="I6" s="16">
        <f t="shared" si="0"/>
        <v>0.76979798785687203</v>
      </c>
      <c r="J6" s="16">
        <v>0</v>
      </c>
    </row>
    <row r="7" spans="2:10" x14ac:dyDescent="0.2">
      <c r="B7" t="s">
        <v>22</v>
      </c>
      <c r="C7">
        <v>5.8999999999999995</v>
      </c>
      <c r="D7">
        <v>562.14386033318419</v>
      </c>
      <c r="E7">
        <v>0.5621438603331842</v>
      </c>
      <c r="G7">
        <f>225*0.81/1000</f>
        <v>0.18225</v>
      </c>
      <c r="H7" t="s">
        <v>116</v>
      </c>
      <c r="I7" s="16">
        <f t="shared" si="0"/>
        <v>0.12806339818215351</v>
      </c>
      <c r="J7" s="16">
        <v>0</v>
      </c>
    </row>
    <row r="8" spans="2:10" ht="15" x14ac:dyDescent="0.25">
      <c r="B8" t="s">
        <v>23</v>
      </c>
      <c r="C8">
        <v>31.733273542600898</v>
      </c>
      <c r="D8">
        <v>3023.5025237706054</v>
      </c>
      <c r="E8">
        <v>3.0235025237706052</v>
      </c>
      <c r="G8">
        <f>215.99/(0.792*205)</f>
        <v>1.3303153486080315</v>
      </c>
      <c r="H8" s="15" t="s">
        <v>117</v>
      </c>
      <c r="I8" s="16">
        <f t="shared" si="0"/>
        <v>5.0277647674089438</v>
      </c>
      <c r="J8" s="16">
        <v>0</v>
      </c>
    </row>
    <row r="9" spans="2:10" x14ac:dyDescent="0.2">
      <c r="B9" t="s">
        <v>24</v>
      </c>
      <c r="C9">
        <v>20</v>
      </c>
      <c r="D9">
        <v>1905.5724079090992</v>
      </c>
      <c r="E9">
        <v>1.9055724079090992</v>
      </c>
      <c r="G9">
        <v>0.6</v>
      </c>
      <c r="H9" t="s">
        <v>118</v>
      </c>
      <c r="I9" s="16">
        <f t="shared" si="0"/>
        <v>1.4291793059318243</v>
      </c>
      <c r="J9" s="16">
        <v>0</v>
      </c>
    </row>
    <row r="10" spans="2:10" x14ac:dyDescent="0.2">
      <c r="H10" s="13" t="s">
        <v>120</v>
      </c>
      <c r="I10" s="16">
        <f>SUM(I3:I9)</f>
        <v>103.09552716375271</v>
      </c>
    </row>
    <row r="11" spans="2:10" x14ac:dyDescent="0.2">
      <c r="I11" s="17">
        <f>I10/0.81</f>
        <v>127.27842859722556</v>
      </c>
    </row>
  </sheetData>
  <hyperlinks>
    <hyperlink ref="H8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2"/>
  <sheetViews>
    <sheetView topLeftCell="A19" workbookViewId="0">
      <selection activeCell="B32" sqref="B32"/>
    </sheetView>
  </sheetViews>
  <sheetFormatPr defaultRowHeight="12.75" x14ac:dyDescent="0.2"/>
  <cols>
    <col min="2" max="2" width="18.85546875" customWidth="1"/>
    <col min="3" max="3" width="14.140625" customWidth="1"/>
    <col min="4" max="4" width="18.7109375" customWidth="1"/>
    <col min="5" max="5" width="16.7109375" bestFit="1" customWidth="1"/>
    <col min="6" max="6" width="24.5703125" customWidth="1"/>
    <col min="7" max="7" width="14.42578125" customWidth="1"/>
    <col min="8" max="8" width="16.7109375" customWidth="1"/>
    <col min="9" max="9" width="19.7109375" customWidth="1"/>
  </cols>
  <sheetData>
    <row r="2" spans="2:10" ht="51" x14ac:dyDescent="0.2">
      <c r="B2" s="4" t="s">
        <v>30</v>
      </c>
      <c r="C2" s="8" t="s">
        <v>13</v>
      </c>
      <c r="D2" s="8" t="s">
        <v>31</v>
      </c>
      <c r="E2" s="4" t="s">
        <v>32</v>
      </c>
      <c r="F2" s="8" t="s">
        <v>33</v>
      </c>
      <c r="G2" s="8" t="s">
        <v>34</v>
      </c>
      <c r="H2" s="8" t="s">
        <v>17</v>
      </c>
      <c r="I2" s="8" t="s">
        <v>28</v>
      </c>
      <c r="J2" s="8" t="s">
        <v>29</v>
      </c>
    </row>
    <row r="3" spans="2:10" x14ac:dyDescent="0.2">
      <c r="B3" t="s">
        <v>18</v>
      </c>
      <c r="C3">
        <v>11</v>
      </c>
      <c r="D3" s="6" t="s">
        <v>26</v>
      </c>
      <c r="E3">
        <v>1048.0648243500045</v>
      </c>
      <c r="F3">
        <v>1.0480648243500046</v>
      </c>
      <c r="G3" s="5" t="s">
        <v>25</v>
      </c>
      <c r="H3">
        <v>209.77539237195174</v>
      </c>
      <c r="I3">
        <f>F3*H3</f>
        <v>219.85820975926288</v>
      </c>
    </row>
    <row r="4" spans="2:10" x14ac:dyDescent="0.2">
      <c r="B4" t="s">
        <v>19</v>
      </c>
      <c r="C4" s="5" t="s">
        <v>25</v>
      </c>
      <c r="D4" s="7" t="s">
        <v>27</v>
      </c>
      <c r="E4" s="5" t="s">
        <v>25</v>
      </c>
      <c r="F4" s="5" t="s">
        <v>25</v>
      </c>
      <c r="G4">
        <v>2.58E-2</v>
      </c>
      <c r="H4">
        <v>2.41E-2</v>
      </c>
      <c r="J4">
        <f>H4*G4</f>
        <v>6.2177999999999995E-4</v>
      </c>
    </row>
    <row r="5" spans="2:10" x14ac:dyDescent="0.2">
      <c r="B5" t="s">
        <v>20</v>
      </c>
      <c r="C5" s="5" t="s">
        <v>25</v>
      </c>
      <c r="D5" s="7" t="s">
        <v>27</v>
      </c>
      <c r="E5" s="5" t="s">
        <v>25</v>
      </c>
      <c r="F5" s="5" t="s">
        <v>25</v>
      </c>
      <c r="G5">
        <v>3.27E-2</v>
      </c>
      <c r="H5">
        <v>4.1900000000000004</v>
      </c>
      <c r="J5">
        <f>G5*H5</f>
        <v>0.13701300000000002</v>
      </c>
    </row>
    <row r="6" spans="2:10" x14ac:dyDescent="0.2">
      <c r="B6" t="s">
        <v>21</v>
      </c>
      <c r="C6">
        <v>6.1382267472196617</v>
      </c>
      <c r="D6" s="6" t="s">
        <v>26</v>
      </c>
      <c r="E6">
        <v>584.84177614957048</v>
      </c>
      <c r="F6">
        <v>0.58484177614957045</v>
      </c>
      <c r="G6" s="5" t="s">
        <v>25</v>
      </c>
      <c r="H6">
        <v>1.6</v>
      </c>
      <c r="I6">
        <f t="shared" ref="I4:I9" si="0">F6*H6</f>
        <v>0.93574684183931278</v>
      </c>
    </row>
    <row r="7" spans="2:10" x14ac:dyDescent="0.2">
      <c r="B7" t="s">
        <v>22</v>
      </c>
      <c r="C7">
        <v>5.8999999999999995</v>
      </c>
      <c r="D7" s="6" t="s">
        <v>26</v>
      </c>
      <c r="E7">
        <v>562.14386033318419</v>
      </c>
      <c r="F7">
        <v>0.5621438603331842</v>
      </c>
      <c r="G7" s="5" t="s">
        <v>25</v>
      </c>
      <c r="H7">
        <v>2.61</v>
      </c>
      <c r="I7">
        <f t="shared" si="0"/>
        <v>1.4671954754696106</v>
      </c>
    </row>
    <row r="8" spans="2:10" x14ac:dyDescent="0.2">
      <c r="B8" t="s">
        <v>23</v>
      </c>
      <c r="C8">
        <v>31.733273542600898</v>
      </c>
      <c r="D8" s="6" t="s">
        <v>26</v>
      </c>
      <c r="E8">
        <v>3023.5025237706054</v>
      </c>
      <c r="F8">
        <v>3.0235025237706052</v>
      </c>
      <c r="G8" s="5" t="s">
        <v>25</v>
      </c>
      <c r="H8">
        <v>3.36</v>
      </c>
      <c r="I8">
        <f t="shared" si="0"/>
        <v>10.158968479869234</v>
      </c>
    </row>
    <row r="9" spans="2:10" x14ac:dyDescent="0.2">
      <c r="B9" t="s">
        <v>24</v>
      </c>
      <c r="C9">
        <v>20</v>
      </c>
      <c r="D9" s="6" t="s">
        <v>26</v>
      </c>
      <c r="E9">
        <v>1905.5724079090992</v>
      </c>
      <c r="F9">
        <v>1.9055724079090992</v>
      </c>
      <c r="G9" s="5" t="s">
        <v>25</v>
      </c>
      <c r="H9">
        <v>4.82E-2</v>
      </c>
      <c r="I9">
        <f t="shared" si="0"/>
        <v>9.184859006121858E-2</v>
      </c>
    </row>
    <row r="10" spans="2:10" x14ac:dyDescent="0.2">
      <c r="H10" s="13" t="s">
        <v>89</v>
      </c>
      <c r="I10">
        <f>SUM(I3:I9)</f>
        <v>232.51196914650228</v>
      </c>
      <c r="J10">
        <f>SUM(J4:J5)</f>
        <v>0.13763478000000001</v>
      </c>
    </row>
    <row r="12" spans="2:10" ht="38.25" x14ac:dyDescent="0.2">
      <c r="B12" s="4" t="s">
        <v>90</v>
      </c>
      <c r="C12" s="4" t="s">
        <v>91</v>
      </c>
      <c r="D12" s="8" t="s">
        <v>92</v>
      </c>
      <c r="E12" s="4" t="s">
        <v>93</v>
      </c>
      <c r="F12" s="8" t="s">
        <v>94</v>
      </c>
      <c r="G12" s="4" t="s">
        <v>95</v>
      </c>
    </row>
    <row r="13" spans="2:10" x14ac:dyDescent="0.2">
      <c r="B13" t="s">
        <v>60</v>
      </c>
      <c r="C13" t="s">
        <v>96</v>
      </c>
      <c r="D13">
        <v>0.8</v>
      </c>
      <c r="E13">
        <v>1</v>
      </c>
      <c r="F13" s="6" t="s">
        <v>26</v>
      </c>
      <c r="G13">
        <v>312000</v>
      </c>
    </row>
    <row r="14" spans="2:10" x14ac:dyDescent="0.2">
      <c r="B14" t="s">
        <v>97</v>
      </c>
      <c r="C14" t="s">
        <v>98</v>
      </c>
      <c r="D14">
        <v>1</v>
      </c>
      <c r="E14" s="5" t="s">
        <v>25</v>
      </c>
      <c r="F14" s="6" t="s">
        <v>26</v>
      </c>
      <c r="G14">
        <v>1</v>
      </c>
    </row>
    <row r="17" spans="2:6" ht="38.25" x14ac:dyDescent="0.2">
      <c r="B17" s="8" t="s">
        <v>105</v>
      </c>
      <c r="E17">
        <v>12.489880299432237</v>
      </c>
      <c r="F17" s="14" t="s">
        <v>101</v>
      </c>
    </row>
    <row r="18" spans="2:6" x14ac:dyDescent="0.2">
      <c r="B18">
        <f>I10/0.8</f>
        <v>290.63996143312784</v>
      </c>
      <c r="C18" t="s">
        <v>99</v>
      </c>
    </row>
    <row r="20" spans="2:6" ht="38.25" x14ac:dyDescent="0.2">
      <c r="B20" s="8" t="s">
        <v>106</v>
      </c>
    </row>
    <row r="21" spans="2:6" x14ac:dyDescent="0.2">
      <c r="B21">
        <f>J10</f>
        <v>0.13763478000000001</v>
      </c>
      <c r="C21" t="s">
        <v>107</v>
      </c>
    </row>
    <row r="24" spans="2:6" ht="38.25" x14ac:dyDescent="0.2">
      <c r="B24" s="8" t="s">
        <v>104</v>
      </c>
    </row>
    <row r="25" spans="2:6" x14ac:dyDescent="0.2">
      <c r="B25">
        <f>G13</f>
        <v>312000</v>
      </c>
      <c r="C25" t="s">
        <v>100</v>
      </c>
    </row>
    <row r="26" spans="2:6" x14ac:dyDescent="0.2">
      <c r="B26">
        <f>B25/(E17/1000)</f>
        <v>24980223.390466191</v>
      </c>
      <c r="C26" t="s">
        <v>102</v>
      </c>
    </row>
    <row r="27" spans="2:6" x14ac:dyDescent="0.2">
      <c r="B27">
        <f>B26/3600000</f>
        <v>6.9389509417961639</v>
      </c>
      <c r="C27" t="s">
        <v>103</v>
      </c>
    </row>
    <row r="28" spans="2:6" x14ac:dyDescent="0.2">
      <c r="B28">
        <f>B27*12.7</f>
        <v>88.124676960811271</v>
      </c>
      <c r="C28" t="s">
        <v>11</v>
      </c>
    </row>
    <row r="30" spans="2:6" ht="38.25" x14ac:dyDescent="0.2">
      <c r="B30" s="8" t="s">
        <v>108</v>
      </c>
    </row>
    <row r="31" spans="2:6" x14ac:dyDescent="0.2">
      <c r="B31">
        <f>B28+B18</f>
        <v>378.76463839393909</v>
      </c>
      <c r="C31" t="s">
        <v>99</v>
      </c>
    </row>
    <row r="32" spans="2:6" x14ac:dyDescent="0.2">
      <c r="B32">
        <f>B31*10^6</f>
        <v>378764638.39393908</v>
      </c>
      <c r="C32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41"/>
  <sheetViews>
    <sheetView topLeftCell="G1" zoomScaleNormal="100" workbookViewId="0">
      <selection activeCell="O6" sqref="O6:R12"/>
    </sheetView>
  </sheetViews>
  <sheetFormatPr defaultRowHeight="12.75" x14ac:dyDescent="0.2"/>
  <cols>
    <col min="2" max="2" width="21.42578125" customWidth="1"/>
    <col min="3" max="3" width="20.42578125" bestFit="1" customWidth="1"/>
    <col min="11" max="11" width="12" bestFit="1" customWidth="1"/>
    <col min="12" max="12" width="12.140625" customWidth="1"/>
    <col min="14" max="14" width="16.7109375" bestFit="1" customWidth="1"/>
    <col min="15" max="15" width="17.7109375" bestFit="1" customWidth="1"/>
    <col min="16" max="16" width="15.5703125" bestFit="1" customWidth="1"/>
    <col min="17" max="17" width="16.5703125" bestFit="1" customWidth="1"/>
    <col min="18" max="18" width="21" bestFit="1" customWidth="1"/>
    <col min="19" max="19" width="23.140625" bestFit="1" customWidth="1"/>
  </cols>
  <sheetData>
    <row r="3" spans="2:19" ht="39" customHeight="1" x14ac:dyDescent="0.2">
      <c r="B3" s="12" t="s">
        <v>35</v>
      </c>
      <c r="C3" s="12"/>
      <c r="D3" s="12"/>
    </row>
    <row r="4" spans="2:19" x14ac:dyDescent="0.2">
      <c r="B4" t="s">
        <v>36</v>
      </c>
    </row>
    <row r="5" spans="2:19" ht="15" x14ac:dyDescent="0.25">
      <c r="B5">
        <v>1.21</v>
      </c>
      <c r="C5" s="9" t="s">
        <v>37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2:19" x14ac:dyDescent="0.2">
      <c r="B6">
        <v>11</v>
      </c>
      <c r="C6" t="s">
        <v>10</v>
      </c>
      <c r="D6" t="s">
        <v>38</v>
      </c>
      <c r="N6" t="s">
        <v>110</v>
      </c>
      <c r="O6">
        <v>11</v>
      </c>
      <c r="P6">
        <f>K24*O6</f>
        <v>1048.0648243500045</v>
      </c>
      <c r="Q6">
        <f>P6/1000</f>
        <v>1.0480648243500046</v>
      </c>
      <c r="S6">
        <v>209.77539237195174</v>
      </c>
    </row>
    <row r="7" spans="2:19" x14ac:dyDescent="0.2">
      <c r="B7">
        <v>6.99</v>
      </c>
      <c r="C7" t="s">
        <v>39</v>
      </c>
      <c r="D7" t="s">
        <v>40</v>
      </c>
      <c r="N7" t="s">
        <v>19</v>
      </c>
      <c r="R7">
        <f>2.58*10^-2</f>
        <v>2.58E-2</v>
      </c>
      <c r="S7">
        <v>2.41E-2</v>
      </c>
    </row>
    <row r="8" spans="2:19" x14ac:dyDescent="0.2">
      <c r="B8" s="10">
        <v>0.3</v>
      </c>
      <c r="C8" t="s">
        <v>41</v>
      </c>
      <c r="J8" t="s">
        <v>42</v>
      </c>
      <c r="K8">
        <v>118.71</v>
      </c>
      <c r="N8" t="s">
        <v>20</v>
      </c>
      <c r="R8">
        <f>3.27*10^-2</f>
        <v>3.27E-2</v>
      </c>
      <c r="S8">
        <v>4.1900000000000004</v>
      </c>
    </row>
    <row r="9" spans="2:19" x14ac:dyDescent="0.2">
      <c r="J9" t="s">
        <v>43</v>
      </c>
      <c r="K9">
        <v>35.453000000000003</v>
      </c>
      <c r="N9" t="s">
        <v>21</v>
      </c>
      <c r="O9">
        <f>B27</f>
        <v>6.1382267472196617</v>
      </c>
      <c r="P9">
        <f>$K$24*O9</f>
        <v>584.84177614957048</v>
      </c>
      <c r="Q9">
        <f t="shared" ref="Q9:Q12" si="0">P9/1000</f>
        <v>0.58484177614957045</v>
      </c>
      <c r="S9">
        <v>1.6</v>
      </c>
    </row>
    <row r="10" spans="2:19" x14ac:dyDescent="0.2">
      <c r="J10" t="s">
        <v>44</v>
      </c>
      <c r="K10">
        <v>1.0079400000000001</v>
      </c>
      <c r="N10" t="s">
        <v>22</v>
      </c>
      <c r="O10">
        <f>B40*1.18</f>
        <v>5.8999999999999995</v>
      </c>
      <c r="P10">
        <f t="shared" ref="P10:P12" si="1">$K$24*O10</f>
        <v>562.14386033318419</v>
      </c>
      <c r="Q10">
        <f t="shared" si="0"/>
        <v>0.5621438603331842</v>
      </c>
      <c r="S10">
        <v>2.61</v>
      </c>
    </row>
    <row r="11" spans="2:19" x14ac:dyDescent="0.2">
      <c r="J11" t="s">
        <v>45</v>
      </c>
      <c r="K11">
        <v>15.9994</v>
      </c>
      <c r="N11" t="s">
        <v>23</v>
      </c>
      <c r="O11">
        <f>B41*0.792</f>
        <v>31.733273542600898</v>
      </c>
      <c r="P11">
        <f t="shared" si="1"/>
        <v>3023.5025237706054</v>
      </c>
      <c r="Q11">
        <f t="shared" si="0"/>
        <v>3.0235025237706052</v>
      </c>
      <c r="S11">
        <v>3.36</v>
      </c>
    </row>
    <row r="12" spans="2:19" x14ac:dyDescent="0.2">
      <c r="B12" t="s">
        <v>46</v>
      </c>
      <c r="E12" t="s">
        <v>47</v>
      </c>
      <c r="J12" t="s">
        <v>27</v>
      </c>
      <c r="K12">
        <v>14.0067</v>
      </c>
      <c r="N12" t="s">
        <v>24</v>
      </c>
      <c r="O12">
        <v>20</v>
      </c>
      <c r="P12">
        <f t="shared" si="1"/>
        <v>1905.5724079090992</v>
      </c>
      <c r="Q12">
        <f t="shared" si="0"/>
        <v>1.9055724079090992</v>
      </c>
      <c r="S12">
        <f>S7*2</f>
        <v>4.82E-2</v>
      </c>
    </row>
    <row r="13" spans="2:19" x14ac:dyDescent="0.2">
      <c r="B13" t="s">
        <v>18</v>
      </c>
      <c r="C13" t="s">
        <v>48</v>
      </c>
      <c r="E13">
        <f>K8+2*K9+2*(K10*2+K11)</f>
        <v>225.64655999999999</v>
      </c>
      <c r="F13">
        <f>K8+2*K9+5*(K10*2+K11)</f>
        <v>279.69240000000002</v>
      </c>
      <c r="G13" t="s">
        <v>49</v>
      </c>
      <c r="J13" t="s">
        <v>50</v>
      </c>
      <c r="K13">
        <v>18.9984</v>
      </c>
    </row>
    <row r="14" spans="2:19" x14ac:dyDescent="0.2">
      <c r="B14" t="s">
        <v>51</v>
      </c>
      <c r="C14" t="s">
        <v>52</v>
      </c>
      <c r="E14">
        <f>K12+K10*4+K13</f>
        <v>37.036860000000004</v>
      </c>
      <c r="G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</row>
    <row r="15" spans="2:19" x14ac:dyDescent="0.2">
      <c r="N15" t="s">
        <v>60</v>
      </c>
      <c r="O15">
        <v>130</v>
      </c>
      <c r="P15">
        <f>40*60</f>
        <v>2400</v>
      </c>
      <c r="Q15">
        <f>O15*P15</f>
        <v>312000</v>
      </c>
      <c r="R15" t="s">
        <v>26</v>
      </c>
      <c r="S15">
        <v>0.8</v>
      </c>
    </row>
    <row r="16" spans="2:19" x14ac:dyDescent="0.2">
      <c r="B16" t="s">
        <v>61</v>
      </c>
      <c r="N16" t="s">
        <v>62</v>
      </c>
    </row>
    <row r="17" spans="2:18" x14ac:dyDescent="0.2">
      <c r="B17" t="s">
        <v>63</v>
      </c>
    </row>
    <row r="19" spans="2:18" x14ac:dyDescent="0.2">
      <c r="B19" t="s">
        <v>64</v>
      </c>
      <c r="E19" t="s">
        <v>65</v>
      </c>
      <c r="P19" t="s">
        <v>66</v>
      </c>
      <c r="Q19" t="s">
        <v>67</v>
      </c>
    </row>
    <row r="20" spans="2:18" x14ac:dyDescent="0.2">
      <c r="B20">
        <f>11/E13</f>
        <v>4.8748804324781202E-2</v>
      </c>
      <c r="C20" t="s">
        <v>68</v>
      </c>
      <c r="E20">
        <f>11/F13</f>
        <v>3.9328919913447773E-2</v>
      </c>
      <c r="F20" t="s">
        <v>68</v>
      </c>
      <c r="N20" t="s">
        <v>69</v>
      </c>
      <c r="O20">
        <v>5.2738165555649319</v>
      </c>
    </row>
    <row r="21" spans="2:18" x14ac:dyDescent="0.2">
      <c r="N21" t="s">
        <v>42</v>
      </c>
      <c r="O21">
        <v>626.05476331111299</v>
      </c>
      <c r="P21">
        <f>O21/1000</f>
        <v>0.62605476331111298</v>
      </c>
      <c r="Q21">
        <v>334</v>
      </c>
      <c r="R21">
        <f>Q21*P21</f>
        <v>209.10229094591173</v>
      </c>
    </row>
    <row r="22" spans="2:18" x14ac:dyDescent="0.2">
      <c r="B22" t="s">
        <v>70</v>
      </c>
      <c r="N22" t="s">
        <v>43</v>
      </c>
      <c r="O22">
        <v>373.94523668888706</v>
      </c>
      <c r="P22">
        <f>O22/1000</f>
        <v>0.37394523668888707</v>
      </c>
      <c r="Q22">
        <v>1.8</v>
      </c>
      <c r="R22">
        <f>Q22*P22</f>
        <v>0.67310142603999679</v>
      </c>
    </row>
    <row r="23" spans="2:18" x14ac:dyDescent="0.2">
      <c r="B23">
        <f>B20*(K8+2*K11)</f>
        <v>7.3468738012225847</v>
      </c>
      <c r="C23" t="s">
        <v>71</v>
      </c>
      <c r="E23">
        <f>E20*(K8+2*K11)</f>
        <v>5.9272143254518177</v>
      </c>
      <c r="F23" t="s">
        <v>71</v>
      </c>
      <c r="K23" t="s">
        <v>72</v>
      </c>
      <c r="R23">
        <f>R22+R21</f>
        <v>209.77539237195174</v>
      </c>
    </row>
    <row r="24" spans="2:18" ht="38.25" x14ac:dyDescent="0.2">
      <c r="B24">
        <f>B23/0.7</f>
        <v>10.495534001746551</v>
      </c>
      <c r="C24" t="s">
        <v>73</v>
      </c>
      <c r="E24">
        <f>E23/0.7</f>
        <v>8.4674490363597403</v>
      </c>
      <c r="F24" t="s">
        <v>73</v>
      </c>
      <c r="K24">
        <f>1000/B24</f>
        <v>95.278620395454965</v>
      </c>
      <c r="L24" s="11" t="s">
        <v>74</v>
      </c>
    </row>
    <row r="25" spans="2:18" x14ac:dyDescent="0.2">
      <c r="B25">
        <f>B24*0.3</f>
        <v>3.148660200523965</v>
      </c>
      <c r="C25" t="s">
        <v>75</v>
      </c>
      <c r="E25">
        <f>0.3*E24</f>
        <v>2.5402347109079222</v>
      </c>
      <c r="F25" t="s">
        <v>75</v>
      </c>
    </row>
    <row r="26" spans="2:18" x14ac:dyDescent="0.2">
      <c r="B26">
        <f>B25/K13</f>
        <v>0.1657329143782616</v>
      </c>
      <c r="C26" t="s">
        <v>76</v>
      </c>
      <c r="E26">
        <f>E25/K13</f>
        <v>0.13370782333817174</v>
      </c>
      <c r="F26" t="s">
        <v>76</v>
      </c>
    </row>
    <row r="27" spans="2:18" x14ac:dyDescent="0.2">
      <c r="B27">
        <f>B26*(K13+K12+4*K10)</f>
        <v>6.1382267472196617</v>
      </c>
      <c r="C27" t="s">
        <v>77</v>
      </c>
      <c r="E27">
        <f>E26*(K13+K12+4*K10)</f>
        <v>4.952117933880599</v>
      </c>
      <c r="F27" t="s">
        <v>77</v>
      </c>
    </row>
    <row r="29" spans="2:18" x14ac:dyDescent="0.2">
      <c r="B29">
        <f>O6/2.23</f>
        <v>4.9327354260089686</v>
      </c>
      <c r="C29" t="s">
        <v>78</v>
      </c>
    </row>
    <row r="32" spans="2:18" x14ac:dyDescent="0.2">
      <c r="B32" t="s">
        <v>79</v>
      </c>
    </row>
    <row r="33" spans="2:7" x14ac:dyDescent="0.2">
      <c r="B33">
        <f>0.075*0.025</f>
        <v>1.8749999999999999E-3</v>
      </c>
      <c r="C33" t="s">
        <v>80</v>
      </c>
      <c r="F33">
        <f>7.5*2.5</f>
        <v>18.75</v>
      </c>
    </row>
    <row r="34" spans="2:7" x14ac:dyDescent="0.2">
      <c r="B34">
        <f>B33*1.21*10^-6</f>
        <v>2.2687499999999996E-9</v>
      </c>
      <c r="C34" t="s">
        <v>81</v>
      </c>
      <c r="F34">
        <f>F33*1.21*10^-4</f>
        <v>2.2687499999999999E-3</v>
      </c>
    </row>
    <row r="35" spans="2:7" x14ac:dyDescent="0.2">
      <c r="B35">
        <f>B34*6990</f>
        <v>1.5858562499999998E-5</v>
      </c>
      <c r="C35" t="s">
        <v>82</v>
      </c>
      <c r="F35">
        <f>F34*6.99</f>
        <v>1.5858562499999999E-2</v>
      </c>
      <c r="G35" t="s">
        <v>83</v>
      </c>
    </row>
    <row r="36" spans="2:7" x14ac:dyDescent="0.2">
      <c r="B36">
        <f>B35*10^3</f>
        <v>1.5858562499999999E-2</v>
      </c>
    </row>
    <row r="38" spans="2:7" x14ac:dyDescent="0.2">
      <c r="B38" t="s">
        <v>84</v>
      </c>
    </row>
    <row r="40" spans="2:7" x14ac:dyDescent="0.2">
      <c r="B40">
        <v>5</v>
      </c>
      <c r="C40" t="s">
        <v>85</v>
      </c>
      <c r="D40" t="s">
        <v>86</v>
      </c>
    </row>
    <row r="41" spans="2:7" x14ac:dyDescent="0.2">
      <c r="B41">
        <f>50-B40-B29</f>
        <v>40.067264573991032</v>
      </c>
      <c r="C41" t="s">
        <v>87</v>
      </c>
      <c r="D41" t="s">
        <v>88</v>
      </c>
    </row>
  </sheetData>
  <mergeCells count="1">
    <mergeCell ref="B3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Costs</vt:lpstr>
      <vt:lpstr>Energy</vt:lpstr>
      <vt:lpstr>Rough Calculations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 Bennett</cp:lastModifiedBy>
  <cp:revision>6</cp:revision>
  <dcterms:created xsi:type="dcterms:W3CDTF">2016-09-13T16:32:15Z</dcterms:created>
  <dcterms:modified xsi:type="dcterms:W3CDTF">2017-03-22T16:38:34Z</dcterms:modified>
  <dc:language>en-US</dc:language>
</cp:coreProperties>
</file>