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enn\Desktop\mycell\materials\ito\"/>
    </mc:Choice>
  </mc:AlternateContent>
  <bookViews>
    <workbookView xWindow="0" yWindow="0" windowWidth="16380" windowHeight="8190" tabRatio="991"/>
  </bookViews>
  <sheets>
    <sheet name="results" sheetId="1" r:id="rId1"/>
    <sheet name="ITO Energy Calculations" sheetId="2" r:id="rId2"/>
    <sheet name="Cost Calculations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6" i="3" l="1"/>
  <c r="C13" i="3"/>
  <c r="C15" i="3"/>
  <c r="C12" i="3"/>
  <c r="F8" i="3"/>
  <c r="I8" i="3" s="1"/>
  <c r="F7" i="3"/>
  <c r="I7" i="3" s="1"/>
  <c r="F5" i="3" l="1"/>
  <c r="H5" i="3" s="1"/>
  <c r="F6" i="3"/>
  <c r="H6" i="3" s="1"/>
  <c r="B24" i="2"/>
  <c r="E13" i="2"/>
  <c r="H13" i="2" s="1"/>
  <c r="E12" i="1" l="1"/>
  <c r="E24" i="2"/>
  <c r="B28" i="2"/>
  <c r="B29" i="2"/>
  <c r="E26" i="2"/>
  <c r="E25" i="2"/>
  <c r="I11" i="2"/>
  <c r="I7" i="2"/>
  <c r="I8" i="2"/>
  <c r="I9" i="2"/>
  <c r="I10" i="2"/>
  <c r="I6" i="2"/>
  <c r="J4" i="2"/>
  <c r="B13" i="1" l="1"/>
  <c r="B12" i="1"/>
  <c r="B30" i="2"/>
  <c r="G15" i="2"/>
  <c r="H15" i="2" s="1"/>
  <c r="H14" i="2"/>
  <c r="B25" i="2" l="1"/>
  <c r="B34" i="2" s="1"/>
  <c r="C8" i="1"/>
</calcChain>
</file>

<file path=xl/comments1.xml><?xml version="1.0" encoding="utf-8"?>
<comments xmlns="http://schemas.openxmlformats.org/spreadsheetml/2006/main">
  <authors>
    <author>Philip Bennett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Only from Embedded energy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Embedded energy of cleaning fluids and ultrasonic cleaning</t>
        </r>
      </text>
    </comment>
  </commentList>
</comments>
</file>

<file path=xl/comments2.xml><?xml version="1.0" encoding="utf-8"?>
<comments xmlns="http://schemas.openxmlformats.org/spreadsheetml/2006/main">
  <authors>
    <author>Philip Bennett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due to cathode deposition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Philip Bennett: 
</t>
        </r>
        <r>
          <rPr>
            <sz val="9"/>
            <color indexed="81"/>
            <rFont val="Tahoma"/>
            <family val="2"/>
          </rPr>
          <t>is material used for active area?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due to cathode deposition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 xml:space="preserve">Philip Bennett: 
</t>
        </r>
        <r>
          <rPr>
            <sz val="9"/>
            <color indexed="81"/>
            <rFont val="Tahoma"/>
            <family val="2"/>
          </rPr>
          <t>is material used for active area?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 xml:space="preserve">Philip Bennett:
</t>
        </r>
        <r>
          <rPr>
            <sz val="9"/>
            <color indexed="81"/>
            <rFont val="Tahoma"/>
            <family val="2"/>
          </rPr>
          <t xml:space="preserve">Embedded energy in ITO 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Embedded energy in cleaning solvents used to clean 1m^2 of substrate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Energy to ultrasonically clean 1m^2 of material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12.7 MJ of energy used to generate 1kWh, from paper (additional information)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Only from Embedded energy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Embedded energy of cleaning fluids and ultrasonic cleaning</t>
        </r>
      </text>
    </comment>
  </commentList>
</comments>
</file>

<file path=xl/comments3.xml><?xml version="1.0" encoding="utf-8"?>
<comments xmlns="http://schemas.openxmlformats.org/spreadsheetml/2006/main">
  <authors>
    <author>Philip Bennett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for materials used in solar panel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For chemicals which are used to clean substrate etc. not incorporated into a layer</t>
        </r>
      </text>
    </comment>
  </commentList>
</comments>
</file>

<file path=xl/sharedStrings.xml><?xml version="1.0" encoding="utf-8"?>
<sst xmlns="http://schemas.openxmlformats.org/spreadsheetml/2006/main" count="131" uniqueCount="84">
  <si>
    <t>Property</t>
  </si>
  <si>
    <t>Value</t>
  </si>
  <si>
    <t>Units</t>
  </si>
  <si>
    <t>density</t>
  </si>
  <si>
    <t>m-3</t>
  </si>
  <si>
    <t>cost</t>
  </si>
  <si>
    <t>$/Kg</t>
  </si>
  <si>
    <t>Energy</t>
  </si>
  <si>
    <t>J/Kg</t>
  </si>
  <si>
    <t>Ultrasonic cleaning</t>
  </si>
  <si>
    <t>ITO</t>
  </si>
  <si>
    <t>-</t>
  </si>
  <si>
    <t>N</t>
  </si>
  <si>
    <t>Processing</t>
  </si>
  <si>
    <t>Material</t>
  </si>
  <si>
    <t>Material usage ratio</t>
  </si>
  <si>
    <t>Area covered</t>
  </si>
  <si>
    <t>Is energy requirement dependent on layer thickness?</t>
  </si>
  <si>
    <t>Energy (J)</t>
  </si>
  <si>
    <t>ITO Glass</t>
  </si>
  <si>
    <t>Substrate, conductivity, transmissivity</t>
  </si>
  <si>
    <t>Y</t>
  </si>
  <si>
    <t>?</t>
  </si>
  <si>
    <t>Ethanol</t>
  </si>
  <si>
    <t>Substrate cleaning solvent</t>
  </si>
  <si>
    <t>N/a</t>
  </si>
  <si>
    <t>Deionized water</t>
  </si>
  <si>
    <t xml:space="preserve">Material </t>
  </si>
  <si>
    <t>Usage of material</t>
  </si>
  <si>
    <t>Is material usage dependent on layer thickness?</t>
  </si>
  <si>
    <t>Layer thickness</t>
  </si>
  <si>
    <t>Embedded energy MJ/kg</t>
  </si>
  <si>
    <t>Embedded energy in 1m^2 of panel</t>
  </si>
  <si>
    <t>Embedded material energy to produce 1kg of solar panel material</t>
  </si>
  <si>
    <t>MJ/kg</t>
  </si>
  <si>
    <t>MJ/m^2</t>
  </si>
  <si>
    <t>Energy to manufacture 1kg of ITO layer</t>
  </si>
  <si>
    <t xml:space="preserve">J/m^2 </t>
  </si>
  <si>
    <t>MJ/m^2 energy Eq</t>
  </si>
  <si>
    <t>kWh/m^2</t>
  </si>
  <si>
    <t>Total energy for 1kg of solar panel material</t>
  </si>
  <si>
    <t>J/m^2</t>
  </si>
  <si>
    <t>J/kg</t>
  </si>
  <si>
    <t>Printing curable ink</t>
  </si>
  <si>
    <t xml:space="preserve">Curing ink </t>
  </si>
  <si>
    <t>Etching</t>
  </si>
  <si>
    <t>Drying</t>
  </si>
  <si>
    <t>Fan power</t>
  </si>
  <si>
    <t>For making patterned ITO</t>
  </si>
  <si>
    <t>UV curable ink</t>
  </si>
  <si>
    <t>Belt Speed (m/h)</t>
  </si>
  <si>
    <t>time for 1m</t>
  </si>
  <si>
    <t>energy for 1m^2</t>
  </si>
  <si>
    <t>Total:</t>
  </si>
  <si>
    <t>CuCl2</t>
  </si>
  <si>
    <t>Water</t>
  </si>
  <si>
    <t>NaOH</t>
  </si>
  <si>
    <t>Demineralised water</t>
  </si>
  <si>
    <t>Stop etching in certain places</t>
  </si>
  <si>
    <t>etching liquid</t>
  </si>
  <si>
    <t>cleaning</t>
  </si>
  <si>
    <t xml:space="preserve">N/a </t>
  </si>
  <si>
    <t>energy to pattern 1m^2 of ITO</t>
  </si>
  <si>
    <t xml:space="preserve">MJ/m^2 energy Eq </t>
  </si>
  <si>
    <t>J/m^2 energy Eq</t>
  </si>
  <si>
    <t>Patterning energy</t>
  </si>
  <si>
    <t>Sheet production energy</t>
  </si>
  <si>
    <t>Mass to produce 1m^2 of panel (kg)</t>
  </si>
  <si>
    <t>Power (W)</t>
  </si>
  <si>
    <t>Cost per kg (£/kg)</t>
  </si>
  <si>
    <t>Ref</t>
  </si>
  <si>
    <t>Indium</t>
  </si>
  <si>
    <t>Tin</t>
  </si>
  <si>
    <t>http://www.lme.com/metals/non-ferrous/tin/</t>
  </si>
  <si>
    <t>https://www.metalbulletin.com/Article/3476370/Indium-prices-slide-to-six-year-lows-as-buyers-squeeze-producers.html</t>
  </si>
  <si>
    <t>https://www.alibaba.com/product-detail/Bulk-Ethanol_50018247018.html</t>
  </si>
  <si>
    <t>http://darrantchemicals.co.uk/deionised-water?gclid=CjwKEAiA_9nFBRCsurz7y_Px8xoSJAAUqvKCNpsym31bCB3wKonR42_3cfTbbcKHPhik37fa4_q64xoC2dPw_wcB</t>
  </si>
  <si>
    <t>Cost for 1kg of solar panel material</t>
  </si>
  <si>
    <t>Cost for 1m^2 of solar panel material</t>
  </si>
  <si>
    <t>Mass used for 1kg solar panel material (kg)</t>
  </si>
  <si>
    <t>Mass used for 1m^2 of solar panel (kg)</t>
  </si>
  <si>
    <t>Total cost for 1kg of solar panel material</t>
  </si>
  <si>
    <t>Total cost for 1m^2 of solar panel materials</t>
  </si>
  <si>
    <t>$/m^2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</si>
</sst>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8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1"/>
    <xf numFmtId="4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www.metalbulletin.com/Article/3476370/Indium-prices-slide-to-six-year-lows-as-buyers-squeeze-produc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="150" zoomScaleNormal="150" workbookViewId="0">
      <selection activeCell="D4" sqref="D4"/>
    </sheetView>
  </sheetViews>
  <sheetFormatPr defaultRowHeight="12.75" x14ac:dyDescent="0.2"/>
  <cols>
    <col min="2" max="2" width="12.42578125" bestFit="1" customWidth="1"/>
    <col min="6" max="6" width="17.1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s="2" t="s">
        <v>3</v>
      </c>
      <c r="B2" s="2">
        <v>7140</v>
      </c>
      <c r="C2" s="2" t="s">
        <v>4</v>
      </c>
    </row>
    <row r="3" spans="1:6" x14ac:dyDescent="0.2">
      <c r="A3" s="2" t="s">
        <v>5</v>
      </c>
      <c r="B3" s="2">
        <v>678.65811818086468</v>
      </c>
      <c r="C3" s="2" t="s">
        <v>6</v>
      </c>
    </row>
    <row r="4" spans="1:6" x14ac:dyDescent="0.2">
      <c r="A4" s="2" t="s">
        <v>7</v>
      </c>
      <c r="B4">
        <v>244917907078.34418</v>
      </c>
      <c r="C4" s="2" t="s">
        <v>8</v>
      </c>
    </row>
    <row r="5" spans="1:6" x14ac:dyDescent="0.2">
      <c r="A5" s="11" t="s">
        <v>7</v>
      </c>
      <c r="B5">
        <v>7220141.4033333333</v>
      </c>
      <c r="C5" s="11" t="s">
        <v>41</v>
      </c>
    </row>
    <row r="6" spans="1:6" x14ac:dyDescent="0.2">
      <c r="A6" s="11" t="s">
        <v>5</v>
      </c>
      <c r="B6" s="16">
        <v>4.2101912829179002E-2</v>
      </c>
      <c r="C6" s="11" t="s">
        <v>83</v>
      </c>
    </row>
    <row r="8" spans="1:6" x14ac:dyDescent="0.2">
      <c r="C8">
        <f>537*40/0.8</f>
        <v>26850</v>
      </c>
    </row>
    <row r="9" spans="1:6" x14ac:dyDescent="0.2">
      <c r="B9" t="s">
        <v>66</v>
      </c>
    </row>
    <row r="10" spans="1:6" ht="15" x14ac:dyDescent="0.25">
      <c r="B10" s="10">
        <v>244917.90707834417</v>
      </c>
      <c r="C10" t="s">
        <v>34</v>
      </c>
      <c r="E10" t="s">
        <v>65</v>
      </c>
    </row>
    <row r="11" spans="1:6" x14ac:dyDescent="0.2">
      <c r="B11">
        <v>7.2201414033333329</v>
      </c>
      <c r="C11" t="s">
        <v>35</v>
      </c>
      <c r="E11">
        <v>8.0176767676767682</v>
      </c>
      <c r="F11" t="s">
        <v>63</v>
      </c>
    </row>
    <row r="12" spans="1:6" x14ac:dyDescent="0.2">
      <c r="B12" s="2">
        <f>B10*10^6</f>
        <v>244917907078.34418</v>
      </c>
      <c r="C12" t="s">
        <v>42</v>
      </c>
      <c r="E12">
        <f>E11*10^6</f>
        <v>8017676.7676767679</v>
      </c>
      <c r="F12" t="s">
        <v>64</v>
      </c>
    </row>
    <row r="13" spans="1:6" x14ac:dyDescent="0.2">
      <c r="B13">
        <f>B11*10^6</f>
        <v>7220141.4033333333</v>
      </c>
      <c r="C13" t="s">
        <v>41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4"/>
  <sheetViews>
    <sheetView topLeftCell="A4" workbookViewId="0">
      <selection activeCell="E14" sqref="E14:E15"/>
    </sheetView>
  </sheetViews>
  <sheetFormatPr defaultRowHeight="12.75" x14ac:dyDescent="0.2"/>
  <cols>
    <col min="2" max="2" width="26" customWidth="1"/>
    <col min="3" max="3" width="25.140625" customWidth="1"/>
    <col min="4" max="4" width="28.140625" customWidth="1"/>
    <col min="5" max="5" width="25.85546875" bestFit="1" customWidth="1"/>
    <col min="6" max="6" width="30.7109375" customWidth="1"/>
    <col min="7" max="7" width="16.28515625" bestFit="1" customWidth="1"/>
    <col min="8" max="8" width="22.5703125" customWidth="1"/>
    <col min="9" max="9" width="15.85546875" bestFit="1" customWidth="1"/>
  </cols>
  <sheetData>
    <row r="2" spans="2:10" ht="25.5" x14ac:dyDescent="0.2">
      <c r="B2" s="5" t="s">
        <v>13</v>
      </c>
      <c r="C2" s="5" t="s">
        <v>14</v>
      </c>
      <c r="D2" s="6" t="s">
        <v>15</v>
      </c>
      <c r="E2" s="5" t="s">
        <v>16</v>
      </c>
      <c r="F2" s="6" t="s">
        <v>17</v>
      </c>
      <c r="G2" s="5" t="s">
        <v>18</v>
      </c>
    </row>
    <row r="3" spans="2:10" x14ac:dyDescent="0.2">
      <c r="B3" t="s">
        <v>9</v>
      </c>
      <c r="C3" t="s">
        <v>10</v>
      </c>
      <c r="D3" s="3" t="s">
        <v>11</v>
      </c>
      <c r="E3" s="4">
        <v>1</v>
      </c>
      <c r="F3" t="s">
        <v>12</v>
      </c>
      <c r="G3">
        <v>1740000</v>
      </c>
    </row>
    <row r="4" spans="2:10" x14ac:dyDescent="0.2">
      <c r="I4" t="s">
        <v>51</v>
      </c>
      <c r="J4">
        <f>3600/G6</f>
        <v>18.181818181818183</v>
      </c>
    </row>
    <row r="5" spans="2:10" ht="25.5" x14ac:dyDescent="0.2">
      <c r="B5" t="s">
        <v>48</v>
      </c>
      <c r="C5" s="5" t="s">
        <v>14</v>
      </c>
      <c r="D5" s="6" t="s">
        <v>15</v>
      </c>
      <c r="E5" s="5" t="s">
        <v>16</v>
      </c>
      <c r="F5" s="6" t="s">
        <v>17</v>
      </c>
      <c r="G5" s="5" t="s">
        <v>50</v>
      </c>
      <c r="H5" s="6" t="s">
        <v>68</v>
      </c>
      <c r="I5" s="5" t="s">
        <v>52</v>
      </c>
    </row>
    <row r="6" spans="2:10" x14ac:dyDescent="0.2">
      <c r="B6" t="s">
        <v>43</v>
      </c>
      <c r="C6" t="s">
        <v>49</v>
      </c>
      <c r="D6" s="3" t="s">
        <v>11</v>
      </c>
      <c r="E6">
        <v>1</v>
      </c>
      <c r="F6" t="s">
        <v>12</v>
      </c>
      <c r="G6">
        <v>198</v>
      </c>
      <c r="H6">
        <v>60000</v>
      </c>
      <c r="I6">
        <f>$J$4*H6</f>
        <v>1090909.0909090911</v>
      </c>
    </row>
    <row r="7" spans="2:10" x14ac:dyDescent="0.2">
      <c r="B7" t="s">
        <v>44</v>
      </c>
      <c r="C7" t="s">
        <v>49</v>
      </c>
      <c r="D7" s="3" t="s">
        <v>11</v>
      </c>
      <c r="E7">
        <v>1</v>
      </c>
      <c r="F7" t="s">
        <v>12</v>
      </c>
      <c r="G7">
        <v>198</v>
      </c>
      <c r="H7">
        <v>15000</v>
      </c>
      <c r="I7">
        <f t="shared" ref="I7:I10" si="0">$J$4*H7</f>
        <v>272727.27272727276</v>
      </c>
    </row>
    <row r="8" spans="2:10" x14ac:dyDescent="0.2">
      <c r="B8" t="s">
        <v>45</v>
      </c>
      <c r="C8" t="s">
        <v>10</v>
      </c>
      <c r="D8" s="3" t="s">
        <v>11</v>
      </c>
      <c r="E8">
        <v>1</v>
      </c>
      <c r="F8" t="s">
        <v>12</v>
      </c>
      <c r="G8">
        <v>198</v>
      </c>
      <c r="H8">
        <v>10000</v>
      </c>
      <c r="I8">
        <f t="shared" si="0"/>
        <v>181818.18181818182</v>
      </c>
    </row>
    <row r="9" spans="2:10" x14ac:dyDescent="0.2">
      <c r="B9" t="s">
        <v>46</v>
      </c>
      <c r="C9" t="s">
        <v>10</v>
      </c>
      <c r="D9" s="3" t="s">
        <v>11</v>
      </c>
      <c r="E9">
        <v>1</v>
      </c>
      <c r="F9" t="s">
        <v>12</v>
      </c>
      <c r="G9">
        <v>198</v>
      </c>
      <c r="H9">
        <v>20000</v>
      </c>
      <c r="I9">
        <f t="shared" si="0"/>
        <v>363636.36363636365</v>
      </c>
    </row>
    <row r="10" spans="2:10" x14ac:dyDescent="0.2">
      <c r="B10" t="s">
        <v>47</v>
      </c>
      <c r="C10" t="s">
        <v>10</v>
      </c>
      <c r="D10" s="3" t="s">
        <v>11</v>
      </c>
      <c r="E10">
        <v>1</v>
      </c>
      <c r="F10" t="s">
        <v>12</v>
      </c>
      <c r="G10">
        <v>198</v>
      </c>
      <c r="H10">
        <v>20000</v>
      </c>
      <c r="I10">
        <f t="shared" si="0"/>
        <v>363636.36363636365</v>
      </c>
    </row>
    <row r="11" spans="2:10" x14ac:dyDescent="0.2">
      <c r="H11" s="12" t="s">
        <v>53</v>
      </c>
      <c r="I11">
        <f>SUM(I6:I10)</f>
        <v>2272727.2727272729</v>
      </c>
    </row>
    <row r="12" spans="2:10" ht="28.5" customHeight="1" x14ac:dyDescent="0.25">
      <c r="B12" s="7" t="s">
        <v>27</v>
      </c>
      <c r="C12" s="9" t="s">
        <v>28</v>
      </c>
      <c r="D12" s="9" t="s">
        <v>29</v>
      </c>
      <c r="E12" s="9" t="s">
        <v>67</v>
      </c>
      <c r="F12" s="9" t="s">
        <v>30</v>
      </c>
      <c r="G12" s="9" t="s">
        <v>31</v>
      </c>
      <c r="H12" s="9" t="s">
        <v>32</v>
      </c>
    </row>
    <row r="13" spans="2:10" ht="25.5" x14ac:dyDescent="0.2">
      <c r="B13" t="s">
        <v>19</v>
      </c>
      <c r="C13" s="8" t="s">
        <v>20</v>
      </c>
      <c r="D13" s="4" t="s">
        <v>21</v>
      </c>
      <c r="E13">
        <f>1.27694633981973/1000</f>
        <v>1.27694633981973E-3</v>
      </c>
      <c r="F13" t="s">
        <v>22</v>
      </c>
      <c r="G13">
        <v>244917.90707834417</v>
      </c>
      <c r="H13">
        <f>G13*E13</f>
        <v>312.74702500000035</v>
      </c>
    </row>
    <row r="14" spans="2:10" x14ac:dyDescent="0.2">
      <c r="B14" t="s">
        <v>23</v>
      </c>
      <c r="C14" t="s">
        <v>24</v>
      </c>
      <c r="D14" s="4" t="s">
        <v>12</v>
      </c>
      <c r="E14">
        <v>2.58E-2</v>
      </c>
      <c r="F14" t="s">
        <v>25</v>
      </c>
      <c r="G14">
        <v>41.9</v>
      </c>
      <c r="H14">
        <f t="shared" ref="H14:H15" si="1">G14*E14</f>
        <v>1.0810199999999999</v>
      </c>
    </row>
    <row r="15" spans="2:10" x14ac:dyDescent="0.2">
      <c r="B15" t="s">
        <v>26</v>
      </c>
      <c r="C15" t="s">
        <v>24</v>
      </c>
      <c r="D15" s="4" t="s">
        <v>12</v>
      </c>
      <c r="E15">
        <v>3.27E-2</v>
      </c>
      <c r="F15" t="s">
        <v>25</v>
      </c>
      <c r="G15">
        <f>2.41*10^-2</f>
        <v>2.4100000000000003E-2</v>
      </c>
      <c r="H15">
        <f t="shared" si="1"/>
        <v>7.8807000000000009E-4</v>
      </c>
    </row>
    <row r="17" spans="2:6" x14ac:dyDescent="0.2">
      <c r="B17" t="s">
        <v>49</v>
      </c>
      <c r="C17" t="s">
        <v>58</v>
      </c>
      <c r="D17" s="4" t="s">
        <v>12</v>
      </c>
      <c r="E17">
        <v>3.28</v>
      </c>
      <c r="F17" t="s">
        <v>25</v>
      </c>
    </row>
    <row r="18" spans="2:6" x14ac:dyDescent="0.2">
      <c r="B18" t="s">
        <v>54</v>
      </c>
      <c r="C18" t="s">
        <v>59</v>
      </c>
      <c r="D18" s="4" t="s">
        <v>12</v>
      </c>
      <c r="E18">
        <v>0.25</v>
      </c>
      <c r="F18" t="s">
        <v>25</v>
      </c>
    </row>
    <row r="19" spans="2:6" x14ac:dyDescent="0.2">
      <c r="B19" t="s">
        <v>55</v>
      </c>
      <c r="C19" t="s">
        <v>59</v>
      </c>
      <c r="D19" s="4" t="s">
        <v>12</v>
      </c>
      <c r="E19">
        <v>0.52</v>
      </c>
      <c r="F19" t="s">
        <v>25</v>
      </c>
    </row>
    <row r="20" spans="2:6" x14ac:dyDescent="0.2">
      <c r="B20" t="s">
        <v>56</v>
      </c>
      <c r="C20" t="s">
        <v>59</v>
      </c>
      <c r="D20" s="4" t="s">
        <v>12</v>
      </c>
      <c r="E20">
        <v>1.66</v>
      </c>
      <c r="F20" t="s">
        <v>61</v>
      </c>
    </row>
    <row r="21" spans="2:6" x14ac:dyDescent="0.2">
      <c r="B21" t="s">
        <v>57</v>
      </c>
      <c r="C21" t="s">
        <v>60</v>
      </c>
      <c r="D21" s="4" t="s">
        <v>12</v>
      </c>
      <c r="E21">
        <v>0.21</v>
      </c>
      <c r="F21" t="s">
        <v>25</v>
      </c>
    </row>
    <row r="23" spans="2:6" ht="38.25" x14ac:dyDescent="0.2">
      <c r="B23" s="6" t="s">
        <v>33</v>
      </c>
      <c r="E23" s="6" t="s">
        <v>62</v>
      </c>
    </row>
    <row r="24" spans="2:6" ht="15" x14ac:dyDescent="0.25">
      <c r="B24" s="10">
        <f>G13</f>
        <v>244917.90707834417</v>
      </c>
      <c r="C24" t="s">
        <v>34</v>
      </c>
      <c r="E24">
        <f>I11</f>
        <v>2272727.2727272729</v>
      </c>
      <c r="F24" t="s">
        <v>41</v>
      </c>
    </row>
    <row r="25" spans="2:6" x14ac:dyDescent="0.2">
      <c r="B25">
        <f>(E14*G14)+(E15*G15)</f>
        <v>1.0818080699999999</v>
      </c>
      <c r="C25" t="s">
        <v>35</v>
      </c>
      <c r="E25">
        <f>E24/3600000</f>
        <v>0.63131313131313138</v>
      </c>
      <c r="F25" t="s">
        <v>39</v>
      </c>
    </row>
    <row r="26" spans="2:6" x14ac:dyDescent="0.2">
      <c r="E26">
        <f>E25*12.7</f>
        <v>8.0176767676767682</v>
      </c>
      <c r="F26" t="s">
        <v>63</v>
      </c>
    </row>
    <row r="27" spans="2:6" ht="25.5" x14ac:dyDescent="0.2">
      <c r="B27" s="6" t="s">
        <v>36</v>
      </c>
    </row>
    <row r="28" spans="2:6" x14ac:dyDescent="0.2">
      <c r="B28">
        <f>G3</f>
        <v>1740000</v>
      </c>
      <c r="C28" t="s">
        <v>37</v>
      </c>
    </row>
    <row r="29" spans="2:6" x14ac:dyDescent="0.2">
      <c r="B29">
        <f>B28/3600000</f>
        <v>0.48333333333333334</v>
      </c>
      <c r="C29" t="s">
        <v>39</v>
      </c>
    </row>
    <row r="30" spans="2:6" x14ac:dyDescent="0.2">
      <c r="B30">
        <f>B29*12.7</f>
        <v>6.1383333333333328</v>
      </c>
      <c r="C30" t="s">
        <v>38</v>
      </c>
    </row>
    <row r="32" spans="2:6" x14ac:dyDescent="0.2">
      <c r="B32" s="5" t="s">
        <v>40</v>
      </c>
    </row>
    <row r="33" spans="2:3" x14ac:dyDescent="0.2">
      <c r="B33">
        <v>203.89610389610399</v>
      </c>
      <c r="C33" t="s">
        <v>34</v>
      </c>
    </row>
    <row r="34" spans="2:3" x14ac:dyDescent="0.2">
      <c r="B34">
        <f>B30+B25</f>
        <v>7.2201414033333329</v>
      </c>
      <c r="C34" t="s">
        <v>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I16"/>
  <sheetViews>
    <sheetView workbookViewId="0">
      <selection activeCell="C13" sqref="C13"/>
    </sheetView>
  </sheetViews>
  <sheetFormatPr defaultRowHeight="12.75" x14ac:dyDescent="0.2"/>
  <cols>
    <col min="3" max="3" width="14.28515625" bestFit="1" customWidth="1"/>
    <col min="4" max="4" width="22.7109375" customWidth="1"/>
    <col min="5" max="5" width="20.42578125" customWidth="1"/>
    <col min="6" max="6" width="16.7109375" bestFit="1" customWidth="1"/>
    <col min="8" max="8" width="19.28515625" customWidth="1"/>
    <col min="9" max="9" width="20.140625" customWidth="1"/>
  </cols>
  <sheetData>
    <row r="4" spans="3:9" ht="25.5" x14ac:dyDescent="0.2">
      <c r="C4" s="5" t="s">
        <v>14</v>
      </c>
      <c r="D4" s="6" t="s">
        <v>79</v>
      </c>
      <c r="E4" s="6" t="s">
        <v>80</v>
      </c>
      <c r="F4" s="5" t="s">
        <v>69</v>
      </c>
      <c r="G4" s="5" t="s">
        <v>70</v>
      </c>
      <c r="H4" s="6" t="s">
        <v>77</v>
      </c>
      <c r="I4" s="6" t="s">
        <v>78</v>
      </c>
    </row>
    <row r="5" spans="3:9" x14ac:dyDescent="0.2">
      <c r="C5" t="s">
        <v>71</v>
      </c>
      <c r="D5">
        <v>1.8011720056495872</v>
      </c>
      <c r="E5">
        <v>0</v>
      </c>
      <c r="F5">
        <f>375*0.81</f>
        <v>303.75</v>
      </c>
      <c r="G5" s="13" t="s">
        <v>74</v>
      </c>
      <c r="H5" s="14">
        <f>D5*F5</f>
        <v>547.10599671606212</v>
      </c>
      <c r="I5" s="14">
        <v>0</v>
      </c>
    </row>
    <row r="6" spans="3:9" x14ac:dyDescent="0.2">
      <c r="C6" t="s">
        <v>72</v>
      </c>
      <c r="D6">
        <v>0.15662365266518152</v>
      </c>
      <c r="E6">
        <v>0</v>
      </c>
      <c r="F6">
        <f>20550*0.81/1000</f>
        <v>16.645499999999998</v>
      </c>
      <c r="G6" t="s">
        <v>73</v>
      </c>
      <c r="H6" s="14">
        <f>F6*D6</f>
        <v>2.6070790104382788</v>
      </c>
      <c r="I6" s="14">
        <v>0</v>
      </c>
    </row>
    <row r="7" spans="3:9" x14ac:dyDescent="0.2">
      <c r="C7" t="s">
        <v>23</v>
      </c>
      <c r="D7">
        <v>0</v>
      </c>
      <c r="E7">
        <v>2.58E-2</v>
      </c>
      <c r="F7">
        <f>0.9*0.82/0.789</f>
        <v>0.93536121673003791</v>
      </c>
      <c r="G7" t="s">
        <v>75</v>
      </c>
      <c r="H7" s="14">
        <v>0</v>
      </c>
      <c r="I7" s="14">
        <f>E7*F7</f>
        <v>2.4132319391634977E-2</v>
      </c>
    </row>
    <row r="8" spans="3:9" x14ac:dyDescent="0.2">
      <c r="C8" t="s">
        <v>26</v>
      </c>
      <c r="D8">
        <v>0</v>
      </c>
      <c r="E8">
        <v>3.27E-2</v>
      </c>
      <c r="F8">
        <f>60.98/200</f>
        <v>0.3049</v>
      </c>
      <c r="G8" t="s">
        <v>76</v>
      </c>
      <c r="H8" s="14">
        <v>0</v>
      </c>
      <c r="I8" s="14">
        <f>F8*E8</f>
        <v>9.9702300000000001E-3</v>
      </c>
    </row>
    <row r="11" spans="3:9" x14ac:dyDescent="0.2">
      <c r="C11" t="s">
        <v>81</v>
      </c>
    </row>
    <row r="12" spans="3:9" x14ac:dyDescent="0.2">
      <c r="C12" s="14">
        <f>'Cost Calculations'!H5+'Cost Calculations'!H6</f>
        <v>549.71307572650039</v>
      </c>
    </row>
    <row r="13" spans="3:9" x14ac:dyDescent="0.2">
      <c r="C13" s="15">
        <f>C12/0.81</f>
        <v>678.65811818086468</v>
      </c>
    </row>
    <row r="14" spans="3:9" x14ac:dyDescent="0.2">
      <c r="C14" t="s">
        <v>82</v>
      </c>
    </row>
    <row r="15" spans="3:9" x14ac:dyDescent="0.2">
      <c r="C15" s="14">
        <f>I7+I8</f>
        <v>3.4102549391634977E-2</v>
      </c>
    </row>
    <row r="16" spans="3:9" x14ac:dyDescent="0.2">
      <c r="C16" s="15">
        <f>C15/0.81</f>
        <v>4.2101912829178981E-2</v>
      </c>
    </row>
  </sheetData>
  <hyperlinks>
    <hyperlink ref="G5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ITO Energy Calculations</vt:lpstr>
      <vt:lpstr>Cost 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Philip Bennett</cp:lastModifiedBy>
  <cp:revision>6</cp:revision>
  <dcterms:created xsi:type="dcterms:W3CDTF">2016-09-13T16:32:15Z</dcterms:created>
  <dcterms:modified xsi:type="dcterms:W3CDTF">2017-03-23T11:36:00Z</dcterms:modified>
  <dc:language>en-US</dc:language>
</cp:coreProperties>
</file>