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enn\Desktop\mycell\materials\perovskite\"/>
    </mc:Choice>
  </mc:AlternateContent>
  <bookViews>
    <workbookView xWindow="0" yWindow="0" windowWidth="16380" windowHeight="8190" tabRatio="991" activeTab="3"/>
  </bookViews>
  <sheets>
    <sheet name="results" sheetId="1" r:id="rId1"/>
    <sheet name="Rough Calculation" sheetId="4" r:id="rId2"/>
    <sheet name="Perovskite cost calculations" sheetId="3" r:id="rId3"/>
    <sheet name="Perovskite energy calculations" sheetId="2" r:id="rId4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43" i="4" l="1"/>
  <c r="H43" i="4" s="1"/>
  <c r="F43" i="4"/>
  <c r="G42" i="4"/>
  <c r="I42" i="4" s="1"/>
  <c r="F42" i="4"/>
  <c r="F33" i="4"/>
  <c r="E33" i="4"/>
  <c r="E34" i="4" s="1"/>
  <c r="F29" i="4"/>
  <c r="E29" i="4"/>
  <c r="C33" i="4" s="1"/>
  <c r="C34" i="4" s="1"/>
  <c r="D29" i="4"/>
  <c r="D30" i="4" s="1"/>
  <c r="C29" i="4"/>
  <c r="C30" i="4" s="1"/>
  <c r="F26" i="4"/>
  <c r="E26" i="4"/>
  <c r="D33" i="4" s="1"/>
  <c r="D34" i="4" s="1"/>
  <c r="E27" i="4" s="1"/>
  <c r="D26" i="4"/>
  <c r="C26" i="4"/>
  <c r="I23" i="4"/>
  <c r="I24" i="4" s="1"/>
  <c r="D14" i="4"/>
  <c r="D13" i="4"/>
  <c r="E13" i="4" s="1"/>
  <c r="G4" i="4"/>
  <c r="I4" i="4" s="1"/>
  <c r="F4" i="4"/>
  <c r="G3" i="4" s="1"/>
  <c r="F3" i="4"/>
  <c r="K17" i="3"/>
  <c r="I17" i="3"/>
  <c r="I11" i="3"/>
  <c r="I10" i="3"/>
  <c r="I18" i="3"/>
  <c r="I16" i="3"/>
  <c r="I15" i="3"/>
  <c r="I14" i="3"/>
  <c r="I13" i="3"/>
  <c r="I9" i="3"/>
  <c r="I8" i="3"/>
  <c r="I7" i="3"/>
  <c r="C27" i="4" l="1"/>
  <c r="D27" i="4"/>
  <c r="H42" i="4"/>
  <c r="H44" i="4" s="1"/>
  <c r="H45" i="4" s="1"/>
  <c r="I43" i="4"/>
  <c r="I44" i="4" s="1"/>
  <c r="I3" i="4"/>
  <c r="I5" i="4" s="1"/>
  <c r="H3" i="4"/>
  <c r="H5" i="4" s="1"/>
  <c r="H6" i="4" s="1"/>
  <c r="I6" i="4" s="1"/>
  <c r="I7" i="4" s="1"/>
  <c r="H4" i="4"/>
  <c r="K8" i="3"/>
  <c r="K13" i="3"/>
  <c r="H14" i="3"/>
  <c r="H15" i="3"/>
  <c r="H16" i="3"/>
  <c r="H17" i="3"/>
  <c r="H13" i="3"/>
  <c r="H8" i="3"/>
  <c r="H9" i="3"/>
  <c r="H10" i="3"/>
  <c r="H7" i="3"/>
  <c r="K7" i="3" s="1"/>
  <c r="F18" i="3"/>
  <c r="H18" i="3" s="1"/>
  <c r="K18" i="3" s="1"/>
  <c r="K16" i="3"/>
  <c r="K15" i="3"/>
  <c r="K14" i="3"/>
  <c r="H12" i="3"/>
  <c r="K12" i="3" s="1"/>
  <c r="K19" i="3" s="1"/>
  <c r="F11" i="3"/>
  <c r="H11" i="3" s="1"/>
  <c r="K11" i="3" s="1"/>
  <c r="K10" i="3"/>
  <c r="K9" i="3"/>
  <c r="H6" i="3"/>
  <c r="K6" i="3" s="1"/>
  <c r="K5" i="3"/>
  <c r="I45" i="4" l="1"/>
  <c r="I46" i="4" s="1"/>
  <c r="C50" i="2"/>
  <c r="C49" i="2"/>
  <c r="G46" i="2"/>
  <c r="G45" i="2"/>
  <c r="D46" i="2"/>
  <c r="D45" i="2"/>
  <c r="G40" i="2"/>
  <c r="G39" i="2"/>
  <c r="D40" i="2"/>
  <c r="D39" i="2"/>
  <c r="D38" i="2"/>
  <c r="C32" i="2"/>
  <c r="E29" i="2"/>
  <c r="E26" i="2"/>
  <c r="E27" i="2"/>
  <c r="E28" i="2"/>
  <c r="E25" i="2"/>
  <c r="D26" i="2"/>
  <c r="D27" i="2"/>
  <c r="D28" i="2"/>
  <c r="D25" i="2"/>
  <c r="C21" i="2"/>
  <c r="C22" i="2"/>
  <c r="F18" i="2"/>
  <c r="F17" i="2"/>
  <c r="F16" i="2"/>
  <c r="F11" i="2"/>
  <c r="I11" i="2" s="1"/>
  <c r="F10" i="2"/>
  <c r="I10" i="2" s="1"/>
  <c r="F9" i="2"/>
  <c r="I9" i="2" s="1"/>
  <c r="F8" i="2"/>
  <c r="I8" i="2" s="1"/>
</calcChain>
</file>

<file path=xl/comments1.xml><?xml version="1.0" encoding="utf-8"?>
<comments xmlns="http://schemas.openxmlformats.org/spreadsheetml/2006/main">
  <authors>
    <author>Philip Bennett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due to spin coating process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 xml:space="preserve">Philip Bennett: 
</t>
        </r>
        <r>
          <rPr>
            <sz val="9"/>
            <color indexed="81"/>
            <rFont val="Tahoma"/>
            <family val="2"/>
          </rPr>
          <t>is material used for active area?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TiO2/FTO cell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ZnO/ITO Cell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as it is a product this is moles needed for 1kg of it. 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rest of moles of PbI2 wasted by spin coating process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1.612 moles needed/0.0008995 moles CH3 in a m^2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using the ratio of moles to multiply the inputs, as more PbI2 is needed due to spin coating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used in the TiO2/FTO example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Sum of processing/mass to produce a 1m^2 solar panel 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Energy to make 1kg * mass to make 1kg CH3NH3PbI3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Electricity * 12.7 MJ to generate a kWh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used in the ZnO/ITO example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Energy to make 1kg * mass to make 1kg CH3NH3PbI3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Electricity * 12.7 MJ to generate a kWh</t>
        </r>
      </text>
    </comment>
  </commentList>
</comments>
</file>

<file path=xl/sharedStrings.xml><?xml version="1.0" encoding="utf-8"?>
<sst xmlns="http://schemas.openxmlformats.org/spreadsheetml/2006/main" count="182" uniqueCount="137">
  <si>
    <t>Property</t>
  </si>
  <si>
    <t>Value</t>
  </si>
  <si>
    <t>Units</t>
  </si>
  <si>
    <t>density</t>
  </si>
  <si>
    <t>m-3</t>
  </si>
  <si>
    <t>cost</t>
  </si>
  <si>
    <t>$/Kg</t>
  </si>
  <si>
    <t>Energy</t>
  </si>
  <si>
    <t>J/Kg</t>
  </si>
  <si>
    <t>react 1:1</t>
  </si>
  <si>
    <t>mw</t>
  </si>
  <si>
    <t>weight</t>
  </si>
  <si>
    <t>moles</t>
  </si>
  <si>
    <t>ratio of moles</t>
  </si>
  <si>
    <t>HI density</t>
  </si>
  <si>
    <t>NH3NH2 density</t>
  </si>
  <si>
    <t>A</t>
  </si>
  <si>
    <t>RFM</t>
  </si>
  <si>
    <t>PbI2 spin coating</t>
  </si>
  <si>
    <t>PbI2</t>
  </si>
  <si>
    <t>Y</t>
  </si>
  <si>
    <t>Sintering</t>
  </si>
  <si>
    <t>-</t>
  </si>
  <si>
    <t>Processing</t>
  </si>
  <si>
    <t>Material</t>
  </si>
  <si>
    <t>Material usage ratio</t>
  </si>
  <si>
    <t>Is energy requirement dependent on layer thickness?</t>
  </si>
  <si>
    <t>Energy (J)</t>
  </si>
  <si>
    <t xml:space="preserve">PbI2 </t>
  </si>
  <si>
    <t>Perovskite precursor</t>
  </si>
  <si>
    <t xml:space="preserve">Dimethylformamide </t>
  </si>
  <si>
    <t>Solvent</t>
  </si>
  <si>
    <t>N/a</t>
  </si>
  <si>
    <t>CH3NH3I</t>
  </si>
  <si>
    <t>Isopropanol</t>
  </si>
  <si>
    <t xml:space="preserve">Material </t>
  </si>
  <si>
    <t>Usage of material</t>
  </si>
  <si>
    <t>Is material usage dependent on layer thickness?</t>
  </si>
  <si>
    <t xml:space="preserve">CH3NH3I </t>
  </si>
  <si>
    <t xml:space="preserve">CH3NH3PbI3 </t>
  </si>
  <si>
    <t>Compound</t>
  </si>
  <si>
    <t>Relative Formula Mass</t>
  </si>
  <si>
    <t>Moles</t>
  </si>
  <si>
    <t>Mass to produce 1m^2 of panel (kg/m^2)</t>
  </si>
  <si>
    <t>Area covered (m)</t>
  </si>
  <si>
    <t>Layer thickness (nm)</t>
  </si>
  <si>
    <t>Embedded energy in 1m^2 of panel (MJ)</t>
  </si>
  <si>
    <t>Embedded energy (MJ/kg)</t>
  </si>
  <si>
    <t>Reactant/Product</t>
  </si>
  <si>
    <t>Reactant</t>
  </si>
  <si>
    <t>Product</t>
  </si>
  <si>
    <t>Moles react 1:1 between PbI2 and CH3NH3I</t>
  </si>
  <si>
    <t>ratio of CH3NH3I moles/m^2 to moles/kg of CH3NH3PbI3</t>
  </si>
  <si>
    <t>moles of CH3NH3PbI3 in a m^2</t>
  </si>
  <si>
    <t>Embedded Energy (MJ)</t>
  </si>
  <si>
    <t>Mass to make 1kg CH3NH3PbI3 (kg)</t>
  </si>
  <si>
    <t>Total:</t>
  </si>
  <si>
    <t>MJ/kg</t>
  </si>
  <si>
    <t>Embedded energy of Perovskite per kg in solar panel form</t>
  </si>
  <si>
    <t>Manufacturing</t>
  </si>
  <si>
    <t>Spin coating</t>
  </si>
  <si>
    <t>PbI2  spin coating</t>
  </si>
  <si>
    <t xml:space="preserve">Path1 </t>
  </si>
  <si>
    <t>Path2</t>
  </si>
  <si>
    <t>Path 1</t>
  </si>
  <si>
    <t>Total</t>
  </si>
  <si>
    <t>Energy to make 1kg of PbI2</t>
  </si>
  <si>
    <t>Energy to make PbI2 for 1kg of perovskite</t>
  </si>
  <si>
    <t>Energy Equivalent (MJ)</t>
  </si>
  <si>
    <t>Electricity to make Manufacture 1kg of perovskite (kWh)</t>
  </si>
  <si>
    <t>Path 2</t>
  </si>
  <si>
    <t>Energy to make 1kg PbI2</t>
  </si>
  <si>
    <t>Energy to make 1kg of perovskite</t>
  </si>
  <si>
    <t>Total energy to make 1kg of perovskite</t>
  </si>
  <si>
    <t>MJ/kg Path 1</t>
  </si>
  <si>
    <t>MJ/kg Path 2</t>
  </si>
  <si>
    <t>Perovskite energy</t>
  </si>
  <si>
    <t>Perovskite</t>
  </si>
  <si>
    <t>Iodine</t>
  </si>
  <si>
    <t>https://minerals.usgs.gov/minerals/pubs/commodity/iodine/mcs-2015-iodin.pdf</t>
  </si>
  <si>
    <t>Potassium hydroxide</t>
  </si>
  <si>
    <t>Lead</t>
  </si>
  <si>
    <t>http://www.infomine.com/investment/metal-prices/lead/1-month/</t>
  </si>
  <si>
    <t>Nitric acid</t>
  </si>
  <si>
    <t>Dimethylformamide</t>
  </si>
  <si>
    <t>Hydrogen Sulfide</t>
  </si>
  <si>
    <t>Methylamine</t>
  </si>
  <si>
    <t>Ethanol</t>
  </si>
  <si>
    <t>https://www.alibaba.com/product-detail/Bulk-Ethanol_50018247018.html</t>
  </si>
  <si>
    <t>Diethyl ether</t>
  </si>
  <si>
    <t>https://mistralni.co.uk/products/ipa-isopropyl-alcohol-propan-2-ol</t>
  </si>
  <si>
    <t>Main constituents</t>
  </si>
  <si>
    <t>processing chemicals</t>
  </si>
  <si>
    <t>secondary component</t>
  </si>
  <si>
    <t>Mass to make 1kg of material (kg)</t>
  </si>
  <si>
    <t>mass to make 1m^2 of panel (kg)</t>
  </si>
  <si>
    <t>mass required for 1kg after final processing</t>
  </si>
  <si>
    <t>Cost (£/kg)</t>
  </si>
  <si>
    <t>Reference</t>
  </si>
  <si>
    <t>Cost for 1kg of component</t>
  </si>
  <si>
    <t>N</t>
  </si>
  <si>
    <t>O</t>
  </si>
  <si>
    <t>H</t>
  </si>
  <si>
    <t>Pb</t>
  </si>
  <si>
    <t>I</t>
  </si>
  <si>
    <t>RAM</t>
  </si>
  <si>
    <t>Elements</t>
  </si>
  <si>
    <t>2KOH</t>
  </si>
  <si>
    <t>I2</t>
  </si>
  <si>
    <t>&gt; 2KI</t>
  </si>
  <si>
    <t>K</t>
  </si>
  <si>
    <t>2HNO3</t>
  </si>
  <si>
    <t>&gt; Pb(NO3)2</t>
  </si>
  <si>
    <t>2H</t>
  </si>
  <si>
    <t>Pb(NO3)2</t>
  </si>
  <si>
    <t>&gt; 2KNO3</t>
  </si>
  <si>
    <t>2KI</t>
  </si>
  <si>
    <t>2OH</t>
  </si>
  <si>
    <t>1kg of PbI2 is to be produced</t>
  </si>
  <si>
    <t>how much of each component is needed?</t>
  </si>
  <si>
    <t>1kg PbI2</t>
  </si>
  <si>
    <t>Starter calculation with Chemicals from Sigma.Aldrich</t>
  </si>
  <si>
    <t>Molecular weight</t>
  </si>
  <si>
    <t>Cost (£)</t>
  </si>
  <si>
    <t>Moles in 5g</t>
  </si>
  <si>
    <t>Mass (g)</t>
  </si>
  <si>
    <t>Ratio of moles</t>
  </si>
  <si>
    <t>Grams to react 1:1</t>
  </si>
  <si>
    <t>Cost of purchase (£)</t>
  </si>
  <si>
    <t>Chemical</t>
  </si>
  <si>
    <t>CH3H3PbI</t>
  </si>
  <si>
    <t>http://www.made-in-china.com/price/potassium-hydroxide-koh-price.html</t>
  </si>
  <si>
    <t>https://www.alibaba.com/product-detail/hydrogen-sulfide_60195143580.html?s=p</t>
  </si>
  <si>
    <t>https://www.spectrumchemical.com/OA_HTML/chemical-products_Methylamine-40-Percent-Aqueous-Solution-DEA-List-I-Chemical_M1241.jsp?minisite=10020&amp;respid=22372&amp;phrase=Methylamine</t>
  </si>
  <si>
    <t>http://www.chemicals.co.uk/nitric-acid?gclid=CjwKEAjw5M3GBRCTvpK4osqj4X4SJAABRJNCzy_VFM_ADEQdSB4hFaxDRrVgOYEUNSdEx8OZi8gesxoCVA7w_wcB</t>
  </si>
  <si>
    <t>https://www.alfa.com/en/catalog/A13547/</t>
  </si>
  <si>
    <t>http://www.chemicals.co.uk/diethyl-ether?utm_source=googlebase&amp;utm_medium=free&amp;utm_campaign=googlebase&amp;gclid=CjwKEAjw5M3GBRCTvpK4osqj4X4SJAABRJNCKF3NyBxbp2v_GqgHrAu84UVDTksBeCAA6o3yJhQ3fBoCZJjw_wcB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</si>
</sst>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Alignment="1"/>
    <xf numFmtId="0" fontId="0" fillId="0" borderId="0" xfId="0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12" zoomScaleNormal="112" workbookViewId="0">
      <selection activeCell="B3" sqref="B3"/>
    </sheetView>
  </sheetViews>
  <sheetFormatPr defaultRowHeight="12.75" x14ac:dyDescent="0.2"/>
  <cols>
    <col min="2" max="2" width="12.140625" bestFit="1" customWidth="1"/>
    <col min="3" max="3" width="12.7109375" bestFit="1" customWidth="1"/>
    <col min="5" max="5" width="12.7109375" bestFit="1" customWidth="1"/>
    <col min="6" max="6" width="12.42578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</row>
    <row r="2" spans="1:7" x14ac:dyDescent="0.2">
      <c r="A2" s="2" t="s">
        <v>3</v>
      </c>
      <c r="B2" s="2">
        <v>3945</v>
      </c>
      <c r="C2" s="2" t="s">
        <v>4</v>
      </c>
    </row>
    <row r="3" spans="1:7" x14ac:dyDescent="0.2">
      <c r="A3" s="2" t="s">
        <v>5</v>
      </c>
      <c r="B3" s="16">
        <v>331.64345467484026</v>
      </c>
      <c r="C3" s="2" t="s">
        <v>6</v>
      </c>
    </row>
    <row r="4" spans="1:7" x14ac:dyDescent="0.2">
      <c r="A4" s="2" t="s">
        <v>7</v>
      </c>
      <c r="B4" s="2">
        <v>16018006938.351418</v>
      </c>
      <c r="C4" s="2" t="s">
        <v>8</v>
      </c>
      <c r="D4" t="s">
        <v>64</v>
      </c>
      <c r="F4" t="s">
        <v>76</v>
      </c>
    </row>
    <row r="5" spans="1:7" x14ac:dyDescent="0.2">
      <c r="A5" s="13" t="s">
        <v>7</v>
      </c>
      <c r="B5">
        <v>4739443997.8685913</v>
      </c>
      <c r="C5" s="13" t="s">
        <v>8</v>
      </c>
      <c r="D5" t="s">
        <v>70</v>
      </c>
      <c r="F5">
        <v>16018.006938351418</v>
      </c>
      <c r="G5" t="s">
        <v>74</v>
      </c>
    </row>
    <row r="6" spans="1:7" x14ac:dyDescent="0.2">
      <c r="F6">
        <v>4739.4439978685914</v>
      </c>
      <c r="G6" t="s">
        <v>75</v>
      </c>
    </row>
    <row r="7" spans="1:7" x14ac:dyDescent="0.2">
      <c r="F7" s="2">
        <v>16018006938.351418</v>
      </c>
      <c r="G7" s="2" t="s">
        <v>8</v>
      </c>
    </row>
    <row r="8" spans="1:7" x14ac:dyDescent="0.2">
      <c r="F8">
        <v>4739443997.8685913</v>
      </c>
      <c r="G8" s="13" t="s">
        <v>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6"/>
  <sheetViews>
    <sheetView workbookViewId="0">
      <selection activeCell="F39" sqref="F39"/>
    </sheetView>
  </sheetViews>
  <sheetFormatPr defaultRowHeight="12.75" x14ac:dyDescent="0.2"/>
  <cols>
    <col min="2" max="2" width="9.5703125" bestFit="1" customWidth="1"/>
    <col min="3" max="3" width="25.7109375" customWidth="1"/>
    <col min="4" max="4" width="14.85546875" bestFit="1" customWidth="1"/>
    <col min="5" max="5" width="15" bestFit="1" customWidth="1"/>
    <col min="6" max="6" width="12" bestFit="1" customWidth="1"/>
    <col min="7" max="7" width="12.85546875" bestFit="1" customWidth="1"/>
    <col min="8" max="8" width="16.7109375" bestFit="1" customWidth="1"/>
    <col min="9" max="9" width="18" bestFit="1" customWidth="1"/>
  </cols>
  <sheetData>
    <row r="2" spans="2:9" x14ac:dyDescent="0.2">
      <c r="B2" t="s">
        <v>11</v>
      </c>
      <c r="C2" t="s">
        <v>5</v>
      </c>
      <c r="D2" t="s">
        <v>10</v>
      </c>
      <c r="E2" t="s">
        <v>3</v>
      </c>
      <c r="F2" t="s">
        <v>12</v>
      </c>
      <c r="G2" t="s">
        <v>13</v>
      </c>
    </row>
    <row r="3" spans="2:9" x14ac:dyDescent="0.2">
      <c r="B3">
        <v>5</v>
      </c>
      <c r="C3">
        <v>82</v>
      </c>
      <c r="D3">
        <v>461.101</v>
      </c>
      <c r="E3">
        <v>6.16</v>
      </c>
      <c r="F3">
        <f>5/461.101</f>
        <v>1.0843611269548321E-2</v>
      </c>
      <c r="G3">
        <f>F4/F3</f>
        <v>2.9005626865530805</v>
      </c>
      <c r="H3">
        <f>G3*B3</f>
        <v>14.502813432765402</v>
      </c>
      <c r="I3">
        <f>G3*C3</f>
        <v>237.8461402973526</v>
      </c>
    </row>
    <row r="4" spans="2:9" x14ac:dyDescent="0.2">
      <c r="B4">
        <v>5</v>
      </c>
      <c r="C4">
        <v>128</v>
      </c>
      <c r="D4">
        <v>158.96950000000001</v>
      </c>
      <c r="F4">
        <f>5/158.9695</f>
        <v>3.1452574235938335E-2</v>
      </c>
      <c r="G4">
        <f>1</f>
        <v>1</v>
      </c>
      <c r="H4">
        <f>G4*B4</f>
        <v>5</v>
      </c>
      <c r="I4">
        <f>G4*C4</f>
        <v>128</v>
      </c>
    </row>
    <row r="5" spans="2:9" x14ac:dyDescent="0.2">
      <c r="D5" t="s">
        <v>9</v>
      </c>
      <c r="H5">
        <f>H3+H4</f>
        <v>19.5028134327654</v>
      </c>
      <c r="I5">
        <f>I3+I4</f>
        <v>365.84614029735258</v>
      </c>
    </row>
    <row r="6" spans="2:9" x14ac:dyDescent="0.2">
      <c r="H6">
        <f>1000/H5</f>
        <v>51.274653446664544</v>
      </c>
      <c r="I6">
        <f>H6*I5</f>
        <v>18758.63405854657</v>
      </c>
    </row>
    <row r="7" spans="2:9" x14ac:dyDescent="0.2">
      <c r="I7">
        <f>I6/0.8</f>
        <v>23448.292573183211</v>
      </c>
    </row>
    <row r="9" spans="2:9" x14ac:dyDescent="0.2">
      <c r="C9" t="s">
        <v>14</v>
      </c>
      <c r="D9" t="s">
        <v>15</v>
      </c>
    </row>
    <row r="10" spans="2:9" x14ac:dyDescent="0.2">
      <c r="C10">
        <v>2.85</v>
      </c>
      <c r="D10">
        <v>0.65</v>
      </c>
    </row>
    <row r="13" spans="2:9" x14ac:dyDescent="0.2">
      <c r="B13" t="s">
        <v>17</v>
      </c>
      <c r="C13">
        <v>619.98500000000001</v>
      </c>
      <c r="D13">
        <f>C13/(6.02214*10^23)</f>
        <v>1.0295094434868669E-21</v>
      </c>
      <c r="E13">
        <f>D13/D14</f>
        <v>3.9438817234523791</v>
      </c>
    </row>
    <row r="14" spans="2:9" x14ac:dyDescent="0.2">
      <c r="B14" t="s">
        <v>16</v>
      </c>
      <c r="C14">
        <v>6.391</v>
      </c>
      <c r="D14">
        <f>(6.391*10^-8)^3</f>
        <v>2.610396344710001E-22</v>
      </c>
    </row>
    <row r="17" spans="3:9" x14ac:dyDescent="0.2">
      <c r="C17" t="s">
        <v>106</v>
      </c>
      <c r="D17" t="s">
        <v>105</v>
      </c>
    </row>
    <row r="18" spans="3:9" x14ac:dyDescent="0.2">
      <c r="C18" t="s">
        <v>100</v>
      </c>
      <c r="D18">
        <v>14.0067</v>
      </c>
    </row>
    <row r="19" spans="3:9" x14ac:dyDescent="0.2">
      <c r="C19" t="s">
        <v>101</v>
      </c>
      <c r="D19">
        <v>15.9994</v>
      </c>
    </row>
    <row r="20" spans="3:9" x14ac:dyDescent="0.2">
      <c r="C20" t="s">
        <v>102</v>
      </c>
      <c r="D20">
        <v>1.0079400000000001</v>
      </c>
    </row>
    <row r="21" spans="3:9" x14ac:dyDescent="0.2">
      <c r="C21" t="s">
        <v>103</v>
      </c>
      <c r="D21">
        <v>207.2</v>
      </c>
    </row>
    <row r="22" spans="3:9" x14ac:dyDescent="0.2">
      <c r="C22" t="s">
        <v>104</v>
      </c>
      <c r="D22">
        <v>126.90447</v>
      </c>
    </row>
    <row r="23" spans="3:9" x14ac:dyDescent="0.2">
      <c r="C23" t="s">
        <v>110</v>
      </c>
      <c r="D23">
        <v>39.098300000000002</v>
      </c>
      <c r="I23">
        <f>2.97*10^-4*0.8</f>
        <v>2.3760000000000003E-4</v>
      </c>
    </row>
    <row r="24" spans="3:9" x14ac:dyDescent="0.2">
      <c r="I24">
        <f>I23/19320</f>
        <v>1.2298136645962735E-8</v>
      </c>
    </row>
    <row r="25" spans="3:9" x14ac:dyDescent="0.2">
      <c r="C25" t="s">
        <v>107</v>
      </c>
      <c r="D25" t="s">
        <v>108</v>
      </c>
      <c r="E25" t="s">
        <v>109</v>
      </c>
      <c r="F25" t="s">
        <v>117</v>
      </c>
      <c r="H25" t="s">
        <v>120</v>
      </c>
    </row>
    <row r="26" spans="3:9" x14ac:dyDescent="0.2">
      <c r="C26">
        <f>2*(D23+D19+D20)</f>
        <v>112.21128</v>
      </c>
      <c r="D26">
        <f>2*D22</f>
        <v>253.80894000000001</v>
      </c>
      <c r="E26">
        <f>2*(D23+D22)</f>
        <v>332.00554</v>
      </c>
      <c r="F26">
        <f>2*(D19+D20)</f>
        <v>34.014679999999998</v>
      </c>
    </row>
    <row r="27" spans="3:9" x14ac:dyDescent="0.2">
      <c r="C27">
        <f>C26/E26*E27</f>
        <v>0.24340369624936126</v>
      </c>
      <c r="D27">
        <f>D26/E26*E27</f>
        <v>0.55055101534473505</v>
      </c>
      <c r="E27">
        <f>D34</f>
        <v>0.72017158712800666</v>
      </c>
    </row>
    <row r="28" spans="3:9" x14ac:dyDescent="0.2">
      <c r="C28" t="s">
        <v>103</v>
      </c>
      <c r="D28" t="s">
        <v>111</v>
      </c>
      <c r="E28" t="s">
        <v>112</v>
      </c>
      <c r="F28" t="s">
        <v>113</v>
      </c>
    </row>
    <row r="29" spans="3:9" x14ac:dyDescent="0.2">
      <c r="C29">
        <f>D21</f>
        <v>207.2</v>
      </c>
      <c r="D29">
        <f>2*(D20+D18+(3*D19))</f>
        <v>126.02567999999999</v>
      </c>
      <c r="E29">
        <f>D21+(D18+3*(D19))*2</f>
        <v>331.20979999999997</v>
      </c>
      <c r="F29">
        <f>2*D20</f>
        <v>2.0158800000000001</v>
      </c>
    </row>
    <row r="30" spans="3:9" x14ac:dyDescent="0.2">
      <c r="C30">
        <f>C29/E29*E30</f>
        <v>0.44944898436459307</v>
      </c>
      <c r="D30">
        <f>D29/E29*E30</f>
        <v>0.27336927548193635</v>
      </c>
      <c r="E30">
        <v>0.71844550299999999</v>
      </c>
    </row>
    <row r="32" spans="3:9" x14ac:dyDescent="0.2">
      <c r="C32" t="s">
        <v>114</v>
      </c>
      <c r="D32" t="s">
        <v>116</v>
      </c>
      <c r="E32" t="s">
        <v>115</v>
      </c>
      <c r="F32" t="s">
        <v>19</v>
      </c>
    </row>
    <row r="33" spans="2:9" x14ac:dyDescent="0.2">
      <c r="C33">
        <f>E29</f>
        <v>331.20979999999997</v>
      </c>
      <c r="D33">
        <f>E26</f>
        <v>332.00554</v>
      </c>
      <c r="E33">
        <f>(D23+D18+D19*3)*2</f>
        <v>202.2064</v>
      </c>
      <c r="F33">
        <f>D21+2*D22</f>
        <v>461.00894</v>
      </c>
    </row>
    <row r="34" spans="2:9" x14ac:dyDescent="0.2">
      <c r="C34">
        <f>C33/F33</f>
        <v>0.71844550346463987</v>
      </c>
      <c r="D34">
        <f>D33/F33</f>
        <v>0.72017158712800666</v>
      </c>
      <c r="E34">
        <f>E33/F33</f>
        <v>0.43861709059264664</v>
      </c>
      <c r="F34">
        <v>1</v>
      </c>
    </row>
    <row r="36" spans="2:9" x14ac:dyDescent="0.2">
      <c r="C36" t="s">
        <v>118</v>
      </c>
    </row>
    <row r="37" spans="2:9" x14ac:dyDescent="0.2">
      <c r="C37" t="s">
        <v>119</v>
      </c>
    </row>
    <row r="39" spans="2:9" ht="89.25" x14ac:dyDescent="0.2">
      <c r="C39" s="3" t="s">
        <v>121</v>
      </c>
    </row>
    <row r="41" spans="2:9" x14ac:dyDescent="0.2">
      <c r="B41" t="s">
        <v>129</v>
      </c>
      <c r="C41" t="s">
        <v>125</v>
      </c>
      <c r="D41" t="s">
        <v>123</v>
      </c>
      <c r="E41" t="s">
        <v>122</v>
      </c>
      <c r="F41" t="s">
        <v>124</v>
      </c>
      <c r="G41" t="s">
        <v>126</v>
      </c>
      <c r="H41" t="s">
        <v>127</v>
      </c>
      <c r="I41" t="s">
        <v>128</v>
      </c>
    </row>
    <row r="42" spans="2:9" x14ac:dyDescent="0.2">
      <c r="B42" t="s">
        <v>19</v>
      </c>
      <c r="C42">
        <v>5</v>
      </c>
      <c r="D42">
        <v>82</v>
      </c>
      <c r="E42">
        <v>461.101</v>
      </c>
      <c r="F42">
        <f>5/461.101</f>
        <v>1.0843611269548321E-2</v>
      </c>
      <c r="G42">
        <f>F43/F42</f>
        <v>2.9005626865530805</v>
      </c>
      <c r="H42">
        <f>G42*C42</f>
        <v>14.502813432765402</v>
      </c>
      <c r="I42">
        <f>G42*D42</f>
        <v>237.8461402973526</v>
      </c>
    </row>
    <row r="43" spans="2:9" x14ac:dyDescent="0.2">
      <c r="B43" t="s">
        <v>130</v>
      </c>
      <c r="C43">
        <v>5</v>
      </c>
      <c r="D43">
        <v>128</v>
      </c>
      <c r="E43">
        <v>158.96950000000001</v>
      </c>
      <c r="F43">
        <f>5/158.9695</f>
        <v>3.1452574235938335E-2</v>
      </c>
      <c r="G43">
        <f>1</f>
        <v>1</v>
      </c>
      <c r="H43">
        <f>G43*C43</f>
        <v>5</v>
      </c>
      <c r="I43">
        <f>G43*D43</f>
        <v>128</v>
      </c>
    </row>
    <row r="44" spans="2:9" x14ac:dyDescent="0.2">
      <c r="E44" t="s">
        <v>9</v>
      </c>
      <c r="H44">
        <f>H42+H43</f>
        <v>19.5028134327654</v>
      </c>
      <c r="I44">
        <f>I42+I43</f>
        <v>365.84614029735258</v>
      </c>
    </row>
    <row r="45" spans="2:9" x14ac:dyDescent="0.2">
      <c r="H45">
        <f>1000/H44</f>
        <v>51.274653446664544</v>
      </c>
      <c r="I45">
        <f>H45*I44</f>
        <v>18758.63405854657</v>
      </c>
    </row>
    <row r="46" spans="2:9" x14ac:dyDescent="0.2">
      <c r="H46" s="4" t="s">
        <v>56</v>
      </c>
      <c r="I46">
        <f>I45/0.8</f>
        <v>23448.292573183211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49"/>
  <sheetViews>
    <sheetView topLeftCell="D1" workbookViewId="0">
      <selection activeCell="I18" sqref="I18"/>
    </sheetView>
  </sheetViews>
  <sheetFormatPr defaultRowHeight="12.75" x14ac:dyDescent="0.2"/>
  <cols>
    <col min="2" max="2" width="9.5703125" bestFit="1" customWidth="1"/>
    <col min="3" max="3" width="27.42578125" customWidth="1"/>
    <col min="4" max="4" width="19.28515625" bestFit="1" customWidth="1"/>
    <col min="5" max="5" width="19.5703125" bestFit="1" customWidth="1"/>
    <col min="6" max="6" width="15" bestFit="1" customWidth="1"/>
    <col min="7" max="7" width="15.5703125" customWidth="1"/>
    <col min="8" max="8" width="16.7109375" bestFit="1" customWidth="1"/>
    <col min="9" max="9" width="18" bestFit="1" customWidth="1"/>
    <col min="10" max="10" width="27.5703125" customWidth="1"/>
    <col min="11" max="11" width="18.28515625" customWidth="1"/>
    <col min="12" max="12" width="17.42578125" customWidth="1"/>
  </cols>
  <sheetData>
    <row r="4" spans="3:11" ht="38.25" x14ac:dyDescent="0.2">
      <c r="C4" t="s">
        <v>91</v>
      </c>
      <c r="D4" t="s">
        <v>92</v>
      </c>
      <c r="E4" t="s">
        <v>93</v>
      </c>
      <c r="F4" s="3" t="s">
        <v>94</v>
      </c>
      <c r="G4" s="3" t="s">
        <v>95</v>
      </c>
      <c r="H4" s="15" t="s">
        <v>96</v>
      </c>
      <c r="I4" t="s">
        <v>97</v>
      </c>
      <c r="J4" t="s">
        <v>98</v>
      </c>
      <c r="K4" s="3" t="s">
        <v>99</v>
      </c>
    </row>
    <row r="5" spans="3:11" x14ac:dyDescent="0.2">
      <c r="C5" t="s">
        <v>77</v>
      </c>
      <c r="F5">
        <v>1</v>
      </c>
      <c r="H5" s="9">
        <v>1</v>
      </c>
      <c r="K5" s="14">
        <f>H5*I5</f>
        <v>0</v>
      </c>
    </row>
    <row r="6" spans="3:11" x14ac:dyDescent="0.2">
      <c r="C6" t="s">
        <v>19</v>
      </c>
      <c r="F6">
        <v>2.4744591610317346</v>
      </c>
      <c r="G6">
        <v>1.3799999999999999E-3</v>
      </c>
      <c r="H6" s="9">
        <f>F6</f>
        <v>2.4744591610317346</v>
      </c>
      <c r="K6" s="14">
        <f>H6*I6</f>
        <v>0</v>
      </c>
    </row>
    <row r="7" spans="3:11" x14ac:dyDescent="0.2">
      <c r="E7" t="s">
        <v>78</v>
      </c>
      <c r="F7">
        <v>0.67</v>
      </c>
      <c r="H7" s="9">
        <f>F6*$F$7</f>
        <v>1.6578876378912624</v>
      </c>
      <c r="I7">
        <f>40*0.81</f>
        <v>32.400000000000006</v>
      </c>
      <c r="J7" t="s">
        <v>79</v>
      </c>
      <c r="K7" s="14">
        <f>H7*I7</f>
        <v>53.715559467676911</v>
      </c>
    </row>
    <row r="8" spans="3:11" x14ac:dyDescent="0.2">
      <c r="E8" t="s">
        <v>80</v>
      </c>
      <c r="F8">
        <v>0.29099999999999998</v>
      </c>
      <c r="H8" s="9">
        <f t="shared" ref="H8:H10" si="0">F7*$F$7</f>
        <v>0.44890000000000008</v>
      </c>
      <c r="I8">
        <f>900*0.81/1000</f>
        <v>0.72899999999999998</v>
      </c>
      <c r="J8" t="s">
        <v>131</v>
      </c>
      <c r="K8" s="14">
        <f>H8*I8</f>
        <v>0.32724810000000004</v>
      </c>
    </row>
    <row r="9" spans="3:11" x14ac:dyDescent="0.2">
      <c r="E9" t="s">
        <v>81</v>
      </c>
      <c r="F9">
        <v>0.44900000000000001</v>
      </c>
      <c r="H9" s="9">
        <f t="shared" si="0"/>
        <v>0.19497</v>
      </c>
      <c r="I9">
        <f>1840/1000</f>
        <v>1.84</v>
      </c>
      <c r="J9" t="s">
        <v>82</v>
      </c>
      <c r="K9" s="14">
        <f>H9*I9</f>
        <v>0.35874480000000003</v>
      </c>
    </row>
    <row r="10" spans="3:11" x14ac:dyDescent="0.2">
      <c r="E10" t="s">
        <v>83</v>
      </c>
      <c r="F10">
        <v>0.72899999999999998</v>
      </c>
      <c r="H10" s="9">
        <f t="shared" si="0"/>
        <v>0.30083000000000004</v>
      </c>
      <c r="I10">
        <f>123.36/(45*1.51)</f>
        <v>1.8154525386313465</v>
      </c>
      <c r="J10" t="s">
        <v>134</v>
      </c>
      <c r="K10" s="14">
        <f>H10*I10</f>
        <v>0.54614258719646802</v>
      </c>
    </row>
    <row r="11" spans="3:11" x14ac:dyDescent="0.2">
      <c r="D11" t="s">
        <v>84</v>
      </c>
      <c r="F11">
        <f>(F6/G6)*G11</f>
        <v>5.0744343664636302</v>
      </c>
      <c r="G11">
        <v>2.8300000000000001E-3</v>
      </c>
      <c r="H11" s="9">
        <f>F11</f>
        <v>5.0744343664636302</v>
      </c>
      <c r="I11">
        <f>87.8/(10*0.944)</f>
        <v>9.3008474576271194</v>
      </c>
      <c r="J11" t="s">
        <v>135</v>
      </c>
      <c r="K11" s="14">
        <f>H11*I11</f>
        <v>47.196539976218936</v>
      </c>
    </row>
    <row r="12" spans="3:11" x14ac:dyDescent="0.2">
      <c r="C12" t="s">
        <v>33</v>
      </c>
      <c r="F12">
        <v>0.25641134784604208</v>
      </c>
      <c r="G12">
        <v>1.4300000000000001E-4</v>
      </c>
      <c r="H12" s="9">
        <f>F12</f>
        <v>0.25641134784604208</v>
      </c>
      <c r="K12" s="14">
        <f>H12*I17</f>
        <v>6.9889174390462587</v>
      </c>
    </row>
    <row r="13" spans="3:11" x14ac:dyDescent="0.2">
      <c r="E13" t="s">
        <v>85</v>
      </c>
      <c r="F13">
        <v>0.13900000000000001</v>
      </c>
      <c r="H13" s="9">
        <f>F13*$F$12</f>
        <v>3.5641177350599851E-2</v>
      </c>
      <c r="I13">
        <f>400*0.81/25</f>
        <v>12.96</v>
      </c>
      <c r="J13" t="s">
        <v>132</v>
      </c>
      <c r="K13">
        <f>900*0.81/1000</f>
        <v>0.72899999999999998</v>
      </c>
    </row>
    <row r="14" spans="3:11" x14ac:dyDescent="0.2">
      <c r="E14" t="s">
        <v>78</v>
      </c>
      <c r="F14">
        <v>1.04</v>
      </c>
      <c r="H14" s="9">
        <f t="shared" ref="H14:H17" si="1">F14*$F$12</f>
        <v>0.26666780175988375</v>
      </c>
      <c r="I14">
        <f>40*0.81</f>
        <v>32.400000000000006</v>
      </c>
      <c r="J14" t="s">
        <v>79</v>
      </c>
      <c r="K14" s="14">
        <f>H14*I14</f>
        <v>8.6400367770202351</v>
      </c>
    </row>
    <row r="15" spans="3:11" x14ac:dyDescent="0.2">
      <c r="E15" t="s">
        <v>86</v>
      </c>
      <c r="F15">
        <v>0.58099999999999996</v>
      </c>
      <c r="H15" s="9">
        <f t="shared" si="1"/>
        <v>0.14897499309855045</v>
      </c>
      <c r="I15">
        <f>1944*0.81/80</f>
        <v>19.683</v>
      </c>
      <c r="J15" t="s">
        <v>133</v>
      </c>
      <c r="K15" s="14">
        <f>H15*I15</f>
        <v>2.9322747891587686</v>
      </c>
    </row>
    <row r="16" spans="3:11" x14ac:dyDescent="0.2">
      <c r="E16" t="s">
        <v>87</v>
      </c>
      <c r="F16">
        <v>7.31</v>
      </c>
      <c r="H16" s="9">
        <f t="shared" si="1"/>
        <v>1.8743669527545674</v>
      </c>
      <c r="I16">
        <f>0.9*0.82*0.789</f>
        <v>0.58228199999999997</v>
      </c>
      <c r="J16" t="s">
        <v>88</v>
      </c>
      <c r="K16" s="14">
        <f>H16*I16</f>
        <v>1.091410137983835</v>
      </c>
    </row>
    <row r="17" spans="4:11" x14ac:dyDescent="0.2">
      <c r="E17" t="s">
        <v>89</v>
      </c>
      <c r="F17">
        <v>20.8</v>
      </c>
      <c r="H17" s="9">
        <f t="shared" si="1"/>
        <v>5.3333560351976752</v>
      </c>
      <c r="I17">
        <f>485.85/(0.713*25)</f>
        <v>27.256661991584856</v>
      </c>
      <c r="J17" t="s">
        <v>136</v>
      </c>
      <c r="K17" s="14">
        <f>I17*H17</f>
        <v>145.36948273216217</v>
      </c>
    </row>
    <row r="18" spans="4:11" x14ac:dyDescent="0.2">
      <c r="D18" t="s">
        <v>34</v>
      </c>
      <c r="F18">
        <f>(F12/G12)*G18</f>
        <v>20.082567104025671</v>
      </c>
      <c r="G18">
        <v>1.12E-2</v>
      </c>
      <c r="H18" s="9">
        <f>F18</f>
        <v>20.082567104025671</v>
      </c>
      <c r="I18">
        <f>499/(200*0.786)</f>
        <v>3.174300254452926</v>
      </c>
      <c r="J18" t="s">
        <v>90</v>
      </c>
      <c r="K18" s="14">
        <f>H18*I18</f>
        <v>63.748097868376647</v>
      </c>
    </row>
    <row r="19" spans="4:11" x14ac:dyDescent="0.2">
      <c r="J19" s="4" t="s">
        <v>56</v>
      </c>
      <c r="K19" s="14">
        <f>SUM(K7:K18)</f>
        <v>331.64345467484026</v>
      </c>
    </row>
    <row r="42" spans="3:3" x14ac:dyDescent="0.2">
      <c r="C42" s="3"/>
    </row>
    <row r="49" spans="8:8" x14ac:dyDescent="0.2">
      <c r="H49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50"/>
  <sheetViews>
    <sheetView tabSelected="1" workbookViewId="0">
      <selection activeCell="D43" sqref="D43"/>
    </sheetView>
  </sheetViews>
  <sheetFormatPr defaultRowHeight="12.75" x14ac:dyDescent="0.2"/>
  <cols>
    <col min="2" max="2" width="10.140625" bestFit="1" customWidth="1"/>
    <col min="3" max="3" width="20.5703125" customWidth="1"/>
    <col min="4" max="4" width="33.28515625" bestFit="1" customWidth="1"/>
    <col min="5" max="5" width="26.5703125" customWidth="1"/>
    <col min="6" max="6" width="27.7109375" customWidth="1"/>
    <col min="7" max="7" width="30.28515625" customWidth="1"/>
    <col min="8" max="8" width="14.85546875" customWidth="1"/>
    <col min="9" max="9" width="20.42578125" customWidth="1"/>
  </cols>
  <sheetData>
    <row r="2" spans="2:9" ht="25.5" x14ac:dyDescent="0.2">
      <c r="C2" s="6" t="s">
        <v>23</v>
      </c>
      <c r="D2" s="6" t="s">
        <v>24</v>
      </c>
      <c r="E2" s="7" t="s">
        <v>25</v>
      </c>
      <c r="F2" s="6" t="s">
        <v>44</v>
      </c>
      <c r="G2" s="7" t="s">
        <v>26</v>
      </c>
      <c r="H2" s="6" t="s">
        <v>27</v>
      </c>
    </row>
    <row r="3" spans="2:9" x14ac:dyDescent="0.2">
      <c r="B3" t="s">
        <v>62</v>
      </c>
      <c r="C3" s="3" t="s">
        <v>18</v>
      </c>
      <c r="D3" t="s">
        <v>19</v>
      </c>
      <c r="E3" s="4">
        <v>0.3</v>
      </c>
      <c r="F3">
        <v>0.7</v>
      </c>
      <c r="G3" s="8" t="s">
        <v>20</v>
      </c>
      <c r="H3">
        <v>808000</v>
      </c>
    </row>
    <row r="4" spans="2:9" x14ac:dyDescent="0.2">
      <c r="C4" s="3" t="s">
        <v>21</v>
      </c>
      <c r="D4" t="s">
        <v>19</v>
      </c>
      <c r="E4" s="5" t="s">
        <v>22</v>
      </c>
      <c r="F4">
        <v>0.7</v>
      </c>
      <c r="G4" s="8" t="s">
        <v>20</v>
      </c>
      <c r="H4">
        <v>1278000</v>
      </c>
    </row>
    <row r="5" spans="2:9" x14ac:dyDescent="0.2">
      <c r="B5" t="s">
        <v>63</v>
      </c>
      <c r="C5" t="s">
        <v>61</v>
      </c>
      <c r="D5" t="s">
        <v>19</v>
      </c>
      <c r="E5">
        <v>0.3</v>
      </c>
      <c r="F5">
        <v>0.7</v>
      </c>
      <c r="G5" s="8" t="s">
        <v>20</v>
      </c>
      <c r="H5">
        <v>303000</v>
      </c>
    </row>
    <row r="7" spans="2:9" ht="27" customHeight="1" x14ac:dyDescent="0.25">
      <c r="C7" s="10" t="s">
        <v>35</v>
      </c>
      <c r="D7" s="11" t="s">
        <v>36</v>
      </c>
      <c r="E7" s="11" t="s">
        <v>37</v>
      </c>
      <c r="F7" s="11" t="s">
        <v>43</v>
      </c>
      <c r="G7" s="11" t="s">
        <v>45</v>
      </c>
      <c r="H7" s="11" t="s">
        <v>47</v>
      </c>
      <c r="I7" s="11" t="s">
        <v>46</v>
      </c>
    </row>
    <row r="8" spans="2:9" x14ac:dyDescent="0.2">
      <c r="C8" t="s">
        <v>28</v>
      </c>
      <c r="D8" t="s">
        <v>29</v>
      </c>
      <c r="E8" s="8" t="s">
        <v>20</v>
      </c>
      <c r="F8">
        <f>1.38*10^-3</f>
        <v>1.3799999999999999E-3</v>
      </c>
      <c r="G8" s="4">
        <v>96</v>
      </c>
      <c r="H8">
        <v>65.599999999999994</v>
      </c>
      <c r="I8" s="9">
        <f>H8*F8</f>
        <v>9.0527999999999983E-2</v>
      </c>
    </row>
    <row r="9" spans="2:9" x14ac:dyDescent="0.2">
      <c r="C9" t="s">
        <v>30</v>
      </c>
      <c r="D9" t="s">
        <v>31</v>
      </c>
      <c r="E9" s="8" t="s">
        <v>20</v>
      </c>
      <c r="F9">
        <f>2.83*10^-3</f>
        <v>2.8300000000000001E-3</v>
      </c>
      <c r="G9" s="4" t="s">
        <v>32</v>
      </c>
      <c r="H9">
        <v>80.400000000000006</v>
      </c>
      <c r="I9" s="9">
        <f t="shared" ref="I9:I11" si="0">H9*F9</f>
        <v>0.22753200000000001</v>
      </c>
    </row>
    <row r="10" spans="2:9" x14ac:dyDescent="0.2">
      <c r="C10" t="s">
        <v>33</v>
      </c>
      <c r="D10" t="s">
        <v>29</v>
      </c>
      <c r="E10" s="8" t="s">
        <v>20</v>
      </c>
      <c r="F10">
        <f>1.43*10^-4</f>
        <v>1.4300000000000001E-4</v>
      </c>
      <c r="G10" s="4">
        <v>204</v>
      </c>
      <c r="H10">
        <v>3960</v>
      </c>
      <c r="I10" s="9">
        <f t="shared" si="0"/>
        <v>0.56628000000000001</v>
      </c>
    </row>
    <row r="11" spans="2:9" x14ac:dyDescent="0.2">
      <c r="C11" t="s">
        <v>34</v>
      </c>
      <c r="D11" t="s">
        <v>31</v>
      </c>
      <c r="E11" s="8" t="s">
        <v>20</v>
      </c>
      <c r="F11">
        <f>1.12*10^-2</f>
        <v>1.1200000000000002E-2</v>
      </c>
      <c r="G11" s="4" t="s">
        <v>32</v>
      </c>
      <c r="H11">
        <v>61.6</v>
      </c>
      <c r="I11" s="9">
        <f t="shared" si="0"/>
        <v>0.68992000000000009</v>
      </c>
    </row>
    <row r="15" spans="2:9" x14ac:dyDescent="0.2">
      <c r="C15" s="6" t="s">
        <v>40</v>
      </c>
      <c r="D15" s="6" t="s">
        <v>48</v>
      </c>
      <c r="E15" s="6" t="s">
        <v>41</v>
      </c>
      <c r="F15" s="6" t="s">
        <v>42</v>
      </c>
    </row>
    <row r="16" spans="2:9" x14ac:dyDescent="0.2">
      <c r="C16" t="s">
        <v>19</v>
      </c>
      <c r="D16" t="s">
        <v>49</v>
      </c>
      <c r="E16">
        <v>461.00894</v>
      </c>
      <c r="F16">
        <f>(F8*10^3)/E16</f>
        <v>2.9934343572599695E-3</v>
      </c>
    </row>
    <row r="17" spans="3:6" x14ac:dyDescent="0.2">
      <c r="C17" t="s">
        <v>38</v>
      </c>
      <c r="D17" t="s">
        <v>49</v>
      </c>
      <c r="E17">
        <v>158.96951000000001</v>
      </c>
      <c r="F17">
        <f>(F10*10^3)/E17</f>
        <v>8.9954356656191494E-4</v>
      </c>
    </row>
    <row r="18" spans="3:6" x14ac:dyDescent="0.2">
      <c r="C18" t="s">
        <v>39</v>
      </c>
      <c r="D18" t="s">
        <v>50</v>
      </c>
      <c r="E18">
        <v>619.97845000000007</v>
      </c>
      <c r="F18">
        <f>1000/E18</f>
        <v>1.6129592891494855</v>
      </c>
    </row>
    <row r="20" spans="3:6" x14ac:dyDescent="0.2">
      <c r="C20" t="s">
        <v>51</v>
      </c>
    </row>
    <row r="21" spans="3:6" x14ac:dyDescent="0.2">
      <c r="C21">
        <f>F17</f>
        <v>8.9954356656191494E-4</v>
      </c>
      <c r="D21" t="s">
        <v>53</v>
      </c>
    </row>
    <row r="22" spans="3:6" ht="25.5" x14ac:dyDescent="0.2">
      <c r="C22">
        <f>F18/F17</f>
        <v>1793.0863485737204</v>
      </c>
      <c r="D22" s="3" t="s">
        <v>52</v>
      </c>
    </row>
    <row r="24" spans="3:6" x14ac:dyDescent="0.2">
      <c r="C24" s="6" t="s">
        <v>49</v>
      </c>
      <c r="D24" s="6" t="s">
        <v>55</v>
      </c>
      <c r="E24" s="6" t="s">
        <v>54</v>
      </c>
    </row>
    <row r="25" spans="3:6" x14ac:dyDescent="0.2">
      <c r="C25" t="s">
        <v>28</v>
      </c>
      <c r="D25" s="12">
        <f>F8*$C$22</f>
        <v>2.4744591610317341</v>
      </c>
      <c r="E25">
        <f>D25*H8</f>
        <v>162.32452096368175</v>
      </c>
    </row>
    <row r="26" spans="3:6" x14ac:dyDescent="0.2">
      <c r="C26" t="s">
        <v>30</v>
      </c>
      <c r="D26" s="12">
        <f t="shared" ref="D26:D28" si="1">F9*$C$22</f>
        <v>5.0744343664636293</v>
      </c>
      <c r="E26">
        <f t="shared" ref="E26:E28" si="2">D26*H9</f>
        <v>407.98452306367585</v>
      </c>
    </row>
    <row r="27" spans="3:6" x14ac:dyDescent="0.2">
      <c r="C27" t="s">
        <v>33</v>
      </c>
      <c r="D27" s="12">
        <f t="shared" si="1"/>
        <v>0.25641134784604203</v>
      </c>
      <c r="E27">
        <f t="shared" si="2"/>
        <v>1015.3889374703264</v>
      </c>
    </row>
    <row r="28" spans="3:6" x14ac:dyDescent="0.2">
      <c r="C28" t="s">
        <v>34</v>
      </c>
      <c r="D28" s="12">
        <f t="shared" si="1"/>
        <v>20.082567104025671</v>
      </c>
      <c r="E28">
        <f t="shared" si="2"/>
        <v>1237.0861336079813</v>
      </c>
    </row>
    <row r="29" spans="3:6" x14ac:dyDescent="0.2">
      <c r="D29" s="4" t="s">
        <v>56</v>
      </c>
      <c r="E29">
        <f>SUM(E25:E28)</f>
        <v>2822.7841151056655</v>
      </c>
    </row>
    <row r="31" spans="3:6" x14ac:dyDescent="0.2">
      <c r="C31" s="6" t="s">
        <v>58</v>
      </c>
    </row>
    <row r="32" spans="3:6" x14ac:dyDescent="0.2">
      <c r="C32">
        <f>E29</f>
        <v>2822.7841151056655</v>
      </c>
      <c r="D32" t="s">
        <v>57</v>
      </c>
    </row>
    <row r="34" spans="3:7" x14ac:dyDescent="0.2">
      <c r="C34" s="6" t="s">
        <v>64</v>
      </c>
    </row>
    <row r="35" spans="3:7" x14ac:dyDescent="0.2">
      <c r="C35" s="6" t="s">
        <v>59</v>
      </c>
      <c r="D35" t="s">
        <v>27</v>
      </c>
    </row>
    <row r="36" spans="3:7" x14ac:dyDescent="0.2">
      <c r="C36" t="s">
        <v>60</v>
      </c>
      <c r="D36">
        <v>808000</v>
      </c>
    </row>
    <row r="37" spans="3:7" x14ac:dyDescent="0.2">
      <c r="C37" t="s">
        <v>21</v>
      </c>
      <c r="D37">
        <v>1278000</v>
      </c>
    </row>
    <row r="38" spans="3:7" x14ac:dyDescent="0.2">
      <c r="C38" t="s">
        <v>65</v>
      </c>
      <c r="D38">
        <f>D36+D37</f>
        <v>2086000</v>
      </c>
    </row>
    <row r="39" spans="3:7" ht="27" customHeight="1" x14ac:dyDescent="0.2">
      <c r="C39" s="3" t="s">
        <v>66</v>
      </c>
      <c r="D39">
        <f>D38/F8</f>
        <v>1511594202.8985507</v>
      </c>
      <c r="F39" s="3" t="s">
        <v>69</v>
      </c>
      <c r="G39">
        <f>D40/3600000</f>
        <v>1038.9939230902169</v>
      </c>
    </row>
    <row r="40" spans="3:7" ht="25.5" x14ac:dyDescent="0.2">
      <c r="C40" s="3" t="s">
        <v>67</v>
      </c>
      <c r="D40">
        <f>D39*D25</f>
        <v>3740378123.1247807</v>
      </c>
      <c r="F40" t="s">
        <v>68</v>
      </c>
      <c r="G40">
        <f>12.7*G39</f>
        <v>13195.222823245753</v>
      </c>
    </row>
    <row r="42" spans="3:7" x14ac:dyDescent="0.2">
      <c r="C42" s="6" t="s">
        <v>70</v>
      </c>
    </row>
    <row r="43" spans="3:7" x14ac:dyDescent="0.2">
      <c r="C43" s="6" t="s">
        <v>59</v>
      </c>
    </row>
    <row r="44" spans="3:7" x14ac:dyDescent="0.2">
      <c r="C44" t="s">
        <v>60</v>
      </c>
      <c r="D44">
        <v>303000</v>
      </c>
    </row>
    <row r="45" spans="3:7" ht="38.25" x14ac:dyDescent="0.2">
      <c r="C45" s="3" t="s">
        <v>71</v>
      </c>
      <c r="D45">
        <f>D44/F8</f>
        <v>219565217.39130434</v>
      </c>
      <c r="F45" s="3" t="s">
        <v>69</v>
      </c>
      <c r="G45">
        <f>D46/3600000</f>
        <v>150.91810100495482</v>
      </c>
    </row>
    <row r="46" spans="3:7" ht="25.5" x14ac:dyDescent="0.2">
      <c r="C46" s="3" t="s">
        <v>72</v>
      </c>
      <c r="D46">
        <f>D45*D25</f>
        <v>543305163.61783731</v>
      </c>
      <c r="F46" t="s">
        <v>68</v>
      </c>
      <c r="G46">
        <f>12.7*G45</f>
        <v>1916.6598827629261</v>
      </c>
    </row>
    <row r="48" spans="3:7" x14ac:dyDescent="0.2">
      <c r="C48" s="6" t="s">
        <v>73</v>
      </c>
    </row>
    <row r="49" spans="3:4" x14ac:dyDescent="0.2">
      <c r="C49">
        <f>G40+C32</f>
        <v>16018.006938351418</v>
      </c>
      <c r="D49" t="s">
        <v>74</v>
      </c>
    </row>
    <row r="50" spans="3:4" x14ac:dyDescent="0.2">
      <c r="C50">
        <f>C32+G46</f>
        <v>4739.4439978685914</v>
      </c>
      <c r="D50" t="s">
        <v>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Rough Calculation</vt:lpstr>
      <vt:lpstr>Perovskite cost calculations</vt:lpstr>
      <vt:lpstr>Perovskite energy calculations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Philip Bennett</cp:lastModifiedBy>
  <cp:revision>6</cp:revision>
  <dcterms:created xsi:type="dcterms:W3CDTF">2016-09-13T16:32:15Z</dcterms:created>
  <dcterms:modified xsi:type="dcterms:W3CDTF">2017-03-23T15:17:51Z</dcterms:modified>
  <dc:language>en-US</dc:language>
</cp:coreProperties>
</file>