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Spiromeotad\"/>
    </mc:Choice>
  </mc:AlternateContent>
  <bookViews>
    <workbookView xWindow="0" yWindow="0" windowWidth="16380" windowHeight="8190" tabRatio="991"/>
  </bookViews>
  <sheets>
    <sheet name="results" sheetId="1" r:id="rId1"/>
    <sheet name="Spiro-OMeTAD energy calculation" sheetId="2" r:id="rId2"/>
    <sheet name="Spiro-OMeTAD cost calculation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9" i="3" l="1"/>
  <c r="K9" i="3" s="1"/>
  <c r="I16" i="3"/>
  <c r="I13" i="3"/>
  <c r="K4" i="3"/>
  <c r="K5" i="3"/>
  <c r="K6" i="3"/>
  <c r="K7" i="3"/>
  <c r="K8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B10" i="1"/>
  <c r="K23" i="3" l="1"/>
  <c r="E26" i="3" s="1"/>
  <c r="C24" i="2"/>
  <c r="C21" i="2"/>
  <c r="C20" i="2"/>
  <c r="C19" i="2"/>
  <c r="C18" i="2"/>
  <c r="C17" i="2"/>
  <c r="C13" i="2"/>
  <c r="C12" i="2"/>
  <c r="E12" i="2"/>
  <c r="F9" i="2"/>
  <c r="I9" i="2" s="1"/>
  <c r="F8" i="2"/>
  <c r="I8" i="2" s="1"/>
</calcChain>
</file>

<file path=xl/comments1.xml><?xml version="1.0" encoding="utf-8"?>
<comments xmlns="http://schemas.openxmlformats.org/spreadsheetml/2006/main">
  <authors>
    <author>Philip Bennett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Spiro embedded + Chlorobenzene embedded energy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every kg of Spiro requires 13.88kg of solvent also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Spin coating process has a material ratio of 0.3, so the embedded energy in the material after this step is higher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if a kWh takes 12.7 MJ of energy to generate, according to the cited paper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+ manufacturing
</t>
        </r>
      </text>
    </comment>
  </commentList>
</comments>
</file>

<file path=xl/comments2.xml><?xml version="1.0" encoding="utf-8"?>
<comments xmlns="http://schemas.openxmlformats.org/spreadsheetml/2006/main">
  <authors>
    <author>Philip Bennett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For substrate cleaners etc. not incorporated into the layer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Spin coating means only 30% of raw material ends up in the solar panel</t>
        </r>
      </text>
    </comment>
  </commentList>
</comments>
</file>

<file path=xl/sharedStrings.xml><?xml version="1.0" encoding="utf-8"?>
<sst xmlns="http://schemas.openxmlformats.org/spreadsheetml/2006/main" count="98" uniqueCount="90">
  <si>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</si>
  <si>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</si>
  <si>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</si>
  <si>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</si>
  <si>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</si>
  <si>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</si>
  <si>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</si>
  <si>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</si>
  <si>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</si>
  <si>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Spiro-OmeTAD spin coating</t>
  </si>
  <si>
    <t>Spiro-OmeTAD</t>
  </si>
  <si>
    <t>Y</t>
  </si>
  <si>
    <t>Processing</t>
  </si>
  <si>
    <t>Material</t>
  </si>
  <si>
    <t>Material usage ratio</t>
  </si>
  <si>
    <t>Area covered</t>
  </si>
  <si>
    <t>Is energy requirement dependent on layer thickness?</t>
  </si>
  <si>
    <t>Energy (J)</t>
  </si>
  <si>
    <t>Spiro-OMeTAD</t>
  </si>
  <si>
    <t>Hole transport</t>
  </si>
  <si>
    <t>200nm</t>
  </si>
  <si>
    <t>Chlorobenzene</t>
  </si>
  <si>
    <t>Solvent</t>
  </si>
  <si>
    <t>N/a</t>
  </si>
  <si>
    <t xml:space="preserve">Material </t>
  </si>
  <si>
    <t>Usage of material</t>
  </si>
  <si>
    <t>Is material usage dependent on layer thickness?</t>
  </si>
  <si>
    <t>Mass to produce 1m^2 of panel</t>
  </si>
  <si>
    <t>Layer thickness</t>
  </si>
  <si>
    <t>Embedded energy MJ/kg</t>
  </si>
  <si>
    <t>Embedded energy in 1m^2 of panel</t>
  </si>
  <si>
    <t>Embedded material energy in 1kg of solar panel</t>
  </si>
  <si>
    <t>Ratio of Spiro-OMeTAD to Chlorobenzene</t>
  </si>
  <si>
    <t xml:space="preserve">Energy to manufacture 1kg of Spiro-OMeTAD </t>
  </si>
  <si>
    <t>MJ/kg after spin coating</t>
  </si>
  <si>
    <t>MJ/kg in 1kg of Spiro-OMeTAD solution</t>
  </si>
  <si>
    <t xml:space="preserve">J </t>
  </si>
  <si>
    <t>J/kg raw material</t>
  </si>
  <si>
    <t>J/kg Spun material</t>
  </si>
  <si>
    <t>kWh/kg spun material</t>
  </si>
  <si>
    <t>MJ/kg energy Eq spun material</t>
  </si>
  <si>
    <t>Total energy for 1kg of material</t>
  </si>
  <si>
    <t>MJ/kg energy Eq</t>
  </si>
  <si>
    <t>J/kg</t>
  </si>
  <si>
    <t xml:space="preserve">Phenol </t>
  </si>
  <si>
    <t>http://www.ebiochem.com/product/phenol-48</t>
  </si>
  <si>
    <t>Sodium Hydroxide</t>
  </si>
  <si>
    <t>https://www.alibaba.com/showroom/price-for-sodium-hydroxide.html</t>
  </si>
  <si>
    <t>Dimethyl Sulfate</t>
  </si>
  <si>
    <t>https://www.alibaba.com/product-detail/Dimethyl-sulfate-99-77-78-1_503210187.html</t>
  </si>
  <si>
    <t>Potassium iodide</t>
  </si>
  <si>
    <t>http://kaiteda.en.made-in-china.com/product/QvyxMpmJjGRY/China-2017-Most-Competitive-Price-of-Potassium-Iodide.html</t>
  </si>
  <si>
    <t>Potassium iodate</t>
  </si>
  <si>
    <t>http://zbqingxin.en.made-in-china.com/product/JeNEYoODCdRr/China-Hot-Sale-High-Purity-Potassium-Iodate.html</t>
  </si>
  <si>
    <t>Methanol</t>
  </si>
  <si>
    <t>http://www.chemiphase.co.uk/methanol-99-85-virgin-grade/</t>
  </si>
  <si>
    <t>Hydrogen</t>
  </si>
  <si>
    <t>https://www.hydrogen.energy.gov/pdfs/htac_oct13_10_bonner.pdf</t>
  </si>
  <si>
    <t>Sodium methoxide</t>
  </si>
  <si>
    <t>https://www.alibaba.com/showroom/sodium-methoxide-price.html</t>
  </si>
  <si>
    <t>http://www.globalsources.com/si/AS/Anhui-Leafchem/6008848465897/pdtl/Mono-Chloro-Benzene/1080196009.htm</t>
  </si>
  <si>
    <t>Nitric acid</t>
  </si>
  <si>
    <t>Sulfuric acid</t>
  </si>
  <si>
    <t>http://www.ebiochem.com/product/sulfuric-acid-98-8538</t>
  </si>
  <si>
    <t>Bromine</t>
  </si>
  <si>
    <t>https://minerals.usgs.gov/minerals/pubs/commodity/bromine/mcs-2015-bromi.pdf</t>
  </si>
  <si>
    <t>Coal tar</t>
  </si>
  <si>
    <t>http://hszehao.en.made-in-china.com/product/wetxvdlrZjYf/China-High-Temperature-Coal-Tar.html</t>
  </si>
  <si>
    <t>Ethylene glycol</t>
  </si>
  <si>
    <t>http://www.chemicals.co.uk/ethylene-glycol</t>
  </si>
  <si>
    <t>Aniline</t>
  </si>
  <si>
    <t>https://www.icis.com/chemicals/channel-info-chemicals-a-z/</t>
  </si>
  <si>
    <t>Sodium nitrate</t>
  </si>
  <si>
    <t>https://www.alibaba.com/showroom/bulk-sodium-nitrate.html</t>
  </si>
  <si>
    <t>Sulfur dioxide</t>
  </si>
  <si>
    <t>Magnesium</t>
  </si>
  <si>
    <t>http://www.infomine.com/investment/metal-prices/magnesium/</t>
  </si>
  <si>
    <t>Mass for making 1kg raw material (kg)</t>
  </si>
  <si>
    <t>Mass for 1m^2 of panel (kg)</t>
  </si>
  <si>
    <t>Mass to give 1kg of solar panel material (kg)</t>
  </si>
  <si>
    <t>Cost per kg</t>
  </si>
  <si>
    <t>Ref</t>
  </si>
  <si>
    <t>Cost for 1kg solar panel material</t>
  </si>
  <si>
    <t>Total:</t>
  </si>
  <si>
    <t>http://www.chemicals.co.uk/nitric-acid?gclid=CjwKEAjw5M3GBRCTvpK4osqj4X4SJAABRJNCzy_VFM_ADEQdSB4hFaxDRrVgOYEUNSdEx8OZi8gesxoCVA7w_wcB</t>
  </si>
  <si>
    <t>Material usage Ratio</t>
  </si>
  <si>
    <t>Spiro-OMeTAD reactants</t>
  </si>
  <si>
    <t>Total Spiro-OMeTAD cost/kg</t>
  </si>
  <si>
    <t>Hydrochloric acid</t>
  </si>
  <si>
    <t>http://darrantchemicals.co.uk/hydrochloric-acid-36?gclid=CjwKEAjw5M3GBRCTvpK4osqj4X4SJAABRJNCJQpvLbD4KNIaDmOjg_BMtJit6jEkuRPTThTJ5uDpEBoCFPDw_wcB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</si>
</sst>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00"/>
    <numFmt numFmtId="165" formatCode="_-[$$-409]* #,##0.00_ ;_-[$$-409]* \-#,##0.00\ ;_-[$$-409]* &quot;-&quot;??_ ;_-@_ 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0" fontId="6" fillId="0" borderId="0" xfId="1"/>
    <xf numFmtId="0" fontId="3" fillId="0" borderId="0" xfId="0" applyFont="1" applyAlignment="1">
      <alignment horizontal="right"/>
    </xf>
    <xf numFmtId="4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hemiphase.co.uk/methanol-99-85-virgin-gra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50" zoomScaleNormal="150" workbookViewId="0">
      <selection activeCell="B7" sqref="B7"/>
    </sheetView>
  </sheetViews>
  <sheetFormatPr defaultRowHeight="12.75" x14ac:dyDescent="0.2"/>
  <cols>
    <col min="2" max="2" width="12.42578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s="2" t="s">
        <v>3</v>
      </c>
      <c r="B2" s="2">
        <v>1060</v>
      </c>
      <c r="C2" s="2" t="s">
        <v>4</v>
      </c>
    </row>
    <row r="3" spans="1:4" x14ac:dyDescent="0.2">
      <c r="A3" s="2" t="s">
        <v>5</v>
      </c>
      <c r="B3" s="15">
        <v>251.94917251286486</v>
      </c>
      <c r="C3" s="2" t="s">
        <v>6</v>
      </c>
    </row>
    <row r="4" spans="1:4" x14ac:dyDescent="0.2">
      <c r="A4" s="2" t="s">
        <v>7</v>
      </c>
      <c r="B4">
        <v>20161712418.300652</v>
      </c>
      <c r="C4" s="2" t="s">
        <v>8</v>
      </c>
    </row>
    <row r="7" spans="1:4" x14ac:dyDescent="0.2">
      <c r="C7">
        <v>20161.712418300653</v>
      </c>
      <c r="D7" t="s">
        <v>42</v>
      </c>
    </row>
    <row r="8" spans="1:4" x14ac:dyDescent="0.2">
      <c r="C8">
        <v>20161712418.300652</v>
      </c>
      <c r="D8" t="s">
        <v>43</v>
      </c>
    </row>
    <row r="10" spans="1:4" x14ac:dyDescent="0.2">
      <c r="B10">
        <f>52800/0.8</f>
        <v>66000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I24"/>
  <sheetViews>
    <sheetView workbookViewId="0">
      <selection activeCell="I8" sqref="I8"/>
    </sheetView>
  </sheetViews>
  <sheetFormatPr defaultRowHeight="12.75" x14ac:dyDescent="0.2"/>
  <cols>
    <col min="3" max="3" width="23.140625" customWidth="1"/>
    <col min="4" max="4" width="19.140625" customWidth="1"/>
    <col min="5" max="5" width="27.140625" customWidth="1"/>
    <col min="6" max="6" width="16" customWidth="1"/>
    <col min="7" max="7" width="29.7109375" customWidth="1"/>
    <col min="8" max="8" width="13.7109375" customWidth="1"/>
    <col min="9" max="9" width="19.42578125" customWidth="1"/>
  </cols>
  <sheetData>
    <row r="3" spans="3:9" ht="25.5" x14ac:dyDescent="0.2">
      <c r="C3" s="5" t="s">
        <v>12</v>
      </c>
      <c r="D3" s="5" t="s">
        <v>13</v>
      </c>
      <c r="E3" s="6" t="s">
        <v>14</v>
      </c>
      <c r="F3" s="5" t="s">
        <v>15</v>
      </c>
      <c r="G3" s="6" t="s">
        <v>16</v>
      </c>
      <c r="H3" s="5" t="s">
        <v>17</v>
      </c>
    </row>
    <row r="4" spans="3:9" ht="25.5" x14ac:dyDescent="0.2">
      <c r="C4" s="3" t="s">
        <v>9</v>
      </c>
      <c r="D4" t="s">
        <v>10</v>
      </c>
      <c r="E4" s="4">
        <v>0.3</v>
      </c>
      <c r="F4">
        <v>0.7</v>
      </c>
      <c r="G4" t="s">
        <v>11</v>
      </c>
      <c r="H4">
        <v>807000</v>
      </c>
    </row>
    <row r="7" spans="3:9" ht="27" customHeight="1" x14ac:dyDescent="0.25">
      <c r="C7" s="9" t="s">
        <v>24</v>
      </c>
      <c r="D7" s="10" t="s">
        <v>25</v>
      </c>
      <c r="E7" s="10" t="s">
        <v>26</v>
      </c>
      <c r="F7" s="10" t="s">
        <v>27</v>
      </c>
      <c r="G7" s="10" t="s">
        <v>28</v>
      </c>
      <c r="H7" s="10" t="s">
        <v>29</v>
      </c>
      <c r="I7" s="10" t="s">
        <v>30</v>
      </c>
    </row>
    <row r="8" spans="3:9" x14ac:dyDescent="0.2">
      <c r="C8" t="s">
        <v>18</v>
      </c>
      <c r="D8" t="s">
        <v>19</v>
      </c>
      <c r="E8" s="7" t="s">
        <v>11</v>
      </c>
      <c r="F8">
        <f>8.5*10^-4</f>
        <v>8.5000000000000006E-4</v>
      </c>
      <c r="G8" t="s">
        <v>20</v>
      </c>
      <c r="H8">
        <v>1590</v>
      </c>
      <c r="I8" s="8">
        <f t="shared" ref="I8:I9" si="0">H8*F8</f>
        <v>1.3515000000000001</v>
      </c>
    </row>
    <row r="9" spans="3:9" x14ac:dyDescent="0.2">
      <c r="C9" t="s">
        <v>21</v>
      </c>
      <c r="D9" t="s">
        <v>22</v>
      </c>
      <c r="E9" s="7" t="s">
        <v>11</v>
      </c>
      <c r="F9">
        <f>1.18*10^-2</f>
        <v>1.18E-2</v>
      </c>
      <c r="G9" t="s">
        <v>23</v>
      </c>
      <c r="H9">
        <v>79.900000000000006</v>
      </c>
      <c r="I9" s="8">
        <f t="shared" si="0"/>
        <v>0.94281999999999999</v>
      </c>
    </row>
    <row r="11" spans="3:9" ht="37.5" customHeight="1" x14ac:dyDescent="0.2">
      <c r="C11" s="6" t="s">
        <v>31</v>
      </c>
      <c r="E11" s="6" t="s">
        <v>32</v>
      </c>
    </row>
    <row r="12" spans="3:9" ht="25.5" x14ac:dyDescent="0.2">
      <c r="C12">
        <f>H8+(E12*H9)</f>
        <v>2699.2</v>
      </c>
      <c r="D12" s="3" t="s">
        <v>35</v>
      </c>
      <c r="E12">
        <f>F9/F8</f>
        <v>13.882352941176469</v>
      </c>
    </row>
    <row r="13" spans="3:9" ht="25.5" x14ac:dyDescent="0.2">
      <c r="C13">
        <f>C12/0.3</f>
        <v>8997.3333333333339</v>
      </c>
      <c r="D13" s="3" t="s">
        <v>34</v>
      </c>
    </row>
    <row r="16" spans="3:9" ht="25.5" x14ac:dyDescent="0.2">
      <c r="C16" s="6" t="s">
        <v>33</v>
      </c>
    </row>
    <row r="17" spans="3:5" x14ac:dyDescent="0.2">
      <c r="C17">
        <f>H4</f>
        <v>807000</v>
      </c>
      <c r="D17" t="s">
        <v>36</v>
      </c>
    </row>
    <row r="18" spans="3:5" x14ac:dyDescent="0.2">
      <c r="C18">
        <f>C17/F8</f>
        <v>949411764.70588231</v>
      </c>
      <c r="D18" t="s">
        <v>37</v>
      </c>
    </row>
    <row r="19" spans="3:5" x14ac:dyDescent="0.2">
      <c r="C19">
        <f>C18/0.3</f>
        <v>3164705882.352941</v>
      </c>
      <c r="D19" t="s">
        <v>38</v>
      </c>
      <c r="E19" s="8"/>
    </row>
    <row r="20" spans="3:5" x14ac:dyDescent="0.2">
      <c r="C20">
        <f>C19/3600000</f>
        <v>879.0849673202614</v>
      </c>
      <c r="D20" t="s">
        <v>39</v>
      </c>
    </row>
    <row r="21" spans="3:5" ht="25.5" x14ac:dyDescent="0.2">
      <c r="C21">
        <f>C20*12.7</f>
        <v>11164.379084967319</v>
      </c>
      <c r="D21" s="3" t="s">
        <v>40</v>
      </c>
    </row>
    <row r="23" spans="3:5" ht="25.5" x14ac:dyDescent="0.2">
      <c r="C23" s="6" t="s">
        <v>41</v>
      </c>
    </row>
    <row r="24" spans="3:5" x14ac:dyDescent="0.2">
      <c r="C24">
        <f>C21+C13</f>
        <v>20161.712418300653</v>
      </c>
      <c r="D24" t="s">
        <v>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K26"/>
  <sheetViews>
    <sheetView topLeftCell="A7" workbookViewId="0">
      <selection activeCell="E26" sqref="E26"/>
    </sheetView>
  </sheetViews>
  <sheetFormatPr defaultRowHeight="12.75" x14ac:dyDescent="0.2"/>
  <cols>
    <col min="4" max="4" width="13.85546875" bestFit="1" customWidth="1"/>
    <col min="5" max="5" width="16.5703125" bestFit="1" customWidth="1"/>
    <col min="6" max="6" width="21.140625" customWidth="1"/>
    <col min="7" max="7" width="14.42578125" customWidth="1"/>
    <col min="8" max="8" width="21" customWidth="1"/>
    <col min="10" max="10" width="21.5703125" customWidth="1"/>
    <col min="11" max="11" width="15.7109375" bestFit="1" customWidth="1"/>
  </cols>
  <sheetData>
    <row r="1" spans="4:11" x14ac:dyDescent="0.2">
      <c r="D1" s="5" t="s">
        <v>86</v>
      </c>
    </row>
    <row r="2" spans="4:11" ht="38.25" x14ac:dyDescent="0.2">
      <c r="D2" s="6" t="s">
        <v>85</v>
      </c>
      <c r="E2" s="5" t="s">
        <v>13</v>
      </c>
      <c r="F2" s="6" t="s">
        <v>77</v>
      </c>
      <c r="G2" s="6" t="s">
        <v>78</v>
      </c>
      <c r="H2" s="6" t="s">
        <v>79</v>
      </c>
      <c r="I2" s="6" t="s">
        <v>80</v>
      </c>
      <c r="J2" s="6" t="s">
        <v>81</v>
      </c>
      <c r="K2" s="6" t="s">
        <v>82</v>
      </c>
    </row>
    <row r="3" spans="4:11" x14ac:dyDescent="0.2">
      <c r="E3" t="s">
        <v>44</v>
      </c>
      <c r="F3">
        <v>0.72399999999999998</v>
      </c>
      <c r="H3" s="8">
        <v>2.4133333333333336</v>
      </c>
      <c r="I3">
        <v>18.225000000000001</v>
      </c>
      <c r="J3" t="s">
        <v>45</v>
      </c>
      <c r="K3" s="13">
        <f>I3*H3</f>
        <v>43.983000000000004</v>
      </c>
    </row>
    <row r="4" spans="4:11" x14ac:dyDescent="0.2">
      <c r="E4" t="s">
        <v>46</v>
      </c>
      <c r="F4">
        <v>1.63</v>
      </c>
      <c r="H4" s="8">
        <v>5.4333333333333336</v>
      </c>
      <c r="I4">
        <v>0.30780000000000002</v>
      </c>
      <c r="J4" t="s">
        <v>47</v>
      </c>
      <c r="K4" s="13">
        <f t="shared" ref="K4:K22" si="0">I4*H4</f>
        <v>1.6723800000000002</v>
      </c>
    </row>
    <row r="5" spans="4:11" x14ac:dyDescent="0.2">
      <c r="E5" t="s">
        <v>48</v>
      </c>
      <c r="F5">
        <v>0.48499999999999999</v>
      </c>
      <c r="H5" s="8">
        <v>1.6166666666666667</v>
      </c>
      <c r="I5">
        <v>0.60750000000000004</v>
      </c>
      <c r="J5" t="s">
        <v>49</v>
      </c>
      <c r="K5" s="13">
        <f t="shared" si="0"/>
        <v>0.98212500000000014</v>
      </c>
    </row>
    <row r="6" spans="4:11" x14ac:dyDescent="0.2">
      <c r="E6" t="s">
        <v>50</v>
      </c>
      <c r="F6">
        <v>0.83699999999999997</v>
      </c>
      <c r="H6" s="8">
        <v>2.79</v>
      </c>
      <c r="I6">
        <v>20.25</v>
      </c>
      <c r="J6" t="s">
        <v>51</v>
      </c>
      <c r="K6" s="13">
        <f t="shared" si="0"/>
        <v>56.497500000000002</v>
      </c>
    </row>
    <row r="7" spans="4:11" x14ac:dyDescent="0.2">
      <c r="E7" t="s">
        <v>52</v>
      </c>
      <c r="F7">
        <v>0.41199999999999998</v>
      </c>
      <c r="H7" s="8">
        <v>1.3733333333333333</v>
      </c>
      <c r="I7">
        <v>3.4020000000000001</v>
      </c>
      <c r="J7" t="s">
        <v>53</v>
      </c>
      <c r="K7" s="13">
        <f t="shared" si="0"/>
        <v>4.6720800000000002</v>
      </c>
    </row>
    <row r="8" spans="4:11" ht="15" x14ac:dyDescent="0.25">
      <c r="E8" t="s">
        <v>54</v>
      </c>
      <c r="F8">
        <v>2.4700000000000002</v>
      </c>
      <c r="H8" s="8">
        <v>8.2333333333333343</v>
      </c>
      <c r="I8">
        <v>1.3303153486080315</v>
      </c>
      <c r="J8" s="11" t="s">
        <v>55</v>
      </c>
      <c r="K8" s="13">
        <f t="shared" si="0"/>
        <v>10.952929703539461</v>
      </c>
    </row>
    <row r="9" spans="4:11" x14ac:dyDescent="0.2">
      <c r="E9" t="s">
        <v>88</v>
      </c>
      <c r="F9">
        <v>5.04</v>
      </c>
      <c r="H9" s="8">
        <v>16.8</v>
      </c>
      <c r="I9">
        <f>222/(200*1.1789)</f>
        <v>0.9415556875053015</v>
      </c>
      <c r="J9" t="s">
        <v>89</v>
      </c>
      <c r="K9" s="13">
        <f t="shared" si="0"/>
        <v>15.818135550089066</v>
      </c>
    </row>
    <row r="10" spans="4:11" x14ac:dyDescent="0.2">
      <c r="E10" t="s">
        <v>56</v>
      </c>
      <c r="F10">
        <v>2.9499999999999998E-2</v>
      </c>
      <c r="H10" s="8">
        <v>9.8333333333333328E-2</v>
      </c>
      <c r="I10">
        <v>7</v>
      </c>
      <c r="J10" t="s">
        <v>57</v>
      </c>
      <c r="K10" s="13">
        <f t="shared" si="0"/>
        <v>0.68833333333333324</v>
      </c>
    </row>
    <row r="11" spans="4:11" x14ac:dyDescent="0.2">
      <c r="E11" t="s">
        <v>58</v>
      </c>
      <c r="F11">
        <v>0.27900000000000003</v>
      </c>
      <c r="H11" s="8">
        <v>0.93000000000000016</v>
      </c>
      <c r="I11">
        <v>0.81</v>
      </c>
      <c r="J11" t="s">
        <v>59</v>
      </c>
      <c r="K11" s="13">
        <f t="shared" si="0"/>
        <v>0.75330000000000019</v>
      </c>
    </row>
    <row r="12" spans="4:11" x14ac:dyDescent="0.2">
      <c r="E12" t="s">
        <v>21</v>
      </c>
      <c r="F12">
        <v>0.96599999999999997</v>
      </c>
      <c r="H12" s="8">
        <v>3.22</v>
      </c>
      <c r="I12">
        <v>1.0125000000000002</v>
      </c>
      <c r="J12" t="s">
        <v>60</v>
      </c>
      <c r="K12" s="13">
        <f t="shared" si="0"/>
        <v>3.260250000000001</v>
      </c>
    </row>
    <row r="13" spans="4:11" x14ac:dyDescent="0.2">
      <c r="E13" t="s">
        <v>61</v>
      </c>
      <c r="F13">
        <v>1.08</v>
      </c>
      <c r="H13" s="8">
        <v>3.6000000000000005</v>
      </c>
      <c r="I13">
        <f>123.36/(45*1.51)</f>
        <v>1.8154525386313465</v>
      </c>
      <c r="J13" t="s">
        <v>84</v>
      </c>
      <c r="K13" s="13">
        <f t="shared" si="0"/>
        <v>6.5356291390728485</v>
      </c>
    </row>
    <row r="14" spans="4:11" x14ac:dyDescent="0.2">
      <c r="E14" t="s">
        <v>62</v>
      </c>
      <c r="F14">
        <v>1.62</v>
      </c>
      <c r="H14" s="8">
        <v>5.4</v>
      </c>
      <c r="I14">
        <v>0.12960000000000002</v>
      </c>
      <c r="J14" t="s">
        <v>63</v>
      </c>
      <c r="K14" s="13">
        <f t="shared" si="0"/>
        <v>0.69984000000000013</v>
      </c>
    </row>
    <row r="15" spans="4:11" x14ac:dyDescent="0.2">
      <c r="E15" t="s">
        <v>64</v>
      </c>
      <c r="F15">
        <v>0.60399999999999998</v>
      </c>
      <c r="H15" s="8">
        <v>2.0133333333333332</v>
      </c>
      <c r="I15">
        <v>2.9159999999999999</v>
      </c>
      <c r="J15" t="s">
        <v>65</v>
      </c>
      <c r="K15" s="13">
        <f t="shared" si="0"/>
        <v>5.8708799999999997</v>
      </c>
    </row>
    <row r="16" spans="4:11" x14ac:dyDescent="0.2">
      <c r="E16" t="s">
        <v>66</v>
      </c>
      <c r="F16">
        <v>0.29499999999999998</v>
      </c>
      <c r="H16" s="8">
        <v>0.98333333333333328</v>
      </c>
      <c r="I16">
        <f>364.5/1000</f>
        <v>0.36449999999999999</v>
      </c>
      <c r="J16" t="s">
        <v>67</v>
      </c>
      <c r="K16" s="13">
        <f t="shared" si="0"/>
        <v>0.35842499999999999</v>
      </c>
    </row>
    <row r="17" spans="5:11" x14ac:dyDescent="0.2">
      <c r="E17" t="s">
        <v>68</v>
      </c>
      <c r="F17">
        <v>1.06</v>
      </c>
      <c r="H17" s="8">
        <v>3.5333333333333337</v>
      </c>
      <c r="I17">
        <v>0.43591807881870137</v>
      </c>
      <c r="J17" t="s">
        <v>69</v>
      </c>
      <c r="K17" s="13">
        <f t="shared" si="0"/>
        <v>1.540243878492745</v>
      </c>
    </row>
    <row r="18" spans="5:11" x14ac:dyDescent="0.2">
      <c r="E18" t="s">
        <v>70</v>
      </c>
      <c r="F18">
        <v>0.94399999999999995</v>
      </c>
      <c r="H18" s="8">
        <v>3.1466666666666665</v>
      </c>
      <c r="I18">
        <v>0.67858339653256672</v>
      </c>
      <c r="J18" t="s">
        <v>71</v>
      </c>
      <c r="K18" s="13">
        <f t="shared" si="0"/>
        <v>2.1352757544224765</v>
      </c>
    </row>
    <row r="19" spans="5:11" x14ac:dyDescent="0.2">
      <c r="E19" t="s">
        <v>72</v>
      </c>
      <c r="F19">
        <v>0.221</v>
      </c>
      <c r="H19" s="8">
        <v>0.73666666666666669</v>
      </c>
      <c r="I19">
        <v>0.28349999999999997</v>
      </c>
      <c r="J19" t="s">
        <v>73</v>
      </c>
      <c r="K19" s="13">
        <f t="shared" si="0"/>
        <v>0.20884499999999998</v>
      </c>
    </row>
    <row r="20" spans="5:11" x14ac:dyDescent="0.2">
      <c r="E20" t="s">
        <v>74</v>
      </c>
      <c r="F20">
        <v>0.40699999999999997</v>
      </c>
      <c r="H20" s="8">
        <v>1.3566666666666667</v>
      </c>
      <c r="I20">
        <v>0.32400000000000001</v>
      </c>
      <c r="J20" t="s">
        <v>71</v>
      </c>
      <c r="K20" s="13">
        <f t="shared" si="0"/>
        <v>0.43956000000000001</v>
      </c>
    </row>
    <row r="21" spans="5:11" x14ac:dyDescent="0.2">
      <c r="E21" t="s">
        <v>75</v>
      </c>
      <c r="F21">
        <v>2.6700000000000002E-2</v>
      </c>
      <c r="H21" s="8">
        <v>8.900000000000001E-2</v>
      </c>
      <c r="I21">
        <v>1.7658000000000003</v>
      </c>
      <c r="J21" t="s">
        <v>76</v>
      </c>
      <c r="K21" s="13">
        <f t="shared" si="0"/>
        <v>0.15715620000000005</v>
      </c>
    </row>
    <row r="22" spans="5:11" x14ac:dyDescent="0.2">
      <c r="E22" t="s">
        <v>21</v>
      </c>
      <c r="F22">
        <v>13.882352941176471</v>
      </c>
      <c r="H22" s="8">
        <v>46.274509803921575</v>
      </c>
      <c r="I22">
        <v>1.0125000000000002</v>
      </c>
      <c r="J22" t="s">
        <v>60</v>
      </c>
      <c r="K22" s="13">
        <f t="shared" si="0"/>
        <v>46.852941176470601</v>
      </c>
    </row>
    <row r="23" spans="5:11" x14ac:dyDescent="0.2">
      <c r="J23" s="12" t="s">
        <v>83</v>
      </c>
      <c r="K23" s="13">
        <f>SUM(K3:K22)</f>
        <v>204.07882973542056</v>
      </c>
    </row>
    <row r="25" spans="5:11" x14ac:dyDescent="0.2">
      <c r="E25" t="s">
        <v>87</v>
      </c>
    </row>
    <row r="26" spans="5:11" x14ac:dyDescent="0.2">
      <c r="E26" s="14">
        <f>K23/0.81</f>
        <v>251.94917251286486</v>
      </c>
    </row>
  </sheetData>
  <hyperlinks>
    <hyperlink ref="J8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Spiro-OMeTAD energy calculation</vt:lpstr>
      <vt:lpstr>Spiro-OMeTAD cost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2017-03-23T15:36:28Z</dcterms:modified>
  <dc:language>en-US</dc:language>
</cp:coreProperties>
</file>