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50" firstSheet="4" activeTab="6"/>
  </bookViews>
  <sheets>
    <sheet name="12 Months Cash Flow of Year 1" sheetId="2" r:id="rId1"/>
    <sheet name="4 years cashflow" sheetId="3" r:id="rId2"/>
    <sheet name="Depreciation &amp; Amortization" sheetId="4" r:id="rId3"/>
    <sheet name="12 month Profit and Loss " sheetId="5" r:id="rId4"/>
    <sheet name="4 years Profit and Loss " sheetId="6" r:id="rId5"/>
    <sheet name="Balance Sheet" sheetId="7" r:id="rId6"/>
    <sheet name="Break-even" sheetId="8" r:id="rId7"/>
    <sheet name="NPV &amp; IRR" sheetId="9" r:id="rId8"/>
    <sheet name="Sensitivity Analysis" sheetId="10" r:id="rId9"/>
  </sheets>
  <definedNames>
    <definedName name="_xlchart.v1.0" hidden="1">'NPV &amp; IRR'!$C$12:$F$12</definedName>
    <definedName name="_xlchart.v1.1" hidden="1">'NPV &amp; IRR'!$C$2:$F$2</definedName>
    <definedName name="_xlchart.v1.2" hidden="1">'NPV &amp; IRR'!$C$7:$F$7</definedName>
    <definedName name="_xlchart.v1.3" hidden="1">'NPV &amp; IRR'!$C$12:$F$12</definedName>
    <definedName name="_xlchart.v1.4" hidden="1">'NPV &amp; IRR'!$C$2:$F$2</definedName>
    <definedName name="_xlchart.v1.5" hidden="1">'NPV &amp; IRR'!$C$7:$F$7</definedName>
  </definedNames>
  <calcPr calcId="144525"/>
</workbook>
</file>

<file path=xl/sharedStrings.xml><?xml version="1.0" encoding="utf-8"?>
<sst xmlns="http://schemas.openxmlformats.org/spreadsheetml/2006/main" count="264" uniqueCount="164">
  <si>
    <t>12 Months Cash Flow of Year 1</t>
  </si>
  <si>
    <t>Operating Cash Flow</t>
  </si>
  <si>
    <t>Beginning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</si>
  <si>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</si>
  <si>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</si>
  <si>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</si>
  <si>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</si>
  <si>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</si>
  <si>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</si>
  <si>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</si>
  <si>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</si>
  <si>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</si>
  <si>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</si>
  <si>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</si>
  <si>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</si>
  <si>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Total</t>
  </si>
  <si>
    <t>Operating Inflows</t>
  </si>
  <si>
    <t>Advertisment</t>
  </si>
  <si>
    <t>Sales of books</t>
  </si>
  <si>
    <t>Total of operating inflows</t>
  </si>
  <si>
    <t>Operating Outflows</t>
  </si>
  <si>
    <t>Device cost</t>
  </si>
  <si>
    <t>Software cost</t>
  </si>
  <si>
    <t>Personnel cost</t>
  </si>
  <si>
    <t>Repair of equipment</t>
  </si>
  <si>
    <t>Miscellaneous expenses</t>
  </si>
  <si>
    <t>Rent</t>
  </si>
  <si>
    <t>Staff training</t>
  </si>
  <si>
    <t>Interest</t>
  </si>
  <si>
    <t>Tax</t>
  </si>
  <si>
    <t>Total of operating outflows</t>
  </si>
  <si>
    <t>Investing Cash Flow</t>
  </si>
  <si>
    <t>Investing Inflows</t>
  </si>
  <si>
    <t>Sale of investments(debts, equity)</t>
  </si>
  <si>
    <t>Investment interests</t>
  </si>
  <si>
    <t>Total of investing inflows</t>
  </si>
  <si>
    <t>Investing Outflows</t>
  </si>
  <si>
    <t>Acquisition of investments(debts, equity)</t>
  </si>
  <si>
    <t>Total of investing outflows</t>
  </si>
  <si>
    <t>Financing Cash Flow</t>
  </si>
  <si>
    <t>Financing Inflows</t>
  </si>
  <si>
    <t>Received investiment</t>
  </si>
  <si>
    <t>Borrowed fund</t>
  </si>
  <si>
    <t>Total of financing inflows</t>
  </si>
  <si>
    <t>Financing Outflows</t>
  </si>
  <si>
    <t>Loan repaid</t>
  </si>
  <si>
    <t>Total of financing outflows</t>
  </si>
  <si>
    <t>Total Cash Inflows</t>
  </si>
  <si>
    <t>Total Cash Outflows</t>
  </si>
  <si>
    <t>Total cashflow</t>
  </si>
  <si>
    <t>Cumulative cashflow</t>
  </si>
  <si>
    <t>CashFlow</t>
  </si>
  <si>
    <t>Year1</t>
  </si>
  <si>
    <t>Year2</t>
  </si>
  <si>
    <t>Year3</t>
  </si>
  <si>
    <t>Year4</t>
  </si>
  <si>
    <t xml:space="preserve">Investing Inflows					</t>
  </si>
  <si>
    <t xml:space="preserve">Financing Inflows					</t>
  </si>
  <si>
    <r>
      <rPr>
        <b/>
        <sz val="12"/>
        <color indexed="8"/>
        <rFont val="等线"/>
        <charset val="134"/>
      </rPr>
      <t>Financing</t>
    </r>
    <r>
      <rPr>
        <b/>
        <sz val="12"/>
        <color rgb="FF000000"/>
        <rFont val="等线"/>
        <charset val="134"/>
      </rPr>
      <t xml:space="preserve"> Out</t>
    </r>
    <r>
      <rPr>
        <b/>
        <sz val="12"/>
        <color indexed="8"/>
        <rFont val="等线"/>
        <charset val="134"/>
      </rPr>
      <t xml:space="preserve">flows					</t>
    </r>
  </si>
  <si>
    <t>Cummulative cashflow</t>
  </si>
  <si>
    <t>End of Year</t>
  </si>
  <si>
    <t xml:space="preserve">Depreciation in that year </t>
  </si>
  <si>
    <t>Book Value at end of year</t>
  </si>
  <si>
    <t>￥65,740</t>
  </si>
  <si>
    <t>0.14*￥65,740=￥9,203.61</t>
  </si>
  <si>
    <t>￥56,536.39</t>
  </si>
  <si>
    <t>0.25*￥65,740=￥16,435.00</t>
  </si>
  <si>
    <t>￥40,101.39</t>
  </si>
  <si>
    <t>0.17*￥65,740=￥11,175.80</t>
  </si>
  <si>
    <t>￥28,925.59</t>
  </si>
  <si>
    <t>0.13*￥65,740=￥8,546.20</t>
  </si>
  <si>
    <t>￥20379.39</t>
  </si>
  <si>
    <t>0.09*￥65,740=￥5,916.60</t>
  </si>
  <si>
    <t>￥14,462.79</t>
  </si>
  <si>
    <t>￥8,546.19</t>
  </si>
  <si>
    <t>￥2,629.59</t>
  </si>
  <si>
    <t>0.04*￥65,740=￥2,629.60</t>
  </si>
  <si>
    <t>￥0</t>
  </si>
  <si>
    <t xml:space="preserve">Amortization in that year </t>
  </si>
  <si>
    <t>￥5,500</t>
  </si>
  <si>
    <t>￥1100</t>
  </si>
  <si>
    <t>￥4,400</t>
  </si>
  <si>
    <t>￥3,300</t>
  </si>
  <si>
    <t>￥2,200</t>
  </si>
  <si>
    <t>￥1,100</t>
  </si>
  <si>
    <t xml:space="preserve">12 month Profit and Loss </t>
  </si>
  <si>
    <t>Revenues</t>
  </si>
  <si>
    <t>Produce costs</t>
  </si>
  <si>
    <t>Gross income</t>
  </si>
  <si>
    <t>Depreciation</t>
  </si>
  <si>
    <t>Amortization</t>
  </si>
  <si>
    <t>Operating income</t>
  </si>
  <si>
    <t>Income before taxs</t>
  </si>
  <si>
    <t>Total net income</t>
  </si>
  <si>
    <t xml:space="preserve">4 Years Profit and Loss </t>
  </si>
  <si>
    <t>Balance Sheet</t>
  </si>
  <si>
    <t>Dec.31</t>
  </si>
  <si>
    <t>Year0</t>
  </si>
  <si>
    <t>Assets</t>
  </si>
  <si>
    <t>Current Assets</t>
  </si>
  <si>
    <t>Cash and Cash equivalents</t>
  </si>
  <si>
    <t>Accounts Receivable</t>
  </si>
  <si>
    <t>Inventory</t>
  </si>
  <si>
    <t>Long-term Assets</t>
  </si>
  <si>
    <t>Investiments</t>
  </si>
  <si>
    <t>Fixed Assets</t>
  </si>
  <si>
    <t>Equipments</t>
  </si>
  <si>
    <t>Less: Accu Depreciation</t>
  </si>
  <si>
    <t>Intangible Assets</t>
  </si>
  <si>
    <t>Software</t>
  </si>
  <si>
    <t>Less: Accu Amortization</t>
  </si>
  <si>
    <t>Total Assets</t>
  </si>
  <si>
    <t>Liabilities</t>
  </si>
  <si>
    <t>Current Liabilities</t>
  </si>
  <si>
    <t>Accounts Payable</t>
  </si>
  <si>
    <t>Wages Payable</t>
  </si>
  <si>
    <t>Interest Payable</t>
  </si>
  <si>
    <t>Tax Payable</t>
  </si>
  <si>
    <t>Long term Liabilities</t>
  </si>
  <si>
    <t>Loan</t>
  </si>
  <si>
    <t>Total Liabilities</t>
  </si>
  <si>
    <t>Owner's Equity</t>
  </si>
  <si>
    <t>Paid-in capital</t>
  </si>
  <si>
    <t>Retained Earnings</t>
  </si>
  <si>
    <t>Total Owner's Equity</t>
  </si>
  <si>
    <t>Total Liabilities and Owner's Equity</t>
  </si>
  <si>
    <t>Break Even Analysis</t>
  </si>
  <si>
    <t>Fixed costs</t>
  </si>
  <si>
    <t>Total Fixed Costs (TFC)</t>
  </si>
  <si>
    <t>Variable costs</t>
  </si>
  <si>
    <t>produces costs</t>
  </si>
  <si>
    <t>sales volume</t>
  </si>
  <si>
    <t>Variable Costs per Unit of Production (VCUP)</t>
  </si>
  <si>
    <t xml:space="preserve">Selling Price </t>
  </si>
  <si>
    <t>Total sales of goods</t>
  </si>
  <si>
    <t>Selling Price Per Unit of Production (SUP)</t>
  </si>
  <si>
    <t>BEP = TFC/(SUP - VCUP)</t>
  </si>
  <si>
    <t>Discount rate: 9.5</t>
  </si>
  <si>
    <t>Costs</t>
  </si>
  <si>
    <t>Discount factor</t>
  </si>
  <si>
    <t>Discounted costs</t>
  </si>
  <si>
    <t>Cummulated costs</t>
  </si>
  <si>
    <t>Benefits</t>
  </si>
  <si>
    <t>Discounted benefits</t>
  </si>
  <si>
    <t>Cummulated benefits</t>
  </si>
  <si>
    <t>Difference</t>
  </si>
  <si>
    <t>Benefits - Costs</t>
  </si>
  <si>
    <t>Discounted benefits - Discounted costs</t>
  </si>
  <si>
    <t>Cumulative benefits - Cumulative costs</t>
  </si>
  <si>
    <t>NPV</t>
  </si>
  <si>
    <t>IRR</t>
  </si>
  <si>
    <t>Costs = Benefits after discounting</t>
  </si>
  <si>
    <t>Payback Year</t>
  </si>
  <si>
    <t>Year1(Cumulative benefits - Cumulative costs)&lt;0</t>
  </si>
  <si>
    <t>Year2(Cumulative benefits - Cumulative costs)&gt;0</t>
  </si>
  <si>
    <t>Sensitivity Analysis</t>
  </si>
  <si>
    <t>Factor</t>
  </si>
  <si>
    <t>Undiscounted Value(UV)</t>
  </si>
  <si>
    <t>%change in UV</t>
  </si>
  <si>
    <t>PW(i)</t>
  </si>
  <si>
    <t>%change in PW(i)</t>
  </si>
  <si>
    <t>Average price of services</t>
  </si>
  <si>
    <t>Total of book publishers</t>
  </si>
  <si>
    <t>Miscellaneous and rent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</si>
</sst>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1" formatCode="_ * #,##0_ ;_ * \-#,##0_ ;_ * &quot;-&quot;_ ;_ @_ "/>
    <numFmt numFmtId="177" formatCode="#,##0.00_ "/>
  </numFmts>
  <fonts count="38">
    <font>
      <sz val="12"/>
      <color indexed="8"/>
      <name val="等线"/>
      <charset val="134"/>
    </font>
    <font>
      <b/>
      <sz val="16"/>
      <color theme="0"/>
      <name val="等线"/>
      <charset val="134"/>
    </font>
    <font>
      <b/>
      <sz val="12"/>
      <color indexed="8"/>
      <name val="等线"/>
      <charset val="134"/>
    </font>
    <font>
      <b/>
      <sz val="16"/>
      <color theme="0"/>
      <name val="等线"/>
      <charset val="134"/>
    </font>
    <font>
      <b/>
      <sz val="12"/>
      <color theme="0"/>
      <name val="等线"/>
      <charset val="134"/>
    </font>
    <font>
      <b/>
      <sz val="12"/>
      <color indexed="8"/>
      <name val="等线"/>
      <charset val="134"/>
    </font>
    <font>
      <sz val="12"/>
      <color indexed="8"/>
      <name val="等线"/>
      <charset val="134"/>
    </font>
    <font>
      <b/>
      <sz val="18"/>
      <color theme="0"/>
      <name val="等线"/>
      <charset val="134"/>
    </font>
    <font>
      <b/>
      <sz val="18"/>
      <color theme="0"/>
      <name val="等线"/>
      <charset val="134"/>
    </font>
    <font>
      <b/>
      <sz val="16"/>
      <color indexed="8"/>
      <name val="等线"/>
      <charset val="134"/>
    </font>
    <font>
      <sz val="12"/>
      <color rgb="FF000000"/>
      <name val="等线"/>
      <charset val="134"/>
    </font>
    <font>
      <b/>
      <sz val="14"/>
      <color theme="0"/>
      <name val="等线"/>
      <charset val="134"/>
    </font>
    <font>
      <b/>
      <sz val="14"/>
      <color indexed="8"/>
      <name val="等线"/>
      <charset val="134"/>
    </font>
    <font>
      <b/>
      <sz val="12"/>
      <color theme="8" tint="-0.249977111117893"/>
      <name val="等线"/>
      <charset val="134"/>
    </font>
    <font>
      <b/>
      <sz val="22"/>
      <color indexed="8"/>
      <name val="等线"/>
      <charset val="134"/>
    </font>
    <font>
      <b/>
      <sz val="18"/>
      <color indexed="8"/>
      <name val="等线"/>
      <charset val="134"/>
    </font>
    <font>
      <sz val="14"/>
      <color indexed="8"/>
      <name val="等线"/>
      <charset val="134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2"/>
      <color rgb="FF000000"/>
      <name val="等线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19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8" borderId="11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5" fillId="32" borderId="16" applyNumberFormat="0" applyAlignment="0" applyProtection="0">
      <alignment vertical="center"/>
    </xf>
    <xf numFmtId="0" fontId="31" fillId="32" borderId="12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</cellStyleXfs>
  <cellXfs count="83">
    <xf numFmtId="0" fontId="0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176" fontId="0" fillId="5" borderId="0" xfId="0" applyNumberFormat="1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7" borderId="0" xfId="0" applyFont="1" applyFill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177" fontId="0" fillId="0" borderId="0" xfId="0" applyNumberFormat="1" applyFont="1" applyAlignment="1">
      <alignment vertical="center"/>
    </xf>
    <xf numFmtId="177" fontId="5" fillId="7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9" fontId="0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40" fontId="5" fillId="8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0" fontId="0" fillId="0" borderId="0" xfId="0" applyNumberFormat="1" applyFont="1" applyAlignment="1">
      <alignment vertical="center"/>
    </xf>
    <xf numFmtId="0" fontId="5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right" vertical="center"/>
    </xf>
    <xf numFmtId="40" fontId="5" fillId="7" borderId="0" xfId="0" applyNumberFormat="1" applyFont="1" applyFill="1" applyAlignment="1">
      <alignment horizontal="left" vertical="center"/>
    </xf>
    <xf numFmtId="40" fontId="6" fillId="0" borderId="0" xfId="0" applyNumberFormat="1" applyFont="1" applyAlignment="1">
      <alignment vertical="center"/>
    </xf>
    <xf numFmtId="40" fontId="5" fillId="7" borderId="0" xfId="0" applyNumberFormat="1" applyFont="1" applyFill="1" applyAlignment="1">
      <alignment vertical="center"/>
    </xf>
    <xf numFmtId="40" fontId="6" fillId="7" borderId="0" xfId="0" applyNumberFormat="1" applyFont="1" applyFill="1" applyAlignment="1">
      <alignment vertical="center"/>
    </xf>
    <xf numFmtId="40" fontId="0" fillId="7" borderId="0" xfId="0" applyNumberFormat="1" applyFont="1" applyFill="1" applyAlignment="1">
      <alignment vertical="center"/>
    </xf>
    <xf numFmtId="40" fontId="3" fillId="6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5" fillId="9" borderId="0" xfId="0" applyFont="1" applyFill="1" applyAlignment="1">
      <alignment horizontal="center" vertical="center"/>
    </xf>
    <xf numFmtId="177" fontId="0" fillId="7" borderId="0" xfId="0" applyNumberFormat="1" applyFont="1" applyFill="1" applyAlignment="1">
      <alignment vertical="center"/>
    </xf>
    <xf numFmtId="0" fontId="5" fillId="9" borderId="0" xfId="0" applyFont="1" applyFill="1" applyAlignment="1">
      <alignment vertical="center"/>
    </xf>
    <xf numFmtId="40" fontId="0" fillId="0" borderId="1" xfId="0" applyNumberFormat="1" applyFont="1" applyBorder="1" applyAlignment="1">
      <alignment vertical="center"/>
    </xf>
    <xf numFmtId="40" fontId="10" fillId="0" borderId="2" xfId="0" applyNumberFormat="1" applyFont="1" applyBorder="1" applyAlignment="1">
      <alignment vertical="center"/>
    </xf>
    <xf numFmtId="40" fontId="10" fillId="0" borderId="3" xfId="0" applyNumberFormat="1" applyFont="1" applyBorder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right" vertical="center"/>
    </xf>
    <xf numFmtId="0" fontId="0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right"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49" fontId="5" fillId="7" borderId="4" xfId="0" applyNumberFormat="1" applyFont="1" applyFill="1" applyBorder="1" applyAlignment="1">
      <alignment vertical="center"/>
    </xf>
    <xf numFmtId="49" fontId="5" fillId="7" borderId="5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0" fontId="10" fillId="0" borderId="6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0" fontId="6" fillId="7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77" fontId="0" fillId="9" borderId="0" xfId="0" applyNumberFormat="1" applyFont="1" applyFill="1" applyAlignment="1">
      <alignment vertical="center"/>
    </xf>
    <xf numFmtId="0" fontId="14" fillId="0" borderId="7" xfId="0" applyFont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vertical="center"/>
    </xf>
    <xf numFmtId="49" fontId="5" fillId="9" borderId="1" xfId="0" applyNumberFormat="1" applyFont="1" applyFill="1" applyBorder="1" applyAlignment="1">
      <alignment horizontal="center" vertical="center"/>
    </xf>
    <xf numFmtId="49" fontId="5" fillId="7" borderId="4" xfId="0" applyNumberFormat="1" applyFont="1" applyFill="1" applyBorder="1" applyAlignment="1">
      <alignment horizontal="left" vertical="center"/>
    </xf>
    <xf numFmtId="49" fontId="5" fillId="7" borderId="5" xfId="0" applyNumberFormat="1" applyFont="1" applyFill="1" applyBorder="1" applyAlignment="1">
      <alignment horizontal="left" vertical="center"/>
    </xf>
    <xf numFmtId="40" fontId="13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4" fontId="0" fillId="0" borderId="1" xfId="0" applyNumberFormat="1" applyFont="1" applyBorder="1" applyAlignment="1">
      <alignment vertical="center"/>
    </xf>
    <xf numFmtId="49" fontId="0" fillId="7" borderId="1" xfId="0" applyNumberFormat="1" applyFont="1" applyFill="1" applyBorder="1" applyAlignment="1">
      <alignment vertical="center"/>
    </xf>
    <xf numFmtId="40" fontId="0" fillId="7" borderId="1" xfId="0" applyNumberFormat="1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vertical="center"/>
    </xf>
    <xf numFmtId="0" fontId="16" fillId="9" borderId="0" xfId="0" applyFont="1" applyFill="1" applyAlignment="1">
      <alignment vertical="center"/>
    </xf>
    <xf numFmtId="40" fontId="16" fillId="9" borderId="0" xfId="0" applyNumberFormat="1" applyFont="1" applyFill="1" applyAlignment="1">
      <alignment vertical="center"/>
    </xf>
    <xf numFmtId="49" fontId="5" fillId="7" borderId="8" xfId="0" applyNumberFormat="1" applyFont="1" applyFill="1" applyBorder="1" applyAlignment="1">
      <alignment horizontal="left" vertical="center"/>
    </xf>
    <xf numFmtId="49" fontId="7" fillId="6" borderId="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Budget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"Cummulative costs"</c:f>
              <c:strCache>
                <c:ptCount val="1"/>
                <c:pt idx="0">
                  <c:v>Cummulative costs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'NPV &amp; IRR'!$C$2:$F$2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'NPV &amp; IRR'!$C$7:$F$7</c:f>
              <c:numCache>
                <c:formatCode>#,##0.00_ </c:formatCode>
                <c:ptCount val="4"/>
                <c:pt idx="0">
                  <c:v>4498137.23</c:v>
                </c:pt>
                <c:pt idx="1">
                  <c:v>8991425.20260274</c:v>
                </c:pt>
                <c:pt idx="2">
                  <c:v>13260201.8669759</c:v>
                </c:pt>
                <c:pt idx="3">
                  <c:v>17340494.9875564</c:v>
                </c:pt>
              </c:numCache>
            </c:numRef>
          </c:val>
        </c:ser>
        <c:ser>
          <c:idx val="1"/>
          <c:order val="1"/>
          <c:tx>
            <c:strRef>
              <c:f>"Cummulative benefits"</c:f>
              <c:strCache>
                <c:ptCount val="1"/>
                <c:pt idx="0">
                  <c:v>Cummulative benefits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'NPV &amp; IRR'!$C$2:$F$2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'NPV &amp; IRR'!$C$12:$F$12</c:f>
              <c:numCache>
                <c:formatCode>#,##0.00_ </c:formatCode>
                <c:ptCount val="4"/>
                <c:pt idx="0">
                  <c:v>2391240</c:v>
                </c:pt>
                <c:pt idx="1">
                  <c:v>9271968.06392694</c:v>
                </c:pt>
                <c:pt idx="2">
                  <c:v>14538612.0705156</c:v>
                </c:pt>
                <c:pt idx="3">
                  <c:v>19402723.7045973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863072"/>
        <c:axId val="1505773760"/>
      </c:barChart>
      <c:catAx>
        <c:axId val="14908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5773760"/>
        <c:crosses val="autoZero"/>
        <c:auto val="1"/>
        <c:lblAlgn val="ctr"/>
        <c:lblOffset val="100"/>
        <c:noMultiLvlLbl val="0"/>
      </c:catAx>
      <c:valAx>
        <c:axId val="1505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08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Break</a:t>
            </a:r>
            <a:r>
              <a:rPr lang="zh-CN" altLang="en-US"/>
              <a:t> </a:t>
            </a:r>
            <a:r>
              <a:rPr lang="en-US" altLang="zh-CN"/>
              <a:t>Even</a:t>
            </a:r>
            <a:r>
              <a:rPr lang="zh-CN" altLang="en-US"/>
              <a:t> </a:t>
            </a:r>
            <a:r>
              <a:rPr lang="en-US" altLang="zh-CN"/>
              <a:t>Curve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"Cummulative benefits"</c:f>
              <c:strCache>
                <c:ptCount val="1"/>
                <c:pt idx="0">
                  <c:v>Cummulative benefits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'NPV &amp; IRR'!$C$2:$F$2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'NPV &amp; IRR'!$C$12:$F$12</c:f>
              <c:numCache>
                <c:formatCode>#,##0.00_ </c:formatCode>
                <c:ptCount val="4"/>
                <c:pt idx="0">
                  <c:v>2391240</c:v>
                </c:pt>
                <c:pt idx="1">
                  <c:v>9271968.06392694</c:v>
                </c:pt>
                <c:pt idx="2">
                  <c:v>14538612.0705156</c:v>
                </c:pt>
                <c:pt idx="3">
                  <c:v>19402723.7045973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"Cummulative costs"</c:f>
              <c:strCache>
                <c:ptCount val="1"/>
                <c:pt idx="0">
                  <c:v>Cummulative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'NPV &amp; IRR'!$C$2:$F$2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'NPV &amp; IRR'!$C$7:$F$7</c:f>
              <c:numCache>
                <c:formatCode>#,##0.00_ </c:formatCode>
                <c:ptCount val="4"/>
                <c:pt idx="0">
                  <c:v>4498137.23</c:v>
                </c:pt>
                <c:pt idx="1">
                  <c:v>8991425.20260274</c:v>
                </c:pt>
                <c:pt idx="2">
                  <c:v>13260201.8669759</c:v>
                </c:pt>
                <c:pt idx="3">
                  <c:v>17340494.9875564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2552128"/>
        <c:axId val="1432320432"/>
      </c:lineChart>
      <c:catAx>
        <c:axId val="14925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2320432"/>
        <c:crosses val="autoZero"/>
        <c:auto val="1"/>
        <c:lblAlgn val="ctr"/>
        <c:lblOffset val="100"/>
        <c:noMultiLvlLbl val="0"/>
      </c:catAx>
      <c:valAx>
        <c:axId val="14323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25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685165</xdr:colOff>
      <xdr:row>2</xdr:row>
      <xdr:rowOff>116205</xdr:rowOff>
    </xdr:from>
    <xdr:to>
      <xdr:col>9</xdr:col>
      <xdr:colOff>708025</xdr:colOff>
      <xdr:row>20</xdr:row>
      <xdr:rowOff>158750</xdr:rowOff>
    </xdr:to>
    <xdr:pic>
      <xdr:nvPicPr>
        <xdr:cNvPr id="3" name="图片 2" descr="BreakEvenDiagram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65065" y="659130"/>
          <a:ext cx="5890260" cy="3642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869950</xdr:colOff>
      <xdr:row>25</xdr:row>
      <xdr:rowOff>0</xdr:rowOff>
    </xdr:from>
    <xdr:to>
      <xdr:col>4</xdr:col>
      <xdr:colOff>63500</xdr:colOff>
      <xdr:row>42</xdr:row>
      <xdr:rowOff>190500</xdr:rowOff>
    </xdr:to>
    <xdr:graphicFrame>
      <xdr:nvGraphicFramePr>
        <xdr:cNvPr id="2" name="图表 1"/>
        <xdr:cNvGraphicFramePr/>
      </xdr:nvGraphicFramePr>
      <xdr:xfrm>
        <a:off x="869950" y="5207000"/>
        <a:ext cx="5683250" cy="359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889000</xdr:colOff>
      <xdr:row>25</xdr:row>
      <xdr:rowOff>50800</xdr:rowOff>
    </xdr:from>
    <xdr:to>
      <xdr:col>11</xdr:col>
      <xdr:colOff>254000</xdr:colOff>
      <xdr:row>41</xdr:row>
      <xdr:rowOff>101600</xdr:rowOff>
    </xdr:to>
    <xdr:graphicFrame>
      <xdr:nvGraphicFramePr>
        <xdr:cNvPr id="3" name="图表 2"/>
        <xdr:cNvGraphicFramePr/>
      </xdr:nvGraphicFramePr>
      <xdr:xfrm>
        <a:off x="7378700" y="5257800"/>
        <a:ext cx="5969000" cy="325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75" zoomScaleNormal="75" workbookViewId="0">
      <selection activeCell="A36" sqref="$A36:$XFD36"/>
    </sheetView>
  </sheetViews>
  <sheetFormatPr defaultColWidth="11" defaultRowHeight="15.75"/>
  <cols>
    <col min="1" max="1" width="36.8333333333333" customWidth="1"/>
    <col min="2" max="4" width="16.3333333333333" customWidth="1"/>
    <col min="5" max="12" width="14.3333333333333" customWidth="1"/>
    <col min="13" max="13" width="16.3333333333333" customWidth="1"/>
    <col min="14" max="15" width="14.8333333333333" customWidth="1"/>
    <col min="16" max="16" width="13.6666666666667" customWidth="1"/>
  </cols>
  <sheetData>
    <row r="1" ht="37" customHeight="1" spans="1:1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ht="37" customHeight="1" spans="1:15">
      <c r="A2" s="63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ht="21" customHeight="1" spans="1:15">
      <c r="A3" s="65"/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  <c r="K3" s="66" t="s">
        <v>11</v>
      </c>
      <c r="L3" s="66" t="s">
        <v>12</v>
      </c>
      <c r="M3" s="66" t="s">
        <v>13</v>
      </c>
      <c r="N3" s="66" t="s">
        <v>14</v>
      </c>
      <c r="O3" s="66" t="s">
        <v>15</v>
      </c>
    </row>
    <row r="4" spans="1:15">
      <c r="A4" s="67" t="s">
        <v>16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81"/>
    </row>
    <row r="5" ht="18" customHeight="1" spans="1:15">
      <c r="A5" s="55" t="s">
        <v>17</v>
      </c>
      <c r="B5" s="39"/>
      <c r="C5" s="39">
        <v>0</v>
      </c>
      <c r="D5" s="39">
        <v>0</v>
      </c>
      <c r="E5" s="39">
        <v>0</v>
      </c>
      <c r="F5" s="39">
        <v>30000</v>
      </c>
      <c r="G5" s="39">
        <v>30000</v>
      </c>
      <c r="H5" s="39">
        <v>40000</v>
      </c>
      <c r="I5" s="39">
        <v>40000</v>
      </c>
      <c r="J5" s="39">
        <v>50000</v>
      </c>
      <c r="K5" s="39">
        <v>55000</v>
      </c>
      <c r="L5" s="39">
        <v>55000</v>
      </c>
      <c r="M5" s="39">
        <v>60000</v>
      </c>
      <c r="N5" s="39">
        <v>60000</v>
      </c>
      <c r="O5" s="39">
        <f>SUM(C5:N5)</f>
        <v>420000</v>
      </c>
    </row>
    <row r="6" ht="18" customHeight="1" spans="1:15">
      <c r="A6" s="57" t="s">
        <v>18</v>
      </c>
      <c r="B6" s="39"/>
      <c r="C6" s="39">
        <v>0</v>
      </c>
      <c r="D6" s="39">
        <v>0</v>
      </c>
      <c r="E6" s="39">
        <v>0</v>
      </c>
      <c r="F6" s="39">
        <v>150000</v>
      </c>
      <c r="G6" s="39">
        <v>200000</v>
      </c>
      <c r="H6" s="39">
        <v>250000</v>
      </c>
      <c r="I6" s="39">
        <v>350000</v>
      </c>
      <c r="J6" s="39">
        <v>350000</v>
      </c>
      <c r="K6" s="39">
        <v>350000</v>
      </c>
      <c r="L6" s="39">
        <v>400000</v>
      </c>
      <c r="M6" s="39">
        <v>400000</v>
      </c>
      <c r="N6" s="39">
        <v>450000</v>
      </c>
      <c r="O6" s="39">
        <f>SUM(C6:N6)</f>
        <v>2900000</v>
      </c>
    </row>
    <row r="7" ht="18" customHeight="1" spans="1:15">
      <c r="A7" s="58" t="s">
        <v>19</v>
      </c>
      <c r="B7" s="69"/>
      <c r="C7" s="39">
        <v>0</v>
      </c>
      <c r="D7" s="69">
        <v>0</v>
      </c>
      <c r="E7" s="69">
        <v>0</v>
      </c>
      <c r="F7" s="69">
        <f t="shared" ref="F7:O7" si="0">SUM(F5:F6)</f>
        <v>180000</v>
      </c>
      <c r="G7" s="69">
        <f t="shared" si="0"/>
        <v>230000</v>
      </c>
      <c r="H7" s="69">
        <f t="shared" si="0"/>
        <v>290000</v>
      </c>
      <c r="I7" s="69">
        <f t="shared" si="0"/>
        <v>390000</v>
      </c>
      <c r="J7" s="69">
        <f t="shared" si="0"/>
        <v>400000</v>
      </c>
      <c r="K7" s="69">
        <f t="shared" si="0"/>
        <v>405000</v>
      </c>
      <c r="L7" s="69">
        <f t="shared" si="0"/>
        <v>455000</v>
      </c>
      <c r="M7" s="69">
        <f t="shared" si="0"/>
        <v>460000</v>
      </c>
      <c r="N7" s="69">
        <f t="shared" si="0"/>
        <v>510000</v>
      </c>
      <c r="O7" s="69">
        <f t="shared" si="0"/>
        <v>3320000</v>
      </c>
    </row>
    <row r="8" spans="1:15">
      <c r="A8" s="67" t="s">
        <v>20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81"/>
    </row>
    <row r="9" ht="18" customHeight="1" spans="1:15">
      <c r="A9" s="55" t="s">
        <v>21</v>
      </c>
      <c r="B9" s="39">
        <v>65740</v>
      </c>
      <c r="C9" s="39">
        <v>0</v>
      </c>
      <c r="D9" s="39">
        <v>0</v>
      </c>
      <c r="E9" s="39">
        <v>0</v>
      </c>
      <c r="F9" s="12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65740</v>
      </c>
    </row>
    <row r="10" ht="18" customHeight="1" spans="1:15">
      <c r="A10" s="55" t="s">
        <v>22</v>
      </c>
      <c r="B10" s="39">
        <v>5500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5500</v>
      </c>
    </row>
    <row r="11" ht="18" customHeight="1" spans="1:15">
      <c r="A11" s="55" t="s">
        <v>23</v>
      </c>
      <c r="B11" s="39"/>
      <c r="C11" s="39">
        <v>299000</v>
      </c>
      <c r="D11" s="39">
        <v>299000</v>
      </c>
      <c r="E11" s="39">
        <v>299000</v>
      </c>
      <c r="F11" s="39">
        <v>299000</v>
      </c>
      <c r="G11" s="39">
        <v>299000</v>
      </c>
      <c r="H11" s="39">
        <v>299000</v>
      </c>
      <c r="I11" s="39">
        <v>299000</v>
      </c>
      <c r="J11" s="39">
        <v>299000</v>
      </c>
      <c r="K11" s="39">
        <v>299000</v>
      </c>
      <c r="L11" s="39">
        <v>299000</v>
      </c>
      <c r="M11" s="39">
        <v>299000</v>
      </c>
      <c r="N11" s="39">
        <v>299000</v>
      </c>
      <c r="O11" s="39">
        <v>3588000</v>
      </c>
    </row>
    <row r="12" ht="18" customHeight="1" spans="1:15">
      <c r="A12" s="55" t="s">
        <v>24</v>
      </c>
      <c r="B12" s="39"/>
      <c r="C12" s="39">
        <v>0</v>
      </c>
      <c r="D12" s="39">
        <v>800</v>
      </c>
      <c r="E12" s="39">
        <v>2000</v>
      </c>
      <c r="F12" s="39">
        <v>2000</v>
      </c>
      <c r="G12" s="39">
        <v>1000</v>
      </c>
      <c r="H12" s="39">
        <v>500</v>
      </c>
      <c r="I12" s="39">
        <v>2500</v>
      </c>
      <c r="J12" s="39">
        <v>1500</v>
      </c>
      <c r="K12" s="39">
        <v>1500</v>
      </c>
      <c r="L12" s="39">
        <v>3000</v>
      </c>
      <c r="M12" s="39">
        <v>1000</v>
      </c>
      <c r="N12" s="39">
        <v>2500</v>
      </c>
      <c r="O12" s="39">
        <f>SUM(C12:N12)</f>
        <v>18300</v>
      </c>
    </row>
    <row r="13" ht="18" customHeight="1" spans="1:15">
      <c r="A13" s="55" t="s">
        <v>25</v>
      </c>
      <c r="B13" s="39"/>
      <c r="C13" s="39">
        <v>18000</v>
      </c>
      <c r="D13" s="39">
        <v>15000</v>
      </c>
      <c r="E13" s="39">
        <v>15000</v>
      </c>
      <c r="F13" s="39">
        <v>15000</v>
      </c>
      <c r="G13" s="39">
        <v>16000</v>
      </c>
      <c r="H13" s="39">
        <v>15000</v>
      </c>
      <c r="I13" s="39">
        <v>12000</v>
      </c>
      <c r="J13" s="39">
        <v>12000</v>
      </c>
      <c r="K13" s="39">
        <v>15000</v>
      </c>
      <c r="L13" s="39">
        <v>18000</v>
      </c>
      <c r="M13" s="39">
        <v>14000</v>
      </c>
      <c r="N13" s="39">
        <v>15000</v>
      </c>
      <c r="O13" s="39">
        <f>SUM(C13:N13)</f>
        <v>180000</v>
      </c>
    </row>
    <row r="14" ht="18" customHeight="1" spans="1:15">
      <c r="A14" s="55" t="s">
        <v>26</v>
      </c>
      <c r="B14" s="39"/>
      <c r="C14" s="39">
        <v>30000</v>
      </c>
      <c r="D14" s="39">
        <v>30000</v>
      </c>
      <c r="E14" s="39">
        <v>30000</v>
      </c>
      <c r="F14" s="39">
        <v>30000</v>
      </c>
      <c r="G14" s="39">
        <v>30000</v>
      </c>
      <c r="H14" s="39">
        <v>30000</v>
      </c>
      <c r="I14" s="39">
        <v>30000</v>
      </c>
      <c r="J14" s="39">
        <v>30000</v>
      </c>
      <c r="K14" s="39">
        <v>30000</v>
      </c>
      <c r="L14" s="39">
        <v>30000</v>
      </c>
      <c r="M14" s="39">
        <v>30000</v>
      </c>
      <c r="N14" s="39">
        <v>30000</v>
      </c>
      <c r="O14" s="39">
        <v>360000</v>
      </c>
    </row>
    <row r="15" ht="18" customHeight="1" spans="1:16">
      <c r="A15" s="55" t="s">
        <v>27</v>
      </c>
      <c r="B15" s="39"/>
      <c r="C15" s="39">
        <v>30000</v>
      </c>
      <c r="D15" s="39">
        <v>30000</v>
      </c>
      <c r="E15" s="39">
        <v>30000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90000</v>
      </c>
      <c r="P15" s="23"/>
    </row>
    <row r="16" ht="18" customHeight="1" spans="1:16">
      <c r="A16" s="57" t="s">
        <v>28</v>
      </c>
      <c r="B16" s="39"/>
      <c r="C16" s="39">
        <v>2375</v>
      </c>
      <c r="D16" s="39">
        <v>2313.49</v>
      </c>
      <c r="E16" s="39">
        <v>2251.73</v>
      </c>
      <c r="F16" s="39">
        <v>2189.73</v>
      </c>
      <c r="G16" s="39">
        <v>2127.48</v>
      </c>
      <c r="H16" s="39">
        <v>2064.99</v>
      </c>
      <c r="I16" s="39">
        <v>2002.25</v>
      </c>
      <c r="J16" s="39">
        <v>1939.26</v>
      </c>
      <c r="K16" s="39">
        <v>1876.02</v>
      </c>
      <c r="L16" s="39">
        <v>1812.53</v>
      </c>
      <c r="M16" s="39">
        <v>1748.79</v>
      </c>
      <c r="N16" s="39">
        <v>1684.8</v>
      </c>
      <c r="O16" s="39">
        <f>SUM(C16:N16)</f>
        <v>24386.07</v>
      </c>
      <c r="P16" s="23"/>
    </row>
    <row r="17" ht="18" customHeight="1" spans="1:15">
      <c r="A17" s="55" t="s">
        <v>29</v>
      </c>
      <c r="B17" s="39"/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f>(I7-I9-I10-I11-I12-I13-I14-I15-I16)*25%</f>
        <v>11124.4375</v>
      </c>
      <c r="J17" s="39">
        <f t="shared" ref="J17:N17" si="1">(J7-J9-J10-J11-J12-J13-J14-J15-J16)*25%</f>
        <v>13890.185</v>
      </c>
      <c r="K17" s="39">
        <f t="shared" si="1"/>
        <v>14405.995</v>
      </c>
      <c r="L17" s="39">
        <f t="shared" si="1"/>
        <v>25796.8675</v>
      </c>
      <c r="M17" s="39">
        <f t="shared" si="1"/>
        <v>28562.8025</v>
      </c>
      <c r="N17" s="39">
        <f t="shared" si="1"/>
        <v>40453.8</v>
      </c>
      <c r="O17" s="39">
        <f>SUM(C17:N17)</f>
        <v>134234.0875</v>
      </c>
    </row>
    <row r="18" ht="18" customHeight="1" spans="1:15">
      <c r="A18" s="58" t="s">
        <v>30</v>
      </c>
      <c r="B18" s="69"/>
      <c r="C18" s="69">
        <f t="shared" ref="C18:O18" si="2">SUM(C9:C15)</f>
        <v>377000</v>
      </c>
      <c r="D18" s="69">
        <f t="shared" si="2"/>
        <v>374800</v>
      </c>
      <c r="E18" s="69">
        <f t="shared" si="2"/>
        <v>376000</v>
      </c>
      <c r="F18" s="69">
        <f t="shared" si="2"/>
        <v>346000</v>
      </c>
      <c r="G18" s="69">
        <f t="shared" si="2"/>
        <v>346000</v>
      </c>
      <c r="H18" s="69">
        <f t="shared" si="2"/>
        <v>344500</v>
      </c>
      <c r="I18" s="69">
        <f t="shared" si="2"/>
        <v>343500</v>
      </c>
      <c r="J18" s="69">
        <f t="shared" si="2"/>
        <v>342500</v>
      </c>
      <c r="K18" s="69">
        <f t="shared" si="2"/>
        <v>345500</v>
      </c>
      <c r="L18" s="69">
        <f t="shared" si="2"/>
        <v>350000</v>
      </c>
      <c r="M18" s="69">
        <f t="shared" si="2"/>
        <v>344000</v>
      </c>
      <c r="N18" s="69">
        <f t="shared" si="2"/>
        <v>346500</v>
      </c>
      <c r="O18" s="69">
        <f t="shared" si="2"/>
        <v>4307540</v>
      </c>
    </row>
    <row r="19" spans="1:1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</row>
    <row r="20" ht="38" customHeight="1" spans="1:15">
      <c r="A20" s="71" t="s">
        <v>31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82"/>
    </row>
    <row r="21" spans="1:15">
      <c r="A21" s="67" t="s">
        <v>32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81"/>
    </row>
    <row r="22" ht="18" customHeight="1" spans="1:15">
      <c r="A22" s="55" t="s">
        <v>33</v>
      </c>
      <c r="B22" s="73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f>SUM(A22:N22)</f>
        <v>0</v>
      </c>
    </row>
    <row r="23" ht="18" customHeight="1" spans="1:15">
      <c r="A23" s="55" t="s">
        <v>34</v>
      </c>
      <c r="B23" s="73"/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f>SUM(B23:N23)</f>
        <v>0</v>
      </c>
    </row>
    <row r="24" ht="18" customHeight="1" spans="1:15">
      <c r="A24" s="58" t="s">
        <v>35</v>
      </c>
      <c r="B24" s="74"/>
      <c r="C24" s="69">
        <f t="shared" ref="C24:O24" si="3">SUM(C22:C23)</f>
        <v>0</v>
      </c>
      <c r="D24" s="69">
        <f t="shared" si="3"/>
        <v>0</v>
      </c>
      <c r="E24" s="69">
        <f t="shared" si="3"/>
        <v>0</v>
      </c>
      <c r="F24" s="69">
        <f t="shared" si="3"/>
        <v>0</v>
      </c>
      <c r="G24" s="69">
        <f t="shared" si="3"/>
        <v>0</v>
      </c>
      <c r="H24" s="69">
        <f t="shared" si="3"/>
        <v>0</v>
      </c>
      <c r="I24" s="69">
        <f t="shared" si="3"/>
        <v>0</v>
      </c>
      <c r="J24" s="69">
        <f t="shared" si="3"/>
        <v>0</v>
      </c>
      <c r="K24" s="69">
        <f t="shared" si="3"/>
        <v>0</v>
      </c>
      <c r="L24" s="69">
        <f t="shared" si="3"/>
        <v>0</v>
      </c>
      <c r="M24" s="69">
        <f t="shared" si="3"/>
        <v>0</v>
      </c>
      <c r="N24" s="69">
        <f t="shared" si="3"/>
        <v>0</v>
      </c>
      <c r="O24" s="69">
        <f t="shared" si="3"/>
        <v>0</v>
      </c>
    </row>
    <row r="25" spans="1:15">
      <c r="A25" s="67" t="s">
        <v>36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81"/>
    </row>
    <row r="26" ht="18" customHeight="1" spans="1:15">
      <c r="A26" s="55" t="s">
        <v>37</v>
      </c>
      <c r="B26" s="70"/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f>SUM(C26:N26)</f>
        <v>0</v>
      </c>
    </row>
    <row r="27" ht="18" customHeight="1" spans="1:15">
      <c r="A27" s="58" t="s">
        <v>38</v>
      </c>
      <c r="B27" s="74"/>
      <c r="C27" s="69">
        <f t="shared" ref="C27:N27" si="4">SUM(C26)</f>
        <v>0</v>
      </c>
      <c r="D27" s="69">
        <f t="shared" si="4"/>
        <v>0</v>
      </c>
      <c r="E27" s="69">
        <f t="shared" si="4"/>
        <v>0</v>
      </c>
      <c r="F27" s="69">
        <f t="shared" si="4"/>
        <v>0</v>
      </c>
      <c r="G27" s="69">
        <f t="shared" si="4"/>
        <v>0</v>
      </c>
      <c r="H27" s="69">
        <f t="shared" si="4"/>
        <v>0</v>
      </c>
      <c r="I27" s="69">
        <f t="shared" si="4"/>
        <v>0</v>
      </c>
      <c r="J27" s="69">
        <f t="shared" si="4"/>
        <v>0</v>
      </c>
      <c r="K27" s="69">
        <f t="shared" si="4"/>
        <v>0</v>
      </c>
      <c r="L27" s="69">
        <f t="shared" si="4"/>
        <v>0</v>
      </c>
      <c r="M27" s="69">
        <f t="shared" si="4"/>
        <v>0</v>
      </c>
      <c r="N27" s="69">
        <f t="shared" si="4"/>
        <v>0</v>
      </c>
      <c r="O27" s="69">
        <f>SUM(C27:N27)</f>
        <v>0</v>
      </c>
    </row>
    <row r="28" spans="1:15">
      <c r="A28" s="70"/>
      <c r="B28" s="70"/>
      <c r="C28" s="70"/>
      <c r="D28" s="70"/>
      <c r="E28" s="70"/>
      <c r="F28" s="70"/>
      <c r="G28" s="70"/>
      <c r="H28" s="75"/>
      <c r="I28" s="70"/>
      <c r="J28" s="70"/>
      <c r="K28" s="70"/>
      <c r="L28" s="70"/>
      <c r="M28" s="70"/>
      <c r="N28" s="70"/>
      <c r="O28" s="70"/>
    </row>
    <row r="29" ht="37" customHeight="1" spans="1:15">
      <c r="A29" s="71" t="s">
        <v>39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82"/>
    </row>
    <row r="30" spans="1:15">
      <c r="A30" s="67" t="s">
        <v>40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81"/>
    </row>
    <row r="31" ht="18" customHeight="1" spans="1:15">
      <c r="A31" s="55" t="s">
        <v>41</v>
      </c>
      <c r="B31" s="39">
        <v>400000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f>SUM(B31:N31)</f>
        <v>400000</v>
      </c>
    </row>
    <row r="32" ht="18" customHeight="1" spans="1:15">
      <c r="A32" s="55" t="s">
        <v>42</v>
      </c>
      <c r="B32" s="39">
        <v>600000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f>SUM(B32:N32)</f>
        <v>600000</v>
      </c>
    </row>
    <row r="33" ht="18" customHeight="1" spans="1:15">
      <c r="A33" s="58" t="s">
        <v>43</v>
      </c>
      <c r="B33" s="69">
        <f t="shared" ref="B33:N33" si="5">SUM(B31:B32)</f>
        <v>1000000</v>
      </c>
      <c r="C33" s="69">
        <f t="shared" si="5"/>
        <v>0</v>
      </c>
      <c r="D33" s="69">
        <f t="shared" si="5"/>
        <v>0</v>
      </c>
      <c r="E33" s="69">
        <f t="shared" si="5"/>
        <v>0</v>
      </c>
      <c r="F33" s="69">
        <f t="shared" si="5"/>
        <v>0</v>
      </c>
      <c r="G33" s="69">
        <f t="shared" si="5"/>
        <v>0</v>
      </c>
      <c r="H33" s="69">
        <f t="shared" si="5"/>
        <v>0</v>
      </c>
      <c r="I33" s="69">
        <f t="shared" si="5"/>
        <v>0</v>
      </c>
      <c r="J33" s="69">
        <f t="shared" si="5"/>
        <v>0</v>
      </c>
      <c r="K33" s="69">
        <f t="shared" si="5"/>
        <v>0</v>
      </c>
      <c r="L33" s="69">
        <f t="shared" si="5"/>
        <v>0</v>
      </c>
      <c r="M33" s="69">
        <f t="shared" si="5"/>
        <v>0</v>
      </c>
      <c r="N33" s="69">
        <f t="shared" si="5"/>
        <v>0</v>
      </c>
      <c r="O33" s="69">
        <f>SUM(B33:N33)</f>
        <v>1000000</v>
      </c>
    </row>
    <row r="34" spans="1:15">
      <c r="A34" s="67" t="s">
        <v>44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81"/>
    </row>
    <row r="35" ht="18" customHeight="1" spans="1:15">
      <c r="A35" s="55" t="s">
        <v>45</v>
      </c>
      <c r="B35" s="39"/>
      <c r="C35" s="39">
        <v>15540.27</v>
      </c>
      <c r="D35" s="39">
        <v>15601.79</v>
      </c>
      <c r="E35" s="39">
        <v>15663.54</v>
      </c>
      <c r="F35" s="39">
        <v>15725.55</v>
      </c>
      <c r="G35" s="39">
        <v>15787.79</v>
      </c>
      <c r="H35" s="39">
        <v>15850.29</v>
      </c>
      <c r="I35" s="39">
        <v>15913.03</v>
      </c>
      <c r="J35" s="39">
        <v>15976.02</v>
      </c>
      <c r="K35" s="39">
        <v>16039.25</v>
      </c>
      <c r="L35" s="39">
        <v>16102.74</v>
      </c>
      <c r="M35" s="39">
        <v>16166.48</v>
      </c>
      <c r="N35" s="39">
        <v>16230.48</v>
      </c>
      <c r="O35" s="39">
        <f>SUM(C35:N35)</f>
        <v>190597.23</v>
      </c>
    </row>
    <row r="36" ht="18" customHeight="1" spans="1:15">
      <c r="A36" s="58" t="s">
        <v>46</v>
      </c>
      <c r="B36" s="39"/>
      <c r="C36" s="39">
        <f t="shared" ref="C36:O36" si="6">SUM(C35:C35)</f>
        <v>15540.27</v>
      </c>
      <c r="D36" s="39">
        <f t="shared" si="6"/>
        <v>15601.79</v>
      </c>
      <c r="E36" s="39">
        <f t="shared" si="6"/>
        <v>15663.54</v>
      </c>
      <c r="F36" s="39">
        <f t="shared" si="6"/>
        <v>15725.55</v>
      </c>
      <c r="G36" s="39">
        <f t="shared" si="6"/>
        <v>15787.79</v>
      </c>
      <c r="H36" s="39">
        <f t="shared" si="6"/>
        <v>15850.29</v>
      </c>
      <c r="I36" s="39">
        <f t="shared" si="6"/>
        <v>15913.03</v>
      </c>
      <c r="J36" s="39">
        <f t="shared" si="6"/>
        <v>15976.02</v>
      </c>
      <c r="K36" s="39">
        <f t="shared" si="6"/>
        <v>16039.25</v>
      </c>
      <c r="L36" s="39">
        <f t="shared" si="6"/>
        <v>16102.74</v>
      </c>
      <c r="M36" s="39">
        <f t="shared" si="6"/>
        <v>16166.48</v>
      </c>
      <c r="N36" s="39">
        <f t="shared" si="6"/>
        <v>16230.48</v>
      </c>
      <c r="O36" s="39">
        <f t="shared" si="6"/>
        <v>190597.23</v>
      </c>
    </row>
    <row r="37" ht="18" customHeight="1" spans="1:15">
      <c r="A37" s="5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ht="18" customHeight="1" spans="1:15">
      <c r="A38" s="76" t="s">
        <v>47</v>
      </c>
      <c r="B38" s="77"/>
      <c r="C38" s="77">
        <f t="shared" ref="C38:N38" si="7">C7+C24+C33</f>
        <v>0</v>
      </c>
      <c r="D38" s="77">
        <f t="shared" si="7"/>
        <v>0</v>
      </c>
      <c r="E38" s="77">
        <f t="shared" si="7"/>
        <v>0</v>
      </c>
      <c r="F38" s="77">
        <f t="shared" si="7"/>
        <v>180000</v>
      </c>
      <c r="G38" s="77">
        <f t="shared" si="7"/>
        <v>230000</v>
      </c>
      <c r="H38" s="77">
        <f t="shared" si="7"/>
        <v>290000</v>
      </c>
      <c r="I38" s="77">
        <f t="shared" si="7"/>
        <v>390000</v>
      </c>
      <c r="J38" s="77">
        <f t="shared" si="7"/>
        <v>400000</v>
      </c>
      <c r="K38" s="77">
        <f t="shared" si="7"/>
        <v>405000</v>
      </c>
      <c r="L38" s="77">
        <f t="shared" si="7"/>
        <v>455000</v>
      </c>
      <c r="M38" s="77">
        <f t="shared" si="7"/>
        <v>460000</v>
      </c>
      <c r="N38" s="77">
        <f t="shared" si="7"/>
        <v>510000</v>
      </c>
      <c r="O38" s="77">
        <f>SUM(C38:N38)</f>
        <v>3320000</v>
      </c>
    </row>
    <row r="39" ht="18" customHeight="1" spans="1:15">
      <c r="A39" s="76" t="s">
        <v>48</v>
      </c>
      <c r="B39" s="77"/>
      <c r="C39" s="77">
        <f t="shared" ref="C39:N39" si="8">C18+C27+C36</f>
        <v>392540.27</v>
      </c>
      <c r="D39" s="77">
        <f t="shared" si="8"/>
        <v>390401.79</v>
      </c>
      <c r="E39" s="77">
        <f t="shared" si="8"/>
        <v>391663.54</v>
      </c>
      <c r="F39" s="77">
        <f t="shared" si="8"/>
        <v>361725.55</v>
      </c>
      <c r="G39" s="77">
        <f t="shared" si="8"/>
        <v>361787.79</v>
      </c>
      <c r="H39" s="77">
        <f t="shared" si="8"/>
        <v>360350.29</v>
      </c>
      <c r="I39" s="77">
        <f t="shared" si="8"/>
        <v>359413.03</v>
      </c>
      <c r="J39" s="77">
        <f t="shared" si="8"/>
        <v>358476.02</v>
      </c>
      <c r="K39" s="77">
        <f t="shared" si="8"/>
        <v>361539.25</v>
      </c>
      <c r="L39" s="77">
        <f t="shared" si="8"/>
        <v>366102.74</v>
      </c>
      <c r="M39" s="77">
        <f t="shared" si="8"/>
        <v>360166.48</v>
      </c>
      <c r="N39" s="77">
        <f t="shared" si="8"/>
        <v>362730.48</v>
      </c>
      <c r="O39" s="32">
        <f>SUM(C39:N39)</f>
        <v>4426897.23</v>
      </c>
    </row>
    <row r="40" ht="18" customHeight="1" spans="1:15">
      <c r="A40" s="78" t="s">
        <v>49</v>
      </c>
      <c r="B40" s="77">
        <f>1000000+B33-B9-B10</f>
        <v>1928760</v>
      </c>
      <c r="C40" s="77">
        <f t="shared" ref="C40:O40" si="9">C38-C39</f>
        <v>-392540.27</v>
      </c>
      <c r="D40" s="77">
        <f t="shared" si="9"/>
        <v>-390401.79</v>
      </c>
      <c r="E40" s="77">
        <f t="shared" si="9"/>
        <v>-391663.54</v>
      </c>
      <c r="F40" s="77">
        <f t="shared" si="9"/>
        <v>-181725.55</v>
      </c>
      <c r="G40" s="77">
        <f t="shared" si="9"/>
        <v>-131787.79</v>
      </c>
      <c r="H40" s="77">
        <f t="shared" si="9"/>
        <v>-70350.29</v>
      </c>
      <c r="I40" s="77">
        <f t="shared" si="9"/>
        <v>30586.97</v>
      </c>
      <c r="J40" s="77">
        <f t="shared" si="9"/>
        <v>41523.98</v>
      </c>
      <c r="K40" s="77">
        <f t="shared" si="9"/>
        <v>43460.75</v>
      </c>
      <c r="L40" s="77">
        <f t="shared" si="9"/>
        <v>88897.26</v>
      </c>
      <c r="M40" s="77">
        <f t="shared" si="9"/>
        <v>99833.52</v>
      </c>
      <c r="N40" s="77">
        <f t="shared" si="9"/>
        <v>147269.52</v>
      </c>
      <c r="O40" s="77">
        <f t="shared" si="9"/>
        <v>-1106897.23</v>
      </c>
    </row>
    <row r="41" ht="25" customHeight="1" spans="1:15">
      <c r="A41" s="79" t="s">
        <v>50</v>
      </c>
      <c r="B41" s="80">
        <v>1928760</v>
      </c>
      <c r="C41" s="80">
        <f t="shared" ref="C41:N41" si="10">B41+C40</f>
        <v>1536219.73</v>
      </c>
      <c r="D41" s="80">
        <f t="shared" si="10"/>
        <v>1145817.94</v>
      </c>
      <c r="E41" s="80">
        <f t="shared" si="10"/>
        <v>754154.4</v>
      </c>
      <c r="F41" s="80">
        <f t="shared" si="10"/>
        <v>572428.85</v>
      </c>
      <c r="G41" s="80">
        <f t="shared" si="10"/>
        <v>440641.06</v>
      </c>
      <c r="H41" s="80">
        <f t="shared" si="10"/>
        <v>370290.77</v>
      </c>
      <c r="I41" s="80">
        <f t="shared" si="10"/>
        <v>400877.74</v>
      </c>
      <c r="J41" s="80">
        <f t="shared" si="10"/>
        <v>442401.72</v>
      </c>
      <c r="K41" s="80">
        <f t="shared" si="10"/>
        <v>485862.47</v>
      </c>
      <c r="L41" s="80">
        <f t="shared" si="10"/>
        <v>574759.73</v>
      </c>
      <c r="M41" s="80">
        <f t="shared" si="10"/>
        <v>674593.25</v>
      </c>
      <c r="N41" s="80">
        <f t="shared" si="10"/>
        <v>821862.77</v>
      </c>
      <c r="O41" s="79"/>
    </row>
    <row r="42" spans="15:15">
      <c r="O42" s="23"/>
    </row>
  </sheetData>
  <mergeCells count="10">
    <mergeCell ref="A1:O1"/>
    <mergeCell ref="A2:O2"/>
    <mergeCell ref="A4:O4"/>
    <mergeCell ref="A8:O8"/>
    <mergeCell ref="A20:O20"/>
    <mergeCell ref="A21:O21"/>
    <mergeCell ref="A25:O25"/>
    <mergeCell ref="A29:O29"/>
    <mergeCell ref="A30:O30"/>
    <mergeCell ref="A34:O34"/>
  </mergeCells>
  <pageMargins left="0.7" right="0.7" top="0.75" bottom="0.75" header="0.3" footer="0.3"/>
  <pageSetup paperSize="9" orientation="portrait"/>
  <headerFooter/>
  <ignoredErrors>
    <ignoredError sqref="C18:H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4" workbookViewId="0">
      <selection activeCell="A42" sqref="A42"/>
    </sheetView>
  </sheetViews>
  <sheetFormatPr defaultColWidth="11" defaultRowHeight="15.75" outlineLevelCol="6"/>
  <cols>
    <col min="1" max="1" width="36.5" customWidth="1"/>
    <col min="2" max="2" width="13" customWidth="1"/>
    <col min="3" max="7" width="16.8333333333333" customWidth="1"/>
  </cols>
  <sheetData>
    <row r="1" ht="32" customHeight="1" spans="1:7">
      <c r="A1" s="26" t="s">
        <v>51</v>
      </c>
      <c r="B1" s="26"/>
      <c r="C1" s="26"/>
      <c r="D1" s="26"/>
      <c r="E1" s="26"/>
      <c r="F1" s="26"/>
      <c r="G1" s="26"/>
    </row>
    <row r="2" ht="18" spans="1:7">
      <c r="A2" s="49"/>
      <c r="B2" s="50" t="s">
        <v>2</v>
      </c>
      <c r="C2" s="50" t="s">
        <v>52</v>
      </c>
      <c r="D2" s="50" t="s">
        <v>53</v>
      </c>
      <c r="E2" s="50" t="s">
        <v>54</v>
      </c>
      <c r="F2" s="50" t="s">
        <v>55</v>
      </c>
      <c r="G2" s="50" t="s">
        <v>15</v>
      </c>
    </row>
    <row r="3" ht="24" customHeight="1" spans="1:7">
      <c r="A3" s="7" t="s">
        <v>1</v>
      </c>
      <c r="B3" s="7"/>
      <c r="C3" s="7"/>
      <c r="D3" s="7"/>
      <c r="E3" s="7"/>
      <c r="F3" s="7"/>
      <c r="G3" s="7"/>
    </row>
    <row r="4" spans="1:7">
      <c r="A4" s="51" t="s">
        <v>16</v>
      </c>
      <c r="B4" s="51"/>
      <c r="C4" s="51"/>
      <c r="D4" s="51"/>
      <c r="E4" s="51"/>
      <c r="F4" s="51"/>
      <c r="G4" s="51"/>
    </row>
    <row r="5" spans="1:7">
      <c r="A5" s="22" t="s">
        <v>17</v>
      </c>
      <c r="C5" s="12">
        <v>420000</v>
      </c>
      <c r="D5" s="12">
        <v>720000</v>
      </c>
      <c r="E5" s="12">
        <v>900000</v>
      </c>
      <c r="F5" s="12">
        <v>960000</v>
      </c>
      <c r="G5" s="12">
        <f>SUM(C5:F5)</f>
        <v>3000000</v>
      </c>
    </row>
    <row r="6" spans="1:7">
      <c r="A6" s="22" t="s">
        <v>18</v>
      </c>
      <c r="C6" s="12">
        <v>2900000</v>
      </c>
      <c r="D6" s="12">
        <v>5400000</v>
      </c>
      <c r="E6" s="12">
        <v>6600000</v>
      </c>
      <c r="F6" s="12">
        <v>7800000</v>
      </c>
      <c r="G6" s="12">
        <f>SUM(C6:F6)</f>
        <v>22700000</v>
      </c>
    </row>
    <row r="7" spans="1:7">
      <c r="A7" s="52" t="s">
        <v>19</v>
      </c>
      <c r="C7" s="12">
        <f>SUM(C5:C6)</f>
        <v>3320000</v>
      </c>
      <c r="D7" s="12">
        <f t="shared" ref="D7:G7" si="0">SUM(D5:D6)</f>
        <v>6120000</v>
      </c>
      <c r="E7" s="12">
        <f t="shared" si="0"/>
        <v>7500000</v>
      </c>
      <c r="F7" s="12">
        <f t="shared" si="0"/>
        <v>8760000</v>
      </c>
      <c r="G7" s="12">
        <f t="shared" si="0"/>
        <v>25700000</v>
      </c>
    </row>
    <row r="8" spans="1:7">
      <c r="A8" s="53" t="s">
        <v>20</v>
      </c>
      <c r="B8" s="54"/>
      <c r="C8" s="54"/>
      <c r="D8" s="54"/>
      <c r="E8" s="54"/>
      <c r="F8" s="54"/>
      <c r="G8" s="54"/>
    </row>
    <row r="9" spans="1:7">
      <c r="A9" s="55" t="s">
        <v>21</v>
      </c>
      <c r="B9" s="40">
        <v>65740</v>
      </c>
      <c r="C9" s="23">
        <v>0</v>
      </c>
      <c r="D9" s="23">
        <v>0</v>
      </c>
      <c r="E9" s="23">
        <v>0</v>
      </c>
      <c r="F9" s="23">
        <v>0</v>
      </c>
      <c r="G9" s="23">
        <f>SUM(B9:F9)</f>
        <v>65740</v>
      </c>
    </row>
    <row r="10" spans="1:7">
      <c r="A10" s="55" t="s">
        <v>22</v>
      </c>
      <c r="B10" s="56">
        <v>5500</v>
      </c>
      <c r="C10" s="56">
        <v>0</v>
      </c>
      <c r="D10" s="23">
        <v>0</v>
      </c>
      <c r="E10" s="23">
        <v>0</v>
      </c>
      <c r="F10" s="23">
        <v>0</v>
      </c>
      <c r="G10" s="23">
        <f>SUM(B10:F10)</f>
        <v>5500</v>
      </c>
    </row>
    <row r="11" spans="1:7">
      <c r="A11" s="55" t="s">
        <v>23</v>
      </c>
      <c r="B11" s="23"/>
      <c r="C11" s="23">
        <v>3588000</v>
      </c>
      <c r="D11" s="23">
        <f>C11*1.1</f>
        <v>3946800</v>
      </c>
      <c r="E11" s="23">
        <f>D11*1.1</f>
        <v>4341480</v>
      </c>
      <c r="F11" s="23">
        <f>E11*1.1</f>
        <v>4775628</v>
      </c>
      <c r="G11" s="23">
        <f t="shared" ref="G11:G17" si="1">SUM(C11:F11)</f>
        <v>16651908</v>
      </c>
    </row>
    <row r="12" spans="1:7">
      <c r="A12" s="55" t="s">
        <v>24</v>
      </c>
      <c r="B12" s="23"/>
      <c r="C12" s="23">
        <v>18300</v>
      </c>
      <c r="D12" s="23">
        <v>20000</v>
      </c>
      <c r="E12" s="23">
        <v>0</v>
      </c>
      <c r="F12" s="23">
        <v>0</v>
      </c>
      <c r="G12" s="23">
        <f t="shared" si="1"/>
        <v>38300</v>
      </c>
    </row>
    <row r="13" spans="1:7">
      <c r="A13" s="55" t="s">
        <v>25</v>
      </c>
      <c r="B13" s="23"/>
      <c r="C13" s="23">
        <v>180000</v>
      </c>
      <c r="D13" s="23">
        <f>C13*1.025</f>
        <v>184500</v>
      </c>
      <c r="E13" s="23">
        <f>D13*1.025</f>
        <v>189112.5</v>
      </c>
      <c r="F13" s="23">
        <f>E13*1.025</f>
        <v>193840.3125</v>
      </c>
      <c r="G13" s="23">
        <f t="shared" si="1"/>
        <v>747452.8125</v>
      </c>
    </row>
    <row r="14" spans="1:7">
      <c r="A14" s="55" t="s">
        <v>26</v>
      </c>
      <c r="B14" s="23"/>
      <c r="C14" s="23">
        <v>360000</v>
      </c>
      <c r="D14" s="23">
        <f>C14*1.025</f>
        <v>369000</v>
      </c>
      <c r="E14" s="23">
        <f t="shared" ref="E14:F14" si="2">D14*1.025</f>
        <v>378225</v>
      </c>
      <c r="F14" s="23">
        <f t="shared" si="2"/>
        <v>387680.625</v>
      </c>
      <c r="G14" s="23">
        <f t="shared" si="1"/>
        <v>1494905.625</v>
      </c>
    </row>
    <row r="15" spans="1:7">
      <c r="A15" s="55" t="s">
        <v>27</v>
      </c>
      <c r="B15" s="23"/>
      <c r="C15" s="23">
        <v>90000</v>
      </c>
      <c r="D15" s="23">
        <v>0</v>
      </c>
      <c r="E15" s="23">
        <v>0</v>
      </c>
      <c r="F15" s="23">
        <v>0</v>
      </c>
      <c r="G15" s="23">
        <f t="shared" si="1"/>
        <v>90000</v>
      </c>
    </row>
    <row r="16" spans="1:7">
      <c r="A16" s="57" t="s">
        <v>28</v>
      </c>
      <c r="B16" s="23"/>
      <c r="C16" s="23">
        <v>24386.07</v>
      </c>
      <c r="D16" s="23">
        <v>15132.97</v>
      </c>
      <c r="E16" s="23">
        <v>5430.92</v>
      </c>
      <c r="F16" s="23">
        <v>0</v>
      </c>
      <c r="G16" s="23">
        <f t="shared" si="1"/>
        <v>44949.96</v>
      </c>
    </row>
    <row r="17" spans="1:7">
      <c r="A17" s="55" t="s">
        <v>29</v>
      </c>
      <c r="B17" s="23"/>
      <c r="C17" s="23">
        <v>134234.09</v>
      </c>
      <c r="D17" s="23">
        <f>(D7-D9-D10-D11-D12-D13-D14-D15-D16)*0.25</f>
        <v>396141.7575</v>
      </c>
      <c r="E17" s="23">
        <f>(E7-E9-E10-E11-E12-E13-E14-E15-E16)*0.25</f>
        <v>646437.895</v>
      </c>
      <c r="F17" s="23">
        <f>(F7-F9-F10-F11-F12-F13-F14-F15-F16)*0.25</f>
        <v>850712.765625</v>
      </c>
      <c r="G17" s="23">
        <f t="shared" si="1"/>
        <v>2027526.508125</v>
      </c>
    </row>
    <row r="18" spans="1:7">
      <c r="A18" s="58" t="s">
        <v>30</v>
      </c>
      <c r="B18" s="23">
        <f>SUM(B9:B15)</f>
        <v>71240</v>
      </c>
      <c r="C18" s="23">
        <f>SUM(C9:C15)</f>
        <v>4236300</v>
      </c>
      <c r="D18" s="23">
        <f t="shared" ref="D18:G18" si="3">SUM(D9:D15)</f>
        <v>4520300</v>
      </c>
      <c r="E18" s="23">
        <f t="shared" si="3"/>
        <v>4908817.5</v>
      </c>
      <c r="F18" s="23">
        <f t="shared" si="3"/>
        <v>5357148.9375</v>
      </c>
      <c r="G18" s="23">
        <f t="shared" si="3"/>
        <v>19093806.4375</v>
      </c>
    </row>
    <row r="20" ht="24" customHeight="1" spans="1:7">
      <c r="A20" s="7" t="s">
        <v>31</v>
      </c>
      <c r="B20" s="7"/>
      <c r="C20" s="7"/>
      <c r="D20" s="7"/>
      <c r="E20" s="7"/>
      <c r="F20" s="7"/>
      <c r="G20" s="7"/>
    </row>
    <row r="21" spans="1:7">
      <c r="A21" s="51" t="s">
        <v>56</v>
      </c>
      <c r="B21" s="51"/>
      <c r="C21" s="51"/>
      <c r="D21" s="51"/>
      <c r="E21" s="51"/>
      <c r="F21" s="51"/>
      <c r="G21" s="51"/>
    </row>
    <row r="22" spans="1:7">
      <c r="A22" s="57" t="s">
        <v>33</v>
      </c>
      <c r="C22" s="12">
        <v>0</v>
      </c>
      <c r="D22" s="12">
        <v>0</v>
      </c>
      <c r="E22" s="12">
        <v>0</v>
      </c>
      <c r="F22" s="12">
        <v>0</v>
      </c>
      <c r="G22" s="12">
        <f>SUM(C22:F22)</f>
        <v>0</v>
      </c>
    </row>
    <row r="23" spans="1:7">
      <c r="A23" s="55" t="s">
        <v>34</v>
      </c>
      <c r="C23" s="12">
        <v>0</v>
      </c>
      <c r="D23" s="12">
        <v>0</v>
      </c>
      <c r="E23" s="12">
        <f>D26*3.5%</f>
        <v>7000</v>
      </c>
      <c r="F23" s="12">
        <v>7000</v>
      </c>
      <c r="G23" s="12">
        <f>SUM(C23:F23)</f>
        <v>14000</v>
      </c>
    </row>
    <row r="24" spans="1:7">
      <c r="A24" s="58" t="s">
        <v>35</v>
      </c>
      <c r="C24" s="12">
        <f>SUM(C22:C23)</f>
        <v>0</v>
      </c>
      <c r="D24" s="12">
        <f t="shared" ref="D24:G24" si="4">SUM(D22:D23)</f>
        <v>0</v>
      </c>
      <c r="E24" s="12">
        <f t="shared" si="4"/>
        <v>7000</v>
      </c>
      <c r="F24" s="12">
        <f t="shared" si="4"/>
        <v>7000</v>
      </c>
      <c r="G24" s="12">
        <f t="shared" si="4"/>
        <v>14000</v>
      </c>
    </row>
    <row r="25" spans="1:7">
      <c r="A25" s="51" t="s">
        <v>36</v>
      </c>
      <c r="B25" s="51"/>
      <c r="C25" s="51"/>
      <c r="D25" s="51"/>
      <c r="E25" s="51"/>
      <c r="F25" s="51"/>
      <c r="G25" s="51"/>
    </row>
    <row r="26" spans="1:7">
      <c r="A26" s="55" t="s">
        <v>37</v>
      </c>
      <c r="C26" s="12">
        <v>0</v>
      </c>
      <c r="D26" s="12">
        <v>200000</v>
      </c>
      <c r="E26" s="12">
        <v>0</v>
      </c>
      <c r="F26" s="12">
        <v>0</v>
      </c>
      <c r="G26" s="12">
        <f>SUM(C26:F26)</f>
        <v>200000</v>
      </c>
    </row>
    <row r="27" spans="1:7">
      <c r="A27" s="58" t="s">
        <v>38</v>
      </c>
      <c r="C27" s="12">
        <f>SUM(C26)</f>
        <v>0</v>
      </c>
      <c r="D27" s="12">
        <f t="shared" ref="D27:G27" si="5">SUM(D26)</f>
        <v>200000</v>
      </c>
      <c r="E27" s="12">
        <f t="shared" si="5"/>
        <v>0</v>
      </c>
      <c r="F27" s="12">
        <f t="shared" si="5"/>
        <v>0</v>
      </c>
      <c r="G27" s="12">
        <f t="shared" si="5"/>
        <v>200000</v>
      </c>
    </row>
    <row r="29" ht="24" customHeight="1" spans="1:7">
      <c r="A29" s="7" t="s">
        <v>39</v>
      </c>
      <c r="B29" s="7"/>
      <c r="C29" s="7"/>
      <c r="D29" s="7"/>
      <c r="E29" s="7"/>
      <c r="F29" s="7"/>
      <c r="G29" s="7"/>
    </row>
    <row r="30" spans="1:7">
      <c r="A30" s="51" t="s">
        <v>57</v>
      </c>
      <c r="B30" s="51"/>
      <c r="C30" s="51"/>
      <c r="D30" s="51"/>
      <c r="E30" s="51"/>
      <c r="F30" s="51"/>
      <c r="G30" s="51"/>
    </row>
    <row r="31" spans="1:7">
      <c r="A31" s="55" t="s">
        <v>41</v>
      </c>
      <c r="B31" s="12">
        <v>400000</v>
      </c>
      <c r="C31" s="12">
        <v>0</v>
      </c>
      <c r="D31" s="12">
        <v>307500</v>
      </c>
      <c r="E31" s="12">
        <v>315187.5</v>
      </c>
      <c r="F31" s="12">
        <v>323067.2</v>
      </c>
      <c r="G31" s="12">
        <f>SUM(C31:F31)</f>
        <v>945754.7</v>
      </c>
    </row>
    <row r="32" spans="1:7">
      <c r="A32" s="55" t="s">
        <v>42</v>
      </c>
      <c r="B32" s="12">
        <v>600000</v>
      </c>
      <c r="C32" s="12">
        <v>0</v>
      </c>
      <c r="D32" s="12">
        <v>0</v>
      </c>
      <c r="E32" s="12">
        <v>0</v>
      </c>
      <c r="F32" s="12">
        <v>0</v>
      </c>
      <c r="G32" s="12">
        <f>SUM(B32:F32)</f>
        <v>600000</v>
      </c>
    </row>
    <row r="33" spans="1:7">
      <c r="A33" s="58" t="s">
        <v>43</v>
      </c>
      <c r="B33" s="12">
        <f>SUM(B31:B32)</f>
        <v>1000000</v>
      </c>
      <c r="C33" s="12">
        <f>SUM(C31:C32)</f>
        <v>0</v>
      </c>
      <c r="D33" s="12">
        <f t="shared" ref="D33:G33" si="6">SUM(D31:D32)</f>
        <v>307500</v>
      </c>
      <c r="E33" s="12">
        <f t="shared" si="6"/>
        <v>315187.5</v>
      </c>
      <c r="F33" s="12">
        <f t="shared" si="6"/>
        <v>323067.2</v>
      </c>
      <c r="G33" s="12">
        <f t="shared" si="6"/>
        <v>1545754.7</v>
      </c>
    </row>
    <row r="34" spans="1:7">
      <c r="A34" s="51" t="s">
        <v>58</v>
      </c>
      <c r="B34" s="51"/>
      <c r="C34" s="51"/>
      <c r="D34" s="51"/>
      <c r="E34" s="51"/>
      <c r="F34" s="51"/>
      <c r="G34" s="51"/>
    </row>
    <row r="35" spans="1:7">
      <c r="A35" s="55" t="s">
        <v>45</v>
      </c>
      <c r="B35" s="12"/>
      <c r="C35" s="12">
        <v>190597.23</v>
      </c>
      <c r="D35" s="12">
        <v>199850.33</v>
      </c>
      <c r="E35" s="12">
        <v>209552.44</v>
      </c>
      <c r="F35" s="12">
        <v>0</v>
      </c>
      <c r="G35" s="12">
        <v>600000</v>
      </c>
    </row>
    <row r="36" spans="1:7">
      <c r="A36" s="58" t="s">
        <v>46</v>
      </c>
      <c r="B36" s="12"/>
      <c r="C36" s="12">
        <f>SUM(C35:C35)</f>
        <v>190597.23</v>
      </c>
      <c r="D36" s="12">
        <f>SUM(D35:D35)</f>
        <v>199850.33</v>
      </c>
      <c r="E36" s="12">
        <f>SUM(E35:E35)</f>
        <v>209552.44</v>
      </c>
      <c r="F36" s="12">
        <f>SUM(F35:F35)</f>
        <v>0</v>
      </c>
      <c r="G36" s="12">
        <f>SUM(G35:G35)</f>
        <v>600000</v>
      </c>
    </row>
    <row r="37" spans="1:7">
      <c r="A37" s="59" t="s">
        <v>47</v>
      </c>
      <c r="B37" s="37">
        <v>1000000</v>
      </c>
      <c r="C37" s="37">
        <f>C7+C24+C33</f>
        <v>3320000</v>
      </c>
      <c r="D37" s="37">
        <f>D7+D24+D33</f>
        <v>6427500</v>
      </c>
      <c r="E37" s="37">
        <f>E7+E24+E33</f>
        <v>7822187.5</v>
      </c>
      <c r="F37" s="37">
        <f>F7+F24+F33</f>
        <v>9090067.2</v>
      </c>
      <c r="G37" s="37">
        <f>SUM(B37:F37)</f>
        <v>27659754.7</v>
      </c>
    </row>
    <row r="38" spans="1:7">
      <c r="A38" s="59" t="s">
        <v>48</v>
      </c>
      <c r="B38" s="37">
        <f>B18</f>
        <v>71240</v>
      </c>
      <c r="C38" s="37">
        <f>C18+C27+C36</f>
        <v>4426897.23</v>
      </c>
      <c r="D38" s="37">
        <f>D18+D27+D36</f>
        <v>4920150.33</v>
      </c>
      <c r="E38" s="37">
        <f>E18+E27+E36</f>
        <v>5118369.94</v>
      </c>
      <c r="F38" s="37">
        <f>F18+F27+F36</f>
        <v>5357148.9375</v>
      </c>
      <c r="G38" s="37">
        <f>SUM(B38:F38)</f>
        <v>19893806.4375</v>
      </c>
    </row>
    <row r="39" spans="1:7">
      <c r="A39" s="59" t="s">
        <v>49</v>
      </c>
      <c r="B39" s="37">
        <f>B37-B38</f>
        <v>928760</v>
      </c>
      <c r="C39" s="37">
        <f t="shared" ref="C39:F39" si="7">C37-C38</f>
        <v>-1106897.23</v>
      </c>
      <c r="D39" s="37">
        <f t="shared" si="7"/>
        <v>1507349.67</v>
      </c>
      <c r="E39" s="37">
        <f t="shared" si="7"/>
        <v>2703817.56</v>
      </c>
      <c r="F39" s="37">
        <f t="shared" si="7"/>
        <v>3732918.2625</v>
      </c>
      <c r="G39" s="37">
        <f>SUM(B39:F39)</f>
        <v>7765948.2625</v>
      </c>
    </row>
    <row r="40" ht="23" customHeight="1" spans="1:7">
      <c r="A40" s="60" t="s">
        <v>59</v>
      </c>
      <c r="B40" s="61">
        <v>1928760</v>
      </c>
      <c r="C40" s="61">
        <f>B40+C39</f>
        <v>821862.77</v>
      </c>
      <c r="D40" s="61">
        <f>C40+D39</f>
        <v>2329212.44</v>
      </c>
      <c r="E40" s="61">
        <f>D40+E39</f>
        <v>5033030</v>
      </c>
      <c r="F40" s="61">
        <f>E40+F39</f>
        <v>8765948.2625</v>
      </c>
      <c r="G40" s="61">
        <f>SUM(B40:F40)</f>
        <v>18878813.4725</v>
      </c>
    </row>
  </sheetData>
  <mergeCells count="9">
    <mergeCell ref="A1:G1"/>
    <mergeCell ref="A3:G3"/>
    <mergeCell ref="A4:G4"/>
    <mergeCell ref="A20:G20"/>
    <mergeCell ref="A21:G21"/>
    <mergeCell ref="A25:G25"/>
    <mergeCell ref="A29:G29"/>
    <mergeCell ref="A30:G30"/>
    <mergeCell ref="A34:G3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zoomScale="118" zoomScaleNormal="118" workbookViewId="0">
      <selection activeCell="G22" sqref="G22"/>
    </sheetView>
  </sheetViews>
  <sheetFormatPr defaultColWidth="11" defaultRowHeight="15.75" outlineLevelCol="2"/>
  <cols>
    <col min="1" max="1" width="21.8333333333333" customWidth="1"/>
    <col min="2" max="2" width="49.8333333333333" customWidth="1"/>
    <col min="3" max="3" width="34.5" customWidth="1"/>
  </cols>
  <sheetData>
    <row r="1" ht="32" customHeight="1" spans="1:3">
      <c r="A1" s="42" t="s">
        <v>60</v>
      </c>
      <c r="B1" s="42" t="s">
        <v>61</v>
      </c>
      <c r="C1" s="42" t="s">
        <v>62</v>
      </c>
    </row>
    <row r="2" ht="24" customHeight="1" spans="1:3">
      <c r="A2" s="43">
        <v>0</v>
      </c>
      <c r="B2" s="44"/>
      <c r="C2" s="45" t="s">
        <v>63</v>
      </c>
    </row>
    <row r="3" ht="24" customHeight="1" spans="1:3">
      <c r="A3" s="46">
        <v>1</v>
      </c>
      <c r="B3" s="47" t="s">
        <v>64</v>
      </c>
      <c r="C3" s="48" t="s">
        <v>65</v>
      </c>
    </row>
    <row r="4" ht="24" customHeight="1" spans="1:3">
      <c r="A4" s="43">
        <v>2</v>
      </c>
      <c r="B4" s="44" t="s">
        <v>66</v>
      </c>
      <c r="C4" s="45" t="s">
        <v>67</v>
      </c>
    </row>
    <row r="5" ht="24" customHeight="1" spans="1:3">
      <c r="A5" s="46">
        <v>3</v>
      </c>
      <c r="B5" s="47" t="s">
        <v>68</v>
      </c>
      <c r="C5" s="48" t="s">
        <v>69</v>
      </c>
    </row>
    <row r="6" ht="24" customHeight="1" spans="1:3">
      <c r="A6" s="43">
        <v>4</v>
      </c>
      <c r="B6" s="44" t="s">
        <v>70</v>
      </c>
      <c r="C6" s="45" t="s">
        <v>71</v>
      </c>
    </row>
    <row r="7" ht="24" customHeight="1" spans="1:3">
      <c r="A7" s="46">
        <v>5</v>
      </c>
      <c r="B7" s="47" t="s">
        <v>72</v>
      </c>
      <c r="C7" s="48" t="s">
        <v>73</v>
      </c>
    </row>
    <row r="8" ht="24" customHeight="1" spans="1:3">
      <c r="A8" s="43">
        <v>6</v>
      </c>
      <c r="B8" s="44" t="s">
        <v>72</v>
      </c>
      <c r="C8" s="45" t="s">
        <v>74</v>
      </c>
    </row>
    <row r="9" ht="24" customHeight="1" spans="1:3">
      <c r="A9" s="46">
        <v>7</v>
      </c>
      <c r="B9" s="47" t="s">
        <v>72</v>
      </c>
      <c r="C9" s="48" t="s">
        <v>75</v>
      </c>
    </row>
    <row r="10" ht="24" customHeight="1" spans="1:3">
      <c r="A10" s="43">
        <v>8</v>
      </c>
      <c r="B10" s="44" t="s">
        <v>76</v>
      </c>
      <c r="C10" s="45" t="s">
        <v>77</v>
      </c>
    </row>
    <row r="13" ht="32" customHeight="1" spans="1:3">
      <c r="A13" s="42" t="s">
        <v>60</v>
      </c>
      <c r="B13" s="42" t="s">
        <v>78</v>
      </c>
      <c r="C13" s="42" t="s">
        <v>62</v>
      </c>
    </row>
    <row r="14" ht="24" customHeight="1" spans="1:3">
      <c r="A14" s="43">
        <v>0</v>
      </c>
      <c r="B14" s="44"/>
      <c r="C14" s="45" t="s">
        <v>79</v>
      </c>
    </row>
    <row r="15" ht="24" customHeight="1" spans="1:3">
      <c r="A15" s="46">
        <v>1</v>
      </c>
      <c r="B15" s="47" t="s">
        <v>80</v>
      </c>
      <c r="C15" s="48" t="s">
        <v>81</v>
      </c>
    </row>
    <row r="16" ht="24" customHeight="1" spans="1:3">
      <c r="A16" s="43">
        <v>2</v>
      </c>
      <c r="B16" s="44" t="s">
        <v>80</v>
      </c>
      <c r="C16" s="45" t="s">
        <v>82</v>
      </c>
    </row>
    <row r="17" ht="24" customHeight="1" spans="1:3">
      <c r="A17" s="46">
        <v>3</v>
      </c>
      <c r="B17" s="47" t="s">
        <v>80</v>
      </c>
      <c r="C17" s="48" t="s">
        <v>83</v>
      </c>
    </row>
    <row r="18" ht="24" customHeight="1" spans="1:3">
      <c r="A18" s="43">
        <v>4</v>
      </c>
      <c r="B18" s="44" t="s">
        <v>80</v>
      </c>
      <c r="C18" s="45" t="s">
        <v>84</v>
      </c>
    </row>
    <row r="19" ht="24" customHeight="1" spans="1:3">
      <c r="A19" s="46">
        <v>5</v>
      </c>
      <c r="B19" s="47" t="s">
        <v>80</v>
      </c>
      <c r="C19" s="48" t="s">
        <v>77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B19" sqref="B19"/>
    </sheetView>
  </sheetViews>
  <sheetFormatPr defaultColWidth="11" defaultRowHeight="15.75"/>
  <cols>
    <col min="1" max="1" width="26.3333333333333" customWidth="1"/>
    <col min="2" max="3" width="12.3333333333333" customWidth="1"/>
    <col min="4" max="13" width="11.6666666666667" customWidth="1"/>
    <col min="14" max="14" width="13.1666666666667" customWidth="1"/>
  </cols>
  <sheetData>
    <row r="1" ht="32" customHeight="1" spans="1:14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>
      <c r="A2" s="35"/>
      <c r="B2" s="38" t="s">
        <v>3</v>
      </c>
      <c r="C2" s="38" t="s">
        <v>4</v>
      </c>
      <c r="D2" s="38" t="s">
        <v>5</v>
      </c>
      <c r="E2" s="38" t="s">
        <v>6</v>
      </c>
      <c r="F2" s="38" t="s">
        <v>7</v>
      </c>
      <c r="G2" s="38" t="s">
        <v>8</v>
      </c>
      <c r="H2" s="38" t="s">
        <v>9</v>
      </c>
      <c r="I2" s="38" t="s">
        <v>10</v>
      </c>
      <c r="J2" s="38" t="s">
        <v>11</v>
      </c>
      <c r="K2" s="38" t="s">
        <v>12</v>
      </c>
      <c r="L2" s="38" t="s">
        <v>13</v>
      </c>
      <c r="M2" s="38" t="s">
        <v>14</v>
      </c>
      <c r="N2" s="38" t="s">
        <v>52</v>
      </c>
    </row>
    <row r="3" spans="1:14">
      <c r="A3" s="22" t="s">
        <v>86</v>
      </c>
      <c r="B3" s="39">
        <v>0</v>
      </c>
      <c r="C3" s="39">
        <v>0</v>
      </c>
      <c r="D3" s="39">
        <v>0</v>
      </c>
      <c r="E3" s="39">
        <v>180000</v>
      </c>
      <c r="F3" s="39">
        <v>230000</v>
      </c>
      <c r="G3" s="39">
        <v>290000</v>
      </c>
      <c r="H3" s="39">
        <v>390000</v>
      </c>
      <c r="I3" s="39">
        <v>400000</v>
      </c>
      <c r="J3" s="39">
        <v>405000</v>
      </c>
      <c r="K3" s="39">
        <v>455000</v>
      </c>
      <c r="L3" s="39">
        <v>460000</v>
      </c>
      <c r="M3" s="39">
        <v>510000</v>
      </c>
      <c r="N3" s="23">
        <f t="shared" ref="N3:N15" si="0">SUM(B3:M3)</f>
        <v>3320000</v>
      </c>
    </row>
    <row r="4" spans="1:14">
      <c r="A4" s="22" t="s">
        <v>87</v>
      </c>
      <c r="B4" s="23">
        <v>299000</v>
      </c>
      <c r="C4" s="23">
        <v>299000</v>
      </c>
      <c r="D4" s="23">
        <v>299000</v>
      </c>
      <c r="E4" s="23">
        <v>299000</v>
      </c>
      <c r="F4" s="23">
        <v>299000</v>
      </c>
      <c r="G4" s="23">
        <v>299000</v>
      </c>
      <c r="H4" s="23">
        <v>299000</v>
      </c>
      <c r="I4" s="23">
        <v>299000</v>
      </c>
      <c r="J4" s="23">
        <v>299000</v>
      </c>
      <c r="K4" s="23">
        <v>299000</v>
      </c>
      <c r="L4" s="23">
        <v>299000</v>
      </c>
      <c r="M4" s="23">
        <v>299000</v>
      </c>
      <c r="N4" s="23">
        <f t="shared" si="0"/>
        <v>3588000</v>
      </c>
    </row>
    <row r="5" spans="1:14">
      <c r="A5" s="34" t="s">
        <v>88</v>
      </c>
      <c r="B5" s="32">
        <f>B3-B4</f>
        <v>-299000</v>
      </c>
      <c r="C5" s="32">
        <f>C3-C4</f>
        <v>-299000</v>
      </c>
      <c r="D5" s="32">
        <f t="shared" ref="D5:H5" si="1">D3-D4</f>
        <v>-299000</v>
      </c>
      <c r="E5" s="32">
        <f t="shared" si="1"/>
        <v>-119000</v>
      </c>
      <c r="F5" s="32">
        <f t="shared" si="1"/>
        <v>-69000</v>
      </c>
      <c r="G5" s="32">
        <f t="shared" si="1"/>
        <v>-9000</v>
      </c>
      <c r="H5" s="32">
        <f t="shared" si="1"/>
        <v>91000</v>
      </c>
      <c r="I5" s="32">
        <f t="shared" ref="I5" si="2">I3-I4</f>
        <v>101000</v>
      </c>
      <c r="J5" s="32">
        <f t="shared" ref="J5" si="3">J3-J4</f>
        <v>106000</v>
      </c>
      <c r="K5" s="32">
        <f t="shared" ref="K5" si="4">K3-K4</f>
        <v>156000</v>
      </c>
      <c r="L5" s="32">
        <f t="shared" ref="L5:M5" si="5">L3-L4</f>
        <v>161000</v>
      </c>
      <c r="M5" s="32">
        <f t="shared" si="5"/>
        <v>211000</v>
      </c>
      <c r="N5" s="32">
        <f t="shared" si="0"/>
        <v>-268000</v>
      </c>
    </row>
    <row r="6" spans="1:14">
      <c r="A6" s="22" t="s">
        <v>25</v>
      </c>
      <c r="B6" s="39">
        <v>18000</v>
      </c>
      <c r="C6" s="39">
        <v>15000</v>
      </c>
      <c r="D6" s="39">
        <v>15000</v>
      </c>
      <c r="E6" s="39">
        <v>15000</v>
      </c>
      <c r="F6" s="39">
        <v>16000</v>
      </c>
      <c r="G6" s="39">
        <v>15000</v>
      </c>
      <c r="H6" s="39">
        <v>12000</v>
      </c>
      <c r="I6" s="39">
        <v>12000</v>
      </c>
      <c r="J6" s="39">
        <v>15000</v>
      </c>
      <c r="K6" s="39">
        <v>18000</v>
      </c>
      <c r="L6" s="39">
        <v>14000</v>
      </c>
      <c r="M6" s="39">
        <v>15000</v>
      </c>
      <c r="N6" s="23">
        <f t="shared" si="0"/>
        <v>180000</v>
      </c>
    </row>
    <row r="7" spans="1:14">
      <c r="A7" s="22" t="s">
        <v>26</v>
      </c>
      <c r="B7" s="23">
        <v>30000</v>
      </c>
      <c r="C7" s="23">
        <v>30000</v>
      </c>
      <c r="D7" s="23">
        <v>30000</v>
      </c>
      <c r="E7" s="23">
        <v>30000</v>
      </c>
      <c r="F7" s="23">
        <v>30000</v>
      </c>
      <c r="G7" s="23">
        <v>30000</v>
      </c>
      <c r="H7" s="23">
        <v>30000</v>
      </c>
      <c r="I7" s="23">
        <v>30000</v>
      </c>
      <c r="J7" s="23">
        <v>30000</v>
      </c>
      <c r="K7" s="23">
        <v>30000</v>
      </c>
      <c r="L7" s="23">
        <v>30000</v>
      </c>
      <c r="M7" s="23">
        <v>30000</v>
      </c>
      <c r="N7" s="23">
        <f t="shared" si="0"/>
        <v>360000</v>
      </c>
    </row>
    <row r="8" spans="1:14">
      <c r="A8" s="22" t="s">
        <v>27</v>
      </c>
      <c r="B8" s="23">
        <v>30000</v>
      </c>
      <c r="C8" s="23">
        <v>30000</v>
      </c>
      <c r="D8" s="23">
        <v>30000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f t="shared" si="0"/>
        <v>90000</v>
      </c>
    </row>
    <row r="9" spans="1:14">
      <c r="A9" s="22" t="s">
        <v>89</v>
      </c>
      <c r="B9" s="23">
        <v>766.96</v>
      </c>
      <c r="C9" s="23">
        <v>766.96</v>
      </c>
      <c r="D9" s="23">
        <v>766.96</v>
      </c>
      <c r="E9" s="23">
        <v>766.97</v>
      </c>
      <c r="F9" s="23">
        <v>766.97</v>
      </c>
      <c r="G9" s="23">
        <v>766.97</v>
      </c>
      <c r="H9" s="23">
        <v>766.97</v>
      </c>
      <c r="I9" s="23">
        <v>766.97</v>
      </c>
      <c r="J9" s="23">
        <v>766.97</v>
      </c>
      <c r="K9" s="23">
        <v>766.97</v>
      </c>
      <c r="L9" s="23">
        <v>766.97</v>
      </c>
      <c r="M9" s="23">
        <v>766.97</v>
      </c>
      <c r="N9" s="23">
        <f t="shared" si="0"/>
        <v>9203.61</v>
      </c>
    </row>
    <row r="10" spans="1:14">
      <c r="A10" s="22" t="s">
        <v>90</v>
      </c>
      <c r="B10" s="23">
        <v>91.66</v>
      </c>
      <c r="C10" s="23">
        <v>91.66</v>
      </c>
      <c r="D10" s="23">
        <v>91.66</v>
      </c>
      <c r="E10" s="23">
        <v>91.66</v>
      </c>
      <c r="F10" s="23">
        <v>91.67</v>
      </c>
      <c r="G10" s="23">
        <v>91.67</v>
      </c>
      <c r="H10" s="23">
        <v>91.67</v>
      </c>
      <c r="I10" s="23">
        <v>91.67</v>
      </c>
      <c r="J10" s="23">
        <v>91.67</v>
      </c>
      <c r="K10" s="23">
        <v>91.67</v>
      </c>
      <c r="L10" s="23">
        <v>91.67</v>
      </c>
      <c r="M10" s="23">
        <v>91.67</v>
      </c>
      <c r="N10" s="23">
        <f t="shared" si="0"/>
        <v>1100</v>
      </c>
    </row>
    <row r="11" spans="1:14">
      <c r="A11" s="34" t="s">
        <v>91</v>
      </c>
      <c r="B11" s="32">
        <f>B5-B6-B7-B8-B9-B10</f>
        <v>-377858.62</v>
      </c>
      <c r="C11" s="32">
        <f t="shared" ref="C11:M11" si="6">C5-C6-C7-C8-C9-C10</f>
        <v>-374858.62</v>
      </c>
      <c r="D11" s="32">
        <f t="shared" si="6"/>
        <v>-374858.62</v>
      </c>
      <c r="E11" s="32">
        <f t="shared" si="6"/>
        <v>-164858.63</v>
      </c>
      <c r="F11" s="32">
        <f t="shared" si="6"/>
        <v>-115858.64</v>
      </c>
      <c r="G11" s="32">
        <f t="shared" si="6"/>
        <v>-54858.64</v>
      </c>
      <c r="H11" s="32">
        <f t="shared" si="6"/>
        <v>48141.36</v>
      </c>
      <c r="I11" s="32">
        <f t="shared" si="6"/>
        <v>58141.36</v>
      </c>
      <c r="J11" s="32">
        <f t="shared" si="6"/>
        <v>60141.36</v>
      </c>
      <c r="K11" s="32">
        <f t="shared" si="6"/>
        <v>107141.36</v>
      </c>
      <c r="L11" s="32">
        <f t="shared" si="6"/>
        <v>116141.36</v>
      </c>
      <c r="M11" s="32">
        <f t="shared" si="6"/>
        <v>165141.36</v>
      </c>
      <c r="N11" s="32">
        <f t="shared" si="0"/>
        <v>-908303.609999999</v>
      </c>
    </row>
    <row r="12" spans="1:14">
      <c r="A12" s="22" t="s">
        <v>28</v>
      </c>
      <c r="B12" s="39">
        <v>2375</v>
      </c>
      <c r="C12" s="39">
        <v>2313.49</v>
      </c>
      <c r="D12" s="39">
        <v>2251.73</v>
      </c>
      <c r="E12" s="39">
        <v>2189.73</v>
      </c>
      <c r="F12" s="39">
        <v>2127.48</v>
      </c>
      <c r="G12" s="39">
        <v>2064.99</v>
      </c>
      <c r="H12" s="39">
        <v>2002.25</v>
      </c>
      <c r="I12" s="39">
        <v>1939.26</v>
      </c>
      <c r="J12" s="39">
        <v>1876.02</v>
      </c>
      <c r="K12" s="39">
        <v>1812.53</v>
      </c>
      <c r="L12" s="39">
        <v>1748.79</v>
      </c>
      <c r="M12" s="39">
        <v>1684.8</v>
      </c>
      <c r="N12" s="32">
        <f t="shared" si="0"/>
        <v>24386.07</v>
      </c>
    </row>
    <row r="13" spans="1:14">
      <c r="A13" s="34" t="s">
        <v>92</v>
      </c>
      <c r="B13" s="32">
        <f>B11-B12</f>
        <v>-380233.62</v>
      </c>
      <c r="C13" s="32">
        <f t="shared" ref="C13:M13" si="7">C11-C12</f>
        <v>-377172.11</v>
      </c>
      <c r="D13" s="32">
        <f t="shared" si="7"/>
        <v>-377110.35</v>
      </c>
      <c r="E13" s="32">
        <f t="shared" si="7"/>
        <v>-167048.36</v>
      </c>
      <c r="F13" s="32">
        <f t="shared" si="7"/>
        <v>-117986.12</v>
      </c>
      <c r="G13" s="32">
        <f t="shared" si="7"/>
        <v>-56923.63</v>
      </c>
      <c r="H13" s="32">
        <f t="shared" si="7"/>
        <v>46139.11</v>
      </c>
      <c r="I13" s="32">
        <f t="shared" si="7"/>
        <v>56202.1</v>
      </c>
      <c r="J13" s="32">
        <f t="shared" si="7"/>
        <v>58265.34</v>
      </c>
      <c r="K13" s="32">
        <f t="shared" si="7"/>
        <v>105328.83</v>
      </c>
      <c r="L13" s="32">
        <f t="shared" si="7"/>
        <v>114392.57</v>
      </c>
      <c r="M13" s="32">
        <f t="shared" si="7"/>
        <v>163456.56</v>
      </c>
      <c r="N13" s="32">
        <f t="shared" si="0"/>
        <v>-932689.679999999</v>
      </c>
    </row>
    <row r="14" spans="1:14">
      <c r="A14" s="22" t="s">
        <v>29</v>
      </c>
      <c r="B14" s="40">
        <v>0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1">
        <v>11625</v>
      </c>
      <c r="I14" s="41">
        <v>14375</v>
      </c>
      <c r="J14" s="41">
        <v>14875</v>
      </c>
      <c r="K14" s="41">
        <v>26250</v>
      </c>
      <c r="L14" s="41">
        <v>29000</v>
      </c>
      <c r="M14" s="41">
        <v>40875</v>
      </c>
      <c r="N14" s="23">
        <f t="shared" si="0"/>
        <v>137000</v>
      </c>
    </row>
    <row r="15" spans="1:14">
      <c r="A15" s="34" t="s">
        <v>93</v>
      </c>
      <c r="B15" s="32">
        <f>B13-B14</f>
        <v>-380233.62</v>
      </c>
      <c r="C15" s="32">
        <f t="shared" ref="C15:M15" si="8">C13-C14</f>
        <v>-377172.11</v>
      </c>
      <c r="D15" s="32">
        <f t="shared" si="8"/>
        <v>-377110.35</v>
      </c>
      <c r="E15" s="32">
        <f t="shared" si="8"/>
        <v>-167048.36</v>
      </c>
      <c r="F15" s="32">
        <f t="shared" si="8"/>
        <v>-117986.12</v>
      </c>
      <c r="G15" s="32">
        <f t="shared" si="8"/>
        <v>-56923.63</v>
      </c>
      <c r="H15" s="32">
        <f t="shared" si="8"/>
        <v>34514.11</v>
      </c>
      <c r="I15" s="32">
        <f t="shared" si="8"/>
        <v>41827.1</v>
      </c>
      <c r="J15" s="32">
        <f t="shared" si="8"/>
        <v>43390.34</v>
      </c>
      <c r="K15" s="32">
        <f t="shared" si="8"/>
        <v>79078.83</v>
      </c>
      <c r="L15" s="32">
        <f t="shared" si="8"/>
        <v>85392.57</v>
      </c>
      <c r="M15" s="32">
        <f t="shared" si="8"/>
        <v>122581.56</v>
      </c>
      <c r="N15" s="32">
        <f t="shared" si="0"/>
        <v>-1069689.68</v>
      </c>
    </row>
  </sheetData>
  <mergeCells count="1">
    <mergeCell ref="A1:N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2" sqref="A2"/>
    </sheetView>
  </sheetViews>
  <sheetFormatPr defaultColWidth="11" defaultRowHeight="15.75" outlineLevelCol="5"/>
  <cols>
    <col min="1" max="1" width="24.1666666666667" customWidth="1"/>
    <col min="2" max="2" width="14.1666666666667" customWidth="1"/>
    <col min="3" max="5" width="13" customWidth="1"/>
    <col min="6" max="6" width="14.1666666666667" customWidth="1"/>
  </cols>
  <sheetData>
    <row r="1" ht="32" customHeight="1" spans="1:6">
      <c r="A1" s="26" t="s">
        <v>94</v>
      </c>
      <c r="B1" s="26"/>
      <c r="C1" s="26"/>
      <c r="D1" s="26"/>
      <c r="E1" s="26"/>
      <c r="F1" s="26"/>
    </row>
    <row r="2" ht="24" customHeight="1" spans="1:6">
      <c r="A2" s="35"/>
      <c r="B2" s="36" t="s">
        <v>52</v>
      </c>
      <c r="C2" s="36" t="s">
        <v>53</v>
      </c>
      <c r="D2" s="36" t="s">
        <v>54</v>
      </c>
      <c r="E2" s="36" t="s">
        <v>55</v>
      </c>
      <c r="F2" s="36" t="s">
        <v>15</v>
      </c>
    </row>
    <row r="3" ht="24" customHeight="1" spans="1:6">
      <c r="A3" s="22" t="s">
        <v>86</v>
      </c>
      <c r="B3" s="12">
        <v>3320000</v>
      </c>
      <c r="C3" s="12">
        <v>6120000</v>
      </c>
      <c r="D3" s="12">
        <v>7500000</v>
      </c>
      <c r="E3" s="12">
        <v>8760000</v>
      </c>
      <c r="F3" s="12">
        <f t="shared" ref="F3:F15" si="0">SUM(B3:E3)</f>
        <v>25700000</v>
      </c>
    </row>
    <row r="4" ht="24" customHeight="1" spans="1:6">
      <c r="A4" s="22" t="s">
        <v>87</v>
      </c>
      <c r="B4" s="12">
        <v>3588000</v>
      </c>
      <c r="C4" s="12">
        <f>B4*1.1</f>
        <v>3946800</v>
      </c>
      <c r="D4" s="12">
        <f t="shared" ref="D4:E4" si="1">C4*1.1</f>
        <v>4341480</v>
      </c>
      <c r="E4" s="12">
        <f t="shared" si="1"/>
        <v>4775628</v>
      </c>
      <c r="F4" s="12">
        <f t="shared" si="0"/>
        <v>16651908</v>
      </c>
    </row>
    <row r="5" ht="24" customHeight="1" spans="1:6">
      <c r="A5" s="34" t="s">
        <v>88</v>
      </c>
      <c r="B5" s="37">
        <f>B3-B4</f>
        <v>-268000</v>
      </c>
      <c r="C5" s="37">
        <f t="shared" ref="C5:E5" si="2">C3-C4</f>
        <v>2173200</v>
      </c>
      <c r="D5" s="37">
        <f t="shared" si="2"/>
        <v>3158520</v>
      </c>
      <c r="E5" s="37">
        <f t="shared" si="2"/>
        <v>3984372</v>
      </c>
      <c r="F5" s="37">
        <f t="shared" si="0"/>
        <v>9048092</v>
      </c>
    </row>
    <row r="6" ht="24" customHeight="1" spans="1:6">
      <c r="A6" s="22" t="s">
        <v>25</v>
      </c>
      <c r="B6" s="12">
        <v>180000</v>
      </c>
      <c r="C6" s="12">
        <v>184500</v>
      </c>
      <c r="D6" s="12">
        <v>189112.5</v>
      </c>
      <c r="E6" s="12">
        <v>193840.31</v>
      </c>
      <c r="F6" s="12">
        <f t="shared" si="0"/>
        <v>747452.81</v>
      </c>
    </row>
    <row r="7" ht="24" customHeight="1" spans="1:6">
      <c r="A7" s="22" t="s">
        <v>26</v>
      </c>
      <c r="B7" s="12">
        <v>360000</v>
      </c>
      <c r="C7" s="12">
        <f>B7*1.025</f>
        <v>369000</v>
      </c>
      <c r="D7" s="12">
        <f t="shared" ref="D7:E7" si="3">C7*1.025</f>
        <v>378225</v>
      </c>
      <c r="E7" s="12">
        <f t="shared" si="3"/>
        <v>387680.625</v>
      </c>
      <c r="F7" s="12">
        <f t="shared" si="0"/>
        <v>1494905.625</v>
      </c>
    </row>
    <row r="8" ht="24" customHeight="1" spans="1:6">
      <c r="A8" s="22" t="s">
        <v>27</v>
      </c>
      <c r="B8" s="12">
        <v>90000</v>
      </c>
      <c r="C8" s="12">
        <v>0</v>
      </c>
      <c r="D8" s="12">
        <v>0</v>
      </c>
      <c r="E8" s="12">
        <v>0</v>
      </c>
      <c r="F8" s="12">
        <f t="shared" si="0"/>
        <v>90000</v>
      </c>
    </row>
    <row r="9" ht="24" customHeight="1" spans="1:6">
      <c r="A9" s="22" t="s">
        <v>89</v>
      </c>
      <c r="B9" s="12">
        <v>9203.61</v>
      </c>
      <c r="C9" s="12">
        <v>16435</v>
      </c>
      <c r="D9" s="12">
        <v>11175.8</v>
      </c>
      <c r="E9" s="12">
        <v>8546.2</v>
      </c>
      <c r="F9" s="12">
        <f t="shared" si="0"/>
        <v>45360.61</v>
      </c>
    </row>
    <row r="10" ht="24" customHeight="1" spans="1:6">
      <c r="A10" s="22" t="s">
        <v>90</v>
      </c>
      <c r="B10" s="12">
        <v>1100</v>
      </c>
      <c r="C10" s="12">
        <v>1100</v>
      </c>
      <c r="D10" s="12">
        <v>1100</v>
      </c>
      <c r="E10" s="12">
        <v>1100</v>
      </c>
      <c r="F10" s="12">
        <f t="shared" si="0"/>
        <v>4400</v>
      </c>
    </row>
    <row r="11" ht="24" customHeight="1" spans="1:6">
      <c r="A11" s="34" t="s">
        <v>91</v>
      </c>
      <c r="B11" s="37">
        <f>B5-B6-B7-B8-B9-B10</f>
        <v>-908303.61</v>
      </c>
      <c r="C11" s="37">
        <f t="shared" ref="C11:E11" si="4">C5-C6-C7-C8-C9-C10</f>
        <v>1602165</v>
      </c>
      <c r="D11" s="37">
        <f t="shared" si="4"/>
        <v>2578906.7</v>
      </c>
      <c r="E11" s="37">
        <f t="shared" si="4"/>
        <v>3393204.865</v>
      </c>
      <c r="F11" s="37">
        <f t="shared" si="0"/>
        <v>6665972.955</v>
      </c>
    </row>
    <row r="12" ht="24" customHeight="1" spans="1:6">
      <c r="A12" s="22" t="s">
        <v>28</v>
      </c>
      <c r="B12" s="23">
        <v>24386.07</v>
      </c>
      <c r="C12" s="23">
        <v>15132.97</v>
      </c>
      <c r="D12" s="23">
        <v>5430.92</v>
      </c>
      <c r="E12" s="23">
        <v>0</v>
      </c>
      <c r="F12" s="37">
        <f t="shared" si="0"/>
        <v>44949.96</v>
      </c>
    </row>
    <row r="13" ht="24" customHeight="1" spans="1:6">
      <c r="A13" s="34" t="s">
        <v>92</v>
      </c>
      <c r="B13" s="37">
        <f>B11-B12</f>
        <v>-932689.68</v>
      </c>
      <c r="C13" s="37">
        <f t="shared" ref="C13:E13" si="5">C11-C12</f>
        <v>1587032.03</v>
      </c>
      <c r="D13" s="37">
        <f t="shared" si="5"/>
        <v>2573475.78</v>
      </c>
      <c r="E13" s="37">
        <f t="shared" si="5"/>
        <v>3393204.865</v>
      </c>
      <c r="F13" s="37">
        <f t="shared" si="0"/>
        <v>6621022.995</v>
      </c>
    </row>
    <row r="14" ht="24" customHeight="1" spans="1:6">
      <c r="A14" s="22" t="s">
        <v>29</v>
      </c>
      <c r="B14" s="12">
        <v>137000</v>
      </c>
      <c r="C14" s="12">
        <v>399925</v>
      </c>
      <c r="D14" s="12">
        <v>647795.63</v>
      </c>
      <c r="E14" s="12">
        <v>850712.77</v>
      </c>
      <c r="F14" s="12">
        <f t="shared" si="0"/>
        <v>2035433.4</v>
      </c>
    </row>
    <row r="15" ht="24" customHeight="1" spans="1:6">
      <c r="A15" s="34" t="s">
        <v>93</v>
      </c>
      <c r="B15" s="37">
        <f>B13-B14</f>
        <v>-1069689.68</v>
      </c>
      <c r="C15" s="37">
        <f t="shared" ref="C15:E15" si="6">C13-C14</f>
        <v>1187107.03</v>
      </c>
      <c r="D15" s="37">
        <f t="shared" si="6"/>
        <v>1925680.15</v>
      </c>
      <c r="E15" s="37">
        <f t="shared" si="6"/>
        <v>2542492.095</v>
      </c>
      <c r="F15" s="37">
        <f t="shared" si="0"/>
        <v>4585589.595</v>
      </c>
    </row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H15" sqref="H15"/>
    </sheetView>
  </sheetViews>
  <sheetFormatPr defaultColWidth="11" defaultRowHeight="15.75" outlineLevelCol="5"/>
  <cols>
    <col min="1" max="1" width="36" customWidth="1"/>
    <col min="2" max="2" width="13.1666666666667" customWidth="1"/>
    <col min="3" max="5" width="14" customWidth="1"/>
    <col min="6" max="6" width="13.3333333333333" customWidth="1"/>
  </cols>
  <sheetData>
    <row r="1" ht="32" customHeight="1" spans="1:6">
      <c r="A1" s="26" t="s">
        <v>95</v>
      </c>
      <c r="B1" s="26"/>
      <c r="C1" s="26"/>
      <c r="D1" s="26"/>
      <c r="E1" s="26"/>
      <c r="F1" s="27" t="s">
        <v>96</v>
      </c>
    </row>
    <row r="2" ht="18" customHeight="1" spans="1:6">
      <c r="A2" s="9"/>
      <c r="B2" s="9" t="s">
        <v>97</v>
      </c>
      <c r="C2" s="9" t="s">
        <v>52</v>
      </c>
      <c r="D2" s="9" t="s">
        <v>53</v>
      </c>
      <c r="E2" s="9" t="s">
        <v>54</v>
      </c>
      <c r="F2" s="9" t="s">
        <v>55</v>
      </c>
    </row>
    <row r="3" ht="24" customHeight="1" spans="1:6">
      <c r="A3" s="7" t="s">
        <v>98</v>
      </c>
      <c r="B3" s="7"/>
      <c r="C3" s="7"/>
      <c r="D3" s="7"/>
      <c r="E3" s="7"/>
      <c r="F3" s="7"/>
    </row>
    <row r="4" ht="18" customHeight="1" spans="1:6">
      <c r="A4" s="28" t="s">
        <v>99</v>
      </c>
      <c r="B4" s="28"/>
      <c r="C4" s="28"/>
      <c r="D4" s="28"/>
      <c r="E4" s="28"/>
      <c r="F4" s="28"/>
    </row>
    <row r="5" ht="18" customHeight="1" spans="1:6">
      <c r="A5" s="29" t="s">
        <v>100</v>
      </c>
      <c r="B5" s="23">
        <v>1928760</v>
      </c>
      <c r="C5" s="23">
        <f>'4 years cashflow'!C40</f>
        <v>821862.77</v>
      </c>
      <c r="D5" s="23">
        <f>'4 years cashflow'!D40</f>
        <v>2329212.44</v>
      </c>
      <c r="E5" s="23">
        <f>'4 years cashflow'!E40</f>
        <v>5033030</v>
      </c>
      <c r="F5" s="23">
        <f>'4 years cashflow'!F40</f>
        <v>8765948.2625</v>
      </c>
    </row>
    <row r="6" ht="18" customHeight="1" spans="1:6">
      <c r="A6" s="29" t="s">
        <v>101</v>
      </c>
      <c r="B6" s="23"/>
      <c r="C6" s="23">
        <v>400000</v>
      </c>
      <c r="D6" s="23">
        <v>307500</v>
      </c>
      <c r="E6" s="23">
        <v>315187.5</v>
      </c>
      <c r="F6" s="23">
        <v>323067.2</v>
      </c>
    </row>
    <row r="7" ht="18" customHeight="1" spans="1:6">
      <c r="A7" s="29" t="s">
        <v>102</v>
      </c>
      <c r="B7" s="23"/>
      <c r="C7" s="23">
        <v>0</v>
      </c>
      <c r="D7" s="23">
        <v>0</v>
      </c>
      <c r="E7" s="23">
        <v>0</v>
      </c>
      <c r="F7" s="23">
        <v>0</v>
      </c>
    </row>
    <row r="8" ht="18" customHeight="1" spans="1:6">
      <c r="A8" s="28" t="s">
        <v>103</v>
      </c>
      <c r="B8" s="28"/>
      <c r="C8" s="28"/>
      <c r="D8" s="28"/>
      <c r="E8" s="28"/>
      <c r="F8" s="28"/>
    </row>
    <row r="9" ht="18" customHeight="1" spans="1:6">
      <c r="A9" s="29" t="s">
        <v>104</v>
      </c>
      <c r="B9" s="23"/>
      <c r="C9" s="23">
        <v>0</v>
      </c>
      <c r="D9" s="23">
        <v>200000</v>
      </c>
      <c r="E9" s="23">
        <v>200000</v>
      </c>
      <c r="F9" s="23">
        <v>200000</v>
      </c>
    </row>
    <row r="10" ht="18" customHeight="1" spans="1:6">
      <c r="A10" s="28" t="s">
        <v>105</v>
      </c>
      <c r="B10" s="28"/>
      <c r="C10" s="28"/>
      <c r="D10" s="28"/>
      <c r="E10" s="28"/>
      <c r="F10" s="28"/>
    </row>
    <row r="11" ht="18" customHeight="1" spans="1:6">
      <c r="A11" s="29" t="s">
        <v>106</v>
      </c>
      <c r="B11" s="23">
        <v>65740</v>
      </c>
      <c r="C11" s="23">
        <v>65740</v>
      </c>
      <c r="D11" s="23">
        <v>65740</v>
      </c>
      <c r="E11" s="23">
        <v>65740</v>
      </c>
      <c r="F11" s="23">
        <v>65740</v>
      </c>
    </row>
    <row r="12" ht="18" customHeight="1" spans="1:6">
      <c r="A12" s="29" t="s">
        <v>107</v>
      </c>
      <c r="B12" s="23"/>
      <c r="C12" s="23">
        <v>-9203.61</v>
      </c>
      <c r="D12" s="23">
        <v>-16435</v>
      </c>
      <c r="E12" s="23">
        <v>-11175.8</v>
      </c>
      <c r="F12" s="23">
        <v>-8546.2</v>
      </c>
    </row>
    <row r="13" ht="18" customHeight="1" spans="1:6">
      <c r="A13" s="28" t="s">
        <v>108</v>
      </c>
      <c r="B13" s="28"/>
      <c r="C13" s="28"/>
      <c r="D13" s="28"/>
      <c r="E13" s="28"/>
      <c r="F13" s="28"/>
    </row>
    <row r="14" ht="18" customHeight="1" spans="1:6">
      <c r="A14" s="29" t="s">
        <v>109</v>
      </c>
      <c r="B14" s="23">
        <v>5500</v>
      </c>
      <c r="C14" s="23">
        <v>5500</v>
      </c>
      <c r="D14" s="23">
        <v>5500</v>
      </c>
      <c r="E14" s="23">
        <v>5500</v>
      </c>
      <c r="F14" s="23">
        <v>5500</v>
      </c>
    </row>
    <row r="15" ht="18" customHeight="1" spans="1:6">
      <c r="A15" s="29" t="s">
        <v>110</v>
      </c>
      <c r="B15" s="23"/>
      <c r="C15" s="23">
        <v>-1100</v>
      </c>
      <c r="D15" s="23">
        <v>-1100</v>
      </c>
      <c r="E15" s="23">
        <v>-1100</v>
      </c>
      <c r="F15" s="23">
        <v>-1100</v>
      </c>
    </row>
    <row r="16" ht="18" customHeight="1" spans="1:6">
      <c r="A16" s="30" t="s">
        <v>111</v>
      </c>
      <c r="B16" s="31">
        <f>B5+B11+B14</f>
        <v>2000000</v>
      </c>
      <c r="C16" s="32">
        <f>SUM(C5:C15)</f>
        <v>1282799.16</v>
      </c>
      <c r="D16" s="32">
        <f>SUM(D5:D15)</f>
        <v>2890417.44</v>
      </c>
      <c r="E16" s="32">
        <f>SUM(E5:E15)</f>
        <v>5607181.7</v>
      </c>
      <c r="F16" s="32">
        <f>SUM(F5:F15)</f>
        <v>9350609.2625</v>
      </c>
    </row>
    <row r="17" ht="24" customHeight="1" spans="1:6">
      <c r="A17" s="33" t="s">
        <v>112</v>
      </c>
      <c r="B17" s="33"/>
      <c r="C17" s="33"/>
      <c r="D17" s="33"/>
      <c r="E17" s="33"/>
      <c r="F17" s="33"/>
    </row>
    <row r="18" ht="18" customHeight="1" spans="1:6">
      <c r="A18" s="28" t="s">
        <v>113</v>
      </c>
      <c r="B18" s="28"/>
      <c r="C18" s="28"/>
      <c r="D18" s="28"/>
      <c r="E18" s="28"/>
      <c r="F18" s="28"/>
    </row>
    <row r="19" ht="18" customHeight="1" spans="1:6">
      <c r="A19" s="29" t="s">
        <v>114</v>
      </c>
      <c r="B19" s="23"/>
      <c r="C19" s="23">
        <v>630000</v>
      </c>
      <c r="D19" s="23">
        <f>C19*1.025</f>
        <v>645750</v>
      </c>
      <c r="E19" s="23">
        <f t="shared" ref="E19:F19" si="0">D19*1.025</f>
        <v>661893.75</v>
      </c>
      <c r="F19" s="23">
        <f t="shared" si="0"/>
        <v>678441.09375</v>
      </c>
    </row>
    <row r="20" ht="18" customHeight="1" spans="1:6">
      <c r="A20" s="29" t="s">
        <v>115</v>
      </c>
      <c r="B20" s="23"/>
      <c r="C20" s="23">
        <v>299000</v>
      </c>
      <c r="D20" s="23">
        <f>C20*1.1</f>
        <v>328900</v>
      </c>
      <c r="E20" s="23">
        <f>D20*1.1</f>
        <v>361790</v>
      </c>
      <c r="F20" s="23">
        <f>E20*1.1</f>
        <v>397969</v>
      </c>
    </row>
    <row r="21" ht="18" customHeight="1" spans="1:6">
      <c r="A21" s="29" t="s">
        <v>116</v>
      </c>
      <c r="B21" s="23"/>
      <c r="C21" s="23">
        <v>24386.07</v>
      </c>
      <c r="D21" s="23">
        <v>15132.97</v>
      </c>
      <c r="E21" s="23">
        <v>5430.92</v>
      </c>
      <c r="F21" s="23">
        <v>0</v>
      </c>
    </row>
    <row r="22" ht="18" customHeight="1" spans="1:6">
      <c r="A22" s="29" t="s">
        <v>117</v>
      </c>
      <c r="B22" s="23"/>
      <c r="C22" s="23">
        <v>134234.09</v>
      </c>
      <c r="D22" s="23">
        <v>396141.76</v>
      </c>
      <c r="E22" s="23">
        <v>646437.9</v>
      </c>
      <c r="F22" s="23">
        <v>850712.77</v>
      </c>
    </row>
    <row r="23" ht="18" customHeight="1" spans="1:6">
      <c r="A23" s="28" t="s">
        <v>118</v>
      </c>
      <c r="B23" s="28"/>
      <c r="C23" s="28"/>
      <c r="D23" s="28"/>
      <c r="E23" s="28"/>
      <c r="F23" s="28"/>
    </row>
    <row r="24" ht="18" customHeight="1" spans="1:6">
      <c r="A24" s="29" t="s">
        <v>119</v>
      </c>
      <c r="B24" s="23"/>
      <c r="C24" s="23">
        <v>600000</v>
      </c>
      <c r="D24" s="23">
        <v>409402.83</v>
      </c>
      <c r="E24" s="23">
        <v>209552.57</v>
      </c>
      <c r="F24" s="23">
        <v>0</v>
      </c>
    </row>
    <row r="25" ht="18" customHeight="1" spans="1:6">
      <c r="A25" s="30" t="s">
        <v>120</v>
      </c>
      <c r="B25" s="32"/>
      <c r="C25" s="32">
        <f>SUM(C19:C24)</f>
        <v>1687620.16</v>
      </c>
      <c r="D25" s="32">
        <f>SUM(D19:D24)</f>
        <v>1795327.56</v>
      </c>
      <c r="E25" s="32">
        <f>SUM(E19:E24)</f>
        <v>1885105.14</v>
      </c>
      <c r="F25" s="32">
        <f>SUM(F19:F24)</f>
        <v>1927122.86375</v>
      </c>
    </row>
    <row r="26" ht="18" customHeight="1" spans="1:6">
      <c r="A26" s="23"/>
      <c r="B26" s="23"/>
      <c r="C26" s="23"/>
      <c r="D26" s="23"/>
      <c r="E26" s="23"/>
      <c r="F26" s="23"/>
    </row>
    <row r="27" ht="24" customHeight="1" spans="1:6">
      <c r="A27" s="33" t="s">
        <v>121</v>
      </c>
      <c r="B27" s="33"/>
      <c r="C27" s="33"/>
      <c r="D27" s="33"/>
      <c r="E27" s="33"/>
      <c r="F27" s="33"/>
    </row>
    <row r="28" ht="18" customHeight="1" spans="1:6">
      <c r="A28" s="29" t="s">
        <v>122</v>
      </c>
      <c r="B28" s="23">
        <v>400000</v>
      </c>
      <c r="C28" s="23">
        <v>0</v>
      </c>
      <c r="D28" s="23">
        <v>307500</v>
      </c>
      <c r="E28" s="23">
        <v>315187.5</v>
      </c>
      <c r="F28" s="23">
        <v>323067.2</v>
      </c>
    </row>
    <row r="29" ht="18" customHeight="1" spans="1:6">
      <c r="A29" s="29" t="s">
        <v>123</v>
      </c>
      <c r="B29" s="23">
        <f>B16-B25-B28</f>
        <v>1600000</v>
      </c>
      <c r="C29" s="23">
        <f>C16-C25-C28</f>
        <v>-404821</v>
      </c>
      <c r="D29" s="23">
        <f>D16-D25-D28</f>
        <v>787589.879999999</v>
      </c>
      <c r="E29" s="23">
        <f>E16-E25-E28</f>
        <v>3406889.06</v>
      </c>
      <c r="F29" s="23">
        <f>F16-F25-F28</f>
        <v>7100419.19875</v>
      </c>
    </row>
    <row r="30" ht="18" customHeight="1" spans="1:6">
      <c r="A30" s="34" t="s">
        <v>124</v>
      </c>
      <c r="B30" s="32">
        <f>SUM(B28:B29)</f>
        <v>2000000</v>
      </c>
      <c r="C30" s="32">
        <f t="shared" ref="C30:F30" si="1">SUM(C28:C29)</f>
        <v>-404821</v>
      </c>
      <c r="D30" s="32">
        <f t="shared" si="1"/>
        <v>1095089.88</v>
      </c>
      <c r="E30" s="32">
        <f t="shared" si="1"/>
        <v>3722076.56</v>
      </c>
      <c r="F30" s="32">
        <f t="shared" si="1"/>
        <v>7423486.39875</v>
      </c>
    </row>
    <row r="31" ht="18" customHeight="1"/>
    <row r="32" ht="18" customHeight="1" spans="1:6">
      <c r="A32" s="34" t="s">
        <v>125</v>
      </c>
      <c r="B32" s="32">
        <f>B25+B30</f>
        <v>2000000</v>
      </c>
      <c r="C32" s="32">
        <f t="shared" ref="C32:F32" si="2">C25+C30</f>
        <v>1282799.16</v>
      </c>
      <c r="D32" s="32">
        <f t="shared" si="2"/>
        <v>2890417.44</v>
      </c>
      <c r="E32" s="32">
        <f t="shared" si="2"/>
        <v>5607181.7</v>
      </c>
      <c r="F32" s="32">
        <f t="shared" si="2"/>
        <v>9350609.2625</v>
      </c>
    </row>
  </sheetData>
  <mergeCells count="10">
    <mergeCell ref="A1:E1"/>
    <mergeCell ref="A3:F3"/>
    <mergeCell ref="A4:F4"/>
    <mergeCell ref="A8:F8"/>
    <mergeCell ref="A10:F10"/>
    <mergeCell ref="A13:F13"/>
    <mergeCell ref="A17:F17"/>
    <mergeCell ref="A18:F18"/>
    <mergeCell ref="A23:F23"/>
    <mergeCell ref="A27:F27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D16" sqref="D16"/>
    </sheetView>
  </sheetViews>
  <sheetFormatPr defaultColWidth="11" defaultRowHeight="15.75" outlineLevelCol="1"/>
  <cols>
    <col min="1" max="1" width="41.8333333333333" customWidth="1"/>
    <col min="2" max="2" width="14.3333333333333" customWidth="1"/>
  </cols>
  <sheetData>
    <row r="1" ht="27" customHeight="1" spans="1:2">
      <c r="A1" s="18" t="s">
        <v>126</v>
      </c>
      <c r="B1" s="19"/>
    </row>
    <row r="2" spans="1:2">
      <c r="A2" s="20" t="s">
        <v>127</v>
      </c>
      <c r="B2" s="21"/>
    </row>
    <row r="3" spans="1:2">
      <c r="A3" s="22" t="s">
        <v>29</v>
      </c>
      <c r="B3" s="23">
        <f>'4 years cashflow'!G17</f>
        <v>2027526.508125</v>
      </c>
    </row>
    <row r="4" spans="1:2">
      <c r="A4" s="22" t="s">
        <v>28</v>
      </c>
      <c r="B4" s="23">
        <f>'4 years cashflow'!G16</f>
        <v>44949.96</v>
      </c>
    </row>
    <row r="5" spans="1:2">
      <c r="A5" s="22" t="s">
        <v>89</v>
      </c>
      <c r="B5">
        <f>'4 years Profit and Loss '!F9</f>
        <v>45360.61</v>
      </c>
    </row>
    <row r="6" spans="1:2">
      <c r="A6" s="22" t="s">
        <v>25</v>
      </c>
      <c r="B6" s="23">
        <f>'4 years cashflow'!G13</f>
        <v>747452.8125</v>
      </c>
    </row>
    <row r="7" spans="1:2">
      <c r="A7" s="22" t="s">
        <v>26</v>
      </c>
      <c r="B7" s="23">
        <f>'4 years cashflow'!G14</f>
        <v>1494905.625</v>
      </c>
    </row>
    <row r="8" spans="1:2">
      <c r="A8" s="9" t="s">
        <v>128</v>
      </c>
      <c r="B8" s="23">
        <f>SUM(B3:B7)</f>
        <v>4360195.515625</v>
      </c>
    </row>
    <row r="9" spans="1:2">
      <c r="A9" s="20" t="s">
        <v>129</v>
      </c>
      <c r="B9" s="21"/>
    </row>
    <row r="10" spans="1:2">
      <c r="A10" s="22" t="s">
        <v>130</v>
      </c>
      <c r="B10" s="23">
        <f>'4 years cashflow'!G11</f>
        <v>16651908</v>
      </c>
    </row>
    <row r="11" spans="1:2">
      <c r="A11" s="22" t="s">
        <v>131</v>
      </c>
      <c r="B11">
        <v>20</v>
      </c>
    </row>
    <row r="12" spans="1:2">
      <c r="A12" s="9" t="s">
        <v>132</v>
      </c>
      <c r="B12">
        <f>B10/B11</f>
        <v>832595.4</v>
      </c>
    </row>
    <row r="13" spans="1:2">
      <c r="A13" s="20" t="s">
        <v>133</v>
      </c>
      <c r="B13" s="20"/>
    </row>
    <row r="14" spans="1:2">
      <c r="A14" s="22" t="s">
        <v>134</v>
      </c>
      <c r="B14">
        <f>'4 years cashflow'!G7</f>
        <v>25700000</v>
      </c>
    </row>
    <row r="15" spans="1:2">
      <c r="A15" s="22" t="s">
        <v>131</v>
      </c>
      <c r="B15">
        <v>20</v>
      </c>
    </row>
    <row r="16" spans="1:2">
      <c r="A16" s="22" t="s">
        <v>135</v>
      </c>
      <c r="B16">
        <f>B14/B15</f>
        <v>1285000</v>
      </c>
    </row>
    <row r="17" spans="1:2">
      <c r="A17" s="24" t="s">
        <v>136</v>
      </c>
      <c r="B17" s="25">
        <f>B8/(B16-B12)</f>
        <v>9.63782312475382</v>
      </c>
    </row>
  </sheetData>
  <mergeCells count="4">
    <mergeCell ref="A1:B1"/>
    <mergeCell ref="A2:B2"/>
    <mergeCell ref="A9:B9"/>
    <mergeCell ref="A13:B13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opLeftCell="A25" workbookViewId="0">
      <selection activeCell="I45" sqref="I45"/>
    </sheetView>
  </sheetViews>
  <sheetFormatPr defaultColWidth="11" defaultRowHeight="15.75" outlineLevelCol="5"/>
  <cols>
    <col min="1" max="1" width="37.6666666666667" customWidth="1"/>
    <col min="2" max="6" width="15.8333333333333" customWidth="1"/>
  </cols>
  <sheetData>
    <row r="1" ht="32" customHeight="1" spans="1:6">
      <c r="A1" s="7" t="s">
        <v>126</v>
      </c>
      <c r="B1" s="7"/>
      <c r="C1" s="7"/>
      <c r="D1" s="7"/>
      <c r="E1" s="7"/>
      <c r="F1" s="8" t="s">
        <v>137</v>
      </c>
    </row>
    <row r="2" spans="2:6">
      <c r="B2" s="9" t="s">
        <v>97</v>
      </c>
      <c r="C2" s="9" t="s">
        <v>52</v>
      </c>
      <c r="D2" s="9" t="s">
        <v>53</v>
      </c>
      <c r="E2" s="9" t="s">
        <v>54</v>
      </c>
      <c r="F2" s="9" t="s">
        <v>55</v>
      </c>
    </row>
    <row r="3" spans="1:6">
      <c r="A3" s="10" t="s">
        <v>138</v>
      </c>
      <c r="B3" s="10"/>
      <c r="C3" s="10"/>
      <c r="D3" s="10"/>
      <c r="E3" s="10"/>
      <c r="F3" s="10"/>
    </row>
    <row r="4" spans="1:6">
      <c r="A4" s="11" t="s">
        <v>138</v>
      </c>
      <c r="B4" s="12">
        <f>'4 years cashflow'!B38</f>
        <v>71240</v>
      </c>
      <c r="C4" s="12">
        <f>'4 years cashflow'!C38</f>
        <v>4426897.23</v>
      </c>
      <c r="D4" s="12">
        <f>'4 years cashflow'!D38</f>
        <v>4920150.33</v>
      </c>
      <c r="E4" s="12">
        <f>'4 years cashflow'!E38</f>
        <v>5118369.94</v>
      </c>
      <c r="F4" s="12">
        <f>'4 years cashflow'!F38</f>
        <v>5357148.9375</v>
      </c>
    </row>
    <row r="5" spans="1:6">
      <c r="A5" s="11" t="s">
        <v>139</v>
      </c>
      <c r="B5" s="12">
        <v>1</v>
      </c>
      <c r="C5" s="12">
        <v>1</v>
      </c>
      <c r="D5" s="12">
        <f>C5/(1+0.095)</f>
        <v>0.91324200913242</v>
      </c>
      <c r="E5" s="12">
        <f>D5/(1+0.095)</f>
        <v>0.834010967244219</v>
      </c>
      <c r="F5" s="12">
        <f>E5/(1+0.095)</f>
        <v>0.761653851364584</v>
      </c>
    </row>
    <row r="6" spans="1:6">
      <c r="A6" s="11" t="s">
        <v>140</v>
      </c>
      <c r="B6" s="12">
        <f>B4*B5</f>
        <v>71240</v>
      </c>
      <c r="C6" s="12">
        <f t="shared" ref="C6:F6" si="0">C4*C5</f>
        <v>4426897.23</v>
      </c>
      <c r="D6" s="12">
        <f t="shared" si="0"/>
        <v>4493287.97260274</v>
      </c>
      <c r="E6" s="12">
        <f t="shared" si="0"/>
        <v>4268776.66437314</v>
      </c>
      <c r="F6" s="12">
        <f t="shared" si="0"/>
        <v>4080293.12058056</v>
      </c>
    </row>
    <row r="7" spans="1:6">
      <c r="A7" s="11" t="s">
        <v>141</v>
      </c>
      <c r="B7" s="12">
        <f>B6</f>
        <v>71240</v>
      </c>
      <c r="C7" s="12">
        <f>B7+C6</f>
        <v>4498137.23</v>
      </c>
      <c r="D7" s="12">
        <f t="shared" ref="D7:F7" si="1">C7+D6</f>
        <v>8991425.20260274</v>
      </c>
      <c r="E7" s="12">
        <f t="shared" si="1"/>
        <v>13260201.8669759</v>
      </c>
      <c r="F7" s="12">
        <f t="shared" si="1"/>
        <v>17340494.9875564</v>
      </c>
    </row>
    <row r="8" spans="1:6">
      <c r="A8" s="13" t="s">
        <v>142</v>
      </c>
      <c r="B8" s="13"/>
      <c r="C8" s="13"/>
      <c r="D8" s="13"/>
      <c r="E8" s="13"/>
      <c r="F8" s="13"/>
    </row>
    <row r="9" spans="1:6">
      <c r="A9" s="11" t="s">
        <v>142</v>
      </c>
      <c r="B9" s="12">
        <v>0</v>
      </c>
      <c r="C9" s="12">
        <f>'4 years cashflow'!C37-'4 years cashflow'!B39</f>
        <v>2391240</v>
      </c>
      <c r="D9" s="12">
        <f>'4 years cashflow'!D37-'4 years cashflow'!C39</f>
        <v>7534397.23</v>
      </c>
      <c r="E9" s="12">
        <f>'4 years cashflow'!E37-'4 years cashflow'!D39</f>
        <v>6314837.83</v>
      </c>
      <c r="F9" s="12">
        <f>'4 years cashflow'!F37-'4 years cashflow'!E39</f>
        <v>6386249.64</v>
      </c>
    </row>
    <row r="10" spans="1:6">
      <c r="A10" s="11" t="s">
        <v>139</v>
      </c>
      <c r="B10" s="12">
        <f>B5</f>
        <v>1</v>
      </c>
      <c r="C10" s="12">
        <f>C5</f>
        <v>1</v>
      </c>
      <c r="D10" s="12">
        <f t="shared" ref="D10:F10" si="2">D5</f>
        <v>0.91324200913242</v>
      </c>
      <c r="E10" s="12">
        <f t="shared" si="2"/>
        <v>0.834010967244219</v>
      </c>
      <c r="F10" s="12">
        <f t="shared" si="2"/>
        <v>0.761653851364584</v>
      </c>
    </row>
    <row r="11" spans="1:6">
      <c r="A11" s="11" t="s">
        <v>143</v>
      </c>
      <c r="B11" s="12">
        <f>B9*B10</f>
        <v>0</v>
      </c>
      <c r="C11" s="12">
        <f t="shared" ref="C11:F11" si="3">C9*C10</f>
        <v>2391240</v>
      </c>
      <c r="D11" s="12">
        <f t="shared" si="3"/>
        <v>6880728.06392694</v>
      </c>
      <c r="E11" s="12">
        <f t="shared" si="3"/>
        <v>5266644.00658869</v>
      </c>
      <c r="F11" s="12">
        <f t="shared" si="3"/>
        <v>4864111.63408169</v>
      </c>
    </row>
    <row r="12" spans="1:6">
      <c r="A12" s="11" t="s">
        <v>144</v>
      </c>
      <c r="B12" s="12">
        <v>0</v>
      </c>
      <c r="C12" s="12">
        <f>B12+C11</f>
        <v>2391240</v>
      </c>
      <c r="D12" s="12">
        <f t="shared" ref="D12:F12" si="4">C12+D11</f>
        <v>9271968.06392694</v>
      </c>
      <c r="E12" s="12">
        <f t="shared" si="4"/>
        <v>14538612.0705156</v>
      </c>
      <c r="F12" s="12">
        <f t="shared" si="4"/>
        <v>19402723.7045973</v>
      </c>
    </row>
    <row r="13" spans="1:6">
      <c r="A13" s="13" t="s">
        <v>145</v>
      </c>
      <c r="B13" s="13"/>
      <c r="C13" s="13"/>
      <c r="D13" s="13"/>
      <c r="E13" s="13"/>
      <c r="F13" s="13"/>
    </row>
    <row r="14" spans="1:6">
      <c r="A14" s="11" t="s">
        <v>146</v>
      </c>
      <c r="B14" s="12">
        <f>B9-B4</f>
        <v>-71240</v>
      </c>
      <c r="C14" s="12">
        <f t="shared" ref="C14:F14" si="5">C9-C4</f>
        <v>-2035657.23</v>
      </c>
      <c r="D14" s="12">
        <f t="shared" si="5"/>
        <v>2614246.9</v>
      </c>
      <c r="E14" s="12">
        <f t="shared" si="5"/>
        <v>1196467.89</v>
      </c>
      <c r="F14" s="12">
        <f t="shared" si="5"/>
        <v>1029100.7025</v>
      </c>
    </row>
    <row r="15" spans="1:6">
      <c r="A15" s="11" t="s">
        <v>147</v>
      </c>
      <c r="B15" s="12">
        <f>B11-B6</f>
        <v>-71240</v>
      </c>
      <c r="C15" s="12">
        <f t="shared" ref="C15:F15" si="6">C11-C6</f>
        <v>-2035657.23</v>
      </c>
      <c r="D15" s="12">
        <f t="shared" si="6"/>
        <v>2387440.0913242</v>
      </c>
      <c r="E15" s="12">
        <f t="shared" si="6"/>
        <v>997867.342215549</v>
      </c>
      <c r="F15" s="12">
        <f t="shared" si="6"/>
        <v>783818.513501123</v>
      </c>
    </row>
    <row r="16" spans="1:6">
      <c r="A16" s="11" t="s">
        <v>148</v>
      </c>
      <c r="B16" s="12">
        <f>B12-B7</f>
        <v>-71240</v>
      </c>
      <c r="C16" s="12">
        <f t="shared" ref="C16:F16" si="7">C12-C7</f>
        <v>-2106897.23</v>
      </c>
      <c r="D16" s="12">
        <f t="shared" si="7"/>
        <v>280542.861324202</v>
      </c>
      <c r="E16" s="12">
        <f t="shared" si="7"/>
        <v>1278410.20353975</v>
      </c>
      <c r="F16" s="12">
        <f t="shared" si="7"/>
        <v>2062228.71704087</v>
      </c>
    </row>
    <row r="18" spans="1:5">
      <c r="A18" s="9" t="s">
        <v>149</v>
      </c>
      <c r="B18" s="12">
        <f>F16</f>
        <v>2062228.71704087</v>
      </c>
      <c r="C18" s="14" t="s">
        <v>148</v>
      </c>
      <c r="D18" s="14"/>
      <c r="E18" s="14"/>
    </row>
    <row r="19" spans="1:5">
      <c r="A19" s="9" t="s">
        <v>150</v>
      </c>
      <c r="B19" s="15">
        <f>IRR(B15:F15)</f>
        <v>0.560060243663642</v>
      </c>
      <c r="C19" s="14" t="s">
        <v>151</v>
      </c>
      <c r="D19" s="14"/>
      <c r="E19" s="14"/>
    </row>
    <row r="20" spans="1:5">
      <c r="A20" s="16" t="s">
        <v>152</v>
      </c>
      <c r="B20" s="17" t="s">
        <v>53</v>
      </c>
      <c r="C20" s="14" t="s">
        <v>153</v>
      </c>
      <c r="D20" s="14"/>
      <c r="E20" s="14"/>
    </row>
    <row r="21" spans="1:5">
      <c r="A21" s="16"/>
      <c r="B21" s="17"/>
      <c r="C21" s="14" t="s">
        <v>154</v>
      </c>
      <c r="D21" s="14"/>
      <c r="E21" s="14"/>
    </row>
  </sheetData>
  <mergeCells count="10">
    <mergeCell ref="A1:E1"/>
    <mergeCell ref="A3:F3"/>
    <mergeCell ref="A8:F8"/>
    <mergeCell ref="A13:F13"/>
    <mergeCell ref="C18:E18"/>
    <mergeCell ref="C19:E19"/>
    <mergeCell ref="C20:E20"/>
    <mergeCell ref="C21:E21"/>
    <mergeCell ref="A20:A21"/>
    <mergeCell ref="B20:B21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4" workbookViewId="0">
      <selection activeCell="J12" sqref="J12"/>
    </sheetView>
  </sheetViews>
  <sheetFormatPr defaultColWidth="9" defaultRowHeight="15.75" outlineLevelCol="4"/>
  <cols>
    <col min="1" max="1" width="24.75" customWidth="1"/>
    <col min="2" max="2" width="22.625" customWidth="1"/>
    <col min="3" max="3" width="15.875" customWidth="1"/>
    <col min="4" max="4" width="14.375"/>
    <col min="5" max="5" width="16.875" customWidth="1"/>
  </cols>
  <sheetData>
    <row r="1" ht="33" customHeight="1" spans="1:5">
      <c r="A1" s="1" t="s">
        <v>155</v>
      </c>
      <c r="B1" s="1"/>
      <c r="C1" s="1"/>
      <c r="D1" s="1"/>
      <c r="E1" s="1"/>
    </row>
    <row r="2" spans="1:5">
      <c r="A2" s="2" t="s">
        <v>156</v>
      </c>
      <c r="B2" s="2" t="s">
        <v>157</v>
      </c>
      <c r="C2" s="2" t="s">
        <v>158</v>
      </c>
      <c r="D2" s="2" t="s">
        <v>159</v>
      </c>
      <c r="E2" s="2" t="s">
        <v>160</v>
      </c>
    </row>
    <row r="3" spans="1:5">
      <c r="A3" s="3" t="s">
        <v>161</v>
      </c>
      <c r="B3" s="4">
        <v>13396.79</v>
      </c>
      <c r="C3" s="4">
        <v>-10</v>
      </c>
      <c r="D3" s="4">
        <v>975350.3</v>
      </c>
      <c r="E3" s="4">
        <v>-5.22</v>
      </c>
    </row>
    <row r="4" spans="1:5">
      <c r="A4" s="3"/>
      <c r="B4" s="4">
        <v>14885.32</v>
      </c>
      <c r="C4" s="4">
        <v>-5</v>
      </c>
      <c r="D4" s="4">
        <v>1005274.5</v>
      </c>
      <c r="E4" s="4">
        <v>-2.32</v>
      </c>
    </row>
    <row r="5" spans="1:5">
      <c r="A5" s="3"/>
      <c r="B5" s="4">
        <v>15668.76</v>
      </c>
      <c r="C5" s="4">
        <v>-3</v>
      </c>
      <c r="D5" s="4">
        <v>1019408.7</v>
      </c>
      <c r="E5" s="4">
        <v>-0.94</v>
      </c>
    </row>
    <row r="6" spans="1:5">
      <c r="A6" s="3"/>
      <c r="B6" s="4">
        <v>16153.36</v>
      </c>
      <c r="C6" s="4">
        <v>0</v>
      </c>
      <c r="D6" s="4">
        <v>1029100.7</v>
      </c>
      <c r="E6" s="4">
        <v>0</v>
      </c>
    </row>
    <row r="7" spans="1:5">
      <c r="A7" s="3"/>
      <c r="B7" s="4">
        <v>16637.96</v>
      </c>
      <c r="C7" s="4">
        <v>3</v>
      </c>
      <c r="D7" s="4">
        <v>1038792.7</v>
      </c>
      <c r="E7" s="4">
        <v>0.94</v>
      </c>
    </row>
    <row r="8" spans="1:5">
      <c r="A8" s="3"/>
      <c r="B8" s="4">
        <v>17469.86</v>
      </c>
      <c r="C8" s="4">
        <v>5</v>
      </c>
      <c r="D8" s="4">
        <v>1055430.7</v>
      </c>
      <c r="E8" s="4">
        <v>2.56</v>
      </c>
    </row>
    <row r="9" spans="1:5">
      <c r="A9" s="3"/>
      <c r="B9" s="4">
        <v>19216.84</v>
      </c>
      <c r="C9" s="4">
        <v>10</v>
      </c>
      <c r="D9" s="4">
        <v>1090370.3</v>
      </c>
      <c r="E9" s="4">
        <v>5.95</v>
      </c>
    </row>
    <row r="10" spans="1:5">
      <c r="A10" s="5" t="s">
        <v>162</v>
      </c>
      <c r="B10" s="6">
        <v>17</v>
      </c>
      <c r="C10" s="6">
        <v>-10</v>
      </c>
      <c r="D10" s="6">
        <v>189395.38</v>
      </c>
      <c r="E10" s="6">
        <v>-81.6</v>
      </c>
    </row>
    <row r="11" spans="1:5">
      <c r="A11" s="5"/>
      <c r="B11" s="6">
        <v>18</v>
      </c>
      <c r="C11" s="6">
        <v>-5</v>
      </c>
      <c r="D11" s="6">
        <v>216793.98</v>
      </c>
      <c r="E11" s="6">
        <v>-78.93</v>
      </c>
    </row>
    <row r="12" spans="1:5">
      <c r="A12" s="5"/>
      <c r="B12" s="6">
        <v>19</v>
      </c>
      <c r="C12" s="6">
        <v>-3</v>
      </c>
      <c r="D12" s="6">
        <v>622947.34</v>
      </c>
      <c r="E12" s="6">
        <v>-39.47</v>
      </c>
    </row>
    <row r="13" spans="1:5">
      <c r="A13" s="5"/>
      <c r="B13" s="6">
        <v>20</v>
      </c>
      <c r="C13" s="6">
        <v>0</v>
      </c>
      <c r="D13" s="6">
        <v>1029100.7</v>
      </c>
      <c r="E13" s="6">
        <v>0</v>
      </c>
    </row>
    <row r="14" spans="1:5">
      <c r="A14" s="5"/>
      <c r="B14" s="6">
        <v>21</v>
      </c>
      <c r="C14" s="6">
        <v>3</v>
      </c>
      <c r="D14" s="6">
        <v>1435254.06</v>
      </c>
      <c r="E14" s="6">
        <v>39.47</v>
      </c>
    </row>
    <row r="15" spans="1:5">
      <c r="A15" s="5"/>
      <c r="B15" s="6">
        <v>22</v>
      </c>
      <c r="C15" s="6">
        <v>5</v>
      </c>
      <c r="D15" s="6">
        <v>1841407.42</v>
      </c>
      <c r="E15" s="6">
        <v>78.93</v>
      </c>
    </row>
    <row r="16" spans="1:5">
      <c r="A16" s="5"/>
      <c r="B16" s="6">
        <v>24</v>
      </c>
      <c r="C16" s="6">
        <v>10</v>
      </c>
      <c r="D16" s="6">
        <v>2653714.14</v>
      </c>
      <c r="E16" s="6">
        <v>157.87</v>
      </c>
    </row>
    <row r="17" spans="1:5">
      <c r="A17" s="3" t="s">
        <v>163</v>
      </c>
      <c r="B17" s="4">
        <v>484770.39</v>
      </c>
      <c r="C17" s="4">
        <v>-10</v>
      </c>
      <c r="D17" s="4">
        <v>1125851.25</v>
      </c>
      <c r="E17" s="4">
        <v>9.4</v>
      </c>
    </row>
    <row r="18" spans="1:5">
      <c r="A18" s="3"/>
      <c r="B18" s="4">
        <v>538633.77</v>
      </c>
      <c r="C18" s="4">
        <v>-5</v>
      </c>
      <c r="D18" s="4">
        <v>1071987.87</v>
      </c>
      <c r="E18" s="4">
        <v>4.17</v>
      </c>
    </row>
    <row r="19" spans="1:5">
      <c r="A19" s="3"/>
      <c r="B19" s="4">
        <v>566982.92</v>
      </c>
      <c r="C19" s="4">
        <v>-3</v>
      </c>
      <c r="D19" s="4">
        <v>1043638.72</v>
      </c>
      <c r="E19" s="4">
        <v>1.41</v>
      </c>
    </row>
    <row r="20" spans="1:5">
      <c r="A20" s="3"/>
      <c r="B20" s="4">
        <v>581520.94</v>
      </c>
      <c r="C20" s="4">
        <v>0</v>
      </c>
      <c r="D20" s="4">
        <v>1029100.7</v>
      </c>
      <c r="E20" s="4">
        <v>0</v>
      </c>
    </row>
    <row r="21" spans="1:5">
      <c r="A21" s="3"/>
      <c r="B21" s="4">
        <v>596058.96</v>
      </c>
      <c r="C21" s="4">
        <v>3</v>
      </c>
      <c r="D21" s="4">
        <v>1014562.68</v>
      </c>
      <c r="E21" s="4">
        <v>-1.41</v>
      </c>
    </row>
    <row r="22" spans="1:5">
      <c r="A22" s="3"/>
      <c r="B22" s="4">
        <v>625861.91</v>
      </c>
      <c r="C22" s="4">
        <v>5</v>
      </c>
      <c r="D22" s="4">
        <v>984759.73</v>
      </c>
      <c r="E22" s="4">
        <v>-4.31</v>
      </c>
    </row>
    <row r="23" spans="1:5">
      <c r="A23" s="3"/>
      <c r="B23" s="4">
        <v>688448.1</v>
      </c>
      <c r="C23" s="4">
        <v>10</v>
      </c>
      <c r="D23" s="4">
        <v>922133.54</v>
      </c>
      <c r="E23" s="4">
        <v>-10.39</v>
      </c>
    </row>
  </sheetData>
  <mergeCells count="4">
    <mergeCell ref="A1:E1"/>
    <mergeCell ref="A3:A9"/>
    <mergeCell ref="A10:A16"/>
    <mergeCell ref="A17:A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12 Months Cash Flow of Year 1</vt:lpstr>
      <vt:lpstr>4 years cashflow</vt:lpstr>
      <vt:lpstr>Depreciation &amp; Amortization</vt:lpstr>
      <vt:lpstr>12 month Profit and Loss </vt:lpstr>
      <vt:lpstr>4 years Profit and Loss </vt:lpstr>
      <vt:lpstr>Balance Sheet</vt:lpstr>
      <vt:lpstr>Break-even</vt:lpstr>
      <vt:lpstr>NPV &amp; IRR</vt:lpstr>
      <vt:lpstr>Sensitivity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1015655239qqcom</cp:lastModifiedBy>
  <dcterms:created xsi:type="dcterms:W3CDTF">2019-06-11T14:03:00Z</dcterms:created>
  <dcterms:modified xsi:type="dcterms:W3CDTF">2019-06-20T00:41:51Z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