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jimac/Desktop/CFA Project/"/>
    </mc:Choice>
  </mc:AlternateContent>
  <xr:revisionPtr revIDLastSave="0" documentId="8_{F0CA39BC-75C7-CB41-9902-552DCC1BCB46}" xr6:coauthVersionLast="45" xr6:coauthVersionMax="45" xr10:uidLastSave="{00000000-0000-0000-0000-000000000000}"/>
  <bookViews>
    <workbookView xWindow="0" yWindow="460" windowWidth="28800" windowHeight="15840" tabRatio="747" xr2:uid="{00000000-000D-0000-FFFF-FFFF00000000}"/>
  </bookViews>
  <sheets>
    <sheet name="Revenue model" sheetId="8" r:id="rId1"/>
    <sheet name="Schedules" sheetId="11" r:id="rId2"/>
    <sheet name="Cash Flow" sheetId="13" r:id="rId3"/>
    <sheet name="DCF" sheetId="14" r:id="rId4"/>
    <sheet name="Financial Analysis" sheetId="15" r:id="rId5"/>
  </sheets>
  <externalReferences>
    <externalReference r:id="rId6"/>
  </externalReferences>
  <definedNames>
    <definedName name="_xlnm._FilterDatabase" localSheetId="2" hidden="1">'Cash Flow'!#REF!</definedName>
    <definedName name="_xlnm._FilterDatabase" localSheetId="3" hidden="1">DCF!#REF!</definedName>
    <definedName name="_xlnm._FilterDatabase" localSheetId="4" hidden="1">'Financial Analysis'!#REF!</definedName>
  </definedNames>
  <calcPr calcId="191029" calcMode="autoNoTable"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15" l="1"/>
  <c r="G31" i="15"/>
  <c r="F31" i="15"/>
  <c r="H31" i="15"/>
  <c r="I31" i="15"/>
  <c r="E29" i="15"/>
  <c r="I30" i="15"/>
  <c r="H30" i="15"/>
  <c r="G30" i="15"/>
  <c r="F30" i="15"/>
  <c r="E30" i="15"/>
  <c r="G27" i="15"/>
  <c r="H27" i="15"/>
  <c r="I27" i="15"/>
  <c r="I26" i="15"/>
  <c r="G26" i="15"/>
  <c r="H26" i="15"/>
  <c r="I23" i="15"/>
  <c r="H23" i="15"/>
  <c r="G23" i="15"/>
  <c r="E23" i="15"/>
  <c r="G25" i="15"/>
  <c r="H25" i="15"/>
  <c r="I25" i="15"/>
  <c r="G24" i="15"/>
  <c r="H24" i="15"/>
  <c r="I24" i="15"/>
  <c r="H22" i="15"/>
  <c r="H21" i="15"/>
  <c r="I21" i="15"/>
  <c r="I22" i="15"/>
  <c r="G22" i="15"/>
  <c r="F22" i="15"/>
  <c r="G21" i="15"/>
  <c r="F21" i="15"/>
  <c r="F23" i="15"/>
  <c r="E22" i="15"/>
  <c r="E21" i="15"/>
  <c r="I13" i="15"/>
  <c r="H13" i="15"/>
  <c r="G13" i="15"/>
  <c r="F13" i="15"/>
  <c r="E13" i="15"/>
  <c r="E18" i="15"/>
  <c r="F18" i="15"/>
  <c r="E19" i="15"/>
  <c r="F19" i="15"/>
  <c r="G18" i="15"/>
  <c r="H18" i="15"/>
  <c r="I18" i="15"/>
  <c r="I19" i="15"/>
  <c r="G19" i="15"/>
  <c r="H19" i="15"/>
  <c r="I17" i="15"/>
  <c r="H17" i="15"/>
  <c r="G17" i="15"/>
  <c r="F17" i="15"/>
  <c r="E17" i="15"/>
  <c r="E14" i="15"/>
  <c r="E15" i="15"/>
  <c r="F14" i="15"/>
  <c r="F15" i="15"/>
  <c r="I15" i="15"/>
  <c r="I14" i="15"/>
  <c r="H14" i="15"/>
  <c r="G14" i="15"/>
  <c r="G15" i="15"/>
  <c r="H15" i="15"/>
  <c r="E11" i="15"/>
  <c r="F11" i="15"/>
  <c r="E12" i="15"/>
  <c r="F12" i="15"/>
  <c r="G12" i="15"/>
  <c r="F9" i="15"/>
  <c r="E9" i="15" s="1"/>
  <c r="H12" i="15"/>
  <c r="I12" i="15"/>
  <c r="I11" i="15"/>
  <c r="H11" i="15"/>
  <c r="G11" i="15"/>
  <c r="H9" i="15"/>
  <c r="G9" i="15" s="1"/>
  <c r="AB12" i="8" l="1"/>
  <c r="AB11" i="8"/>
  <c r="AB13" i="8"/>
  <c r="AB14" i="8" l="1"/>
  <c r="V11" i="8" s="1"/>
  <c r="V12" i="8" s="1"/>
  <c r="V17" i="8" s="1"/>
  <c r="H22" i="14" l="1"/>
  <c r="H23" i="14" s="1"/>
  <c r="O39" i="14"/>
  <c r="H39" i="14"/>
  <c r="M38" i="14"/>
  <c r="O24" i="14"/>
  <c r="H24" i="14"/>
  <c r="H20" i="14"/>
  <c r="O20" i="14"/>
  <c r="H67" i="14"/>
  <c r="I67" i="14"/>
  <c r="J67" i="14"/>
  <c r="I54" i="14"/>
  <c r="J54" i="14"/>
  <c r="H54" i="14"/>
  <c r="J60" i="14"/>
  <c r="I60" i="14"/>
  <c r="H60" i="14"/>
  <c r="J52" i="14"/>
  <c r="J55" i="14" s="1"/>
  <c r="J64" i="14" s="1"/>
  <c r="I52" i="14"/>
  <c r="I55" i="14" s="1"/>
  <c r="I64" i="14" s="1"/>
  <c r="H52" i="14"/>
  <c r="H55" i="14" s="1"/>
  <c r="H64" i="14" s="1"/>
  <c r="H66" i="14"/>
  <c r="O14" i="14"/>
  <c r="O11" i="14"/>
  <c r="O12" i="14"/>
  <c r="J46" i="14"/>
  <c r="F38" i="14"/>
  <c r="H25" i="14" l="1"/>
  <c r="O15" i="14"/>
  <c r="O16" i="14" s="1"/>
  <c r="I65" i="14"/>
  <c r="I66" i="14" l="1"/>
  <c r="J65" i="14"/>
  <c r="J66" i="14" l="1"/>
  <c r="O22" i="14" l="1"/>
  <c r="O23" i="14" s="1"/>
  <c r="K42" i="13" l="1"/>
  <c r="L42" i="13"/>
  <c r="M42" i="13"/>
  <c r="J42" i="13"/>
  <c r="I42" i="13"/>
  <c r="J43" i="13"/>
  <c r="H42" i="13"/>
  <c r="J36" i="13"/>
  <c r="K36" i="13"/>
  <c r="L36" i="13"/>
  <c r="M36" i="13"/>
  <c r="I36" i="13"/>
  <c r="H23" i="13" l="1"/>
  <c r="H26" i="13" s="1"/>
  <c r="L11" i="13"/>
  <c r="M11" i="13" s="1"/>
  <c r="I11" i="13"/>
  <c r="J11" i="13" s="1"/>
  <c r="J23" i="13"/>
  <c r="J26" i="13" s="1"/>
  <c r="I43" i="13"/>
  <c r="H43" i="13"/>
  <c r="I23" i="13"/>
  <c r="I26" i="13" s="1"/>
  <c r="I34" i="13" l="1"/>
  <c r="I37" i="13" s="1"/>
  <c r="J34" i="13"/>
  <c r="H34" i="13"/>
  <c r="H44" i="13"/>
  <c r="I46" i="13" l="1"/>
  <c r="J37" i="13"/>
  <c r="J46" i="13" s="1"/>
  <c r="H37" i="13"/>
  <c r="H46" i="13" s="1"/>
  <c r="J71" i="8"/>
  <c r="I71" i="8"/>
  <c r="I83" i="8"/>
  <c r="J83" i="8" s="1"/>
  <c r="K83" i="8" s="1"/>
  <c r="L83" i="8" s="1"/>
  <c r="M83" i="8" s="1"/>
  <c r="K86" i="8"/>
  <c r="L86" i="8"/>
  <c r="M86" i="8"/>
  <c r="K90" i="8"/>
  <c r="L90" i="8"/>
  <c r="M90" i="8"/>
  <c r="N53" i="8"/>
  <c r="I53" i="11" l="1"/>
  <c r="J64" i="8" s="1"/>
  <c r="H53" i="11"/>
  <c r="I64" i="8" s="1"/>
  <c r="I48" i="11"/>
  <c r="H48" i="11"/>
  <c r="I46" i="11"/>
  <c r="H46" i="11"/>
  <c r="I44" i="11"/>
  <c r="H44" i="11"/>
  <c r="I24" i="11"/>
  <c r="I54" i="11" s="1"/>
  <c r="J72" i="8" s="1"/>
  <c r="H24" i="11"/>
  <c r="H54" i="11" s="1"/>
  <c r="I72" i="8" s="1"/>
  <c r="I11" i="11"/>
  <c r="J11" i="11" s="1"/>
  <c r="H55" i="11" l="1"/>
  <c r="I55" i="11"/>
  <c r="K11" i="11"/>
  <c r="L11" i="11" s="1"/>
  <c r="N41" i="8" l="1"/>
  <c r="N49" i="8"/>
  <c r="N43" i="8"/>
  <c r="N45" i="8"/>
  <c r="N15" i="8"/>
  <c r="N17" i="8"/>
  <c r="N19" i="8"/>
  <c r="I55" i="8"/>
  <c r="J55" i="8"/>
  <c r="H55" i="8"/>
  <c r="H37" i="8"/>
  <c r="I37" i="8" s="1"/>
  <c r="J37" i="8" s="1"/>
  <c r="K37" i="8" s="1"/>
  <c r="L37" i="8" s="1"/>
  <c r="M37" i="8" s="1"/>
  <c r="M131" i="8"/>
  <c r="M58" i="8" s="1"/>
  <c r="L131" i="8"/>
  <c r="L58" i="8" s="1"/>
  <c r="K131" i="8"/>
  <c r="K58" i="8" s="1"/>
  <c r="M127" i="8"/>
  <c r="M54" i="8" s="1"/>
  <c r="L127" i="8"/>
  <c r="L54" i="8" s="1"/>
  <c r="K127" i="8"/>
  <c r="K54" i="8" s="1"/>
  <c r="M123" i="8"/>
  <c r="M46" i="8" s="1"/>
  <c r="L123" i="8"/>
  <c r="L46" i="8" s="1"/>
  <c r="K123" i="8"/>
  <c r="K46" i="8" s="1"/>
  <c r="M119" i="8"/>
  <c r="M44" i="8" s="1"/>
  <c r="L119" i="8"/>
  <c r="L44" i="8" s="1"/>
  <c r="K119" i="8"/>
  <c r="K44" i="8" s="1"/>
  <c r="M115" i="8"/>
  <c r="M50" i="8" s="1"/>
  <c r="L115" i="8"/>
  <c r="L50" i="8" s="1"/>
  <c r="K115" i="8"/>
  <c r="K50" i="8" s="1"/>
  <c r="M111" i="8"/>
  <c r="M42" i="8" s="1"/>
  <c r="L111" i="8"/>
  <c r="L42" i="8" s="1"/>
  <c r="K111" i="8"/>
  <c r="K42" i="8" s="1"/>
  <c r="N29" i="8" l="1"/>
  <c r="N25" i="8"/>
  <c r="N13" i="8"/>
  <c r="K106" i="8"/>
  <c r="K30" i="8" s="1"/>
  <c r="K29" i="8" s="1"/>
  <c r="K102" i="8"/>
  <c r="K26" i="8" s="1"/>
  <c r="K25" i="8" s="1"/>
  <c r="J47" i="11" s="1"/>
  <c r="M106" i="8"/>
  <c r="M30" i="8" s="1"/>
  <c r="L106" i="8"/>
  <c r="L30" i="8" s="1"/>
  <c r="J18" i="8"/>
  <c r="K94" i="8"/>
  <c r="K18" i="8" s="1"/>
  <c r="M94" i="8"/>
  <c r="M18" i="8" s="1"/>
  <c r="L94" i="8"/>
  <c r="L18" i="8" s="1"/>
  <c r="K14" i="8"/>
  <c r="I14" i="8"/>
  <c r="I86" i="8" s="1"/>
  <c r="H14" i="8"/>
  <c r="H86" i="8" s="1"/>
  <c r="J21" i="8"/>
  <c r="J30" i="8"/>
  <c r="J106" i="8" s="1"/>
  <c r="I30" i="8"/>
  <c r="I106" i="8" s="1"/>
  <c r="H30" i="8"/>
  <c r="H106" i="8" s="1"/>
  <c r="J20" i="8"/>
  <c r="J98" i="8" s="1"/>
  <c r="H21" i="8"/>
  <c r="H25" i="13" s="1"/>
  <c r="I21" i="8"/>
  <c r="I25" i="13" s="1"/>
  <c r="G21" i="8"/>
  <c r="G27" i="8" s="1"/>
  <c r="G31" i="8" s="1"/>
  <c r="J26" i="8"/>
  <c r="J102" i="8" s="1"/>
  <c r="I16" i="8"/>
  <c r="I90" i="8" s="1"/>
  <c r="J14" i="8"/>
  <c r="J86" i="8" s="1"/>
  <c r="H26" i="8"/>
  <c r="H102" i="8" s="1"/>
  <c r="H18" i="8"/>
  <c r="J39" i="8" l="1"/>
  <c r="J47" i="8" s="1"/>
  <c r="J51" i="8" s="1"/>
  <c r="J52" i="8" s="1"/>
  <c r="J25" i="13"/>
  <c r="J63" i="8"/>
  <c r="J48" i="8"/>
  <c r="J42" i="8"/>
  <c r="J111" i="8" s="1"/>
  <c r="J44" i="8"/>
  <c r="J119" i="8" s="1"/>
  <c r="J59" i="8"/>
  <c r="J69" i="8" s="1"/>
  <c r="J73" i="8" s="1"/>
  <c r="J76" i="8" s="1"/>
  <c r="J54" i="8"/>
  <c r="J127" i="8" s="1"/>
  <c r="J50" i="8"/>
  <c r="J115" i="8" s="1"/>
  <c r="J46" i="8"/>
  <c r="J123" i="8" s="1"/>
  <c r="H27" i="8"/>
  <c r="H31" i="8" s="1"/>
  <c r="H39" i="8"/>
  <c r="I27" i="8"/>
  <c r="I31" i="8" s="1"/>
  <c r="I39" i="8"/>
  <c r="I47" i="8" s="1"/>
  <c r="J58" i="8"/>
  <c r="J131" i="8" s="1"/>
  <c r="J94" i="8"/>
  <c r="N21" i="8"/>
  <c r="J27" i="8"/>
  <c r="K17" i="8"/>
  <c r="L17" i="8" s="1"/>
  <c r="M17" i="8" s="1"/>
  <c r="L29" i="8"/>
  <c r="J22" i="8"/>
  <c r="R30" i="8"/>
  <c r="R29" i="8"/>
  <c r="H10" i="8"/>
  <c r="N39" i="8" l="1"/>
  <c r="H47" i="8"/>
  <c r="I63" i="8"/>
  <c r="I65" i="8" s="1"/>
  <c r="I66" i="8" s="1"/>
  <c r="I48" i="8"/>
  <c r="I51" i="8"/>
  <c r="I52" i="8" s="1"/>
  <c r="H42" i="11"/>
  <c r="H32" i="11"/>
  <c r="H15" i="11"/>
  <c r="H40" i="11"/>
  <c r="H34" i="11"/>
  <c r="H17" i="11"/>
  <c r="H50" i="11"/>
  <c r="H37" i="11"/>
  <c r="H20" i="11"/>
  <c r="I42" i="8"/>
  <c r="I111" i="8" s="1"/>
  <c r="I44" i="8"/>
  <c r="I119" i="8" s="1"/>
  <c r="I54" i="8"/>
  <c r="I127" i="8" s="1"/>
  <c r="I50" i="8"/>
  <c r="I115" i="8" s="1"/>
  <c r="I59" i="8"/>
  <c r="I69" i="8" s="1"/>
  <c r="I73" i="8" s="1"/>
  <c r="I46" i="8"/>
  <c r="I123" i="8" s="1"/>
  <c r="I40" i="8"/>
  <c r="I58" i="8"/>
  <c r="I131" i="8" s="1"/>
  <c r="H46" i="8"/>
  <c r="H123" i="8" s="1"/>
  <c r="H42" i="8"/>
  <c r="H111" i="8" s="1"/>
  <c r="H44" i="8"/>
  <c r="H119" i="8" s="1"/>
  <c r="H50" i="8"/>
  <c r="H115" i="8" s="1"/>
  <c r="H54" i="8"/>
  <c r="H127" i="8" s="1"/>
  <c r="H59" i="8"/>
  <c r="H69" i="8" s="1"/>
  <c r="H73" i="8" s="1"/>
  <c r="H76" i="8" s="1"/>
  <c r="H58" i="8"/>
  <c r="H131" i="8" s="1"/>
  <c r="J40" i="8"/>
  <c r="J28" i="8"/>
  <c r="N27" i="8"/>
  <c r="J31" i="8"/>
  <c r="M29" i="8"/>
  <c r="O29" i="8" s="1"/>
  <c r="L98" i="8"/>
  <c r="L20" i="8" s="1"/>
  <c r="K98" i="8"/>
  <c r="K20" i="8" s="1"/>
  <c r="K19" i="8" s="1"/>
  <c r="M98" i="8"/>
  <c r="M20" i="8" s="1"/>
  <c r="M14" i="8"/>
  <c r="L14" i="8"/>
  <c r="I76" i="8" l="1"/>
  <c r="J77" i="8" s="1"/>
  <c r="J74" i="8"/>
  <c r="H51" i="8"/>
  <c r="H52" i="8" s="1"/>
  <c r="H48" i="8"/>
  <c r="H63" i="8"/>
  <c r="H65" i="8" s="1"/>
  <c r="H66" i="8" s="1"/>
  <c r="I67" i="8" s="1"/>
  <c r="I74" i="8"/>
  <c r="I40" i="11"/>
  <c r="I34" i="11"/>
  <c r="I17" i="11"/>
  <c r="I42" i="11"/>
  <c r="I32" i="11"/>
  <c r="I15" i="11"/>
  <c r="I50" i="11"/>
  <c r="I37" i="11"/>
  <c r="I20" i="11"/>
  <c r="N31" i="8"/>
  <c r="J32" i="8"/>
  <c r="L19" i="8"/>
  <c r="M19" i="8" s="1"/>
  <c r="K13" i="8"/>
  <c r="I77" i="8" l="1"/>
  <c r="L13" i="8"/>
  <c r="I28" i="8"/>
  <c r="H28" i="8"/>
  <c r="I26" i="8"/>
  <c r="I102" i="8" s="1"/>
  <c r="I22" i="8"/>
  <c r="H22" i="8"/>
  <c r="H40" i="8" s="1"/>
  <c r="I18" i="8"/>
  <c r="I10" i="8"/>
  <c r="M13" i="8" l="1"/>
  <c r="O13" i="8" s="1"/>
  <c r="J10" i="8"/>
  <c r="K10" i="8" s="1"/>
  <c r="L10" i="8" s="1"/>
  <c r="M10" i="8" s="1"/>
  <c r="I32" i="8"/>
  <c r="H20" i="8"/>
  <c r="I20" i="8"/>
  <c r="L102" i="8"/>
  <c r="L26" i="8" s="1"/>
  <c r="L25" i="8" s="1"/>
  <c r="K47" i="11" s="1"/>
  <c r="M102" i="8"/>
  <c r="M26" i="8" s="1"/>
  <c r="H16" i="8"/>
  <c r="H90" i="8" s="1"/>
  <c r="H32" i="8"/>
  <c r="J16" i="8"/>
  <c r="J90" i="8" s="1"/>
  <c r="I98" i="8" l="1"/>
  <c r="I94" i="8"/>
  <c r="H94" i="8"/>
  <c r="H98" i="8"/>
  <c r="M25" i="8"/>
  <c r="O25" i="8" l="1"/>
  <c r="L47" i="11"/>
  <c r="O17" i="8"/>
  <c r="O19" i="8" l="1"/>
  <c r="K16" i="8" l="1"/>
  <c r="K15" i="8" s="1"/>
  <c r="L16" i="8"/>
  <c r="M16" i="8"/>
  <c r="L15" i="8" l="1"/>
  <c r="K21" i="8"/>
  <c r="K24" i="13" s="1"/>
  <c r="M15" i="8" l="1"/>
  <c r="L21" i="8"/>
  <c r="L24" i="13" s="1"/>
  <c r="K27" i="8"/>
  <c r="K22" i="8"/>
  <c r="K39" i="8"/>
  <c r="K28" i="8" l="1"/>
  <c r="K31" i="8"/>
  <c r="K14" i="13" s="1"/>
  <c r="K23" i="13" s="1"/>
  <c r="K26" i="13" s="1"/>
  <c r="L27" i="8"/>
  <c r="L22" i="8"/>
  <c r="L39" i="8"/>
  <c r="K41" i="8"/>
  <c r="K49" i="8"/>
  <c r="K43" i="8"/>
  <c r="K45" i="8"/>
  <c r="J45" i="11" s="1"/>
  <c r="K71" i="8" s="1"/>
  <c r="K53" i="8"/>
  <c r="J43" i="11" s="1"/>
  <c r="K55" i="8"/>
  <c r="K40" i="8"/>
  <c r="M21" i="8"/>
  <c r="M24" i="13" s="1"/>
  <c r="O15" i="8"/>
  <c r="K47" i="8" l="1"/>
  <c r="K63" i="8" s="1"/>
  <c r="K59" i="8"/>
  <c r="K69" i="8" s="1"/>
  <c r="L31" i="8"/>
  <c r="L14" i="13" s="1"/>
  <c r="L23" i="13" s="1"/>
  <c r="L26" i="13" s="1"/>
  <c r="L28" i="8"/>
  <c r="O21" i="8"/>
  <c r="M39" i="8"/>
  <c r="M22" i="8"/>
  <c r="M27" i="8"/>
  <c r="J14" i="11"/>
  <c r="J33" i="11"/>
  <c r="J31" i="11"/>
  <c r="J41" i="11"/>
  <c r="K32" i="8"/>
  <c r="J18" i="11"/>
  <c r="J38" i="11"/>
  <c r="J49" i="11"/>
  <c r="J35" i="11"/>
  <c r="L40" i="8"/>
  <c r="L41" i="8"/>
  <c r="L49" i="8"/>
  <c r="L43" i="8"/>
  <c r="L45" i="8"/>
  <c r="K45" i="11" s="1"/>
  <c r="L71" i="8" s="1"/>
  <c r="L53" i="8"/>
  <c r="K43" i="11" s="1"/>
  <c r="L55" i="8"/>
  <c r="K48" i="8" l="1"/>
  <c r="K51" i="8"/>
  <c r="K52" i="8" s="1"/>
  <c r="L47" i="8"/>
  <c r="L63" i="8" s="1"/>
  <c r="J53" i="11"/>
  <c r="L59" i="8"/>
  <c r="L69" i="8" s="1"/>
  <c r="J24" i="11"/>
  <c r="J54" i="11" s="1"/>
  <c r="K72" i="8" s="1"/>
  <c r="K73" i="8" s="1"/>
  <c r="K76" i="8" s="1"/>
  <c r="L32" i="8"/>
  <c r="K18" i="11"/>
  <c r="K35" i="11"/>
  <c r="K14" i="11"/>
  <c r="K33" i="11"/>
  <c r="K38" i="11"/>
  <c r="K49" i="11"/>
  <c r="K31" i="11"/>
  <c r="K41" i="11"/>
  <c r="M40" i="8"/>
  <c r="M43" i="8"/>
  <c r="O43" i="8" s="1"/>
  <c r="M55" i="8"/>
  <c r="O39" i="8"/>
  <c r="M41" i="8"/>
  <c r="O41" i="8" s="1"/>
  <c r="M53" i="8"/>
  <c r="M49" i="8"/>
  <c r="M45" i="8"/>
  <c r="M31" i="8"/>
  <c r="M14" i="13" s="1"/>
  <c r="M23" i="13" s="1"/>
  <c r="M26" i="13" s="1"/>
  <c r="M28" i="8"/>
  <c r="O27" i="8"/>
  <c r="O49" i="8" l="1"/>
  <c r="K64" i="8"/>
  <c r="K74" i="8"/>
  <c r="K77" i="8"/>
  <c r="J65" i="8"/>
  <c r="J66" i="8" s="1"/>
  <c r="J67" i="8" s="1"/>
  <c r="L48" i="8"/>
  <c r="L51" i="8"/>
  <c r="L52" i="8" s="1"/>
  <c r="M47" i="8"/>
  <c r="M63" i="8" s="1"/>
  <c r="K24" i="11"/>
  <c r="K54" i="11" s="1"/>
  <c r="L72" i="8" s="1"/>
  <c r="L73" i="8" s="1"/>
  <c r="J55" i="11"/>
  <c r="L38" i="11"/>
  <c r="L49" i="11"/>
  <c r="L41" i="11"/>
  <c r="M32" i="8"/>
  <c r="L18" i="11"/>
  <c r="L35" i="11"/>
  <c r="L31" i="11"/>
  <c r="O31" i="8"/>
  <c r="L14" i="11"/>
  <c r="L33" i="11"/>
  <c r="O53" i="8"/>
  <c r="L43" i="11"/>
  <c r="M59" i="8"/>
  <c r="M69" i="8" s="1"/>
  <c r="K53" i="11"/>
  <c r="O45" i="8"/>
  <c r="L45" i="11"/>
  <c r="M71" i="8" s="1"/>
  <c r="L64" i="8" l="1"/>
  <c r="L24" i="11"/>
  <c r="L54" i="11" s="1"/>
  <c r="M72" i="8" s="1"/>
  <c r="M73" i="8" s="1"/>
  <c r="L74" i="8"/>
  <c r="L76" i="8"/>
  <c r="L77" i="8" s="1"/>
  <c r="K65" i="8"/>
  <c r="M48" i="8"/>
  <c r="M51" i="8"/>
  <c r="M52" i="8" s="1"/>
  <c r="K55" i="11"/>
  <c r="L53" i="11"/>
  <c r="M64" i="8" l="1"/>
  <c r="M65" i="8" s="1"/>
  <c r="K66" i="8"/>
  <c r="K67" i="8" s="1"/>
  <c r="M74" i="8"/>
  <c r="M76" i="8"/>
  <c r="M77" i="8" s="1"/>
  <c r="L55" i="11"/>
  <c r="L65" i="8"/>
  <c r="M66" i="8" l="1"/>
  <c r="L66" i="8"/>
  <c r="L67" i="8" s="1"/>
  <c r="M67" i="8" l="1"/>
  <c r="K34" i="13"/>
  <c r="K37" i="13" l="1"/>
  <c r="K46" i="13" s="1"/>
  <c r="L34" i="13"/>
  <c r="H30" i="14" l="1"/>
  <c r="O25" i="14"/>
  <c r="O30" i="14" s="1"/>
  <c r="L37" i="13"/>
  <c r="L46" i="13" s="1"/>
  <c r="M34" i="13"/>
  <c r="M37" i="13" l="1"/>
  <c r="M46" i="13" s="1"/>
  <c r="H31" i="14"/>
  <c r="O31" i="14"/>
  <c r="H32" i="14"/>
  <c r="O32" i="14"/>
  <c r="H33" i="14"/>
  <c r="O33" i="14"/>
  <c r="H37" i="14"/>
  <c r="O37" i="14"/>
  <c r="H38" i="14"/>
  <c r="O38" i="14"/>
  <c r="H40" i="14"/>
  <c r="O4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lumovest</author>
    <author>Admin</author>
  </authors>
  <commentList>
    <comment ref="C24" authorId="0" shapeId="0" xr:uid="{AA81094A-F80E-4097-9DE2-9316314DF3C2}">
      <text>
        <r>
          <rPr>
            <b/>
            <sz val="9"/>
            <color indexed="81"/>
            <rFont val="Tahoma"/>
            <family val="2"/>
          </rPr>
          <t>lumovest:</t>
        </r>
        <r>
          <rPr>
            <sz val="9"/>
            <color indexed="81"/>
            <rFont val="Tahoma"/>
            <family val="2"/>
          </rPr>
          <t xml:space="preserve">
What PayPal calls "Purchases of property and equipment"</t>
        </r>
      </text>
    </comment>
    <comment ref="H36" authorId="1" shapeId="0" xr:uid="{766B8DA2-E94E-4B61-AEEB-73AF54A32849}">
      <text>
        <r>
          <rPr>
            <b/>
            <sz val="9"/>
            <color indexed="81"/>
            <rFont val="Tahoma"/>
            <family val="2"/>
          </rPr>
          <t>Lumovest:</t>
        </r>
        <r>
          <rPr>
            <sz val="9"/>
            <color indexed="81"/>
            <rFont val="Tahoma"/>
            <family val="2"/>
          </rPr>
          <t xml:space="preserve">
From PayPal 10-K (search for "Statutory"); Federal + State + Foreign</t>
        </r>
      </text>
    </comment>
    <comment ref="I36" authorId="1" shapeId="0" xr:uid="{4EC88A03-A38B-42D4-B773-30871EC2DF66}">
      <text>
        <r>
          <rPr>
            <b/>
            <sz val="9"/>
            <color indexed="81"/>
            <rFont val="Tahoma"/>
            <family val="2"/>
          </rPr>
          <t>Lumovest:</t>
        </r>
        <r>
          <rPr>
            <sz val="9"/>
            <color indexed="81"/>
            <rFont val="Tahoma"/>
            <family val="2"/>
          </rPr>
          <t xml:space="preserve">
From PayPal 10-K (search for "Statutory"); Federal + State + Foreign</t>
        </r>
      </text>
    </comment>
    <comment ref="J36" authorId="1" shapeId="0" xr:uid="{7FE874B6-59DC-4631-AEC5-DAD085757D7A}">
      <text>
        <r>
          <rPr>
            <b/>
            <sz val="9"/>
            <color indexed="81"/>
            <rFont val="Tahoma"/>
            <family val="2"/>
          </rPr>
          <t>Lumovest:</t>
        </r>
        <r>
          <rPr>
            <sz val="9"/>
            <color indexed="81"/>
            <rFont val="Tahoma"/>
            <family val="2"/>
          </rPr>
          <t xml:space="preserve">
From PayPal 10-K (search for "Statutory"); Federal + State + Foreign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13" authorId="0" shapeId="0" xr:uid="{BC893E6A-4BE8-455F-8976-ED6406ED06C2}">
      <text>
        <r>
          <rPr>
            <b/>
            <sz val="9"/>
            <color indexed="81"/>
            <rFont val="Tahoma"/>
            <family val="2"/>
          </rPr>
          <t>Lumovest:</t>
        </r>
        <r>
          <rPr>
            <sz val="9"/>
            <color indexed="81"/>
            <rFont val="Tahoma"/>
            <family val="2"/>
          </rPr>
          <t xml:space="preserve">
Based on Yahoo! Finance 30Year Treasury Yield on 31-Dec-2019</t>
        </r>
      </text>
    </comment>
    <comment ref="H14" authorId="0" shapeId="0" xr:uid="{9CF880F7-A850-4E65-B586-8430D9580F82}">
      <text>
        <r>
          <rPr>
            <b/>
            <sz val="9"/>
            <color indexed="81"/>
            <rFont val="Tahoma"/>
            <family val="2"/>
          </rPr>
          <t>Admin:</t>
        </r>
        <r>
          <rPr>
            <sz val="9"/>
            <color indexed="81"/>
            <rFont val="Tahoma"/>
            <family val="2"/>
          </rPr>
          <t xml:space="preserve">
Based on Ibbotson's ERP on 31-Dec-2019</t>
        </r>
      </text>
    </comment>
    <comment ref="H15" authorId="0" shapeId="0" xr:uid="{3ED1DA6E-E133-45B8-AEFE-A44E9E772009}">
      <text>
        <r>
          <rPr>
            <b/>
            <sz val="9"/>
            <color indexed="81"/>
            <rFont val="Tahoma"/>
            <family val="2"/>
          </rPr>
          <t>Admin:</t>
        </r>
        <r>
          <rPr>
            <sz val="9"/>
            <color indexed="81"/>
            <rFont val="Tahoma"/>
            <family val="2"/>
          </rPr>
          <t xml:space="preserve">
Based on Yahoo! Finance</t>
        </r>
      </text>
    </comment>
  </commentList>
</comments>
</file>

<file path=xl/sharedStrings.xml><?xml version="1.0" encoding="utf-8"?>
<sst xmlns="http://schemas.openxmlformats.org/spreadsheetml/2006/main" count="365" uniqueCount="223">
  <si>
    <t>(All figures in millions, except per share data)</t>
  </si>
  <si>
    <t>Revenue Model</t>
  </si>
  <si>
    <t>Historicals</t>
  </si>
  <si>
    <t>Growth %</t>
  </si>
  <si>
    <t>Case Drivers</t>
  </si>
  <si>
    <t>Downside Case</t>
  </si>
  <si>
    <t>Upside Case</t>
  </si>
  <si>
    <t>Case</t>
  </si>
  <si>
    <t>(1= Downside; 2 = Upside)</t>
  </si>
  <si>
    <t>Forecasts</t>
  </si>
  <si>
    <t>Aflac Incorporated Financial Analysis (Cited Lumovest Excel spreedsheet)</t>
  </si>
  <si>
    <t>Revenue Streams:</t>
  </si>
  <si>
    <t>Net premiums, principally supplemental health insurance</t>
  </si>
  <si>
    <t>notes:</t>
  </si>
  <si>
    <t>Net investment income</t>
  </si>
  <si>
    <t>Fiscal Year End December 31</t>
  </si>
  <si>
    <t>Net premiums,principally supplemental health insurance</t>
  </si>
  <si>
    <t>Realized investment gains (losses)</t>
  </si>
  <si>
    <t>Other income</t>
  </si>
  <si>
    <t>major</t>
  </si>
  <si>
    <t>minor</t>
  </si>
  <si>
    <t>Total benefits and expenses</t>
  </si>
  <si>
    <t>Pretax earnings</t>
  </si>
  <si>
    <t>Income taxes</t>
  </si>
  <si>
    <t>Net investment income Growth %</t>
  </si>
  <si>
    <t>Realized investment gains (losses) Growth %</t>
  </si>
  <si>
    <t>Total Revenues Build</t>
  </si>
  <si>
    <t>Total benefits and expenses Growth %</t>
  </si>
  <si>
    <t>Net premiums,principally supplemental health insurance Growth %</t>
  </si>
  <si>
    <t>Other income Growth %</t>
  </si>
  <si>
    <t>Income taxes Growth %</t>
  </si>
  <si>
    <t>CAGR</t>
  </si>
  <si>
    <t>'16A-'19A</t>
  </si>
  <si>
    <t>'19A-'22E</t>
  </si>
  <si>
    <r>
      <t xml:space="preserve">notes: </t>
    </r>
    <r>
      <rPr>
        <b/>
        <i/>
        <sz val="11"/>
        <color rgb="FF7F7F7F"/>
        <rFont val="宋体"/>
        <family val="2"/>
        <scheme val="minor"/>
      </rPr>
      <t>downside</t>
    </r>
    <r>
      <rPr>
        <i/>
        <sz val="11"/>
        <color rgb="FF7F7F7F"/>
        <rFont val="宋体"/>
        <family val="2"/>
        <charset val="134"/>
        <scheme val="minor"/>
      </rPr>
      <t xml:space="preserve">: This company put a big part of its business in Japan but Its sales partners in Japan JPC and JPL were found to be illegally selling insurance products in 2018 and are under scrutiny, with sales of insurance products in The country severely affected. </t>
    </r>
    <r>
      <rPr>
        <b/>
        <i/>
        <sz val="11"/>
        <color rgb="FF7F7F7F"/>
        <rFont val="宋体"/>
        <family val="2"/>
        <scheme val="minor"/>
      </rPr>
      <t xml:space="preserve">upside: </t>
    </r>
    <r>
      <rPr>
        <i/>
        <sz val="11"/>
        <color rgb="FF7F7F7F"/>
        <rFont val="宋体"/>
        <family val="2"/>
        <scheme val="minor"/>
      </rPr>
      <t>Affected by the globle pandemic, people more care about their health and life, the sales of the products might increase.</t>
    </r>
  </si>
  <si>
    <r>
      <t xml:space="preserve">notes: </t>
    </r>
    <r>
      <rPr>
        <b/>
        <i/>
        <sz val="11"/>
        <color rgb="FF7F7F7F"/>
        <rFont val="宋体"/>
        <family val="2"/>
        <scheme val="minor"/>
      </rPr>
      <t xml:space="preserve">downside: </t>
    </r>
    <r>
      <rPr>
        <i/>
        <sz val="11"/>
        <color rgb="FF7F7F7F"/>
        <rFont val="宋体"/>
        <family val="2"/>
        <scheme val="minor"/>
      </rPr>
      <t xml:space="preserve">the realized investment gian (losses) mianly accure in Japan, as previous illstrution, the increased in losses less than the decreased in gain, thus the growth rate can't  keep increasing. </t>
    </r>
    <r>
      <rPr>
        <b/>
        <i/>
        <sz val="11"/>
        <color rgb="FF7F7F7F"/>
        <rFont val="宋体"/>
        <family val="2"/>
        <scheme val="minor"/>
      </rPr>
      <t>upside:</t>
    </r>
    <r>
      <rPr>
        <i/>
        <sz val="11"/>
        <color rgb="FF7F7F7F"/>
        <rFont val="宋体"/>
        <family val="2"/>
        <scheme val="minor"/>
      </rPr>
      <t xml:space="preserve"> the increased in loss great than the decreased in gain.</t>
    </r>
  </si>
  <si>
    <r>
      <t xml:space="preserve">notes: </t>
    </r>
    <r>
      <rPr>
        <b/>
        <i/>
        <sz val="11"/>
        <color rgb="FF7F7F7F"/>
        <rFont val="宋体"/>
        <family val="2"/>
        <scheme val="minor"/>
      </rPr>
      <t>downside</t>
    </r>
    <r>
      <rPr>
        <i/>
        <sz val="11"/>
        <color rgb="FF7F7F7F"/>
        <rFont val="宋体"/>
        <family val="2"/>
        <scheme val="minor"/>
      </rPr>
      <t xml:space="preserve">: globle interest keep decreasing and as a result of the reduction in product sales, the company received lower ratings from corporate rating agencies, which affected its credit score and reduced liquidity. </t>
    </r>
    <r>
      <rPr>
        <b/>
        <i/>
        <sz val="11"/>
        <color rgb="FF7F7F7F"/>
        <rFont val="宋体"/>
        <family val="2"/>
        <scheme val="minor"/>
      </rPr>
      <t>Upsid:</t>
    </r>
    <r>
      <rPr>
        <i/>
        <sz val="11"/>
        <color rgb="FF7F7F7F"/>
        <rFont val="宋体"/>
        <family val="2"/>
        <scheme val="minor"/>
      </rPr>
      <t xml:space="preserve"> The company adjusted its portfolio and reasonably transferred some assets back to the United States to cope with its exposure to the spread volatility in the Japanese credit market.</t>
    </r>
  </si>
  <si>
    <r>
      <t xml:space="preserve">notes: </t>
    </r>
    <r>
      <rPr>
        <b/>
        <i/>
        <sz val="11"/>
        <color rgb="FF7F7F7F"/>
        <rFont val="宋体"/>
        <family val="2"/>
        <scheme val="minor"/>
      </rPr>
      <t xml:space="preserve">downside: </t>
    </r>
    <r>
      <rPr>
        <i/>
        <sz val="11"/>
        <color rgb="FF7F7F7F"/>
        <rFont val="宋体"/>
        <family val="2"/>
        <scheme val="minor"/>
      </rPr>
      <t xml:space="preserve">Investments in other areas may decline due to reduced liquidity and the need to adjust to the influence of Japan. </t>
    </r>
    <r>
      <rPr>
        <b/>
        <i/>
        <sz val="11"/>
        <color rgb="FF7F7F7F"/>
        <rFont val="宋体"/>
        <family val="2"/>
        <scheme val="minor"/>
      </rPr>
      <t xml:space="preserve">Upside: </t>
    </r>
    <r>
      <rPr>
        <i/>
        <sz val="11"/>
        <color rgb="FF7F7F7F"/>
        <rFont val="宋体"/>
        <family val="2"/>
        <scheme val="minor"/>
      </rPr>
      <t>Additional investment in other areas may be needed to compensate for overall returns</t>
    </r>
    <r>
      <rPr>
        <i/>
        <sz val="11"/>
        <color rgb="FF7F7F7F"/>
        <rFont val="宋体"/>
        <family val="2"/>
        <charset val="134"/>
        <scheme val="minor"/>
      </rPr>
      <t>.</t>
    </r>
  </si>
  <si>
    <r>
      <t xml:space="preserve">notes: </t>
    </r>
    <r>
      <rPr>
        <b/>
        <i/>
        <sz val="11"/>
        <color rgb="FF7F7F7F"/>
        <rFont val="宋体"/>
        <family val="2"/>
        <scheme val="minor"/>
      </rPr>
      <t xml:space="preserve">downside: </t>
    </r>
    <r>
      <rPr>
        <i/>
        <sz val="11"/>
        <color rgb="FF7F7F7F"/>
        <rFont val="宋体"/>
        <family val="2"/>
        <scheme val="minor"/>
      </rPr>
      <t xml:space="preserve">the increased in expense might less than the decrease benefit. </t>
    </r>
    <r>
      <rPr>
        <b/>
        <i/>
        <sz val="11"/>
        <color rgb="FF7F7F7F"/>
        <rFont val="宋体"/>
        <family val="2"/>
        <scheme val="minor"/>
      </rPr>
      <t xml:space="preserve">Upside: </t>
    </r>
    <r>
      <rPr>
        <i/>
        <sz val="11"/>
        <color rgb="FF7F7F7F"/>
        <rFont val="宋体"/>
        <family val="2"/>
        <scheme val="minor"/>
      </rPr>
      <t>the increased in expense might less than the decrease benefit</t>
    </r>
    <r>
      <rPr>
        <i/>
        <sz val="11"/>
        <color rgb="FF7F7F7F"/>
        <rFont val="宋体"/>
        <family val="2"/>
        <charset val="134"/>
        <scheme val="minor"/>
      </rPr>
      <t>.</t>
    </r>
  </si>
  <si>
    <r>
      <t xml:space="preserve">notes: </t>
    </r>
    <r>
      <rPr>
        <b/>
        <i/>
        <sz val="11"/>
        <color rgb="FF7F7F7F"/>
        <rFont val="宋体"/>
        <family val="2"/>
        <scheme val="minor"/>
      </rPr>
      <t xml:space="preserve">downside: </t>
    </r>
    <r>
      <rPr>
        <i/>
        <sz val="11"/>
        <color rgb="FF7F7F7F"/>
        <rFont val="宋体"/>
        <family val="2"/>
        <scheme val="minor"/>
      </rPr>
      <t>the revenue and profit decrease due to the decrease of the income taxes and become positive by the operation of the company.</t>
    </r>
    <r>
      <rPr>
        <b/>
        <i/>
        <sz val="11"/>
        <color rgb="FF7F7F7F"/>
        <rFont val="宋体"/>
        <family val="2"/>
        <scheme val="minor"/>
      </rPr>
      <t>upside:</t>
    </r>
    <r>
      <rPr>
        <i/>
        <sz val="11"/>
        <color rgb="FF7F7F7F"/>
        <rFont val="宋体"/>
        <family val="2"/>
        <scheme val="minor"/>
      </rPr>
      <t xml:space="preserve"> if the company succeed in facing the losses in Japan's market the taxes growth rate might slightly increase</t>
    </r>
    <r>
      <rPr>
        <i/>
        <sz val="11"/>
        <color rgb="FF7F7F7F"/>
        <rFont val="宋体"/>
        <family val="2"/>
        <charset val="134"/>
        <scheme val="minor"/>
      </rPr>
      <t>.</t>
    </r>
  </si>
  <si>
    <t>Income statement</t>
  </si>
  <si>
    <t>Income Statement</t>
  </si>
  <si>
    <t>GAAP Income Statement</t>
  </si>
  <si>
    <t>(-)Benefits and claims, net</t>
  </si>
  <si>
    <t>(-)Insurance commissions</t>
  </si>
  <si>
    <t>(-)Insurance and other expenses</t>
  </si>
  <si>
    <t>(-)Interest expense</t>
  </si>
  <si>
    <t>'17A-'19A</t>
  </si>
  <si>
    <t>(-)Income tax expense:</t>
  </si>
  <si>
    <t>current</t>
  </si>
  <si>
    <t>Deferred</t>
  </si>
  <si>
    <t>Benefits and claims, net % of total revenue</t>
  </si>
  <si>
    <t>Amortization of deferred policy acquisition costs %  of total revenue</t>
  </si>
  <si>
    <t>Insurance commissions %  of total revenue</t>
  </si>
  <si>
    <t>Insurance and other expenses %  of total revenue</t>
  </si>
  <si>
    <t>Interest expense %  of total revenue</t>
  </si>
  <si>
    <t>Income tax expense %  of total revenue</t>
  </si>
  <si>
    <r>
      <t>notes:</t>
    </r>
    <r>
      <rPr>
        <b/>
        <i/>
        <sz val="11"/>
        <color rgb="FF7F7F7F"/>
        <rFont val="宋体"/>
        <family val="2"/>
        <scheme val="minor"/>
      </rPr>
      <t>downside</t>
    </r>
    <r>
      <rPr>
        <i/>
        <sz val="11"/>
        <color rgb="FF7F7F7F"/>
        <rFont val="宋体"/>
        <family val="2"/>
        <charset val="134"/>
        <scheme val="minor"/>
      </rPr>
      <t xml:space="preserve">: Total sales is limited due to the suspension of sales partners and the number of claim decrease. </t>
    </r>
    <r>
      <rPr>
        <b/>
        <i/>
        <sz val="11"/>
        <color rgb="FF7F7F7F"/>
        <rFont val="宋体"/>
        <family val="2"/>
        <scheme val="minor"/>
      </rPr>
      <t>Upside</t>
    </r>
    <r>
      <rPr>
        <i/>
        <sz val="11"/>
        <color rgb="FF7F7F7F"/>
        <rFont val="宋体"/>
        <family val="2"/>
        <charset val="134"/>
        <scheme val="minor"/>
      </rPr>
      <t>: Revenue is limited due to the negative situation but the probability of the claim still remain even higher because the global pandemic.</t>
    </r>
  </si>
  <si>
    <r>
      <t xml:space="preserve">notes: </t>
    </r>
    <r>
      <rPr>
        <b/>
        <i/>
        <sz val="11"/>
        <color rgb="FF7F7F7F"/>
        <rFont val="宋体"/>
        <family val="2"/>
        <scheme val="minor"/>
      </rPr>
      <t>downside:</t>
    </r>
    <r>
      <rPr>
        <i/>
        <sz val="11"/>
        <color rgb="FF7F7F7F"/>
        <rFont val="宋体"/>
        <family val="2"/>
        <scheme val="minor"/>
      </rPr>
      <t xml:space="preserve"> Enterprises need to realize assets to cope with the trouble and sell assets in advanc. </t>
    </r>
    <r>
      <rPr>
        <b/>
        <i/>
        <sz val="11"/>
        <color rgb="FF7F7F7F"/>
        <rFont val="宋体"/>
        <family val="2"/>
        <scheme val="minor"/>
      </rPr>
      <t>Upside:</t>
    </r>
    <r>
      <rPr>
        <i/>
        <sz val="11"/>
        <color rgb="FF7F7F7F"/>
        <rFont val="宋体"/>
        <family val="2"/>
        <scheme val="minor"/>
      </rPr>
      <t xml:space="preserve"> The company need to increase the liquidity and take more amortization</t>
    </r>
  </si>
  <si>
    <r>
      <t xml:space="preserve">notes: </t>
    </r>
    <r>
      <rPr>
        <b/>
        <i/>
        <sz val="11"/>
        <color rgb="FF7F7F7F"/>
        <rFont val="宋体"/>
        <family val="2"/>
        <scheme val="minor"/>
      </rPr>
      <t xml:space="preserve">downside: </t>
    </r>
    <r>
      <rPr>
        <i/>
        <sz val="11"/>
        <color rgb="FF7F7F7F"/>
        <rFont val="宋体"/>
        <family val="2"/>
        <scheme val="minor"/>
      </rPr>
      <t xml:space="preserve">Sales decreased  as cooperative sales companies are suspended. </t>
    </r>
    <r>
      <rPr>
        <b/>
        <i/>
        <sz val="11"/>
        <color rgb="FF7F7F7F"/>
        <rFont val="宋体"/>
        <family val="2"/>
        <scheme val="minor"/>
      </rPr>
      <t xml:space="preserve">Upside: </t>
    </r>
    <r>
      <rPr>
        <i/>
        <sz val="11"/>
        <color rgb="FF7F7F7F"/>
        <rFont val="宋体"/>
        <family val="2"/>
        <scheme val="minor"/>
      </rPr>
      <t>Use a higher commission to find other sales companies to work with</t>
    </r>
  </si>
  <si>
    <r>
      <t xml:space="preserve">notes: </t>
    </r>
    <r>
      <rPr>
        <b/>
        <i/>
        <sz val="11"/>
        <color rgb="FF7F7F7F"/>
        <rFont val="宋体"/>
        <family val="2"/>
        <scheme val="minor"/>
      </rPr>
      <t>downside:</t>
    </r>
    <r>
      <rPr>
        <i/>
        <sz val="11"/>
        <color rgb="FF7F7F7F"/>
        <rFont val="宋体"/>
        <family val="2"/>
        <charset val="134"/>
        <scheme val="minor"/>
      </rPr>
      <t xml:space="preserve"> the company need to increase the liquidity of the money and adjust the capital allocation. </t>
    </r>
    <r>
      <rPr>
        <b/>
        <i/>
        <sz val="11"/>
        <color rgb="FF7F7F7F"/>
        <rFont val="宋体"/>
        <family val="2"/>
        <scheme val="minor"/>
      </rPr>
      <t>Upside:</t>
    </r>
    <r>
      <rPr>
        <i/>
        <sz val="11"/>
        <color rgb="FF7F7F7F"/>
        <rFont val="宋体"/>
        <family val="2"/>
        <charset val="134"/>
        <scheme val="minor"/>
      </rPr>
      <t xml:space="preserve"> facing the negative situation, the firm is more willing to paid for the insurance to cope with risk</t>
    </r>
  </si>
  <si>
    <r>
      <t xml:space="preserve">notes: </t>
    </r>
    <r>
      <rPr>
        <b/>
        <i/>
        <sz val="11"/>
        <color rgb="FF7F7F7F"/>
        <rFont val="宋体"/>
        <family val="2"/>
        <scheme val="minor"/>
      </rPr>
      <t>downside:</t>
    </r>
    <r>
      <rPr>
        <i/>
        <sz val="11"/>
        <color rgb="FF7F7F7F"/>
        <rFont val="宋体"/>
        <family val="2"/>
        <charset val="134"/>
        <scheme val="minor"/>
      </rPr>
      <t xml:space="preserve"> After risk rating agencies re-rated the distressed company, the company had less outside financing. </t>
    </r>
    <r>
      <rPr>
        <b/>
        <i/>
        <sz val="11"/>
        <color rgb="FF7F7F7F"/>
        <rFont val="宋体"/>
        <family val="2"/>
        <scheme val="minor"/>
      </rPr>
      <t>Upside:</t>
    </r>
    <r>
      <rPr>
        <i/>
        <sz val="11"/>
        <color rgb="FF7F7F7F"/>
        <rFont val="宋体"/>
        <family val="2"/>
        <charset val="134"/>
        <scheme val="minor"/>
      </rPr>
      <t xml:space="preserve"> The company made further financing to enhance the liquidity and deal with the negative situation.</t>
    </r>
  </si>
  <si>
    <r>
      <t xml:space="preserve">notes: </t>
    </r>
    <r>
      <rPr>
        <b/>
        <i/>
        <sz val="11"/>
        <color rgb="FF7F7F7F"/>
        <rFont val="宋体"/>
        <family val="2"/>
        <scheme val="minor"/>
      </rPr>
      <t>downside:</t>
    </r>
    <r>
      <rPr>
        <i/>
        <sz val="11"/>
        <color rgb="FF7F7F7F"/>
        <rFont val="宋体"/>
        <family val="2"/>
        <charset val="134"/>
        <scheme val="minor"/>
      </rPr>
      <t xml:space="preserve"> the percentage of  expenses increased, thus the income taxes slightly decreasing. </t>
    </r>
    <r>
      <rPr>
        <b/>
        <i/>
        <sz val="11"/>
        <color rgb="FF7F7F7F"/>
        <rFont val="宋体"/>
        <family val="2"/>
        <scheme val="minor"/>
      </rPr>
      <t>Upside:</t>
    </r>
    <r>
      <rPr>
        <i/>
        <sz val="11"/>
        <color rgb="FF7F7F7F"/>
        <rFont val="宋体"/>
        <family val="2"/>
        <charset val="134"/>
        <scheme val="minor"/>
      </rPr>
      <t xml:space="preserve"> net income keep rising with a small growth rate </t>
    </r>
  </si>
  <si>
    <t>Total Adjustments</t>
  </si>
  <si>
    <t>x</t>
  </si>
  <si>
    <t>(+) Non-Operating Adjustments</t>
  </si>
  <si>
    <t>Operating Adjustments</t>
  </si>
  <si>
    <t>Schedule Summary</t>
  </si>
  <si>
    <t>&lt;-Non-recurring</t>
  </si>
  <si>
    <t>Other Income (Expense), Net</t>
  </si>
  <si>
    <t>Restructuring</t>
  </si>
  <si>
    <t>% of Net Revenues</t>
  </si>
  <si>
    <t>Fiscal Year End December</t>
  </si>
  <si>
    <t>Non-GAAP Adjustments Schedule</t>
  </si>
  <si>
    <t>Additional Schedules</t>
  </si>
  <si>
    <t>Realized investment (gains) losses</t>
  </si>
  <si>
    <t>Other and non-recurring (income) loss</t>
  </si>
  <si>
    <t>Items impacting net earnings:（Non-operating activities)</t>
  </si>
  <si>
    <t>Tax reform adjustment</t>
  </si>
  <si>
    <t>Total adjustment for earning</t>
  </si>
  <si>
    <t>Current period foreign currency impact</t>
  </si>
  <si>
    <t>from adjusted earnings</t>
  </si>
  <si>
    <t>Income tax (benefit) expense on items excluded</t>
  </si>
  <si>
    <t>Premium income</t>
  </si>
  <si>
    <t xml:space="preserve">Amortized hedge income related to certain foreign </t>
  </si>
  <si>
    <t>currency management strategies</t>
  </si>
  <si>
    <t>Interest expense</t>
  </si>
  <si>
    <t>Other adjusted expenses</t>
  </si>
  <si>
    <t>Total benefits and adjusted expenses</t>
  </si>
  <si>
    <t>Pretax adjusted earnings</t>
  </si>
  <si>
    <t>Net investment income, including amortized</t>
  </si>
  <si>
    <t>hedge income</t>
  </si>
  <si>
    <t>% of Total benefits and adjusted expenses</t>
  </si>
  <si>
    <t>% of Interest expense</t>
  </si>
  <si>
    <t>% of Other expenses</t>
  </si>
  <si>
    <t>（Non-operating activities)</t>
  </si>
  <si>
    <t>Net income</t>
  </si>
  <si>
    <t>Net income Build</t>
  </si>
  <si>
    <t>Net revenues</t>
  </si>
  <si>
    <t>Net Revenues</t>
  </si>
  <si>
    <t>EBITDA</t>
  </si>
  <si>
    <t>EBITDA Margin %</t>
  </si>
  <si>
    <t>EBIT ("Operating Income")</t>
  </si>
  <si>
    <t>EBIT Margin ("Operating Margin")</t>
  </si>
  <si>
    <t>Net Income(GAAP)</t>
  </si>
  <si>
    <t>Non-GAAP Earnings</t>
  </si>
  <si>
    <t>EBITDA (Non-GAAP)</t>
  </si>
  <si>
    <t>(+/-) Operating Adjustments</t>
  </si>
  <si>
    <t>Adjusted EBITDA (Non-GAAP)</t>
  </si>
  <si>
    <t>Adjusted EBITDA Margin %</t>
  </si>
  <si>
    <t>Net Income (GAAP)</t>
  </si>
  <si>
    <t>(+/-) Stock-Based Compensation</t>
  </si>
  <si>
    <t>(+/-) Other Operating Adjustments</t>
  </si>
  <si>
    <t>(+/-) Non-Operating Adjustments</t>
  </si>
  <si>
    <t>Adjusted Net Income (Non-GAAP)</t>
  </si>
  <si>
    <t>(/) WASO - Diluted</t>
  </si>
  <si>
    <t>Adjusted EPS - Diluted (Non-GAAP)</t>
  </si>
  <si>
    <t xml:space="preserve">(-)Depreciation and Amortization </t>
  </si>
  <si>
    <t>% of net revenue</t>
  </si>
  <si>
    <t>Cash Flow</t>
  </si>
  <si>
    <t>Levered Free Cash Flow</t>
  </si>
  <si>
    <t>(+) Transaction and Loan Losses</t>
  </si>
  <si>
    <t>(+) Depreciation and Amortization</t>
  </si>
  <si>
    <t>(+) Stock-Based Compensation</t>
  </si>
  <si>
    <t>(+) Deferred Income Taxes</t>
  </si>
  <si>
    <t>(-) Excess Tax Benefits from Stock-Based Compensation</t>
    <phoneticPr fontId="24" type="noConversion"/>
  </si>
  <si>
    <t>(-) Gain on Sale of Principal Loans</t>
  </si>
  <si>
    <t>(+ /-) Changes in Operating Working Capital</t>
  </si>
  <si>
    <t>Cash Flow from Operations</t>
    <phoneticPr fontId="24" type="noConversion"/>
  </si>
  <si>
    <t>(-) Capital Expenditures</t>
  </si>
  <si>
    <t>% of Revenue</t>
  </si>
  <si>
    <t>Unlevered Free Cash Flow</t>
  </si>
  <si>
    <t>Adjusted EBITDA</t>
  </si>
  <si>
    <t>(-) Stock-Based Compensation</t>
  </si>
  <si>
    <t>(-) Other Non-GAAP Operating-Related Adjustments</t>
  </si>
  <si>
    <t>(-) Depreciation and Amortization</t>
  </si>
  <si>
    <t>Operating Income</t>
  </si>
  <si>
    <t>(-) Taxes</t>
  </si>
  <si>
    <t>Marginal Tax Rate %</t>
  </si>
  <si>
    <t>Net Operating Profit After Tax (NOPAT)</t>
  </si>
  <si>
    <t>Aflac Incorporated Cash Flow Analysis</t>
  </si>
  <si>
    <t>(-)Change in receivables and advance premiums</t>
  </si>
  <si>
    <t>(-) Capitalization of deferred policy acquisition costs</t>
  </si>
  <si>
    <t>(+) Amortization of deferred policy acquisition costs</t>
  </si>
  <si>
    <t>(+) Increase in policy liabilities</t>
  </si>
  <si>
    <t>(-/+) Change in income tax liabilities</t>
  </si>
  <si>
    <t>(+ ) Other, net</t>
  </si>
  <si>
    <t>(+) Realized investment (gains) losses</t>
  </si>
  <si>
    <t>Analysis Summary</t>
  </si>
  <si>
    <t>Key Assumptions</t>
  </si>
  <si>
    <t>WACC Calculation</t>
  </si>
  <si>
    <t>Marginal Tax Rate</t>
  </si>
  <si>
    <t>Cost of Equity</t>
  </si>
  <si>
    <t>First Year Fiscal Year End</t>
  </si>
  <si>
    <t>Cost of Debt (After-Tax)</t>
  </si>
  <si>
    <t>Risk-Free Rate</t>
  </si>
  <si>
    <t>Equity Risk Premium</t>
  </si>
  <si>
    <t>Equity / (Debt + Equity)</t>
  </si>
  <si>
    <t>Beta</t>
  </si>
  <si>
    <t>Debt / (Debt + Equity)</t>
  </si>
  <si>
    <t>Cost of Debt (Pre-Tax)</t>
  </si>
  <si>
    <t>WACC</t>
  </si>
  <si>
    <t>Perpetuity Growth Method</t>
  </si>
  <si>
    <t>Terminal Multiple Method</t>
  </si>
  <si>
    <t>Terminal Year UFCF</t>
  </si>
  <si>
    <t>Terminal Year LTM EBITDA</t>
  </si>
  <si>
    <t>Perpertuity Growth Rate %</t>
  </si>
  <si>
    <t>Terminal EV / LTM EBITDA Multiple</t>
  </si>
  <si>
    <t>Terminal Value</t>
  </si>
  <si>
    <t>PV of Terminal Value</t>
  </si>
  <si>
    <t>(+) PV of Projected UFCF</t>
  </si>
  <si>
    <t>Intrinsic Enterprise Value</t>
  </si>
  <si>
    <t>(-) Debt Outstanding</t>
  </si>
  <si>
    <t>(+) Cash &amp; Cash Equivalents</t>
  </si>
  <si>
    <t>(+) Short-Term Investments</t>
  </si>
  <si>
    <t>(+) Long-Term Investments</t>
  </si>
  <si>
    <t>Intrinsic Equity Value</t>
  </si>
  <si>
    <t>(/) Fully-Diluted Shares Outstanding</t>
  </si>
  <si>
    <t>Intrinsic Value per Share</t>
  </si>
  <si>
    <t>Margin of Safety</t>
  </si>
  <si>
    <t>Treasury Stock Method</t>
  </si>
  <si>
    <t>Ex Px</t>
  </si>
  <si>
    <t>Amount</t>
  </si>
  <si>
    <t>Stock Options Dilution</t>
  </si>
  <si>
    <t>(+) RSU Dilution</t>
  </si>
  <si>
    <t>(+) Basic Shares Outstanding</t>
  </si>
  <si>
    <t>Fully-Diluted Shares Outstanding</t>
  </si>
  <si>
    <t>End-of-Year Discount Period</t>
  </si>
  <si>
    <t>Mid-Year Discount Period</t>
  </si>
  <si>
    <t>PV of Projected UFCF</t>
  </si>
  <si>
    <t>Aflac Incorporated DCF Analysis</t>
  </si>
  <si>
    <t>2020E Stub</t>
  </si>
  <si>
    <t>Ticker</t>
  </si>
  <si>
    <t>Stock Price</t>
  </si>
  <si>
    <t>AFL</t>
  </si>
  <si>
    <t>(x) Fully-Diluted Shares Outstanding</t>
  </si>
  <si>
    <t>Market Capitalization</t>
  </si>
  <si>
    <t>Valuation Summary</t>
  </si>
  <si>
    <t>Enterprise Value</t>
  </si>
  <si>
    <t>Market Pricing (as of Nov-2020)</t>
  </si>
  <si>
    <t>Solvency</t>
  </si>
  <si>
    <t>Cash ratio</t>
  </si>
  <si>
    <t>Quick ratio</t>
  </si>
  <si>
    <t>Current ratio</t>
  </si>
  <si>
    <t>Liquidity</t>
  </si>
  <si>
    <t>ROA</t>
  </si>
  <si>
    <t>ROE</t>
  </si>
  <si>
    <t>Leverage</t>
  </si>
  <si>
    <t>Asset Turnover</t>
  </si>
  <si>
    <t>Profit Margin</t>
  </si>
  <si>
    <t>Performance</t>
  </si>
  <si>
    <t>Aflac Incorporated Financial Analysis</t>
  </si>
  <si>
    <t>Total Debt/Asset</t>
  </si>
  <si>
    <t>Total Debt/Equity</t>
  </si>
  <si>
    <t>Total Debt/Capital</t>
  </si>
  <si>
    <t>Total Debt/EBITDA</t>
  </si>
  <si>
    <t>Interest Coverage</t>
  </si>
  <si>
    <t>CFO/Total Debt</t>
  </si>
  <si>
    <t>EBIT/Net Income</t>
  </si>
  <si>
    <t>Activity</t>
  </si>
  <si>
    <t>Receivables Turnover</t>
  </si>
  <si>
    <t>Working Capital Turnover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</si>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</sst>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76" formatCode="&quot;¥&quot;#,##0.00;[Red]&quot;¥&quot;\-#,##0.00"/>
    <numFmt numFmtId="177" formatCode="_ &quot;¥&quot;* #,##0.00_ ;_ &quot;¥&quot;* \-#,##0.00_ ;_ &quot;¥&quot;* &quot;-&quot;??_ ;_ @_ "/>
    <numFmt numFmtId="178" formatCode="&quot;$&quot;#,##0_);\(&quot;$&quot;#,##0\)"/>
    <numFmt numFmtId="179" formatCode="0.0_)%;\(0.0\)%;0.0_)%;@_)_%"/>
    <numFmt numFmtId="180" formatCode="General\A"/>
    <numFmt numFmtId="181" formatCode="&quot;$&quot;#,##0.0_);\(&quot;$&quot;#,##0.0\)"/>
    <numFmt numFmtId="182" formatCode="0.00_)%;\(0.00\)%;0.00_)%;@_)_%"/>
    <numFmt numFmtId="183" formatCode="General\E"/>
    <numFmt numFmtId="184" formatCode="#,##0.00000000000_);\(#,##0.00000000000\)"/>
    <numFmt numFmtId="185" formatCode="_-[$$-409]* #,##0.00_ ;_-[$$-409]* \-#,##0.00\ ;_-[$$-409]* &quot;-&quot;??_ ;_-@_ "/>
    <numFmt numFmtId="186" formatCode="&quot;$&quot;#,##0.000_);\(&quot;$&quot;#,##0.000\)"/>
    <numFmt numFmtId="187" formatCode="#,##0.0_)\x;\(#,##0.0\)\x;0.0_)\x;@_)_x"/>
    <numFmt numFmtId="188" formatCode="&quot;$&quot;_(#,##0.0_);&quot;$&quot;\(#,##0.0\);&quot;$&quot;_(0.0_);@_)"/>
    <numFmt numFmtId="189" formatCode="#,##0.000;\-#,##0.000"/>
    <numFmt numFmtId="190" formatCode="&quot;$&quot;#,##0.00_);\(&quot;$&quot;#,##0.00\)"/>
    <numFmt numFmtId="191" formatCode="#,##0.0_);\(#,##0.0\)"/>
    <numFmt numFmtId="192" formatCode="#,##0.0_);\(#,##0.0\);\–_);&quot;–&quot;_)"/>
    <numFmt numFmtId="193" formatCode="0.0%"/>
    <numFmt numFmtId="194" formatCode="#,##0.0"/>
  </numFmts>
  <fonts count="35">
    <font>
      <sz val="11"/>
      <color theme="1"/>
      <name val="宋体"/>
      <family val="2"/>
      <scheme val="minor"/>
    </font>
    <font>
      <sz val="11"/>
      <color theme="1"/>
      <name val="宋体"/>
      <family val="2"/>
      <charset val="134"/>
      <scheme val="minor"/>
    </font>
    <font>
      <b/>
      <sz val="11"/>
      <color theme="0"/>
      <name val="宋体"/>
      <family val="2"/>
      <scheme val="minor"/>
    </font>
    <font>
      <b/>
      <sz val="11"/>
      <color theme="1"/>
      <name val="宋体"/>
      <family val="2"/>
      <scheme val="minor"/>
    </font>
    <font>
      <b/>
      <sz val="30"/>
      <color rgb="FF003861"/>
      <name val="宋体"/>
      <family val="2"/>
      <scheme val="minor"/>
    </font>
    <font>
      <b/>
      <sz val="20"/>
      <color rgb="FF003861"/>
      <name val="宋体"/>
      <family val="2"/>
      <scheme val="minor"/>
    </font>
    <font>
      <sz val="11"/>
      <color rgb="FF0000FF"/>
      <name val="宋体"/>
      <family val="2"/>
      <scheme val="minor"/>
    </font>
    <font>
      <b/>
      <sz val="11"/>
      <color rgb="FF003861"/>
      <name val="宋体"/>
      <family val="2"/>
      <scheme val="minor"/>
    </font>
    <font>
      <sz val="11"/>
      <color rgb="FF000000"/>
      <name val="宋体"/>
      <family val="2"/>
      <scheme val="minor"/>
    </font>
    <font>
      <b/>
      <sz val="11"/>
      <color rgb="FF000000"/>
      <name val="宋体"/>
      <family val="2"/>
      <scheme val="minor"/>
    </font>
    <font>
      <b/>
      <u val="singleAccounting"/>
      <sz val="11"/>
      <color rgb="FF003861"/>
      <name val="宋体"/>
      <family val="2"/>
      <scheme val="minor"/>
    </font>
    <font>
      <u val="singleAccounting"/>
      <sz val="11"/>
      <color theme="1"/>
      <name val="宋体"/>
      <family val="2"/>
      <scheme val="minor"/>
    </font>
    <font>
      <b/>
      <sz val="11"/>
      <color rgb="FF0000FF"/>
      <name val="宋体"/>
      <family val="2"/>
      <scheme val="minor"/>
    </font>
    <font>
      <sz val="11"/>
      <color rgb="FF800080"/>
      <name val="宋体"/>
      <family val="2"/>
      <scheme val="minor"/>
    </font>
    <font>
      <sz val="11"/>
      <color theme="1"/>
      <name val="宋体"/>
      <family val="2"/>
      <scheme val="minor"/>
    </font>
    <font>
      <sz val="11"/>
      <color rgb="FF3F3F76"/>
      <name val="宋体"/>
      <family val="2"/>
      <charset val="134"/>
      <scheme val="minor"/>
    </font>
    <font>
      <b/>
      <sz val="11"/>
      <color rgb="FFFA7D00"/>
      <name val="宋体"/>
      <family val="2"/>
      <charset val="134"/>
      <scheme val="minor"/>
    </font>
    <font>
      <i/>
      <sz val="11"/>
      <color rgb="FF7F7F7F"/>
      <name val="宋体"/>
      <family val="2"/>
      <charset val="134"/>
      <scheme val="minor"/>
    </font>
    <font>
      <sz val="11"/>
      <name val="宋体"/>
      <family val="2"/>
      <scheme val="minor"/>
    </font>
    <font>
      <sz val="11"/>
      <color rgb="FFC00000"/>
      <name val="宋体"/>
      <family val="2"/>
      <scheme val="minor"/>
    </font>
    <font>
      <i/>
      <sz val="11"/>
      <color rgb="FFC00000"/>
      <name val="宋体"/>
      <family val="2"/>
      <scheme val="minor"/>
    </font>
    <font>
      <b/>
      <i/>
      <sz val="11"/>
      <color rgb="FF7F7F7F"/>
      <name val="宋体"/>
      <family val="2"/>
      <scheme val="minor"/>
    </font>
    <font>
      <i/>
      <sz val="11"/>
      <color rgb="FF7F7F7F"/>
      <name val="宋体"/>
      <family val="2"/>
      <scheme val="minor"/>
    </font>
    <font>
      <sz val="11"/>
      <color rgb="FF9C0006"/>
      <name val="宋体"/>
      <family val="2"/>
      <charset val="134"/>
      <scheme val="minor"/>
    </font>
    <font>
      <b/>
      <sz val="11"/>
      <color rgb="FF6600FF"/>
      <name val="宋体"/>
      <family val="2"/>
      <scheme val="minor"/>
    </font>
    <font>
      <i/>
      <sz val="11"/>
      <color theme="1"/>
      <name val="宋体"/>
      <family val="2"/>
      <scheme val="minor"/>
    </font>
    <font>
      <i/>
      <sz val="11"/>
      <color rgb="FF0000FF"/>
      <name val="宋体"/>
      <family val="2"/>
      <scheme val="minor"/>
    </font>
    <font>
      <b/>
      <sz val="9"/>
      <color indexed="81"/>
      <name val="Tahoma"/>
      <family val="2"/>
    </font>
    <font>
      <sz val="9"/>
      <color indexed="81"/>
      <name val="Tahoma"/>
      <family val="2"/>
    </font>
    <font>
      <sz val="11"/>
      <color rgb="FF0000FF"/>
      <name val="Calibri"/>
      <family val="2"/>
    </font>
    <font>
      <i/>
      <sz val="11"/>
      <color rgb="FF000000"/>
      <name val="宋体"/>
      <family val="2"/>
      <scheme val="minor"/>
    </font>
    <font>
      <b/>
      <u/>
      <sz val="11"/>
      <color rgb="FF003861"/>
      <name val="宋体"/>
      <family val="2"/>
      <scheme val="minor"/>
    </font>
    <font>
      <b/>
      <u/>
      <sz val="11"/>
      <color theme="1"/>
      <name val="宋体"/>
      <family val="2"/>
      <scheme val="minor"/>
    </font>
    <font>
      <sz val="11"/>
      <color rgb="FF9C5700"/>
      <name val="宋体"/>
      <family val="2"/>
      <charset val="134"/>
      <scheme val="minor"/>
    </font>
    <font>
      <sz val="9"/>
      <name val="宋体"/>
      <family val="3"/>
      <charset val="134"/>
      <scheme val="minor"/>
    </font>
  </fonts>
  <fills count="11">
    <fill>
      <patternFill patternType="none"/>
    </fill>
    <fill>
      <patternFill patternType="gray125"/>
    </fill>
    <fill>
      <patternFill patternType="solid">
        <fgColor rgb="FF003861"/>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C7CE"/>
      </patternFill>
    </fill>
    <fill>
      <patternFill patternType="solid">
        <fgColor theme="0"/>
        <bgColor indexed="64"/>
      </patternFill>
    </fill>
    <fill>
      <patternFill patternType="solid">
        <fgColor rgb="FFFFEB9C"/>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medium">
        <color rgb="FF00355F"/>
      </bottom>
      <diagonal/>
    </border>
    <border>
      <left style="thin">
        <color rgb="FF7F7F7F"/>
      </left>
      <right style="thin">
        <color rgb="FF7F7F7F"/>
      </right>
      <top style="thin">
        <color rgb="FF7F7F7F"/>
      </top>
      <bottom style="thin">
        <color rgb="FF7F7F7F"/>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style="thin">
        <color auto="1"/>
      </top>
      <bottom style="thin">
        <color auto="1"/>
      </bottom>
      <diagonal/>
    </border>
    <border>
      <left/>
      <right/>
      <top style="thin">
        <color indexed="64"/>
      </top>
      <bottom/>
      <diagonal/>
    </border>
  </borders>
  <cellStyleXfs count="10">
    <xf numFmtId="0" fontId="0" fillId="0" borderId="0"/>
    <xf numFmtId="9" fontId="14" fillId="0" borderId="0" applyFont="0" applyFill="0" applyBorder="0" applyAlignment="0" applyProtection="0"/>
    <xf numFmtId="0" fontId="15" fillId="6" borderId="4" applyNumberFormat="0" applyAlignment="0" applyProtection="0"/>
    <xf numFmtId="0" fontId="16" fillId="7" borderId="4" applyNumberFormat="0" applyAlignment="0" applyProtection="0"/>
    <xf numFmtId="0" fontId="17" fillId="0" borderId="0" applyNumberFormat="0" applyFill="0" applyBorder="0" applyAlignment="0" applyProtection="0"/>
    <xf numFmtId="0" fontId="23" fillId="8" borderId="0" applyNumberFormat="0" applyBorder="0" applyAlignment="0" applyProtection="0"/>
    <xf numFmtId="177" fontId="14" fillId="0" borderId="0" applyFont="0" applyFill="0" applyBorder="0" applyAlignment="0" applyProtection="0"/>
    <xf numFmtId="0" fontId="33" fillId="10" borderId="0" applyNumberFormat="0" applyBorder="0" applyAlignment="0" applyProtection="0"/>
    <xf numFmtId="0" fontId="14" fillId="0" borderId="0"/>
    <xf numFmtId="0" fontId="1" fillId="0" borderId="0">
      <alignment vertical="center"/>
    </xf>
  </cellStyleXfs>
  <cellXfs count="137">
    <xf numFmtId="0" fontId="0" fillId="0" borderId="0" xfId="0"/>
    <xf numFmtId="0" fontId="4" fillId="0" borderId="0" xfId="0" applyFont="1"/>
    <xf numFmtId="0" fontId="5" fillId="0" borderId="0" xfId="0" applyFont="1"/>
    <xf numFmtId="0" fontId="2" fillId="2" borderId="0" xfId="0" applyFont="1" applyFill="1"/>
    <xf numFmtId="0" fontId="0" fillId="2" borderId="0" xfId="0" applyFill="1"/>
    <xf numFmtId="0" fontId="0" fillId="0" borderId="0" xfId="0" applyBorder="1"/>
    <xf numFmtId="0" fontId="3" fillId="0" borderId="0" xfId="0" applyFont="1"/>
    <xf numFmtId="0" fontId="0" fillId="0" borderId="0" xfId="0" applyFill="1" applyBorder="1"/>
    <xf numFmtId="0" fontId="3" fillId="4" borderId="2" xfId="0" applyFont="1" applyFill="1" applyBorder="1"/>
    <xf numFmtId="180" fontId="10" fillId="0" borderId="0" xfId="0" applyNumberFormat="1" applyFont="1" applyAlignment="1">
      <alignment horizontal="centerContinuous"/>
    </xf>
    <xf numFmtId="0" fontId="11" fillId="0" borderId="0" xfId="0" applyFont="1" applyAlignment="1">
      <alignment horizontal="centerContinuous"/>
    </xf>
    <xf numFmtId="180" fontId="7" fillId="0" borderId="3" xfId="0" applyNumberFormat="1" applyFont="1" applyBorder="1" applyAlignment="1">
      <alignment horizontal="left"/>
    </xf>
    <xf numFmtId="0" fontId="0" fillId="0" borderId="3" xfId="0" applyBorder="1"/>
    <xf numFmtId="180" fontId="7" fillId="0" borderId="3" xfId="0" applyNumberFormat="1" applyFont="1" applyBorder="1" applyAlignment="1">
      <alignment horizontal="center"/>
    </xf>
    <xf numFmtId="180" fontId="7" fillId="0" borderId="0" xfId="0" applyNumberFormat="1" applyFont="1" applyBorder="1" applyAlignment="1">
      <alignment horizontal="left"/>
    </xf>
    <xf numFmtId="37" fontId="8" fillId="0" borderId="0" xfId="0" applyNumberFormat="1" applyFont="1"/>
    <xf numFmtId="181" fontId="8" fillId="0" borderId="0" xfId="0" applyNumberFormat="1" applyFont="1"/>
    <xf numFmtId="178" fontId="9" fillId="4" borderId="2" xfId="0" applyNumberFormat="1" applyFont="1" applyFill="1" applyBorder="1"/>
    <xf numFmtId="183" fontId="7" fillId="0" borderId="3" xfId="0" applyNumberFormat="1" applyFont="1" applyBorder="1" applyAlignment="1">
      <alignment horizontal="center"/>
    </xf>
    <xf numFmtId="181" fontId="13" fillId="0" borderId="0" xfId="0" applyNumberFormat="1" applyFont="1"/>
    <xf numFmtId="178" fontId="0" fillId="0" borderId="0" xfId="0" applyNumberFormat="1"/>
    <xf numFmtId="0" fontId="3" fillId="0" borderId="2" xfId="0" applyFont="1" applyFill="1" applyBorder="1"/>
    <xf numFmtId="0" fontId="0" fillId="0" borderId="2" xfId="0" applyFill="1" applyBorder="1"/>
    <xf numFmtId="179" fontId="3" fillId="0" borderId="2" xfId="0" applyNumberFormat="1" applyFont="1" applyFill="1" applyBorder="1"/>
    <xf numFmtId="182" fontId="6" fillId="0" borderId="0" xfId="0" applyNumberFormat="1" applyFont="1" applyBorder="1" applyAlignment="1">
      <alignment horizontal="right"/>
    </xf>
    <xf numFmtId="182" fontId="3" fillId="0" borderId="2" xfId="0" applyNumberFormat="1" applyFont="1" applyFill="1" applyBorder="1"/>
    <xf numFmtId="0" fontId="12" fillId="3" borderId="1" xfId="0" applyFont="1" applyFill="1" applyBorder="1" applyAlignment="1">
      <alignment horizontal="center"/>
    </xf>
    <xf numFmtId="37" fontId="13" fillId="0" borderId="0" xfId="0" applyNumberFormat="1" applyFont="1"/>
    <xf numFmtId="0" fontId="0" fillId="0" borderId="0" xfId="0" applyFont="1"/>
    <xf numFmtId="37" fontId="18" fillId="0" borderId="0" xfId="0" applyNumberFormat="1" applyFont="1"/>
    <xf numFmtId="0" fontId="19" fillId="0" borderId="0" xfId="0" applyFont="1"/>
    <xf numFmtId="0" fontId="17" fillId="5" borderId="0" xfId="4" applyFill="1"/>
    <xf numFmtId="0" fontId="17" fillId="0" borderId="0" xfId="4"/>
    <xf numFmtId="0" fontId="17" fillId="0" borderId="0" xfId="4" applyAlignment="1">
      <alignment wrapText="1"/>
    </xf>
    <xf numFmtId="9" fontId="17" fillId="0" borderId="0" xfId="4" applyNumberFormat="1" applyAlignment="1">
      <alignment wrapText="1"/>
    </xf>
    <xf numFmtId="9" fontId="17" fillId="0" borderId="0" xfId="4" applyNumberFormat="1"/>
    <xf numFmtId="0" fontId="0" fillId="0" borderId="0" xfId="0" applyNumberFormat="1"/>
    <xf numFmtId="0" fontId="2" fillId="2" borderId="0" xfId="0" applyNumberFormat="1" applyFont="1" applyFill="1"/>
    <xf numFmtId="0" fontId="0" fillId="2" borderId="0" xfId="0" applyNumberFormat="1" applyFill="1"/>
    <xf numFmtId="0" fontId="17" fillId="0" borderId="0" xfId="4" applyNumberFormat="1"/>
    <xf numFmtId="178" fontId="18" fillId="0" borderId="0" xfId="0" applyNumberFormat="1" applyFont="1"/>
    <xf numFmtId="0" fontId="20" fillId="0" borderId="0" xfId="0" applyFont="1" applyAlignment="1">
      <alignment horizontal="left" indent="2"/>
    </xf>
    <xf numFmtId="179" fontId="20" fillId="0" borderId="0" xfId="0" applyNumberFormat="1" applyFont="1" applyBorder="1" applyAlignment="1">
      <alignment horizontal="right"/>
    </xf>
    <xf numFmtId="179" fontId="20" fillId="0" borderId="0" xfId="0" applyNumberFormat="1" applyFont="1"/>
    <xf numFmtId="0" fontId="20" fillId="0" borderId="0" xfId="0" applyFont="1" applyBorder="1" applyAlignment="1">
      <alignment horizontal="left" indent="2"/>
    </xf>
    <xf numFmtId="0" fontId="19" fillId="0" borderId="0" xfId="0" applyFont="1" applyBorder="1"/>
    <xf numFmtId="182" fontId="19" fillId="0" borderId="0" xfId="0" applyNumberFormat="1" applyFont="1"/>
    <xf numFmtId="180" fontId="16" fillId="7" borderId="4" xfId="3" applyNumberFormat="1" applyAlignment="1">
      <alignment horizontal="centerContinuous"/>
    </xf>
    <xf numFmtId="0" fontId="16" fillId="7" borderId="4" xfId="3" applyAlignment="1">
      <alignment horizontal="centerContinuous"/>
    </xf>
    <xf numFmtId="180" fontId="16" fillId="7" borderId="4" xfId="3" quotePrefix="1" applyNumberFormat="1" applyAlignment="1">
      <alignment horizontal="center"/>
    </xf>
    <xf numFmtId="179" fontId="15" fillId="6" borderId="4" xfId="2" applyNumberFormat="1" applyAlignment="1">
      <alignment horizontal="right"/>
    </xf>
    <xf numFmtId="182" fontId="15" fillId="6" borderId="4" xfId="2" applyNumberFormat="1" applyAlignment="1">
      <alignment horizontal="right"/>
    </xf>
    <xf numFmtId="180" fontId="7" fillId="0" borderId="0" xfId="0" applyNumberFormat="1" applyFont="1" applyAlignment="1">
      <alignment horizontal="left"/>
    </xf>
    <xf numFmtId="182" fontId="17" fillId="0" borderId="0" xfId="4" applyNumberFormat="1"/>
    <xf numFmtId="0" fontId="23" fillId="8" borderId="0" xfId="5"/>
    <xf numFmtId="178" fontId="23" fillId="8" borderId="0" xfId="5" applyNumberFormat="1"/>
    <xf numFmtId="10" fontId="16" fillId="7" borderId="4" xfId="3" applyNumberFormat="1"/>
    <xf numFmtId="10" fontId="0" fillId="0" borderId="0" xfId="0" applyNumberFormat="1"/>
    <xf numFmtId="182" fontId="16" fillId="7" borderId="4" xfId="3" applyNumberFormat="1"/>
    <xf numFmtId="182" fontId="0" fillId="0" borderId="0" xfId="0" applyNumberFormat="1"/>
    <xf numFmtId="178" fontId="24" fillId="4" borderId="2" xfId="0" applyNumberFormat="1" applyFont="1" applyFill="1" applyBorder="1"/>
    <xf numFmtId="10" fontId="24" fillId="4" borderId="2" xfId="0" applyNumberFormat="1" applyFont="1" applyFill="1" applyBorder="1"/>
    <xf numFmtId="10" fontId="24" fillId="4" borderId="2" xfId="1" applyNumberFormat="1" applyFont="1" applyFill="1" applyBorder="1"/>
    <xf numFmtId="178" fontId="3" fillId="4" borderId="2" xfId="0" applyNumberFormat="1" applyFont="1" applyFill="1" applyBorder="1"/>
    <xf numFmtId="178" fontId="9" fillId="0" borderId="0" xfId="0" applyNumberFormat="1" applyFont="1"/>
    <xf numFmtId="0" fontId="9" fillId="0" borderId="0" xfId="0" applyFont="1"/>
    <xf numFmtId="179" fontId="25" fillId="0" borderId="0" xfId="0" applyNumberFormat="1" applyFont="1" applyAlignment="1">
      <alignment horizontal="right"/>
    </xf>
    <xf numFmtId="0" fontId="25" fillId="0" borderId="0" xfId="0" applyFont="1" applyAlignment="1">
      <alignment horizontal="left" indent="2"/>
    </xf>
    <xf numFmtId="37" fontId="6" fillId="0" borderId="0" xfId="0" applyNumberFormat="1" applyFont="1"/>
    <xf numFmtId="178" fontId="6" fillId="0" borderId="0" xfId="0" applyNumberFormat="1" applyFont="1"/>
    <xf numFmtId="178" fontId="8" fillId="0" borderId="0" xfId="0" applyNumberFormat="1" applyFont="1"/>
    <xf numFmtId="0" fontId="3" fillId="9" borderId="0" xfId="0" applyFont="1" applyFill="1" applyBorder="1"/>
    <xf numFmtId="178" fontId="3" fillId="9" borderId="0" xfId="0" applyNumberFormat="1" applyFont="1" applyFill="1" applyBorder="1"/>
    <xf numFmtId="178" fontId="3" fillId="0" borderId="0" xfId="0" applyNumberFormat="1" applyFont="1"/>
    <xf numFmtId="184" fontId="0" fillId="0" borderId="0" xfId="0" applyNumberFormat="1"/>
    <xf numFmtId="9" fontId="20" fillId="9" borderId="0" xfId="1" applyFont="1" applyFill="1" applyBorder="1"/>
    <xf numFmtId="178" fontId="0" fillId="9" borderId="0" xfId="0" applyNumberFormat="1" applyFont="1" applyFill="1" applyBorder="1"/>
    <xf numFmtId="9" fontId="19" fillId="9" borderId="0" xfId="1" applyFont="1" applyFill="1" applyBorder="1"/>
    <xf numFmtId="185" fontId="8" fillId="0" borderId="0" xfId="6" applyNumberFormat="1" applyFont="1"/>
    <xf numFmtId="179" fontId="20" fillId="0" borderId="0" xfId="0" applyNumberFormat="1" applyFont="1" applyAlignment="1">
      <alignment horizontal="right"/>
    </xf>
    <xf numFmtId="39" fontId="8" fillId="0" borderId="0" xfId="0" applyNumberFormat="1" applyFont="1"/>
    <xf numFmtId="186" fontId="3" fillId="4" borderId="2" xfId="0" applyNumberFormat="1" applyFont="1" applyFill="1" applyBorder="1"/>
    <xf numFmtId="187" fontId="0" fillId="0" borderId="0" xfId="0" applyNumberFormat="1"/>
    <xf numFmtId="37" fontId="0" fillId="0" borderId="0" xfId="0" applyNumberFormat="1"/>
    <xf numFmtId="182" fontId="26" fillId="0" borderId="0" xfId="0" applyNumberFormat="1" applyFont="1" applyAlignment="1">
      <alignment horizontal="right"/>
    </xf>
    <xf numFmtId="179" fontId="25" fillId="0" borderId="0" xfId="0" applyNumberFormat="1" applyFont="1"/>
    <xf numFmtId="188" fontId="25" fillId="0" borderId="0" xfId="0" applyNumberFormat="1" applyFont="1"/>
    <xf numFmtId="176" fontId="0" fillId="0" borderId="0" xfId="0" applyNumberFormat="1"/>
    <xf numFmtId="188" fontId="0" fillId="0" borderId="0" xfId="0" applyNumberFormat="1"/>
    <xf numFmtId="39" fontId="0" fillId="0" borderId="0" xfId="0" applyNumberFormat="1"/>
    <xf numFmtId="189" fontId="0" fillId="0" borderId="0" xfId="0" applyNumberFormat="1"/>
    <xf numFmtId="0" fontId="9" fillId="3" borderId="1" xfId="0" applyFont="1" applyFill="1" applyBorder="1" applyAlignment="1">
      <alignment horizontal="center"/>
    </xf>
    <xf numFmtId="0" fontId="0" fillId="0" borderId="0" xfId="0" applyAlignment="1">
      <alignment horizontal="center"/>
    </xf>
    <xf numFmtId="0" fontId="3" fillId="3" borderId="5" xfId="0" applyFont="1" applyFill="1" applyBorder="1"/>
    <xf numFmtId="0" fontId="0" fillId="3" borderId="6" xfId="0" applyFill="1" applyBorder="1"/>
    <xf numFmtId="0" fontId="0" fillId="3" borderId="7" xfId="0" applyFill="1" applyBorder="1"/>
    <xf numFmtId="182" fontId="6" fillId="0" borderId="0" xfId="0" applyNumberFormat="1" applyFont="1" applyAlignment="1">
      <alignment horizontal="right"/>
    </xf>
    <xf numFmtId="182" fontId="8" fillId="0" borderId="0" xfId="0" applyNumberFormat="1" applyFont="1" applyAlignment="1">
      <alignment horizontal="right"/>
    </xf>
    <xf numFmtId="14" fontId="6" fillId="0" borderId="0" xfId="0" applyNumberFormat="1" applyFont="1"/>
    <xf numFmtId="39" fontId="6" fillId="0" borderId="0" xfId="0" applyNumberFormat="1" applyFont="1"/>
    <xf numFmtId="0" fontId="3" fillId="4" borderId="8" xfId="0" applyFont="1" applyFill="1" applyBorder="1"/>
    <xf numFmtId="182" fontId="9" fillId="4" borderId="2" xfId="0" applyNumberFormat="1" applyFont="1" applyFill="1" applyBorder="1" applyAlignment="1">
      <alignment horizontal="right"/>
    </xf>
    <xf numFmtId="187" fontId="29" fillId="0" borderId="0" xfId="0" applyNumberFormat="1" applyFont="1" applyAlignment="1">
      <alignment horizontal="right"/>
    </xf>
    <xf numFmtId="190" fontId="3" fillId="4" borderId="2" xfId="0" applyNumberFormat="1" applyFont="1" applyFill="1" applyBorder="1"/>
    <xf numFmtId="179" fontId="30" fillId="0" borderId="0" xfId="0" applyNumberFormat="1" applyFont="1" applyAlignment="1">
      <alignment horizontal="right"/>
    </xf>
    <xf numFmtId="180" fontId="31" fillId="0" borderId="0" xfId="0" applyNumberFormat="1" applyFont="1" applyAlignment="1">
      <alignment horizontal="left"/>
    </xf>
    <xf numFmtId="0" fontId="32" fillId="0" borderId="0" xfId="0" applyFont="1" applyAlignment="1">
      <alignment horizontal="center"/>
    </xf>
    <xf numFmtId="190" fontId="0" fillId="0" borderId="0" xfId="0" applyNumberFormat="1"/>
    <xf numFmtId="191" fontId="0" fillId="0" borderId="0" xfId="0" applyNumberFormat="1"/>
    <xf numFmtId="0" fontId="3" fillId="0" borderId="9" xfId="0" applyFont="1" applyBorder="1"/>
    <xf numFmtId="191" fontId="3" fillId="0" borderId="9" xfId="0" applyNumberFormat="1" applyFont="1" applyBorder="1"/>
    <xf numFmtId="192" fontId="0" fillId="0" borderId="0" xfId="0" applyNumberFormat="1"/>
    <xf numFmtId="0" fontId="0" fillId="0" borderId="0" xfId="0" applyAlignment="1">
      <alignment horizontal="right"/>
    </xf>
    <xf numFmtId="14" fontId="6" fillId="0" borderId="1" xfId="0" applyNumberFormat="1" applyFont="1" applyBorder="1" applyAlignment="1">
      <alignment horizontal="center"/>
    </xf>
    <xf numFmtId="190" fontId="6" fillId="0" borderId="0" xfId="0" applyNumberFormat="1" applyFont="1"/>
    <xf numFmtId="0" fontId="3" fillId="0" borderId="9" xfId="0" applyNumberFormat="1" applyFont="1" applyBorder="1"/>
    <xf numFmtId="178" fontId="3" fillId="4" borderId="8" xfId="0" applyNumberFormat="1" applyFont="1" applyFill="1" applyBorder="1"/>
    <xf numFmtId="0" fontId="14" fillId="0" borderId="0" xfId="8"/>
    <xf numFmtId="192" fontId="14" fillId="0" borderId="0" xfId="8" applyNumberFormat="1"/>
    <xf numFmtId="0" fontId="33" fillId="10" borderId="0" xfId="7"/>
    <xf numFmtId="0" fontId="33" fillId="10" borderId="0" xfId="7" applyAlignment="1">
      <alignment vertical="center"/>
    </xf>
    <xf numFmtId="0" fontId="1" fillId="0" borderId="0" xfId="9">
      <alignment vertical="center"/>
    </xf>
    <xf numFmtId="0" fontId="15" fillId="6" borderId="4" xfId="2"/>
    <xf numFmtId="0" fontId="15" fillId="6" borderId="4" xfId="2" applyAlignment="1">
      <alignment horizontal="center"/>
    </xf>
    <xf numFmtId="0" fontId="14" fillId="2" borderId="0" xfId="8" applyFill="1"/>
    <xf numFmtId="0" fontId="2" fillId="2" borderId="0" xfId="8" applyFont="1" applyFill="1"/>
    <xf numFmtId="0" fontId="3" fillId="0" borderId="0" xfId="8" applyFont="1"/>
    <xf numFmtId="0" fontId="5" fillId="0" borderId="0" xfId="8" applyFont="1"/>
    <xf numFmtId="0" fontId="4" fillId="0" borderId="0" xfId="8" applyFont="1"/>
    <xf numFmtId="9" fontId="14" fillId="0" borderId="0" xfId="1"/>
    <xf numFmtId="193" fontId="14" fillId="0" borderId="0" xfId="1" applyNumberFormat="1"/>
    <xf numFmtId="10" fontId="14" fillId="0" borderId="0" xfId="1" applyNumberFormat="1"/>
    <xf numFmtId="9" fontId="14" fillId="0" borderId="0" xfId="1" applyNumberFormat="1"/>
    <xf numFmtId="2" fontId="14" fillId="0" borderId="0" xfId="1" applyNumberFormat="1"/>
    <xf numFmtId="2" fontId="14" fillId="0" borderId="0" xfId="8" applyNumberFormat="1"/>
    <xf numFmtId="9" fontId="14" fillId="0" borderId="0" xfId="1" applyAlignment="1">
      <alignment horizontal="right" vertical="center"/>
    </xf>
    <xf numFmtId="194" fontId="14" fillId="0" borderId="0" xfId="8" applyNumberFormat="1"/>
  </cellXfs>
  <cellStyles count="10">
    <cellStyle name="Normal 2" xfId="8" xr:uid="{B1513391-80D5-4EFC-8199-4A8436EB2DF7}"/>
    <cellStyle name="Normal 3" xfId="9" xr:uid="{D6284476-800A-4B4E-9B09-75A39A28BCAC}"/>
    <cellStyle name="百分比" xfId="1" builtinId="5"/>
    <cellStyle name="差" xfId="5" builtinId="27"/>
    <cellStyle name="常规" xfId="0" builtinId="0"/>
    <cellStyle name="货币" xfId="6" builtinId="4"/>
    <cellStyle name="计算" xfId="3" builtinId="22"/>
    <cellStyle name="解释性文本" xfId="4" builtinId="53"/>
    <cellStyle name="适中" xfId="7" builtinId="28"/>
    <cellStyle name="输入" xfId="2" builtinId="20"/>
  </cellStyles>
  <dxfs count="0"/>
  <tableStyles count="0" defaultTableStyle="TableStyleMedium2" defaultPivotStyle="PivotStyleLight16"/>
  <colors>
    <mruColors>
      <color rgb="FF66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ndard"/>
        <c:varyColors val="0"/>
        <c:ser>
          <c:idx val="0"/>
          <c:order val="0"/>
          <c:tx>
            <c:strRef>
              <c:f>'Revenue model'!$C$21:$F$21</c:f>
              <c:strCache>
                <c:ptCount val="4"/>
                <c:pt idx="0">
                  <c:v>Net revenues</c:v>
                </c:pt>
              </c:strCache>
            </c:strRef>
          </c:tx>
          <c:spPr>
            <a:solidFill>
              <a:schemeClr val="accent1"/>
            </a:solidFill>
            <a:ln>
              <a:noFill/>
            </a:ln>
            <a:effectLst/>
          </c:spPr>
          <c:cat>
            <c:multiLvlStrRef>
              <c:f>'Revenue model'!$G$9:$M$10</c:f>
              <c:multiLvlStrCache>
                <c:ptCount val="7"/>
                <c:lvl>
                  <c:pt idx="0">
                    <c:v>2016A</c:v>
                  </c:pt>
                  <c:pt idx="1">
                    <c:v>2017A</c:v>
                  </c:pt>
                  <c:pt idx="2">
                    <c:v>2018A</c:v>
                  </c:pt>
                  <c:pt idx="3">
                    <c:v>2019A</c:v>
                  </c:pt>
                  <c:pt idx="4">
                    <c:v>2020E</c:v>
                  </c:pt>
                  <c:pt idx="5">
                    <c:v>2021E</c:v>
                  </c:pt>
                  <c:pt idx="6">
                    <c:v>2022E</c:v>
                  </c:pt>
                </c:lvl>
                <c:lvl>
                  <c:pt idx="0">
                    <c:v>Historicals</c:v>
                  </c:pt>
                  <c:pt idx="4">
                    <c:v>Forecasts</c:v>
                  </c:pt>
                </c:lvl>
              </c:multiLvlStrCache>
            </c:multiLvlStrRef>
          </c:cat>
          <c:val>
            <c:numRef>
              <c:f>'Revenue model'!$G$21:$M$21</c:f>
              <c:numCache>
                <c:formatCode>"$"#,##0_);\("$"#,##0\)</c:formatCode>
                <c:ptCount val="7"/>
                <c:pt idx="0">
                  <c:v>22559</c:v>
                </c:pt>
                <c:pt idx="1">
                  <c:v>21667</c:v>
                </c:pt>
                <c:pt idx="2">
                  <c:v>21758</c:v>
                </c:pt>
                <c:pt idx="3">
                  <c:v>22307</c:v>
                </c:pt>
                <c:pt idx="4">
                  <c:v>22186.03</c:v>
                </c:pt>
                <c:pt idx="5">
                  <c:v>22280.81568</c:v>
                </c:pt>
                <c:pt idx="6">
                  <c:v>22447.52216352</c:v>
                </c:pt>
              </c:numCache>
            </c:numRef>
          </c:val>
          <c:extLst>
            <c:ext xmlns:c16="http://schemas.microsoft.com/office/drawing/2014/chart" uri="{C3380CC4-5D6E-409C-BE32-E72D297353CC}">
              <c16:uniqueId val="{00000000-270B-4FC3-A312-9DBDC72396EA}"/>
            </c:ext>
          </c:extLst>
        </c:ser>
        <c:dLbls>
          <c:showLegendKey val="0"/>
          <c:showVal val="0"/>
          <c:showCatName val="0"/>
          <c:showSerName val="0"/>
          <c:showPercent val="0"/>
          <c:showBubbleSize val="0"/>
        </c:dLbls>
        <c:axId val="610395408"/>
        <c:axId val="513065312"/>
      </c:areaChart>
      <c:catAx>
        <c:axId val="610395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3065312"/>
        <c:crosses val="autoZero"/>
        <c:auto val="1"/>
        <c:lblAlgn val="ctr"/>
        <c:lblOffset val="100"/>
        <c:noMultiLvlLbl val="0"/>
      </c:catAx>
      <c:valAx>
        <c:axId val="51306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0395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'Revenue model'!$C$25:$F$25</c:f>
              <c:strCache>
                <c:ptCount val="4"/>
                <c:pt idx="0">
                  <c:v>Total benefits and expenses</c:v>
                </c:pt>
              </c:strCache>
            </c:strRef>
          </c:tx>
          <c:spPr>
            <a:ln w="28575" cap="rnd">
              <a:solidFill>
                <a:schemeClr val="accent1"/>
              </a:solidFill>
              <a:round/>
            </a:ln>
            <a:effectLst/>
          </c:spPr>
          <c:marker>
            <c:symbol val="none"/>
          </c:marker>
          <c:cat>
            <c:multiLvlStrRef>
              <c:f>'Revenue model'!$G$9:$M$10</c:f>
              <c:multiLvlStrCache>
                <c:ptCount val="7"/>
                <c:lvl>
                  <c:pt idx="0">
                    <c:v>2016A</c:v>
                  </c:pt>
                  <c:pt idx="1">
                    <c:v>2017A</c:v>
                  </c:pt>
                  <c:pt idx="2">
                    <c:v>2018A</c:v>
                  </c:pt>
                  <c:pt idx="3">
                    <c:v>2019A</c:v>
                  </c:pt>
                  <c:pt idx="4">
                    <c:v>2020E</c:v>
                  </c:pt>
                  <c:pt idx="5">
                    <c:v>2021E</c:v>
                  </c:pt>
                  <c:pt idx="6">
                    <c:v>2022E</c:v>
                  </c:pt>
                </c:lvl>
                <c:lvl>
                  <c:pt idx="0">
                    <c:v>Historicals</c:v>
                  </c:pt>
                  <c:pt idx="4">
                    <c:v>Forecasts</c:v>
                  </c:pt>
                </c:lvl>
              </c:multiLvlStrCache>
            </c:multiLvlStrRef>
          </c:cat>
          <c:val>
            <c:numRef>
              <c:f>'Revenue model'!$G$25:$M$25</c:f>
              <c:numCache>
                <c:formatCode>"$"#,##0_);\("$"#,##0\)</c:formatCode>
                <c:ptCount val="7"/>
                <c:pt idx="0">
                  <c:v>18492</c:v>
                </c:pt>
                <c:pt idx="1">
                  <c:v>17649</c:v>
                </c:pt>
                <c:pt idx="2">
                  <c:v>17775</c:v>
                </c:pt>
                <c:pt idx="3">
                  <c:v>17862</c:v>
                </c:pt>
                <c:pt idx="4">
                  <c:v>17915.585999999999</c:v>
                </c:pt>
                <c:pt idx="5">
                  <c:v>17969.332757999997</c:v>
                </c:pt>
                <c:pt idx="6">
                  <c:v>18023.240756273994</c:v>
                </c:pt>
              </c:numCache>
            </c:numRef>
          </c:val>
          <c:smooth val="0"/>
          <c:extLst>
            <c:ext xmlns:c16="http://schemas.microsoft.com/office/drawing/2014/chart" uri="{C3380CC4-5D6E-409C-BE32-E72D297353CC}">
              <c16:uniqueId val="{00000000-E829-4A7E-A7D6-10B9C513E9AC}"/>
            </c:ext>
          </c:extLst>
        </c:ser>
        <c:dLbls>
          <c:showLegendKey val="0"/>
          <c:showVal val="0"/>
          <c:showCatName val="0"/>
          <c:showSerName val="0"/>
          <c:showPercent val="0"/>
          <c:showBubbleSize val="0"/>
        </c:dLbls>
        <c:smooth val="0"/>
        <c:axId val="506284896"/>
        <c:axId val="17814112"/>
      </c:lineChart>
      <c:catAx>
        <c:axId val="5062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14112"/>
        <c:crosses val="autoZero"/>
        <c:auto val="1"/>
        <c:lblAlgn val="ctr"/>
        <c:lblOffset val="100"/>
        <c:noMultiLvlLbl val="0"/>
      </c:catAx>
      <c:valAx>
        <c:axId val="17814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628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'Financial Analysis'!$C$11</c:f>
              <c:strCache>
                <c:ptCount val="1"/>
                <c:pt idx="0">
                  <c:v>Profit Margin</c:v>
                </c:pt>
              </c:strCache>
            </c:strRef>
          </c:tx>
          <c:spPr>
            <a:solidFill>
              <a:schemeClr val="accent1"/>
            </a:solidFill>
            <a:ln>
              <a:noFill/>
            </a:ln>
            <a:effectLst/>
            <a:sp3d/>
          </c:spPr>
          <c:invertIfNegative val="0"/>
          <c:cat>
            <c:numRef>
              <c:f>'Financial Analysis'!$E$9:$I$9</c:f>
              <c:numCache>
                <c:formatCode>General</c:formatCode>
                <c:ptCount val="5"/>
                <c:pt idx="0">
                  <c:v>2015</c:v>
                </c:pt>
                <c:pt idx="1">
                  <c:v>2016</c:v>
                </c:pt>
                <c:pt idx="2">
                  <c:v>2017</c:v>
                </c:pt>
                <c:pt idx="3">
                  <c:v>2018</c:v>
                </c:pt>
                <c:pt idx="4">
                  <c:v>2019</c:v>
                </c:pt>
              </c:numCache>
            </c:numRef>
          </c:cat>
          <c:val>
            <c:numRef>
              <c:f>'Financial Analysis'!$E$11:$I$11</c:f>
              <c:numCache>
                <c:formatCode>0.0%</c:formatCode>
                <c:ptCount val="5"/>
                <c:pt idx="0">
                  <c:v>0.1213587581448831</c:v>
                </c:pt>
                <c:pt idx="1">
                  <c:v>0.11786869985371692</c:v>
                </c:pt>
                <c:pt idx="2">
                  <c:v>0.21248903863017493</c:v>
                </c:pt>
                <c:pt idx="3">
                  <c:v>0.11384318411618714</c:v>
                </c:pt>
                <c:pt idx="4">
                  <c:v>0.12206930559913928</c:v>
                </c:pt>
              </c:numCache>
            </c:numRef>
          </c:val>
          <c:extLst>
            <c:ext xmlns:c16="http://schemas.microsoft.com/office/drawing/2014/chart" uri="{C3380CC4-5D6E-409C-BE32-E72D297353CC}">
              <c16:uniqueId val="{00000000-10C5-4366-B1D5-1D1395E3CA8F}"/>
            </c:ext>
          </c:extLst>
        </c:ser>
        <c:dLbls>
          <c:showLegendKey val="0"/>
          <c:showVal val="0"/>
          <c:showCatName val="0"/>
          <c:showSerName val="0"/>
          <c:showPercent val="0"/>
          <c:showBubbleSize val="0"/>
        </c:dLbls>
        <c:gapWidth val="150"/>
        <c:shape val="box"/>
        <c:axId val="1870649360"/>
        <c:axId val="1868482704"/>
        <c:axId val="1915197504"/>
      </c:bar3DChart>
      <c:catAx>
        <c:axId val="1870649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68482704"/>
        <c:crosses val="autoZero"/>
        <c:auto val="1"/>
        <c:lblAlgn val="ctr"/>
        <c:lblOffset val="100"/>
        <c:noMultiLvlLbl val="0"/>
      </c:catAx>
      <c:valAx>
        <c:axId val="18684827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0649360"/>
        <c:crosses val="autoZero"/>
        <c:crossBetween val="between"/>
      </c:valAx>
      <c:serAx>
        <c:axId val="19151975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6848270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Dupont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'Financial Analysis'!$C$11</c:f>
              <c:strCache>
                <c:ptCount val="1"/>
                <c:pt idx="0">
                  <c:v>Profit Margin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'Financial Analysis'!$D$9:$I$9</c:f>
              <c:numCache>
                <c:formatCode>General</c:formatCode>
                <c:ptCount val="6"/>
                <c:pt idx="1">
                  <c:v>2015</c:v>
                </c:pt>
                <c:pt idx="2">
                  <c:v>2016</c:v>
                </c:pt>
                <c:pt idx="3">
                  <c:v>2017</c:v>
                </c:pt>
                <c:pt idx="4">
                  <c:v>2018</c:v>
                </c:pt>
                <c:pt idx="5">
                  <c:v>2019</c:v>
                </c:pt>
              </c:numCache>
            </c:numRef>
          </c:cat>
          <c:val>
            <c:numRef>
              <c:f>'Financial Analysis'!$D$11:$I$11</c:f>
              <c:numCache>
                <c:formatCode>0.0%</c:formatCode>
                <c:ptCount val="6"/>
                <c:pt idx="1">
                  <c:v>0.1213587581448831</c:v>
                </c:pt>
                <c:pt idx="2">
                  <c:v>0.11786869985371692</c:v>
                </c:pt>
                <c:pt idx="3">
                  <c:v>0.21248903863017493</c:v>
                </c:pt>
                <c:pt idx="4">
                  <c:v>0.11384318411618714</c:v>
                </c:pt>
                <c:pt idx="5">
                  <c:v>0.12206930559913928</c:v>
                </c:pt>
              </c:numCache>
            </c:numRef>
          </c:val>
          <c:smooth val="0"/>
          <c:extLst>
            <c:ext xmlns:c16="http://schemas.microsoft.com/office/drawing/2014/chart" uri="{C3380CC4-5D6E-409C-BE32-E72D297353CC}">
              <c16:uniqueId val="{00000000-7090-4AAE-8040-97FACB8FDE43}"/>
            </c:ext>
          </c:extLst>
        </c:ser>
        <c:ser>
          <c:idx val="1"/>
          <c:order val="1"/>
          <c:tx>
            <c:strRef>
              <c:f>'Financial Analysis'!$C$12</c:f>
              <c:strCache>
                <c:ptCount val="1"/>
                <c:pt idx="0">
                  <c:v>Asset Turnover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'Financial Analysis'!$D$9:$I$9</c:f>
              <c:numCache>
                <c:formatCode>General</c:formatCode>
                <c:ptCount val="6"/>
                <c:pt idx="1">
                  <c:v>2015</c:v>
                </c:pt>
                <c:pt idx="2">
                  <c:v>2016</c:v>
                </c:pt>
                <c:pt idx="3">
                  <c:v>2017</c:v>
                </c:pt>
                <c:pt idx="4">
                  <c:v>2018</c:v>
                </c:pt>
                <c:pt idx="5">
                  <c:v>2019</c:v>
                </c:pt>
              </c:numCache>
            </c:numRef>
          </c:cat>
          <c:val>
            <c:numRef>
              <c:f>'Financial Analysis'!$D$12:$I$12</c:f>
              <c:numCache>
                <c:formatCode>0.00%</c:formatCode>
                <c:ptCount val="6"/>
                <c:pt idx="1">
                  <c:v>0.17643876377899506</c:v>
                </c:pt>
                <c:pt idx="2">
                  <c:v>0.17377271431762684</c:v>
                </c:pt>
                <c:pt idx="3">
                  <c:v>0.15790317526254036</c:v>
                </c:pt>
                <c:pt idx="4">
                  <c:v>0.15496488754041851</c:v>
                </c:pt>
                <c:pt idx="5">
                  <c:v>0.14601879974863846</c:v>
                </c:pt>
              </c:numCache>
            </c:numRef>
          </c:val>
          <c:smooth val="0"/>
          <c:extLst>
            <c:ext xmlns:c16="http://schemas.microsoft.com/office/drawing/2014/chart" uri="{C3380CC4-5D6E-409C-BE32-E72D297353CC}">
              <c16:uniqueId val="{00000001-7090-4AAE-8040-97FACB8FDE43}"/>
            </c:ext>
          </c:extLst>
        </c:ser>
        <c:ser>
          <c:idx val="2"/>
          <c:order val="2"/>
          <c:tx>
            <c:strRef>
              <c:f>'Financial Analysis'!$C$13</c:f>
              <c:strCache>
                <c:ptCount val="1"/>
                <c:pt idx="0">
                  <c:v>Leverage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'Financial Analysis'!$D$9:$I$9</c:f>
              <c:numCache>
                <c:formatCode>General</c:formatCode>
                <c:ptCount val="6"/>
                <c:pt idx="1">
                  <c:v>2015</c:v>
                </c:pt>
                <c:pt idx="2">
                  <c:v>2016</c:v>
                </c:pt>
                <c:pt idx="3">
                  <c:v>2017</c:v>
                </c:pt>
                <c:pt idx="4">
                  <c:v>2018</c:v>
                </c:pt>
                <c:pt idx="5">
                  <c:v>2019</c:v>
                </c:pt>
              </c:numCache>
            </c:numRef>
          </c:cat>
          <c:val>
            <c:numRef>
              <c:f>'Financial Analysis'!$D$13:$I$13</c:f>
              <c:numCache>
                <c:formatCode>0.00%</c:formatCode>
                <c:ptCount val="6"/>
                <c:pt idx="1">
                  <c:v>0.28072057826970859</c:v>
                </c:pt>
                <c:pt idx="2">
                  <c:v>0.26169319402402108</c:v>
                </c:pt>
                <c:pt idx="3">
                  <c:v>0.21501748109602406</c:v>
                </c:pt>
                <c:pt idx="4">
                  <c:v>0.24627056516920978</c:v>
                </c:pt>
                <c:pt idx="5">
                  <c:v>0.22683794329914708</c:v>
                </c:pt>
              </c:numCache>
            </c:numRef>
          </c:val>
          <c:smooth val="0"/>
          <c:extLst>
            <c:ext xmlns:c16="http://schemas.microsoft.com/office/drawing/2014/chart" uri="{C3380CC4-5D6E-409C-BE32-E72D297353CC}">
              <c16:uniqueId val="{00000002-7090-4AAE-8040-97FACB8FDE43}"/>
            </c:ext>
          </c:extLst>
        </c:ser>
        <c:ser>
          <c:idx val="3"/>
          <c:order val="3"/>
          <c:tx>
            <c:strRef>
              <c:f>'Financial Analysis'!$C$14</c:f>
              <c:strCache>
                <c:ptCount val="1"/>
                <c:pt idx="0">
                  <c:v>ROE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'Financial Analysis'!$D$9:$I$9</c:f>
              <c:numCache>
                <c:formatCode>General</c:formatCode>
                <c:ptCount val="6"/>
                <c:pt idx="1">
                  <c:v>2015</c:v>
                </c:pt>
                <c:pt idx="2">
                  <c:v>2016</c:v>
                </c:pt>
                <c:pt idx="3">
                  <c:v>2017</c:v>
                </c:pt>
                <c:pt idx="4">
                  <c:v>2018</c:v>
                </c:pt>
                <c:pt idx="5">
                  <c:v>2019</c:v>
                </c:pt>
              </c:numCache>
            </c:numRef>
          </c:cat>
          <c:val>
            <c:numRef>
              <c:f>'Financial Analysis'!$D$14:$I$14</c:f>
              <c:numCache>
                <c:formatCode>0%</c:formatCode>
                <c:ptCount val="6"/>
                <c:pt idx="1">
                  <c:v>0.14304269256833069</c:v>
                </c:pt>
                <c:pt idx="2">
                  <c:v>0.12982130651303583</c:v>
                </c:pt>
                <c:pt idx="3">
                  <c:v>0.1871696885925685</c:v>
                </c:pt>
                <c:pt idx="4">
                  <c:v>0.12445656806751343</c:v>
                </c:pt>
                <c:pt idx="5">
                  <c:v>0.11409233744259124</c:v>
                </c:pt>
              </c:numCache>
            </c:numRef>
          </c:val>
          <c:smooth val="0"/>
          <c:extLst>
            <c:ext xmlns:c16="http://schemas.microsoft.com/office/drawing/2014/chart" uri="{C3380CC4-5D6E-409C-BE32-E72D297353CC}">
              <c16:uniqueId val="{00000003-7090-4AAE-8040-97FACB8FDE43}"/>
            </c:ext>
          </c:extLst>
        </c:ser>
        <c:ser>
          <c:idx val="4"/>
          <c:order val="4"/>
          <c:tx>
            <c:strRef>
              <c:f>'Financial Analysis'!$C$15</c:f>
              <c:strCache>
                <c:ptCount val="1"/>
                <c:pt idx="0">
                  <c:v>ROA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'Financial Analysis'!$D$9:$I$9</c:f>
              <c:numCache>
                <c:formatCode>General</c:formatCode>
                <c:ptCount val="6"/>
                <c:pt idx="1">
                  <c:v>2015</c:v>
                </c:pt>
                <c:pt idx="2">
                  <c:v>2016</c:v>
                </c:pt>
                <c:pt idx="3">
                  <c:v>2017</c:v>
                </c:pt>
                <c:pt idx="4">
                  <c:v>2018</c:v>
                </c:pt>
                <c:pt idx="5">
                  <c:v>2019</c:v>
                </c:pt>
              </c:numCache>
            </c:numRef>
          </c:cat>
          <c:val>
            <c:numRef>
              <c:f>'Financial Analysis'!$D$15:$I$15</c:f>
              <c:numCache>
                <c:formatCode>0%</c:formatCode>
                <c:ptCount val="6"/>
                <c:pt idx="1">
                  <c:v>2.1419631984846435E-2</c:v>
                </c:pt>
                <c:pt idx="2">
                  <c:v>2.0482363906670055E-2</c:v>
                </c:pt>
                <c:pt idx="3">
                  <c:v>3.355269390818922E-2</c:v>
                </c:pt>
                <c:pt idx="4">
                  <c:v>2.0796832044214633E-2</c:v>
                </c:pt>
                <c:pt idx="5">
                  <c:v>2.1627565982404694E-2</c:v>
                </c:pt>
              </c:numCache>
            </c:numRef>
          </c:val>
          <c:smooth val="0"/>
          <c:extLst>
            <c:ext xmlns:c16="http://schemas.microsoft.com/office/drawing/2014/chart" uri="{C3380CC4-5D6E-409C-BE32-E72D297353CC}">
              <c16:uniqueId val="{00000004-7090-4AAE-8040-97FACB8FDE43}"/>
            </c:ext>
          </c:extLst>
        </c:ser>
        <c:dLbls>
          <c:showLegendKey val="0"/>
          <c:showVal val="0"/>
          <c:showCatName val="0"/>
          <c:showSerName val="0"/>
          <c:showPercent val="0"/>
          <c:showBubbleSize val="0"/>
        </c:dLbls>
        <c:marker val="1"/>
        <c:smooth val="0"/>
        <c:axId val="613027456"/>
        <c:axId val="17827424"/>
      </c:lineChart>
      <c:catAx>
        <c:axId val="6130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27424"/>
        <c:crosses val="autoZero"/>
        <c:auto val="1"/>
        <c:lblAlgn val="ctr"/>
        <c:lblOffset val="100"/>
        <c:noMultiLvlLbl val="0"/>
      </c:catAx>
      <c:valAx>
        <c:axId val="1782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
                </a:r>
                <a:endParaRPr lang="en-US"/>
              </a:p>
            </c:rich>
          </c:tx>
          <c:layout>
            <c:manualLayout>
              <c:xMode val="edge"/>
              <c:yMode val="edge"/>
              <c:x val="8.0555555555555561E-2"/>
              <c:y val="7.560549722951301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0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Liquidity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378937007874014"/>
          <c:y val="0.17634259259259263"/>
          <c:w val="0.87232174103237092"/>
          <c:h val="0.61498432487605714"/>
        </c:manualLayout>
      </c:layout>
      <c:lineChart>
        <c:grouping val="standard"/>
        <c:varyColors val="0"/>
        <c:ser>
          <c:idx val="0"/>
          <c:order val="0"/>
          <c:tx>
            <c:strRef>
              <c:f>'Financial Analysis'!$C$17</c:f>
              <c:strCache>
                <c:ptCount val="1"/>
                <c:pt idx="0">
                  <c:v>Current ratio</c:v>
                </c:pt>
              </c:strCache>
            </c:strRef>
          </c:tx>
          <c:spPr>
            <a:ln w="28575" cap="rnd">
              <a:solidFill>
                <a:schemeClr val="accent1"/>
              </a:solidFill>
              <a:round/>
            </a:ln>
            <a:effectLst/>
          </c:spPr>
          <c:marker>
            <c:symbol val="none"/>
          </c:marker>
          <c:cat>
            <c:numRef>
              <c:f>'Financial Analysis'!$E$16:$I$16</c:f>
              <c:numCache>
                <c:formatCode>General</c:formatCode>
                <c:ptCount val="5"/>
              </c:numCache>
            </c:numRef>
          </c:cat>
          <c:val>
            <c:numRef>
              <c:f>'Financial Analysis'!$E$17:$I$17</c:f>
              <c:numCache>
                <c:formatCode>0%</c:formatCode>
                <c:ptCount val="5"/>
                <c:pt idx="0">
                  <c:v>1.1761148904006047</c:v>
                </c:pt>
                <c:pt idx="1">
                  <c:v>1.187329083475859</c:v>
                </c:pt>
                <c:pt idx="2">
                  <c:v>1.2184178513394721</c:v>
                </c:pt>
                <c:pt idx="3">
                  <c:v>1.2006259406211519</c:v>
                </c:pt>
                <c:pt idx="4">
                  <c:v>1.2339006049640979</c:v>
                </c:pt>
              </c:numCache>
            </c:numRef>
          </c:val>
          <c:smooth val="0"/>
          <c:extLst>
            <c:ext xmlns:c16="http://schemas.microsoft.com/office/drawing/2014/chart" uri="{C3380CC4-5D6E-409C-BE32-E72D297353CC}">
              <c16:uniqueId val="{00000000-060B-4AAE-82C8-5EFEEF0A3D0E}"/>
            </c:ext>
          </c:extLst>
        </c:ser>
        <c:ser>
          <c:idx val="1"/>
          <c:order val="1"/>
          <c:tx>
            <c:strRef>
              <c:f>'Financial Analysis'!$C$18</c:f>
              <c:strCache>
                <c:ptCount val="1"/>
                <c:pt idx="0">
                  <c:v>Quick ratio</c:v>
                </c:pt>
              </c:strCache>
            </c:strRef>
          </c:tx>
          <c:spPr>
            <a:ln w="28575" cap="rnd">
              <a:solidFill>
                <a:schemeClr val="accent2"/>
              </a:solidFill>
              <a:round/>
            </a:ln>
            <a:effectLst/>
          </c:spPr>
          <c:marker>
            <c:symbol val="none"/>
          </c:marker>
          <c:cat>
            <c:numRef>
              <c:f>'Financial Analysis'!$E$16:$I$16</c:f>
              <c:numCache>
                <c:formatCode>General</c:formatCode>
                <c:ptCount val="5"/>
              </c:numCache>
            </c:numRef>
          </c:cat>
          <c:val>
            <c:numRef>
              <c:f>'Financial Analysis'!$E$18:$I$18</c:f>
              <c:numCache>
                <c:formatCode>0%</c:formatCode>
                <c:ptCount val="5"/>
                <c:pt idx="0">
                  <c:v>5.0274495763217568E-2</c:v>
                </c:pt>
                <c:pt idx="1">
                  <c:v>5.0559280024145531E-2</c:v>
                </c:pt>
                <c:pt idx="2">
                  <c:v>3.8341665260746408E-2</c:v>
                </c:pt>
                <c:pt idx="3">
                  <c:v>4.4363113969079215E-2</c:v>
                </c:pt>
                <c:pt idx="4">
                  <c:v>4.6232503291360076E-2</c:v>
                </c:pt>
              </c:numCache>
            </c:numRef>
          </c:val>
          <c:smooth val="0"/>
          <c:extLst>
            <c:ext xmlns:c16="http://schemas.microsoft.com/office/drawing/2014/chart" uri="{C3380CC4-5D6E-409C-BE32-E72D297353CC}">
              <c16:uniqueId val="{00000001-060B-4AAE-82C8-5EFEEF0A3D0E}"/>
            </c:ext>
          </c:extLst>
        </c:ser>
        <c:ser>
          <c:idx val="2"/>
          <c:order val="2"/>
          <c:tx>
            <c:strRef>
              <c:f>'Financial Analysis'!$C$19</c:f>
              <c:strCache>
                <c:ptCount val="1"/>
                <c:pt idx="0">
                  <c:v>Cash ratio</c:v>
                </c:pt>
              </c:strCache>
            </c:strRef>
          </c:tx>
          <c:spPr>
            <a:ln w="28575" cap="rnd">
              <a:solidFill>
                <a:schemeClr val="accent3"/>
              </a:solidFill>
              <a:round/>
            </a:ln>
            <a:effectLst/>
          </c:spPr>
          <c:marker>
            <c:symbol val="none"/>
          </c:marker>
          <c:cat>
            <c:numRef>
              <c:f>'Financial Analysis'!$E$16:$I$16</c:f>
              <c:numCache>
                <c:formatCode>General</c:formatCode>
                <c:ptCount val="5"/>
              </c:numCache>
            </c:numRef>
          </c:cat>
          <c:val>
            <c:numRef>
              <c:f>'Financial Analysis'!$E$19:$I$19</c:f>
              <c:numCache>
                <c:formatCode>0%</c:formatCode>
                <c:ptCount val="5"/>
                <c:pt idx="0">
                  <c:v>4.3262919202768826E-2</c:v>
                </c:pt>
                <c:pt idx="1">
                  <c:v>4.4440582785333416E-2</c:v>
                </c:pt>
                <c:pt idx="2">
                  <c:v>3.0998321775188912E-2</c:v>
                </c:pt>
                <c:pt idx="3">
                  <c:v>3.7086126693118074E-2</c:v>
                </c:pt>
                <c:pt idx="4">
                  <c:v>3.9544782689465222E-2</c:v>
                </c:pt>
              </c:numCache>
            </c:numRef>
          </c:val>
          <c:smooth val="0"/>
          <c:extLst>
            <c:ext xmlns:c16="http://schemas.microsoft.com/office/drawing/2014/chart" uri="{C3380CC4-5D6E-409C-BE32-E72D297353CC}">
              <c16:uniqueId val="{00000002-060B-4AAE-82C8-5EFEEF0A3D0E}"/>
            </c:ext>
          </c:extLst>
        </c:ser>
        <c:ser>
          <c:idx val="3"/>
          <c:order val="3"/>
          <c:spPr>
            <a:ln w="28575" cap="rnd">
              <a:solidFill>
                <a:schemeClr val="accent4"/>
              </a:solidFill>
              <a:round/>
            </a:ln>
            <a:effectLst/>
          </c:spPr>
          <c:marker>
            <c:symbol val="none"/>
          </c:marker>
          <c:cat>
            <c:numRef>
              <c:f>'Financial Analysis'!$E$16:$I$16</c:f>
              <c:numCache>
                <c:formatCode>General</c:formatCode>
                <c:ptCount val="5"/>
              </c:numCache>
            </c:numRef>
          </c:cat>
          <c:val>
            <c:numRef>
              <c:f>'Financial Analysis'!$C$16</c:f>
              <c:numCache>
                <c:formatCode>General</c:formatCode>
                <c:ptCount val="1"/>
                <c:pt idx="0">
                  <c:v>0</c:v>
                </c:pt>
              </c:numCache>
            </c:numRef>
          </c:val>
          <c:smooth val="0"/>
          <c:extLst>
            <c:ext xmlns:c16="http://schemas.microsoft.com/office/drawing/2014/chart" uri="{C3380CC4-5D6E-409C-BE32-E72D297353CC}">
              <c16:uniqueId val="{00000005-060B-4AAE-82C8-5EFEEF0A3D0E}"/>
            </c:ext>
          </c:extLst>
        </c:ser>
        <c:dLbls>
          <c:showLegendKey val="0"/>
          <c:showVal val="0"/>
          <c:showCatName val="0"/>
          <c:showSerName val="0"/>
          <c:showPercent val="0"/>
          <c:showBubbleSize val="0"/>
        </c:dLbls>
        <c:smooth val="0"/>
        <c:axId val="518656016"/>
        <c:axId val="689619744"/>
      </c:lineChart>
      <c:catAx>
        <c:axId val="5186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619744"/>
        <c:crosses val="autoZero"/>
        <c:auto val="1"/>
        <c:lblAlgn val="ctr"/>
        <c:lblOffset val="100"/>
        <c:noMultiLvlLbl val="0"/>
      </c:catAx>
      <c:valAx>
        <c:axId val="68961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8656016"/>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Solvency</a:t>
            </a:r>
            <a:r>
              <a:rPr lang="en-US" sz="1400" b="0" i="0" u="none" strike="noStrike" baseline="0"/>
              <a:t> </a:t>
            </a:r>
            <a:endParaRPr lang="en-US"/>
          </a:p>
        </c:rich>
      </c:tx>
      <c:layout>
        <c:manualLayout>
          <c:xMode val="edge"/>
          <c:yMode val="edge"/>
          <c:x val="0.4122707786526684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'Financial Analysis'!$C$21</c:f>
              <c:strCache>
                <c:ptCount val="1"/>
                <c:pt idx="0">
                  <c:v>Total Debt/Asset</c:v>
                </c:pt>
              </c:strCache>
            </c:strRef>
          </c:tx>
          <c:spPr>
            <a:ln w="28575" cap="rnd">
              <a:solidFill>
                <a:schemeClr val="accent1"/>
              </a:solidFill>
              <a:round/>
            </a:ln>
            <a:effectLst/>
          </c:spPr>
          <c:marker>
            <c:symbol val="none"/>
          </c:marker>
          <c:cat>
            <c:numRef>
              <c:f>'Financial Analysis'!$E$20:$I$20</c:f>
              <c:numCache>
                <c:formatCode>General</c:formatCode>
                <c:ptCount val="5"/>
              </c:numCache>
            </c:numRef>
          </c:cat>
          <c:val>
            <c:numRef>
              <c:f>'Financial Analysis'!$E$21:$I$21</c:f>
              <c:numCache>
                <c:formatCode>0%</c:formatCode>
                <c:ptCount val="5"/>
                <c:pt idx="0">
                  <c:v>4.2035922067379244E-2</c:v>
                </c:pt>
                <c:pt idx="1">
                  <c:v>4.1288255186066755E-2</c:v>
                </c:pt>
                <c:pt idx="2">
                  <c:v>3.8544786724676969E-2</c:v>
                </c:pt>
                <c:pt idx="3">
                  <c:v>4.1152087517627452E-2</c:v>
                </c:pt>
                <c:pt idx="4">
                  <c:v>4.2999842899036446E-2</c:v>
                </c:pt>
              </c:numCache>
            </c:numRef>
          </c:val>
          <c:smooth val="0"/>
          <c:extLst>
            <c:ext xmlns:c16="http://schemas.microsoft.com/office/drawing/2014/chart" uri="{C3380CC4-5D6E-409C-BE32-E72D297353CC}">
              <c16:uniqueId val="{00000000-E591-403C-B880-C6C2EEBC72D6}"/>
            </c:ext>
          </c:extLst>
        </c:ser>
        <c:ser>
          <c:idx val="1"/>
          <c:order val="1"/>
          <c:tx>
            <c:strRef>
              <c:f>'Financial Analysis'!$C$22</c:f>
              <c:strCache>
                <c:ptCount val="1"/>
                <c:pt idx="0">
                  <c:v>Total Debt/Equity</c:v>
                </c:pt>
              </c:strCache>
            </c:strRef>
          </c:tx>
          <c:spPr>
            <a:ln w="28575" cap="rnd">
              <a:solidFill>
                <a:schemeClr val="accent2"/>
              </a:solidFill>
              <a:round/>
            </a:ln>
            <a:effectLst/>
          </c:spPr>
          <c:marker>
            <c:symbol val="none"/>
          </c:marker>
          <c:cat>
            <c:numRef>
              <c:f>'Financial Analysis'!$E$20:$I$20</c:f>
              <c:numCache>
                <c:formatCode>General</c:formatCode>
                <c:ptCount val="5"/>
              </c:numCache>
            </c:numRef>
          </c:cat>
          <c:val>
            <c:numRef>
              <c:f>'Financial Analysis'!$E$22:$I$22</c:f>
              <c:numCache>
                <c:formatCode>0%</c:formatCode>
                <c:ptCount val="5"/>
                <c:pt idx="0">
                  <c:v>0.28072057826970859</c:v>
                </c:pt>
                <c:pt idx="1">
                  <c:v>0.26169319402402108</c:v>
                </c:pt>
                <c:pt idx="2">
                  <c:v>0.21501748109602406</c:v>
                </c:pt>
                <c:pt idx="3">
                  <c:v>0.24627056516920978</c:v>
                </c:pt>
                <c:pt idx="4">
                  <c:v>0.22683794329914708</c:v>
                </c:pt>
              </c:numCache>
            </c:numRef>
          </c:val>
          <c:smooth val="0"/>
          <c:extLst>
            <c:ext xmlns:c16="http://schemas.microsoft.com/office/drawing/2014/chart" uri="{C3380CC4-5D6E-409C-BE32-E72D297353CC}">
              <c16:uniqueId val="{00000001-E591-403C-B880-C6C2EEBC72D6}"/>
            </c:ext>
          </c:extLst>
        </c:ser>
        <c:ser>
          <c:idx val="2"/>
          <c:order val="2"/>
          <c:tx>
            <c:strRef>
              <c:f>'Financial Analysis'!$C$23</c:f>
              <c:strCache>
                <c:ptCount val="1"/>
                <c:pt idx="0">
                  <c:v>Total Debt/Capital</c:v>
                </c:pt>
              </c:strCache>
            </c:strRef>
          </c:tx>
          <c:spPr>
            <a:ln w="28575" cap="rnd">
              <a:solidFill>
                <a:schemeClr val="accent3"/>
              </a:solidFill>
              <a:round/>
            </a:ln>
            <a:effectLst/>
          </c:spPr>
          <c:marker>
            <c:symbol val="none"/>
          </c:marker>
          <c:cat>
            <c:numRef>
              <c:f>'Financial Analysis'!$E$20:$I$20</c:f>
              <c:numCache>
                <c:formatCode>General</c:formatCode>
                <c:ptCount val="5"/>
              </c:numCache>
            </c:numRef>
          </c:cat>
          <c:val>
            <c:numRef>
              <c:f>'Financial Analysis'!$E$23:$I$23</c:f>
              <c:numCache>
                <c:formatCode>0%</c:formatCode>
                <c:ptCount val="5"/>
                <c:pt idx="0">
                  <c:v>0.19241339268434293</c:v>
                </c:pt>
                <c:pt idx="1">
                  <c:v>0.19172300318346031</c:v>
                </c:pt>
                <c:pt idx="2">
                  <c:v>0.16520381071372794</c:v>
                </c:pt>
                <c:pt idx="3">
                  <c:v>0.17011629618725158</c:v>
                </c:pt>
                <c:pt idx="4">
                  <c:v>0.17946126106436455</c:v>
                </c:pt>
              </c:numCache>
            </c:numRef>
          </c:val>
          <c:smooth val="0"/>
          <c:extLst>
            <c:ext xmlns:c16="http://schemas.microsoft.com/office/drawing/2014/chart" uri="{C3380CC4-5D6E-409C-BE32-E72D297353CC}">
              <c16:uniqueId val="{00000002-E591-403C-B880-C6C2EEBC72D6}"/>
            </c:ext>
          </c:extLst>
        </c:ser>
        <c:dLbls>
          <c:showLegendKey val="0"/>
          <c:showVal val="0"/>
          <c:showCatName val="0"/>
          <c:showSerName val="0"/>
          <c:showPercent val="0"/>
          <c:showBubbleSize val="0"/>
        </c:dLbls>
        <c:smooth val="0"/>
        <c:axId val="759456912"/>
        <c:axId val="689620160"/>
      </c:lineChart>
      <c:catAx>
        <c:axId val="7594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620160"/>
        <c:crosses val="autoZero"/>
        <c:auto val="1"/>
        <c:lblAlgn val="ctr"/>
        <c:lblOffset val="100"/>
        <c:noMultiLvlLbl val="0"/>
      </c:catAx>
      <c:valAx>
        <c:axId val="689620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945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Solvency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'Financial Analysis'!$G$20</c:f>
              <c:strCache>
                <c:ptCount val="1"/>
              </c:strCache>
            </c:strRef>
          </c:tx>
          <c:spPr>
            <a:solidFill>
              <a:schemeClr val="accent1"/>
            </a:solidFill>
            <a:ln>
              <a:noFill/>
            </a:ln>
            <a:effectLst/>
          </c:spPr>
          <c:invertIfNegative val="0"/>
          <c:cat>
            <c:strRef>
              <c:extLst>
                <c:ext xmlns:c15="http://schemas.microsoft.com/office/drawing/2012/chart" uri="{02D57815-91ED-43cb-92C2-25804820EDAC}">
                  <c15:fullRef>
                    <c15:sqref>'Financial Analysis'!$C$24:$F$27</c15:sqref>
                  </c15:fullRef>
                  <c15:levelRef>
                    <c15:sqref>'Financial Analysis'!$C$24:$C$27</c15:sqref>
                  </c15:levelRef>
                </c:ext>
              </c:extLst>
              <c:f>'Financial Analysis'!$C$24:$C$27</c:f>
              <c:strCache>
                <c:ptCount val="4"/>
                <c:pt idx="0">
                  <c:v>Total Debt/EBITDA</c:v>
                </c:pt>
                <c:pt idx="1">
                  <c:v>Interest Coverage</c:v>
                </c:pt>
                <c:pt idx="2">
                  <c:v>CFO/Total Debt</c:v>
                </c:pt>
                <c:pt idx="3">
                  <c:v>EBIT/Net Income</c:v>
                </c:pt>
              </c:strCache>
            </c:strRef>
          </c:cat>
          <c:val>
            <c:numRef>
              <c:f>'Financial Analysis'!$G$24:$G$27</c:f>
              <c:numCache>
                <c:formatCode>0.00</c:formatCode>
                <c:ptCount val="4"/>
                <c:pt idx="0" formatCode="0%">
                  <c:v>1.2187384044526901</c:v>
                </c:pt>
                <c:pt idx="1">
                  <c:v>17.741666666666667</c:v>
                </c:pt>
                <c:pt idx="2">
                  <c:v>1.1586311211949329</c:v>
                </c:pt>
                <c:pt idx="3">
                  <c:v>0.92484795829713295</c:v>
                </c:pt>
              </c:numCache>
            </c:numRef>
          </c:val>
          <c:extLst>
            <c:ext xmlns:c16="http://schemas.microsoft.com/office/drawing/2014/chart" uri="{C3380CC4-5D6E-409C-BE32-E72D297353CC}">
              <c16:uniqueId val="{00000000-A716-4623-A0DB-A5DC04D98F42}"/>
            </c:ext>
          </c:extLst>
        </c:ser>
        <c:ser>
          <c:idx val="1"/>
          <c:order val="1"/>
          <c:tx>
            <c:strRef>
              <c:f>'Financial Analysis'!$H$20</c:f>
              <c:strCache>
                <c:ptCount val="1"/>
              </c:strCache>
            </c:strRef>
          </c:tx>
          <c:spPr>
            <a:solidFill>
              <a:schemeClr val="accent2"/>
            </a:solidFill>
            <a:ln>
              <a:noFill/>
            </a:ln>
            <a:effectLst/>
          </c:spPr>
          <c:invertIfNegative val="0"/>
          <c:cat>
            <c:strRef>
              <c:extLst>
                <c:ext xmlns:c15="http://schemas.microsoft.com/office/drawing/2012/chart" uri="{02D57815-91ED-43cb-92C2-25804820EDAC}">
                  <c15:fullRef>
                    <c15:sqref>'Financial Analysis'!$C$24:$F$27</c15:sqref>
                  </c15:fullRef>
                  <c15:levelRef>
                    <c15:sqref>'Financial Analysis'!$C$24:$C$27</c15:sqref>
                  </c15:levelRef>
                </c:ext>
              </c:extLst>
              <c:f>'Financial Analysis'!$C$24:$C$27</c:f>
              <c:strCache>
                <c:ptCount val="4"/>
                <c:pt idx="0">
                  <c:v>Total Debt/EBITDA</c:v>
                </c:pt>
                <c:pt idx="1">
                  <c:v>Interest Coverage</c:v>
                </c:pt>
                <c:pt idx="2">
                  <c:v>CFO/Total Debt</c:v>
                </c:pt>
                <c:pt idx="3">
                  <c:v>EBIT/Net Income</c:v>
                </c:pt>
              </c:strCache>
            </c:strRef>
          </c:cat>
          <c:val>
            <c:numRef>
              <c:f>'Financial Analysis'!$H$24:$H$27</c:f>
              <c:numCache>
                <c:formatCode>0.00</c:formatCode>
                <c:ptCount val="4"/>
                <c:pt idx="0" formatCode="0%">
                  <c:v>1.2053211009174312</c:v>
                </c:pt>
                <c:pt idx="1">
                  <c:v>16.945945945945947</c:v>
                </c:pt>
                <c:pt idx="2">
                  <c:v>1.0408445829006576</c:v>
                </c:pt>
                <c:pt idx="3">
                  <c:v>1.5187727089220833</c:v>
                </c:pt>
              </c:numCache>
            </c:numRef>
          </c:val>
          <c:extLst>
            <c:ext xmlns:c16="http://schemas.microsoft.com/office/drawing/2014/chart" uri="{C3380CC4-5D6E-409C-BE32-E72D297353CC}">
              <c16:uniqueId val="{00000001-A716-4623-A0DB-A5DC04D98F42}"/>
            </c:ext>
          </c:extLst>
        </c:ser>
        <c:ser>
          <c:idx val="2"/>
          <c:order val="2"/>
          <c:tx>
            <c:strRef>
              <c:f>'Financial Analysis'!$I$20</c:f>
              <c:strCache>
                <c:ptCount val="1"/>
              </c:strCache>
            </c:strRef>
          </c:tx>
          <c:spPr>
            <a:solidFill>
              <a:schemeClr val="accent3"/>
            </a:solidFill>
            <a:ln>
              <a:noFill/>
            </a:ln>
            <a:effectLst/>
          </c:spPr>
          <c:invertIfNegative val="0"/>
          <c:cat>
            <c:strRef>
              <c:extLst>
                <c:ext xmlns:c15="http://schemas.microsoft.com/office/drawing/2012/chart" uri="{02D57815-91ED-43cb-92C2-25804820EDAC}">
                  <c15:fullRef>
                    <c15:sqref>'Financial Analysis'!$C$24:$F$27</c15:sqref>
                  </c15:fullRef>
                  <c15:levelRef>
                    <c15:sqref>'Financial Analysis'!$C$24:$C$27</c15:sqref>
                  </c15:levelRef>
                </c:ext>
              </c:extLst>
              <c:f>'Financial Analysis'!$C$24:$C$27</c:f>
              <c:strCache>
                <c:ptCount val="4"/>
                <c:pt idx="0">
                  <c:v>Total Debt/EBITDA</c:v>
                </c:pt>
                <c:pt idx="1">
                  <c:v>Interest Coverage</c:v>
                </c:pt>
                <c:pt idx="2">
                  <c:v>CFO/Total Debt</c:v>
                </c:pt>
                <c:pt idx="3">
                  <c:v>EBIT/Net Income</c:v>
                </c:pt>
              </c:strCache>
            </c:strRef>
          </c:cat>
          <c:val>
            <c:numRef>
              <c:f>'Financial Analysis'!$I$24:$I$27</c:f>
              <c:numCache>
                <c:formatCode>0.00</c:formatCode>
                <c:ptCount val="4"/>
                <c:pt idx="0" formatCode="0%">
                  <c:v>1.1031066330814441</c:v>
                </c:pt>
                <c:pt idx="1">
                  <c:v>17.94736842105263</c:v>
                </c:pt>
                <c:pt idx="2">
                  <c:v>0.83041558836961482</c:v>
                </c:pt>
                <c:pt idx="3">
                  <c:v>1.5027543150936467</c:v>
                </c:pt>
              </c:numCache>
            </c:numRef>
          </c:val>
          <c:extLst>
            <c:ext xmlns:c16="http://schemas.microsoft.com/office/drawing/2014/chart" uri="{C3380CC4-5D6E-409C-BE32-E72D297353CC}">
              <c16:uniqueId val="{00000002-A716-4623-A0DB-A5DC04D98F42}"/>
            </c:ext>
          </c:extLst>
        </c:ser>
        <c:dLbls>
          <c:showLegendKey val="0"/>
          <c:showVal val="0"/>
          <c:showCatName val="0"/>
          <c:showSerName val="0"/>
          <c:showPercent val="0"/>
          <c:showBubbleSize val="0"/>
        </c:dLbls>
        <c:gapWidth val="182"/>
        <c:axId val="754637792"/>
        <c:axId val="689628064"/>
      </c:barChart>
      <c:catAx>
        <c:axId val="75463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628064"/>
        <c:crosses val="autoZero"/>
        <c:auto val="1"/>
        <c:lblAlgn val="ctr"/>
        <c:lblOffset val="100"/>
        <c:noMultiLvlLbl val="0"/>
      </c:catAx>
      <c:valAx>
        <c:axId val="689628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463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16</xdr:col>
      <xdr:colOff>672353</xdr:colOff>
      <xdr:row>30</xdr:row>
      <xdr:rowOff>146796</xdr:rowOff>
    </xdr:from>
    <xdr:to>
      <xdr:col>19</xdr:col>
      <xdr:colOff>257735</xdr:colOff>
      <xdr:row>45</xdr:row>
      <xdr:rowOff>155761</xdr:rowOff>
    </xdr:to>
    <xdr:graphicFrame macro="">
      <xdr:nvGraphicFramePr>
        <xdr:cNvPr id="2" name="Chart 1">
          <a:extLst>
            <a:ext uri="{FF2B5EF4-FFF2-40B4-BE49-F238E27FC236}">
              <a16:creationId xmlns:a16="http://schemas.microsoft.com/office/drawing/2014/main" id="{CE708040-DF41-4946-BB1E-4B5C91D4E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470646</xdr:colOff>
      <xdr:row>30</xdr:row>
      <xdr:rowOff>169208</xdr:rowOff>
    </xdr:from>
    <xdr:to>
      <xdr:col>26</xdr:col>
      <xdr:colOff>358588</xdr:colOff>
      <xdr:row>45</xdr:row>
      <xdr:rowOff>178173</xdr:rowOff>
    </xdr:to>
    <xdr:graphicFrame macro="">
      <xdr:nvGraphicFramePr>
        <xdr:cNvPr id="3" name="Chart 2">
          <a:extLst>
            <a:ext uri="{FF2B5EF4-FFF2-40B4-BE49-F238E27FC236}">
              <a16:creationId xmlns:a16="http://schemas.microsoft.com/office/drawing/2014/main" id="{2634D11D-5013-48A5-905D-A458CF532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561975</xdr:colOff>
      <xdr:row>4</xdr:row>
      <xdr:rowOff>61911</xdr:rowOff>
    </xdr:from>
    <xdr:to>
      <xdr:col>14</xdr:col>
      <xdr:colOff>561975</xdr:colOff>
      <xdr:row>16</xdr:row>
      <xdr:rowOff>95250</xdr:rowOff>
    </xdr:to>
    <xdr:graphicFrame macro="">
      <xdr:nvGraphicFramePr>
        <xdr:cNvPr id="5" name="Chart 4">
          <a:extLst>
            <a:ext uri="{FF2B5EF4-FFF2-40B4-BE49-F238E27FC236}">
              <a16:creationId xmlns:a16="http://schemas.microsoft.com/office/drawing/2014/main" id="{20ED3615-8024-4A3E-911F-3C4799322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31</xdr:row>
      <xdr:rowOff>4762</xdr:rowOff>
    </xdr:from>
    <xdr:to>
      <xdr:col>17</xdr:col>
      <xdr:colOff>333375</xdr:colOff>
      <xdr:row>45</xdr:row>
      <xdr:rowOff>80962</xdr:rowOff>
    </xdr:to>
    <xdr:graphicFrame macro="">
      <xdr:nvGraphicFramePr>
        <xdr:cNvPr id="2" name="Chart 1">
          <a:extLst>
            <a:ext uri="{FF2B5EF4-FFF2-40B4-BE49-F238E27FC236}">
              <a16:creationId xmlns:a16="http://schemas.microsoft.com/office/drawing/2014/main" id="{A788989A-C95C-4FB5-8924-A0903883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552450</xdr:colOff>
      <xdr:row>16</xdr:row>
      <xdr:rowOff>109537</xdr:rowOff>
    </xdr:from>
    <xdr:to>
      <xdr:col>17</xdr:col>
      <xdr:colOff>333375</xdr:colOff>
      <xdr:row>30</xdr:row>
      <xdr:rowOff>185737</xdr:rowOff>
    </xdr:to>
    <xdr:graphicFrame macro="">
      <xdr:nvGraphicFramePr>
        <xdr:cNvPr id="3" name="Chart 2">
          <a:extLst>
            <a:ext uri="{FF2B5EF4-FFF2-40B4-BE49-F238E27FC236}">
              <a16:creationId xmlns:a16="http://schemas.microsoft.com/office/drawing/2014/main" id="{A0AEE089-E2CF-4138-A15E-37B0FE825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219075</xdr:colOff>
      <xdr:row>26</xdr:row>
      <xdr:rowOff>157162</xdr:rowOff>
    </xdr:from>
    <xdr:to>
      <xdr:col>33</xdr:col>
      <xdr:colOff>523875</xdr:colOff>
      <xdr:row>41</xdr:row>
      <xdr:rowOff>42862</xdr:rowOff>
    </xdr:to>
    <xdr:graphicFrame macro="">
      <xdr:nvGraphicFramePr>
        <xdr:cNvPr id="6" name="Chart 5">
          <a:extLst>
            <a:ext uri="{FF2B5EF4-FFF2-40B4-BE49-F238E27FC236}">
              <a16:creationId xmlns:a16="http://schemas.microsoft.com/office/drawing/2014/main" id="{1C6690B7-097C-4095-BACE-E1B62071C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219075</xdr:colOff>
      <xdr:row>14</xdr:row>
      <xdr:rowOff>71437</xdr:rowOff>
    </xdr:from>
    <xdr:to>
      <xdr:col>33</xdr:col>
      <xdr:colOff>523875</xdr:colOff>
      <xdr:row>28</xdr:row>
      <xdr:rowOff>147637</xdr:rowOff>
    </xdr:to>
    <xdr:graphicFrame macro="">
      <xdr:nvGraphicFramePr>
        <xdr:cNvPr id="7" name="Chart 6">
          <a:extLst>
            <a:ext uri="{FF2B5EF4-FFF2-40B4-BE49-F238E27FC236}">
              <a16:creationId xmlns:a16="http://schemas.microsoft.com/office/drawing/2014/main" id="{2DD4B6C3-704E-4357-95E8-17B111F62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35199;&#38463;&#25289;&#24052;&#39532;/&#22823;&#22235;&#19978;&#23398;&#26399;/EC491/Ch8/Calculating-Intrinsic-Value-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Cash Flow"/>
      <sheetName val="DCF (BEFORE)"/>
      <sheetName val="DCF (AFTER)"/>
      <sheetName val="Schedules"/>
    </sheetNames>
    <sheetDataSet>
      <sheetData sheetId="0">
        <row r="14">
          <cell r="U14">
            <v>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B133"/>
  <sheetViews>
    <sheetView showGridLines="0" tabSelected="1" zoomScale="85" zoomScaleNormal="85" workbookViewId="0">
      <selection activeCell="P4" sqref="P4"/>
    </sheetView>
  </sheetViews>
  <sheetFormatPr baseColWidth="10" defaultColWidth="8.83203125" defaultRowHeight="14" outlineLevelRow="1"/>
  <cols>
    <col min="1" max="1" width="1.6640625" customWidth="1"/>
    <col min="3" max="3" width="19.5" customWidth="1"/>
    <col min="4" max="16" width="10.6640625" customWidth="1"/>
    <col min="17" max="17" width="53.33203125" bestFit="1" customWidth="1"/>
    <col min="18" max="23" width="10.6640625" customWidth="1"/>
  </cols>
  <sheetData>
    <row r="2" spans="2:28" ht="37">
      <c r="B2" s="1" t="s">
        <v>10</v>
      </c>
    </row>
    <row r="3" spans="2:28" ht="26">
      <c r="B3" s="2" t="s">
        <v>0</v>
      </c>
    </row>
    <row r="6" spans="2:28">
      <c r="C6" s="6" t="s">
        <v>7</v>
      </c>
      <c r="D6" s="26">
        <v>1</v>
      </c>
      <c r="E6" t="s">
        <v>8</v>
      </c>
    </row>
    <row r="7" spans="2:28">
      <c r="C7" s="37" t="s">
        <v>1</v>
      </c>
      <c r="D7" s="38"/>
      <c r="E7" s="38"/>
      <c r="F7" s="38"/>
      <c r="G7" s="38"/>
      <c r="H7" s="38"/>
      <c r="I7" s="38"/>
      <c r="J7" s="38"/>
      <c r="K7" s="38"/>
      <c r="L7" s="38"/>
      <c r="M7" s="38"/>
      <c r="Q7" s="3" t="s">
        <v>197</v>
      </c>
      <c r="R7" s="4"/>
      <c r="S7" s="4"/>
      <c r="T7" s="4"/>
      <c r="U7" s="4"/>
      <c r="V7" s="4"/>
      <c r="W7" s="4"/>
      <c r="X7" s="4"/>
      <c r="Y7" s="4"/>
      <c r="Z7" s="4"/>
      <c r="AA7" s="4"/>
      <c r="AB7" s="4"/>
    </row>
    <row r="8" spans="2:28" s="36" customFormat="1" outlineLevel="1">
      <c r="C8"/>
      <c r="D8"/>
      <c r="E8"/>
      <c r="F8"/>
      <c r="G8"/>
      <c r="H8"/>
      <c r="I8"/>
      <c r="J8"/>
      <c r="K8"/>
      <c r="L8"/>
      <c r="M8"/>
      <c r="Q8" s="93" t="s">
        <v>199</v>
      </c>
      <c r="R8" s="94"/>
      <c r="S8" s="94"/>
      <c r="T8" s="94"/>
      <c r="U8" s="94"/>
      <c r="V8" s="95"/>
      <c r="W8" s="93" t="s">
        <v>180</v>
      </c>
      <c r="X8" s="94"/>
      <c r="Y8" s="94"/>
      <c r="Z8" s="94"/>
      <c r="AA8" s="94"/>
      <c r="AB8" s="95"/>
    </row>
    <row r="9" spans="2:28" ht="17" outlineLevel="1">
      <c r="G9" s="9" t="s">
        <v>2</v>
      </c>
      <c r="H9" s="9"/>
      <c r="I9" s="10"/>
      <c r="J9" s="10"/>
      <c r="K9" s="9" t="s">
        <v>9</v>
      </c>
      <c r="L9" s="10"/>
      <c r="M9" s="10"/>
      <c r="N9" s="47" t="s">
        <v>31</v>
      </c>
      <c r="O9" s="48"/>
      <c r="Q9" t="s">
        <v>192</v>
      </c>
      <c r="V9" s="112" t="s">
        <v>194</v>
      </c>
      <c r="W9" s="105" t="s">
        <v>180</v>
      </c>
    </row>
    <row r="10" spans="2:28" ht="15" outlineLevel="1" thickBot="1">
      <c r="C10" s="11" t="s">
        <v>15</v>
      </c>
      <c r="D10" s="12"/>
      <c r="E10" s="12"/>
      <c r="F10" s="12"/>
      <c r="G10" s="13">
        <v>2016</v>
      </c>
      <c r="H10" s="13">
        <f t="shared" ref="H10:M10" si="0">+G10+1</f>
        <v>2017</v>
      </c>
      <c r="I10" s="13">
        <f t="shared" si="0"/>
        <v>2018</v>
      </c>
      <c r="J10" s="13">
        <f t="shared" si="0"/>
        <v>2019</v>
      </c>
      <c r="K10" s="18">
        <f t="shared" si="0"/>
        <v>2020</v>
      </c>
      <c r="L10" s="18">
        <f t="shared" si="0"/>
        <v>2021</v>
      </c>
      <c r="M10" s="18">
        <f t="shared" si="0"/>
        <v>2022</v>
      </c>
      <c r="N10" s="49" t="s">
        <v>32</v>
      </c>
      <c r="O10" s="49" t="s">
        <v>33</v>
      </c>
      <c r="Q10" t="s">
        <v>193</v>
      </c>
      <c r="U10" s="113">
        <v>44153</v>
      </c>
      <c r="V10" s="114">
        <v>43.23</v>
      </c>
      <c r="Z10" s="106" t="s">
        <v>181</v>
      </c>
      <c r="AA10" s="106" t="s">
        <v>182</v>
      </c>
    </row>
    <row r="11" spans="2:28" outlineLevel="1">
      <c r="Q11" t="s">
        <v>195</v>
      </c>
      <c r="V11">
        <f>AB14</f>
        <v>1412.4188773999538</v>
      </c>
      <c r="W11" t="s">
        <v>183</v>
      </c>
      <c r="Z11" s="107">
        <v>29.65</v>
      </c>
      <c r="AA11" s="83">
        <v>29</v>
      </c>
      <c r="AB11" s="108">
        <f>($V$10-Z11)/$V$10*AA11</f>
        <v>9.109877399953735</v>
      </c>
    </row>
    <row r="12" spans="2:28" outlineLevel="1">
      <c r="C12" s="14" t="s">
        <v>26</v>
      </c>
      <c r="Q12" s="100" t="s">
        <v>196</v>
      </c>
      <c r="R12" s="100"/>
      <c r="S12" s="100"/>
      <c r="T12" s="100"/>
      <c r="U12" s="100"/>
      <c r="V12" s="116">
        <f>+V10*V11</f>
        <v>61058.868069999997</v>
      </c>
      <c r="W12" t="s">
        <v>184</v>
      </c>
      <c r="Z12" s="107">
        <v>0</v>
      </c>
      <c r="AA12" s="83">
        <v>54</v>
      </c>
      <c r="AB12" s="108">
        <f>($V$10-Z12)/$V$10*AA12</f>
        <v>54</v>
      </c>
    </row>
    <row r="13" spans="2:28" outlineLevel="1">
      <c r="C13" t="s">
        <v>16</v>
      </c>
      <c r="G13">
        <v>19225</v>
      </c>
      <c r="H13">
        <v>18531</v>
      </c>
      <c r="I13">
        <v>18677</v>
      </c>
      <c r="J13">
        <v>18780</v>
      </c>
      <c r="K13" s="15">
        <f ca="1">+J13*(1+K14)</f>
        <v>18742.439999999999</v>
      </c>
      <c r="L13" s="15">
        <f ca="1">+K13*(1+L14)</f>
        <v>18779.924879999999</v>
      </c>
      <c r="M13" s="15">
        <f ca="1">+L13*(1+M14)</f>
        <v>18855.044579519999</v>
      </c>
      <c r="N13" s="58">
        <f>(J13/G13)^(1/3)-1</f>
        <v>-7.7759568062782947E-3</v>
      </c>
      <c r="O13" s="58">
        <f ca="1">(M13/J13)^(1/3)-1</f>
        <v>1.3302243851425199E-3</v>
      </c>
      <c r="Q13" t="s">
        <v>172</v>
      </c>
      <c r="V13" s="83">
        <v>-6569</v>
      </c>
      <c r="W13" t="s">
        <v>185</v>
      </c>
      <c r="AB13" s="108">
        <f>1349309000/1000000</f>
        <v>1349.309</v>
      </c>
    </row>
    <row r="14" spans="2:28" outlineLevel="1">
      <c r="C14" s="41" t="s">
        <v>3</v>
      </c>
      <c r="D14" s="30"/>
      <c r="E14" s="30"/>
      <c r="F14" s="30"/>
      <c r="G14" s="30"/>
      <c r="H14" s="42">
        <f>+H13/G13-1</f>
        <v>-3.6098829648894659E-2</v>
      </c>
      <c r="I14" s="42">
        <f>+I13/H13-1</f>
        <v>7.8786897630995778E-3</v>
      </c>
      <c r="J14" s="42">
        <f>+J13/I13-1</f>
        <v>5.5148043047599238E-3</v>
      </c>
      <c r="K14" s="43">
        <f ca="1">+K86</f>
        <v>-2E-3</v>
      </c>
      <c r="L14" s="43">
        <f ca="1">+L86</f>
        <v>2E-3</v>
      </c>
      <c r="M14" s="43">
        <f ca="1">+M86</f>
        <v>4.0000000000000001E-3</v>
      </c>
      <c r="N14" s="59"/>
      <c r="O14" s="59"/>
      <c r="Q14" t="s">
        <v>173</v>
      </c>
      <c r="V14" s="83">
        <v>4896</v>
      </c>
      <c r="W14" s="109" t="s">
        <v>186</v>
      </c>
      <c r="X14" s="109"/>
      <c r="Y14" s="109"/>
      <c r="Z14" s="109"/>
      <c r="AA14" s="109"/>
      <c r="AB14" s="115">
        <f>+AB11+AB12+AB13</f>
        <v>1412.4188773999538</v>
      </c>
    </row>
    <row r="15" spans="2:28" outlineLevel="1">
      <c r="C15" t="s">
        <v>14</v>
      </c>
      <c r="G15" s="15">
        <v>3278</v>
      </c>
      <c r="H15" s="15">
        <v>3220</v>
      </c>
      <c r="I15" s="15">
        <v>3442</v>
      </c>
      <c r="J15" s="15">
        <v>3578</v>
      </c>
      <c r="K15" s="27">
        <f ca="1">+J15*(1+K16)</f>
        <v>3506.44</v>
      </c>
      <c r="L15" s="27">
        <f ca="1">+K15*(1+L16)</f>
        <v>3576.5688</v>
      </c>
      <c r="M15" s="27">
        <f ca="1">+L15*(1+M16)</f>
        <v>3683.8658640000003</v>
      </c>
      <c r="N15" s="58">
        <f>(J15/G15)^(1/3)-1</f>
        <v>2.9620376969095918E-2</v>
      </c>
      <c r="O15" s="58">
        <f ca="1">(M15/J15)^(1/3)-1</f>
        <v>9.7669625409566585E-3</v>
      </c>
      <c r="Q15" t="s">
        <v>174</v>
      </c>
      <c r="V15" s="83">
        <v>91262</v>
      </c>
    </row>
    <row r="16" spans="2:28" outlineLevel="1">
      <c r="C16" s="41" t="s">
        <v>3</v>
      </c>
      <c r="D16" s="30"/>
      <c r="E16" s="30"/>
      <c r="F16" s="30"/>
      <c r="G16" s="30"/>
      <c r="H16" s="42">
        <f>+H15/G15-1</f>
        <v>-1.7693715680292876E-2</v>
      </c>
      <c r="I16" s="42">
        <f>+I15/H15-1</f>
        <v>6.8944099378881907E-2</v>
      </c>
      <c r="J16" s="42">
        <f>+J15/I15-1</f>
        <v>3.9511911679256162E-2</v>
      </c>
      <c r="K16" s="43">
        <f ca="1">+K90</f>
        <v>-0.02</v>
      </c>
      <c r="L16" s="43">
        <f ca="1">+L90</f>
        <v>0.02</v>
      </c>
      <c r="M16" s="43">
        <f ca="1">+M90</f>
        <v>0.03</v>
      </c>
      <c r="N16" s="59"/>
      <c r="O16" s="59"/>
      <c r="Q16" t="s">
        <v>175</v>
      </c>
      <c r="V16" s="83">
        <v>41933</v>
      </c>
    </row>
    <row r="17" spans="3:22" outlineLevel="1">
      <c r="C17" s="28" t="s">
        <v>17</v>
      </c>
      <c r="D17" s="6"/>
      <c r="E17" s="6"/>
      <c r="F17" s="6"/>
      <c r="G17" s="29">
        <v>-14</v>
      </c>
      <c r="H17" s="29">
        <v>-151</v>
      </c>
      <c r="I17" s="29">
        <v>-430</v>
      </c>
      <c r="J17" s="29">
        <v>-135</v>
      </c>
      <c r="K17" s="15">
        <f ca="1">+J17*(1+K18)</f>
        <v>-155.25</v>
      </c>
      <c r="L17" s="15">
        <f ca="1">+K17*(1+L18)</f>
        <v>-180.08999999999997</v>
      </c>
      <c r="M17" s="15">
        <f ca="1">+L17*(1+M18)</f>
        <v>-212.50619999999995</v>
      </c>
      <c r="N17" s="58">
        <f>(J17/G17)^(1/3)-1</f>
        <v>1.1284751179555754</v>
      </c>
      <c r="O17" s="58">
        <f ca="1">(M17/J17)^(1/3)-1</f>
        <v>0.16326665426987219</v>
      </c>
      <c r="Q17" s="100" t="s">
        <v>198</v>
      </c>
      <c r="R17" s="100"/>
      <c r="S17" s="100"/>
      <c r="T17" s="100"/>
      <c r="U17" s="100"/>
      <c r="V17" s="116">
        <f>+V12+V13+V14+V15+V16</f>
        <v>192580.86807</v>
      </c>
    </row>
    <row r="18" spans="3:22" outlineLevel="1">
      <c r="C18" s="41" t="s">
        <v>3</v>
      </c>
      <c r="D18" s="30"/>
      <c r="E18" s="30"/>
      <c r="F18" s="30"/>
      <c r="G18" s="30"/>
      <c r="H18" s="42">
        <f>H17/G17-1</f>
        <v>9.7857142857142865</v>
      </c>
      <c r="I18" s="42">
        <f>+I17/H17-1</f>
        <v>1.8476821192052979</v>
      </c>
      <c r="J18" s="42">
        <f>+J17/I17-1</f>
        <v>-0.68604651162790697</v>
      </c>
      <c r="K18" s="43">
        <f ca="1">K94</f>
        <v>0.15</v>
      </c>
      <c r="L18" s="43">
        <f ca="1">L94</f>
        <v>0.16</v>
      </c>
      <c r="M18" s="43">
        <f ca="1">M94</f>
        <v>0.18</v>
      </c>
      <c r="N18" s="59"/>
      <c r="O18" s="59"/>
    </row>
    <row r="19" spans="3:22" outlineLevel="1">
      <c r="C19" t="s">
        <v>18</v>
      </c>
      <c r="G19" s="16">
        <v>70</v>
      </c>
      <c r="H19" s="16">
        <v>67</v>
      </c>
      <c r="I19" s="16">
        <v>69</v>
      </c>
      <c r="J19" s="16">
        <v>84</v>
      </c>
      <c r="K19" s="19">
        <f ca="1">+J19*(1+K20)</f>
        <v>92.4</v>
      </c>
      <c r="L19" s="19">
        <f ca="1">+K19*(1+L20)</f>
        <v>104.41199999999999</v>
      </c>
      <c r="M19" s="19">
        <f ca="1">+L19*(1+M20)</f>
        <v>121.11791999999998</v>
      </c>
      <c r="N19" s="58">
        <f>(J19/G19)^(1/3)-1</f>
        <v>6.2658569182611146E-2</v>
      </c>
      <c r="O19" s="58">
        <f ca="1">(M19/J19)^(1/3)-1</f>
        <v>0.12973445087538593</v>
      </c>
    </row>
    <row r="20" spans="3:22" outlineLevel="1">
      <c r="C20" s="44" t="s">
        <v>3</v>
      </c>
      <c r="D20" s="45"/>
      <c r="E20" s="45"/>
      <c r="F20" s="45"/>
      <c r="G20" s="45"/>
      <c r="H20" s="42">
        <f>+H19/G19-1</f>
        <v>-4.2857142857142816E-2</v>
      </c>
      <c r="I20" s="42">
        <f>+I19/H19-1</f>
        <v>2.9850746268656803E-2</v>
      </c>
      <c r="J20" s="42">
        <f>+J19/I19-1</f>
        <v>0.21739130434782616</v>
      </c>
      <c r="K20" s="43">
        <f ca="1">K98</f>
        <v>0.1</v>
      </c>
      <c r="L20" s="43">
        <f ca="1">L98</f>
        <v>0.13</v>
      </c>
      <c r="M20" s="43">
        <f ca="1">M98</f>
        <v>0.16</v>
      </c>
    </row>
    <row r="21" spans="3:22" outlineLevel="1">
      <c r="C21" s="8" t="s">
        <v>98</v>
      </c>
      <c r="D21" s="8"/>
      <c r="E21" s="8"/>
      <c r="F21" s="8"/>
      <c r="G21" s="60">
        <f t="shared" ref="G21:M21" si="1">G13+G15+G17+G19</f>
        <v>22559</v>
      </c>
      <c r="H21" s="60">
        <f t="shared" si="1"/>
        <v>21667</v>
      </c>
      <c r="I21" s="60">
        <f t="shared" si="1"/>
        <v>21758</v>
      </c>
      <c r="J21" s="60">
        <f t="shared" si="1"/>
        <v>22307</v>
      </c>
      <c r="K21" s="60">
        <f t="shared" ca="1" si="1"/>
        <v>22186.03</v>
      </c>
      <c r="L21" s="60">
        <f t="shared" ca="1" si="1"/>
        <v>22280.81568</v>
      </c>
      <c r="M21" s="60">
        <f t="shared" ca="1" si="1"/>
        <v>22447.52216352</v>
      </c>
      <c r="N21" s="61">
        <f>(J21/G21)^(1/3)-1</f>
        <v>-3.7375209669062714E-3</v>
      </c>
      <c r="O21" s="61">
        <f ca="1">(M21/J21)^(1/3)-1</f>
        <v>2.0954277489377837E-3</v>
      </c>
    </row>
    <row r="22" spans="3:22" outlineLevel="1">
      <c r="C22" s="44" t="s">
        <v>3</v>
      </c>
      <c r="D22" s="45"/>
      <c r="E22" s="45"/>
      <c r="F22" s="45"/>
      <c r="G22" s="45"/>
      <c r="H22" s="42">
        <f t="shared" ref="H22:M22" si="2">+H21/G21-1</f>
        <v>-3.9540759785451463E-2</v>
      </c>
      <c r="I22" s="42">
        <f t="shared" si="2"/>
        <v>4.1999353856094768E-3</v>
      </c>
      <c r="J22" s="42">
        <f t="shared" si="2"/>
        <v>2.5232098538468639E-2</v>
      </c>
      <c r="K22" s="42">
        <f t="shared" ca="1" si="2"/>
        <v>-5.4229614022505146E-3</v>
      </c>
      <c r="L22" s="42">
        <f t="shared" ca="1" si="2"/>
        <v>4.2723137037135039E-3</v>
      </c>
      <c r="M22" s="42">
        <f t="shared" ca="1" si="2"/>
        <v>7.4820637589871897E-3</v>
      </c>
    </row>
    <row r="23" spans="3:22" outlineLevel="1">
      <c r="Q23" s="32"/>
      <c r="R23" s="32"/>
      <c r="S23" s="32"/>
    </row>
    <row r="24" spans="3:22" outlineLevel="1">
      <c r="C24" s="14" t="s">
        <v>97</v>
      </c>
    </row>
    <row r="25" spans="3:22" outlineLevel="1">
      <c r="C25" t="s">
        <v>21</v>
      </c>
      <c r="G25" s="40">
        <v>18492</v>
      </c>
      <c r="H25" s="40">
        <v>17649</v>
      </c>
      <c r="I25" s="40">
        <v>17775</v>
      </c>
      <c r="J25" s="40">
        <v>17862</v>
      </c>
      <c r="K25" s="20">
        <f ca="1">+J25*(1+K26)</f>
        <v>17915.585999999999</v>
      </c>
      <c r="L25" s="20">
        <f ca="1">+K25*(1+L26)</f>
        <v>17969.332757999997</v>
      </c>
      <c r="M25" s="20">
        <f ca="1">+L25*(1+M26)</f>
        <v>18023.240756273994</v>
      </c>
      <c r="N25" s="58">
        <f>(J25/G25)^(1/3)-1</f>
        <v>-1.1487724648370223E-2</v>
      </c>
      <c r="O25" s="58">
        <f ca="1">(M25/J25)^(1/3)-1</f>
        <v>2.9999999999998916E-3</v>
      </c>
    </row>
    <row r="26" spans="3:22" outlineLevel="1">
      <c r="C26" s="44" t="s">
        <v>3</v>
      </c>
      <c r="D26" s="45"/>
      <c r="E26" s="45"/>
      <c r="F26" s="45"/>
      <c r="G26" s="45"/>
      <c r="H26" s="42">
        <f>+H25/G25-1</f>
        <v>-4.5587280986372436E-2</v>
      </c>
      <c r="I26" s="42">
        <f>+I25/H25-1</f>
        <v>7.1392146863844541E-3</v>
      </c>
      <c r="J26" s="42">
        <f>+J25/I25-1</f>
        <v>4.8945147679324563E-3</v>
      </c>
      <c r="K26" s="42">
        <f ca="1">K102</f>
        <v>3.0000000000000001E-3</v>
      </c>
      <c r="L26" s="42">
        <f ca="1">L102</f>
        <v>3.0000000000000001E-3</v>
      </c>
      <c r="M26" s="42">
        <f ca="1">M102</f>
        <v>3.0000000000000001E-3</v>
      </c>
      <c r="N26" s="58"/>
      <c r="O26" s="58"/>
    </row>
    <row r="27" spans="3:22" outlineLevel="1">
      <c r="C27" t="s">
        <v>22</v>
      </c>
      <c r="G27" s="29">
        <f>G21-G25</f>
        <v>4067</v>
      </c>
      <c r="H27" s="29">
        <f>H21-H25</f>
        <v>4018</v>
      </c>
      <c r="I27" s="29">
        <f t="shared" ref="I27:M27" si="3">I21-I25</f>
        <v>3983</v>
      </c>
      <c r="J27" s="29">
        <f t="shared" si="3"/>
        <v>4445</v>
      </c>
      <c r="K27" s="29">
        <f ca="1">K21-K25</f>
        <v>4270.4439999999995</v>
      </c>
      <c r="L27" s="29">
        <f ca="1">L21-L25</f>
        <v>4311.4829220000029</v>
      </c>
      <c r="M27" s="29">
        <f t="shared" ca="1" si="3"/>
        <v>4424.281407246006</v>
      </c>
      <c r="N27" s="58">
        <f>(J27/G27)^(1/3)-1</f>
        <v>3.0067925698202824E-2</v>
      </c>
      <c r="O27" s="58">
        <f ca="1">(M27/J27)^(1/3)-1</f>
        <v>-1.5561204989720245E-3</v>
      </c>
      <c r="Q27" s="31" t="s">
        <v>13</v>
      </c>
      <c r="R27" s="32"/>
      <c r="S27" s="32"/>
    </row>
    <row r="28" spans="3:22" outlineLevel="1">
      <c r="C28" s="44" t="s">
        <v>3</v>
      </c>
      <c r="D28" s="45"/>
      <c r="E28" s="45"/>
      <c r="F28" s="45"/>
      <c r="G28" s="45"/>
      <c r="H28" s="42">
        <f>+H27/G27-1</f>
        <v>-1.2048192771084376E-2</v>
      </c>
      <c r="I28" s="42">
        <f>+I27/H27-1</f>
        <v>-8.7108013937282625E-3</v>
      </c>
      <c r="J28" s="42">
        <f>+J27/I27-1</f>
        <v>0.1159929701230229</v>
      </c>
      <c r="K28" s="42">
        <f t="shared" ref="K28:M28" ca="1" si="4">+K27/J27-1</f>
        <v>-3.9270191226096873E-2</v>
      </c>
      <c r="L28" s="42">
        <f t="shared" ca="1" si="4"/>
        <v>9.6099894999215341E-3</v>
      </c>
      <c r="M28" s="42">
        <f t="shared" ca="1" si="4"/>
        <v>2.6162340727463373E-2</v>
      </c>
      <c r="N28" s="59"/>
      <c r="O28" s="59"/>
      <c r="Q28" s="39" t="s">
        <v>11</v>
      </c>
      <c r="R28" s="39"/>
      <c r="S28" s="39"/>
    </row>
    <row r="29" spans="3:22" ht="30" outlineLevel="1">
      <c r="C29" t="s">
        <v>23</v>
      </c>
      <c r="G29">
        <v>1408</v>
      </c>
      <c r="H29">
        <v>-586</v>
      </c>
      <c r="I29">
        <v>1063</v>
      </c>
      <c r="J29">
        <v>1141</v>
      </c>
      <c r="K29">
        <f ca="1">+J29*(1+K30)</f>
        <v>1026.9000000000001</v>
      </c>
      <c r="L29">
        <f ca="1">+K29*(1+L30)</f>
        <v>975.55500000000006</v>
      </c>
      <c r="M29">
        <f ca="1">+L29*(1+M30)</f>
        <v>975.55500000000006</v>
      </c>
      <c r="N29" s="58">
        <f>(J29/G29)^(1/3)-1</f>
        <v>-6.7688595979920718E-2</v>
      </c>
      <c r="O29" s="58">
        <f ca="1">(M29/J29)^(1/3)-1</f>
        <v>-5.0878004197066895E-2</v>
      </c>
      <c r="Q29" s="33" t="s">
        <v>12</v>
      </c>
      <c r="R29" s="34">
        <f>18780/22307</f>
        <v>0.84188819653023717</v>
      </c>
      <c r="S29" s="33" t="s">
        <v>19</v>
      </c>
    </row>
    <row r="30" spans="3:22" outlineLevel="1">
      <c r="C30" s="30" t="s">
        <v>3</v>
      </c>
      <c r="D30" s="30"/>
      <c r="E30" s="30"/>
      <c r="F30" s="30"/>
      <c r="G30" s="30"/>
      <c r="H30" s="42">
        <f>+H29/G29-1</f>
        <v>-1.4161931818181819</v>
      </c>
      <c r="I30" s="42">
        <f>+I29/H29-1</f>
        <v>-2.8139931740614337</v>
      </c>
      <c r="J30" s="42">
        <f>+J29/I29-1</f>
        <v>7.3377234242709255E-2</v>
      </c>
      <c r="K30" s="46">
        <f ca="1">K106</f>
        <v>-0.1</v>
      </c>
      <c r="L30" s="46">
        <f ca="1">L106</f>
        <v>-0.05</v>
      </c>
      <c r="M30" s="46">
        <f ca="1">M106</f>
        <v>0</v>
      </c>
      <c r="Q30" s="32" t="s">
        <v>14</v>
      </c>
      <c r="R30" s="35">
        <f>3578/22307</f>
        <v>0.1603980813197651</v>
      </c>
      <c r="S30" s="32" t="s">
        <v>20</v>
      </c>
    </row>
    <row r="31" spans="3:22" outlineLevel="1">
      <c r="C31" s="8" t="s">
        <v>96</v>
      </c>
      <c r="D31" s="8"/>
      <c r="E31" s="8"/>
      <c r="F31" s="8"/>
      <c r="G31" s="60">
        <f>G27-G29</f>
        <v>2659</v>
      </c>
      <c r="H31" s="60">
        <f>H27-H29</f>
        <v>4604</v>
      </c>
      <c r="I31" s="60">
        <f>I27-I29</f>
        <v>2920</v>
      </c>
      <c r="J31" s="60">
        <f t="shared" ref="J31:M31" si="5">J27-J29</f>
        <v>3304</v>
      </c>
      <c r="K31" s="60">
        <f ca="1">K27-K29</f>
        <v>3243.5439999999994</v>
      </c>
      <c r="L31" s="60">
        <f t="shared" ca="1" si="5"/>
        <v>3335.9279220000026</v>
      </c>
      <c r="M31" s="60">
        <f t="shared" ca="1" si="5"/>
        <v>3448.7264072460057</v>
      </c>
      <c r="N31" s="62">
        <f>(J31/G31)^(1/3)-1</f>
        <v>7.5079466456490662E-2</v>
      </c>
      <c r="O31" s="62">
        <f ca="1">(M31/J31)^(1/3)-1</f>
        <v>1.4392978958412517E-2</v>
      </c>
      <c r="P31" s="57"/>
    </row>
    <row r="32" spans="3:22" outlineLevel="1">
      <c r="C32" s="44" t="s">
        <v>3</v>
      </c>
      <c r="D32" s="45"/>
      <c r="E32" s="45"/>
      <c r="F32" s="45"/>
      <c r="G32" s="45"/>
      <c r="H32" s="42">
        <f t="shared" ref="H32:M32" si="6">+H31/G31-1</f>
        <v>0.73147799924783752</v>
      </c>
      <c r="I32" s="42">
        <f t="shared" si="6"/>
        <v>-0.36576889661164202</v>
      </c>
      <c r="J32" s="42">
        <f t="shared" si="6"/>
        <v>0.1315068493150684</v>
      </c>
      <c r="K32" s="42">
        <f t="shared" ca="1" si="6"/>
        <v>-1.8297820823244715E-2</v>
      </c>
      <c r="L32" s="42">
        <f t="shared" ca="1" si="6"/>
        <v>2.8482401348649322E-2</v>
      </c>
      <c r="M32" s="42">
        <f t="shared" ca="1" si="6"/>
        <v>3.3813226149795428E-2</v>
      </c>
    </row>
    <row r="34" spans="3:20">
      <c r="C34" s="37" t="s">
        <v>40</v>
      </c>
      <c r="D34" s="38"/>
      <c r="E34" s="38"/>
      <c r="F34" s="38"/>
      <c r="G34" s="38"/>
      <c r="H34" s="38"/>
      <c r="I34" s="38"/>
      <c r="J34" s="38"/>
      <c r="K34" s="38"/>
      <c r="L34" s="38"/>
      <c r="M34" s="38"/>
    </row>
    <row r="35" spans="3:20" ht="6.75" customHeight="1">
      <c r="N35" s="36"/>
      <c r="O35" s="36"/>
    </row>
    <row r="36" spans="3:20" ht="14.25" customHeight="1">
      <c r="G36" s="9"/>
      <c r="H36" s="9" t="s">
        <v>2</v>
      </c>
      <c r="I36" s="10"/>
      <c r="J36" s="10"/>
      <c r="K36" s="9" t="s">
        <v>9</v>
      </c>
      <c r="L36" s="10"/>
      <c r="M36" s="10"/>
      <c r="N36" s="47" t="s">
        <v>31</v>
      </c>
      <c r="O36" s="48"/>
    </row>
    <row r="37" spans="3:20" ht="14.25" customHeight="1" thickBot="1">
      <c r="C37" s="11" t="s">
        <v>15</v>
      </c>
      <c r="D37" s="12"/>
      <c r="E37" s="12"/>
      <c r="F37" s="12"/>
      <c r="G37" s="13"/>
      <c r="H37" s="13">
        <f>2017</f>
        <v>2017</v>
      </c>
      <c r="I37" s="13">
        <f t="shared" ref="I37" si="7">+H37+1</f>
        <v>2018</v>
      </c>
      <c r="J37" s="13">
        <f t="shared" ref="J37" si="8">+I37+1</f>
        <v>2019</v>
      </c>
      <c r="K37" s="18">
        <f t="shared" ref="K37" si="9">+J37+1</f>
        <v>2020</v>
      </c>
      <c r="L37" s="18">
        <f t="shared" ref="L37" si="10">+K37+1</f>
        <v>2021</v>
      </c>
      <c r="M37" s="18">
        <f t="shared" ref="M37" si="11">+L37+1</f>
        <v>2022</v>
      </c>
      <c r="N37" s="49" t="s">
        <v>47</v>
      </c>
      <c r="O37" s="49" t="s">
        <v>33</v>
      </c>
    </row>
    <row r="38" spans="3:20">
      <c r="C38" s="52" t="s">
        <v>42</v>
      </c>
    </row>
    <row r="39" spans="3:20">
      <c r="C39" s="14" t="s">
        <v>99</v>
      </c>
      <c r="H39" s="20">
        <f>H21</f>
        <v>21667</v>
      </c>
      <c r="I39" s="20">
        <f t="shared" ref="I39:M39" si="12">I21</f>
        <v>21758</v>
      </c>
      <c r="J39" s="20">
        <f t="shared" si="12"/>
        <v>22307</v>
      </c>
      <c r="K39" s="20">
        <f t="shared" ca="1" si="12"/>
        <v>22186.03</v>
      </c>
      <c r="L39" s="20">
        <f t="shared" ca="1" si="12"/>
        <v>22280.81568</v>
      </c>
      <c r="M39" s="20">
        <f t="shared" ca="1" si="12"/>
        <v>22447.52216352</v>
      </c>
      <c r="N39" s="56">
        <f>(J39/H39)^(1/2)-1</f>
        <v>1.4661523419304157E-2</v>
      </c>
      <c r="O39" s="56">
        <f ca="1">(M39/J39)^(1/3)-1</f>
        <v>2.0954277489377837E-3</v>
      </c>
    </row>
    <row r="40" spans="3:20">
      <c r="C40" s="41" t="s">
        <v>3</v>
      </c>
      <c r="H40" s="42">
        <f>H22</f>
        <v>-3.9540759785451463E-2</v>
      </c>
      <c r="I40" s="42">
        <f>I39/H39-1</f>
        <v>4.1999353856094768E-3</v>
      </c>
      <c r="J40" s="42">
        <f t="shared" ref="J40:M40" si="13">J39/I39-1</f>
        <v>2.5232098538468639E-2</v>
      </c>
      <c r="K40" s="42">
        <f t="shared" ca="1" si="13"/>
        <v>-5.4229614022505146E-3</v>
      </c>
      <c r="L40" s="42">
        <f t="shared" ca="1" si="13"/>
        <v>4.2723137037135039E-3</v>
      </c>
      <c r="M40" s="42">
        <f t="shared" ca="1" si="13"/>
        <v>7.4820637589871897E-3</v>
      </c>
      <c r="N40" s="57"/>
      <c r="O40" s="57"/>
    </row>
    <row r="41" spans="3:20">
      <c r="C41" t="s">
        <v>43</v>
      </c>
      <c r="D41" s="30"/>
      <c r="E41" s="30"/>
      <c r="F41" s="30"/>
      <c r="G41" s="30"/>
      <c r="H41" s="20">
        <v>-12181</v>
      </c>
      <c r="I41" s="20">
        <v>-12000</v>
      </c>
      <c r="J41" s="20">
        <v>-11942</v>
      </c>
      <c r="K41" s="20">
        <f ca="1">-K39*K42</f>
        <v>-11093.014999999999</v>
      </c>
      <c r="L41" s="20">
        <f t="shared" ref="L41:M41" ca="1" si="14">-L39*L42</f>
        <v>-11363.2159968</v>
      </c>
      <c r="M41" s="20">
        <f t="shared" ca="1" si="14"/>
        <v>-11672.7115250304</v>
      </c>
      <c r="N41" s="56">
        <f>(J41/H41)^(1/2)-1</f>
        <v>-9.8589599429181884E-3</v>
      </c>
      <c r="O41" s="56">
        <f ca="1">(M41/J41)^(1/3)-1</f>
        <v>-7.5737828527724371E-3</v>
      </c>
    </row>
    <row r="42" spans="3:20">
      <c r="C42" s="41" t="s">
        <v>118</v>
      </c>
      <c r="G42" s="15"/>
      <c r="H42" s="42">
        <f>-H41/H39</f>
        <v>0.56219135090229377</v>
      </c>
      <c r="I42" s="42">
        <f t="shared" ref="I42:J42" si="15">-I41/I39</f>
        <v>0.55152127952936847</v>
      </c>
      <c r="J42" s="42">
        <f t="shared" si="15"/>
        <v>0.53534764872013274</v>
      </c>
      <c r="K42" s="42">
        <f ca="1">K111</f>
        <v>0.5</v>
      </c>
      <c r="L42" s="42">
        <f t="shared" ref="L42:M42" ca="1" si="16">L111</f>
        <v>0.51</v>
      </c>
      <c r="M42" s="42">
        <f t="shared" ca="1" si="16"/>
        <v>0.52</v>
      </c>
      <c r="N42" s="57"/>
      <c r="O42" s="57"/>
      <c r="R42" s="32"/>
      <c r="S42" s="32"/>
      <c r="T42" s="32"/>
    </row>
    <row r="43" spans="3:20">
      <c r="C43" t="s">
        <v>44</v>
      </c>
      <c r="D43" s="30"/>
      <c r="E43" s="30"/>
      <c r="F43" s="30"/>
      <c r="G43" s="30"/>
      <c r="H43" s="20">
        <v>-1316</v>
      </c>
      <c r="I43" s="20">
        <v>-1320</v>
      </c>
      <c r="J43" s="20">
        <v>-1321</v>
      </c>
      <c r="K43" s="20">
        <f ca="1">-K$39*K44</f>
        <v>-1286.7897399999999</v>
      </c>
      <c r="L43" s="20">
        <f t="shared" ref="L43:M43" ca="1" si="17">-L$39*L44</f>
        <v>-1270.00649376</v>
      </c>
      <c r="M43" s="20">
        <f t="shared" ca="1" si="17"/>
        <v>-1279.5087633206401</v>
      </c>
      <c r="N43" s="56">
        <f>(J43/H43)^(1/2)-1</f>
        <v>1.8978950458297117E-3</v>
      </c>
      <c r="O43" s="56">
        <f ca="1">(M43/J43)^(1/3)-1</f>
        <v>-1.0581220798943192E-2</v>
      </c>
      <c r="R43" s="32"/>
      <c r="S43" s="32"/>
      <c r="T43" s="32"/>
    </row>
    <row r="44" spans="3:20">
      <c r="C44" s="41" t="s">
        <v>118</v>
      </c>
      <c r="G44" s="16"/>
      <c r="H44" s="42">
        <f>-H43/H39</f>
        <v>6.0737527114967459E-2</v>
      </c>
      <c r="I44" s="42">
        <f>-I43/I39</f>
        <v>6.0667340748230533E-2</v>
      </c>
      <c r="J44" s="42">
        <f>-J43/J39</f>
        <v>5.9219079212803158E-2</v>
      </c>
      <c r="K44" s="42">
        <f ca="1">K119</f>
        <v>5.8000000000000003E-2</v>
      </c>
      <c r="L44" s="42">
        <f t="shared" ref="L44:M44" ca="1" si="18">L119</f>
        <v>5.7000000000000002E-2</v>
      </c>
      <c r="M44" s="42">
        <f t="shared" ca="1" si="18"/>
        <v>5.7000000000000002E-2</v>
      </c>
      <c r="N44" s="57"/>
      <c r="O44" s="57"/>
      <c r="R44" s="32"/>
      <c r="S44" s="32"/>
      <c r="T44" s="32"/>
    </row>
    <row r="45" spans="3:20">
      <c r="C45" t="s">
        <v>45</v>
      </c>
      <c r="D45" s="45"/>
      <c r="E45" s="45"/>
      <c r="F45" s="45"/>
      <c r="G45" s="45"/>
      <c r="H45" s="20">
        <v>-2780</v>
      </c>
      <c r="I45" s="20">
        <v>-2988</v>
      </c>
      <c r="J45" s="20">
        <v>-3089</v>
      </c>
      <c r="K45" s="20">
        <f ca="1">-K$39*K46</f>
        <v>-3039.4861100000003</v>
      </c>
      <c r="L45" s="20">
        <f t="shared" ref="L45:M45" ca="1" si="19">-L$39*L46</f>
        <v>-3030.1909324800004</v>
      </c>
      <c r="M45" s="20">
        <f t="shared" ca="1" si="19"/>
        <v>-3041.63925315696</v>
      </c>
      <c r="N45" s="56">
        <f>(J45/H45)^(1/2)-1</f>
        <v>5.4111511718134553E-2</v>
      </c>
      <c r="O45" s="56">
        <f ca="1">(M45/J45)^(1/3)-1</f>
        <v>-5.1370320346880716E-3</v>
      </c>
      <c r="R45" s="32"/>
      <c r="S45" s="32"/>
      <c r="T45" s="32"/>
    </row>
    <row r="46" spans="3:20">
      <c r="C46" s="41" t="s">
        <v>118</v>
      </c>
      <c r="H46" s="42">
        <f>-H45/H39</f>
        <v>0.12830571837356347</v>
      </c>
      <c r="I46" s="42">
        <f>-I45/I39</f>
        <v>0.13732879860281275</v>
      </c>
      <c r="J46" s="42">
        <f>-J45/J39</f>
        <v>0.1384767113462142</v>
      </c>
      <c r="K46" s="42">
        <f ca="1">K123</f>
        <v>0.13700000000000001</v>
      </c>
      <c r="L46" s="42">
        <f ca="1">L123</f>
        <v>0.13600000000000001</v>
      </c>
      <c r="M46" s="42">
        <f t="shared" ref="M46" ca="1" si="20">M123</f>
        <v>0.13550000000000001</v>
      </c>
      <c r="N46" s="57"/>
      <c r="O46" s="57"/>
    </row>
    <row r="47" spans="3:20">
      <c r="C47" s="8" t="s">
        <v>100</v>
      </c>
      <c r="D47" s="8"/>
      <c r="E47" s="8"/>
      <c r="F47" s="8"/>
      <c r="G47" s="8"/>
      <c r="H47" s="63">
        <f>H39+H41+H43+H45</f>
        <v>5390</v>
      </c>
      <c r="I47" s="63">
        <f t="shared" ref="I47:M47" si="21">I39+I41+I43+I45</f>
        <v>5450</v>
      </c>
      <c r="J47" s="63">
        <f t="shared" si="21"/>
        <v>5955</v>
      </c>
      <c r="K47" s="63">
        <f t="shared" ca="1" si="21"/>
        <v>6766.7391499999994</v>
      </c>
      <c r="L47" s="63">
        <f t="shared" ca="1" si="21"/>
        <v>6617.4022569600002</v>
      </c>
      <c r="M47" s="63">
        <f t="shared" ca="1" si="21"/>
        <v>6453.6626220119997</v>
      </c>
    </row>
    <row r="48" spans="3:20">
      <c r="C48" s="41" t="s">
        <v>101</v>
      </c>
      <c r="D48" s="71"/>
      <c r="E48" s="71"/>
      <c r="F48" s="71"/>
      <c r="G48" s="71"/>
      <c r="H48" s="75">
        <f>H47/H39</f>
        <v>0.24876540360917523</v>
      </c>
      <c r="I48" s="75">
        <f t="shared" ref="I48:M48" si="22">I47/I39</f>
        <v>0.25048258111958821</v>
      </c>
      <c r="J48" s="75">
        <f t="shared" si="22"/>
        <v>0.26695656072084994</v>
      </c>
      <c r="K48" s="75">
        <f t="shared" ca="1" si="22"/>
        <v>0.30499999999999999</v>
      </c>
      <c r="L48" s="75">
        <f t="shared" ca="1" si="22"/>
        <v>0.29699999999999999</v>
      </c>
      <c r="M48" s="75">
        <f t="shared" ca="1" si="22"/>
        <v>0.28749999999999998</v>
      </c>
      <c r="N48" s="72"/>
      <c r="O48" s="72"/>
    </row>
    <row r="49" spans="3:20">
      <c r="C49" t="s">
        <v>117</v>
      </c>
      <c r="D49" s="30"/>
      <c r="E49" s="30"/>
      <c r="F49" s="30"/>
      <c r="G49" s="30"/>
      <c r="H49" s="20">
        <v>-1132</v>
      </c>
      <c r="I49" s="20">
        <v>-1688</v>
      </c>
      <c r="J49" s="20">
        <v>-1863</v>
      </c>
      <c r="K49" s="20">
        <f ca="1">-K$39*K50</f>
        <v>-1269.0409159999999</v>
      </c>
      <c r="L49" s="20">
        <f ca="1">-L$39*L50</f>
        <v>-1247.7256780800001</v>
      </c>
      <c r="M49" s="20">
        <f ca="1">-M$39*M50</f>
        <v>-1234.6137189936001</v>
      </c>
      <c r="N49" s="56">
        <f>(J49/H49)^(1/2)-1</f>
        <v>0.28287166829519128</v>
      </c>
      <c r="O49" s="56">
        <f ca="1">(M49/J49)^(1/3)-1</f>
        <v>-0.12815473237492758</v>
      </c>
      <c r="R49" s="32"/>
      <c r="S49" s="32"/>
      <c r="T49" s="32"/>
    </row>
    <row r="50" spans="3:20">
      <c r="C50" s="41" t="s">
        <v>118</v>
      </c>
      <c r="D50" s="6"/>
      <c r="E50" s="6"/>
      <c r="F50" s="6"/>
      <c r="G50" s="29"/>
      <c r="H50" s="42">
        <f>-H49/H39</f>
        <v>5.2245350071537362E-2</v>
      </c>
      <c r="I50" s="42">
        <f>-I49/I39</f>
        <v>7.7580659987131165E-2</v>
      </c>
      <c r="J50" s="42">
        <f>-J49/J39</f>
        <v>8.3516384991258352E-2</v>
      </c>
      <c r="K50" s="42">
        <f ca="1">K115</f>
        <v>5.7200000000000001E-2</v>
      </c>
      <c r="L50" s="42">
        <f ca="1">L115</f>
        <v>5.6000000000000001E-2</v>
      </c>
      <c r="M50" s="42">
        <f ca="1">M115</f>
        <v>5.5E-2</v>
      </c>
      <c r="N50" s="57"/>
      <c r="O50" s="57"/>
      <c r="R50" s="32"/>
      <c r="S50" s="32"/>
      <c r="T50" s="32"/>
    </row>
    <row r="51" spans="3:20">
      <c r="C51" s="6" t="s">
        <v>102</v>
      </c>
      <c r="D51" s="71"/>
      <c r="E51" s="71"/>
      <c r="F51" s="71"/>
      <c r="G51" s="71"/>
      <c r="H51" s="76">
        <f>H47+H49</f>
        <v>4258</v>
      </c>
      <c r="I51" s="76">
        <f t="shared" ref="I51:M51" si="23">I47+I49</f>
        <v>3762</v>
      </c>
      <c r="J51" s="76">
        <f t="shared" si="23"/>
        <v>4092</v>
      </c>
      <c r="K51" s="76">
        <f t="shared" ca="1" si="23"/>
        <v>5497.6982339999995</v>
      </c>
      <c r="L51" s="76">
        <f t="shared" ca="1" si="23"/>
        <v>5369.6765788800003</v>
      </c>
      <c r="M51" s="76">
        <f t="shared" ca="1" si="23"/>
        <v>5219.0489030183999</v>
      </c>
      <c r="N51" s="72"/>
      <c r="O51" s="72"/>
    </row>
    <row r="52" spans="3:20">
      <c r="C52" s="41" t="s">
        <v>103</v>
      </c>
      <c r="D52" s="71"/>
      <c r="E52" s="71"/>
      <c r="F52" s="71"/>
      <c r="G52" s="71"/>
      <c r="H52" s="77">
        <f>H51/H39</f>
        <v>0.19652005353763788</v>
      </c>
      <c r="I52" s="77">
        <f t="shared" ref="I52:M52" si="24">I51/I39</f>
        <v>0.17290192113245703</v>
      </c>
      <c r="J52" s="77">
        <f t="shared" si="24"/>
        <v>0.18344017572959162</v>
      </c>
      <c r="K52" s="77">
        <f t="shared" ca="1" si="24"/>
        <v>0.24779999999999999</v>
      </c>
      <c r="L52" s="77">
        <f t="shared" ca="1" si="24"/>
        <v>0.24100000000000002</v>
      </c>
      <c r="M52" s="77">
        <f t="shared" ca="1" si="24"/>
        <v>0.23250000000000001</v>
      </c>
      <c r="N52" s="72"/>
      <c r="O52" s="72"/>
    </row>
    <row r="53" spans="3:20">
      <c r="C53" t="s">
        <v>46</v>
      </c>
      <c r="D53" s="45"/>
      <c r="E53" s="45"/>
      <c r="F53" s="45"/>
      <c r="G53" s="45"/>
      <c r="H53" s="20">
        <v>-240</v>
      </c>
      <c r="I53" s="20">
        <v>-222</v>
      </c>
      <c r="J53" s="20">
        <v>-228</v>
      </c>
      <c r="K53" s="20">
        <f ca="1">-K$39*K54</f>
        <v>-221.8603</v>
      </c>
      <c r="L53" s="20">
        <f t="shared" ref="L53:M53" ca="1" si="25">-L$39*L54</f>
        <v>-211.66774895999998</v>
      </c>
      <c r="M53" s="20">
        <f t="shared" ca="1" si="25"/>
        <v>-213.25146055343998</v>
      </c>
      <c r="N53" s="56">
        <f>(J53/H53)^(1/2)-1</f>
        <v>-2.5320565519103666E-2</v>
      </c>
      <c r="O53" s="56">
        <f ca="1">(M53/J53)^(1/3)-1</f>
        <v>-2.2044584942409462E-2</v>
      </c>
      <c r="R53" s="32"/>
      <c r="S53" s="32"/>
      <c r="T53" s="32"/>
    </row>
    <row r="54" spans="3:20">
      <c r="C54" s="41" t="s">
        <v>118</v>
      </c>
      <c r="H54" s="42">
        <f>-H53/H39</f>
        <v>1.1076752665343611E-2</v>
      </c>
      <c r="I54" s="42">
        <f>-I53/I39</f>
        <v>1.0203143671293317E-2</v>
      </c>
      <c r="J54" s="42">
        <f>-J53/J39</f>
        <v>1.0221006858833551E-2</v>
      </c>
      <c r="K54" s="42">
        <f ca="1">K127</f>
        <v>0.01</v>
      </c>
      <c r="L54" s="42">
        <f ca="1">L127</f>
        <v>9.4999999999999998E-3</v>
      </c>
      <c r="M54" s="42">
        <f t="shared" ref="M54" ca="1" si="26">M127</f>
        <v>9.4999999999999998E-3</v>
      </c>
      <c r="R54" s="32"/>
      <c r="S54" s="32"/>
      <c r="T54" s="32"/>
    </row>
    <row r="55" spans="3:20">
      <c r="C55" t="s">
        <v>48</v>
      </c>
      <c r="H55" s="20">
        <f>H56+H57</f>
        <v>586</v>
      </c>
      <c r="I55" s="20">
        <f t="shared" ref="I55:J55" si="27">I56+I57</f>
        <v>-1063</v>
      </c>
      <c r="J55" s="20">
        <f t="shared" si="27"/>
        <v>-1141</v>
      </c>
      <c r="K55" s="20">
        <f ca="1">-K39*K58</f>
        <v>-1220.2316499999999</v>
      </c>
      <c r="L55" s="20">
        <f ca="1">-L39*L58</f>
        <v>-1180.8832310400001</v>
      </c>
      <c r="M55" s="20">
        <f ca="1">-M39*M58</f>
        <v>-1212.16619683008</v>
      </c>
      <c r="R55" s="32"/>
      <c r="S55" s="32"/>
      <c r="T55" s="32"/>
    </row>
    <row r="56" spans="3:20">
      <c r="C56" s="41" t="s">
        <v>49</v>
      </c>
      <c r="G56" s="40"/>
      <c r="H56" s="20">
        <v>-631</v>
      </c>
      <c r="I56" s="20">
        <v>-1379</v>
      </c>
      <c r="J56" s="20">
        <v>-806</v>
      </c>
      <c r="K56" s="54"/>
      <c r="L56" s="54"/>
      <c r="M56" s="54"/>
      <c r="R56" s="32"/>
      <c r="S56" s="32"/>
      <c r="T56" s="32"/>
    </row>
    <row r="57" spans="3:20">
      <c r="C57" s="41" t="s">
        <v>50</v>
      </c>
      <c r="H57" s="20">
        <v>1217</v>
      </c>
      <c r="I57" s="20">
        <v>316</v>
      </c>
      <c r="J57" s="20">
        <v>-335</v>
      </c>
      <c r="K57" s="55"/>
      <c r="L57" s="55"/>
      <c r="M57" s="55"/>
      <c r="R57" s="32"/>
      <c r="S57" s="32"/>
      <c r="T57" s="32"/>
    </row>
    <row r="58" spans="3:20">
      <c r="C58" s="41" t="s">
        <v>118</v>
      </c>
      <c r="G58" s="29"/>
      <c r="H58" s="42">
        <f>H55/H39</f>
        <v>2.7045737757880647E-2</v>
      </c>
      <c r="I58" s="42">
        <f>-I55/I39</f>
        <v>4.8855593344976557E-2</v>
      </c>
      <c r="J58" s="42">
        <f>-J55/J39</f>
        <v>5.1149863271618773E-2</v>
      </c>
      <c r="K58" s="42">
        <f ca="1">K131</f>
        <v>5.5E-2</v>
      </c>
      <c r="L58" s="42">
        <f t="shared" ref="L58:M58" ca="1" si="28">L131</f>
        <v>5.2999999999999999E-2</v>
      </c>
      <c r="M58" s="42">
        <f t="shared" ca="1" si="28"/>
        <v>5.3999999999999999E-2</v>
      </c>
      <c r="R58" s="32"/>
      <c r="S58" s="32"/>
      <c r="T58" s="32"/>
    </row>
    <row r="59" spans="3:20">
      <c r="C59" s="8" t="s">
        <v>104</v>
      </c>
      <c r="D59" s="8"/>
      <c r="E59" s="8"/>
      <c r="F59" s="8"/>
      <c r="G59" s="17"/>
      <c r="H59" s="60">
        <f t="shared" ref="H59:M59" si="29">H39+H41+H49+H43+H45+H53+H55</f>
        <v>4604</v>
      </c>
      <c r="I59" s="60">
        <f t="shared" si="29"/>
        <v>2477</v>
      </c>
      <c r="J59" s="60">
        <f t="shared" si="29"/>
        <v>2723</v>
      </c>
      <c r="K59" s="60">
        <f t="shared" ca="1" si="29"/>
        <v>4055.6062839999995</v>
      </c>
      <c r="L59" s="60">
        <f t="shared" ca="1" si="29"/>
        <v>3977.1255988800003</v>
      </c>
      <c r="M59" s="60">
        <f t="shared" ca="1" si="29"/>
        <v>3793.6312456348801</v>
      </c>
      <c r="R59" s="32"/>
      <c r="S59" s="32"/>
      <c r="T59" s="32"/>
    </row>
    <row r="60" spans="3:20">
      <c r="R60" s="32"/>
      <c r="S60" s="32"/>
      <c r="T60" s="32"/>
    </row>
    <row r="61" spans="3:20">
      <c r="C61" s="30"/>
      <c r="D61" s="30"/>
      <c r="E61" s="30"/>
      <c r="F61" s="30"/>
      <c r="G61" s="30"/>
      <c r="H61" s="42"/>
      <c r="I61" s="42"/>
      <c r="J61" s="42"/>
      <c r="K61" s="46"/>
      <c r="L61" s="46"/>
      <c r="M61" s="46"/>
      <c r="R61" s="32"/>
      <c r="S61" s="32"/>
      <c r="T61" s="32"/>
    </row>
    <row r="62" spans="3:20">
      <c r="C62" s="52" t="s">
        <v>105</v>
      </c>
      <c r="O62" s="74"/>
      <c r="R62" s="32"/>
      <c r="S62" s="32"/>
      <c r="T62" s="32"/>
    </row>
    <row r="63" spans="3:20">
      <c r="C63" s="6" t="s">
        <v>106</v>
      </c>
      <c r="D63" s="6"/>
      <c r="E63" s="6"/>
      <c r="F63" s="6"/>
      <c r="G63" s="6"/>
      <c r="H63" s="73">
        <f>H47</f>
        <v>5390</v>
      </c>
      <c r="I63" s="73">
        <f t="shared" ref="I63:M63" si="30">I47</f>
        <v>5450</v>
      </c>
      <c r="J63" s="73">
        <f t="shared" si="30"/>
        <v>5955</v>
      </c>
      <c r="K63" s="73">
        <f t="shared" ca="1" si="30"/>
        <v>6766.7391499999994</v>
      </c>
      <c r="L63" s="73">
        <f t="shared" ca="1" si="30"/>
        <v>6617.4022569600002</v>
      </c>
      <c r="M63" s="73">
        <f t="shared" ca="1" si="30"/>
        <v>6453.6626220119997</v>
      </c>
      <c r="N63" s="73"/>
      <c r="O63" s="73"/>
      <c r="R63" s="32"/>
      <c r="S63" s="32"/>
      <c r="T63" s="32"/>
    </row>
    <row r="64" spans="3:20">
      <c r="C64" t="s">
        <v>107</v>
      </c>
      <c r="H64" s="78">
        <v>524</v>
      </c>
      <c r="I64" s="78">
        <f>Schedules!H53</f>
        <v>579</v>
      </c>
      <c r="J64" s="78">
        <f>Schedules!I53</f>
        <v>624</v>
      </c>
      <c r="K64" s="78">
        <f ca="1">Schedules!J53</f>
        <v>653.25188504999994</v>
      </c>
      <c r="L64" s="78">
        <f ca="1">Schedules!K53</f>
        <v>738.88157103840035</v>
      </c>
      <c r="M64" s="78">
        <f ca="1">Schedules!L53</f>
        <v>770.9299651674296</v>
      </c>
      <c r="R64" s="32"/>
      <c r="S64" s="32"/>
      <c r="T64" s="32"/>
    </row>
    <row r="65" spans="3:20">
      <c r="C65" s="8" t="s">
        <v>108</v>
      </c>
      <c r="D65" s="8"/>
      <c r="E65" s="8"/>
      <c r="F65" s="8"/>
      <c r="G65" s="8"/>
      <c r="H65" s="63">
        <f>H63+H64</f>
        <v>5914</v>
      </c>
      <c r="I65" s="63">
        <f t="shared" ref="I65:M65" si="31">I63+I64</f>
        <v>6029</v>
      </c>
      <c r="J65" s="63">
        <f t="shared" si="31"/>
        <v>6579</v>
      </c>
      <c r="K65" s="63">
        <f t="shared" ca="1" si="31"/>
        <v>7419.9910350499995</v>
      </c>
      <c r="L65" s="63">
        <f t="shared" ca="1" si="31"/>
        <v>7356.2838279984007</v>
      </c>
      <c r="M65" s="63">
        <f t="shared" ca="1" si="31"/>
        <v>7224.5925871794298</v>
      </c>
      <c r="R65" s="32"/>
      <c r="S65" s="32"/>
      <c r="T65" s="32"/>
    </row>
    <row r="66" spans="3:20">
      <c r="C66" s="41" t="s">
        <v>109</v>
      </c>
      <c r="H66" s="79">
        <f>H65/H39</f>
        <v>0.27294964692850882</v>
      </c>
      <c r="I66" s="79">
        <f t="shared" ref="I66:M66" si="32">I65/I39</f>
        <v>0.27709348285688024</v>
      </c>
      <c r="J66" s="79">
        <f t="shared" si="32"/>
        <v>0.29492984265028915</v>
      </c>
      <c r="K66" s="79">
        <f t="shared" ca="1" si="32"/>
        <v>0.33444428926896791</v>
      </c>
      <c r="L66" s="79">
        <f t="shared" ca="1" si="32"/>
        <v>0.33016223165481529</v>
      </c>
      <c r="M66" s="79">
        <f t="shared" ca="1" si="32"/>
        <v>0.32184365537325482</v>
      </c>
      <c r="R66" s="32"/>
      <c r="S66" s="32"/>
      <c r="T66" s="32"/>
    </row>
    <row r="67" spans="3:20">
      <c r="C67" s="41" t="s">
        <v>3</v>
      </c>
      <c r="H67" s="66"/>
      <c r="I67" s="79">
        <f>I66/H66-1</f>
        <v>1.5181686347653711E-2</v>
      </c>
      <c r="J67" s="79">
        <f t="shared" ref="J67:M67" si="33">J66/I66-1</f>
        <v>6.4369466973791978E-2</v>
      </c>
      <c r="K67" s="79">
        <f t="shared" ca="1" si="33"/>
        <v>0.13397913979675735</v>
      </c>
      <c r="L67" s="79">
        <f t="shared" ca="1" si="33"/>
        <v>-1.280350046793266E-2</v>
      </c>
      <c r="M67" s="79">
        <f t="shared" ca="1" si="33"/>
        <v>-2.5195420566025084E-2</v>
      </c>
      <c r="R67" s="32"/>
      <c r="S67" s="32"/>
      <c r="T67" s="32"/>
    </row>
    <row r="68" spans="3:20">
      <c r="C68" s="52"/>
      <c r="R68" s="32"/>
      <c r="S68" s="32"/>
      <c r="T68" s="32"/>
    </row>
    <row r="69" spans="3:20">
      <c r="C69" s="6" t="s">
        <v>110</v>
      </c>
      <c r="D69" s="6"/>
      <c r="E69" s="6"/>
      <c r="F69" s="6"/>
      <c r="G69" s="6"/>
      <c r="H69" s="73">
        <f>H59</f>
        <v>4604</v>
      </c>
      <c r="I69" s="73">
        <f t="shared" ref="I69:M69" si="34">I59</f>
        <v>2477</v>
      </c>
      <c r="J69" s="73">
        <f t="shared" si="34"/>
        <v>2723</v>
      </c>
      <c r="K69" s="73">
        <f t="shared" ca="1" si="34"/>
        <v>4055.6062839999995</v>
      </c>
      <c r="L69" s="73">
        <f t="shared" ca="1" si="34"/>
        <v>3977.1255988800003</v>
      </c>
      <c r="M69" s="73">
        <f t="shared" ca="1" si="34"/>
        <v>3793.6312456348801</v>
      </c>
      <c r="R69" s="32"/>
      <c r="S69" s="32"/>
      <c r="T69" s="32"/>
    </row>
    <row r="70" spans="3:20">
      <c r="C70" t="s">
        <v>111</v>
      </c>
      <c r="D70" s="6"/>
      <c r="E70" s="6"/>
      <c r="F70" s="6"/>
      <c r="G70" s="6"/>
      <c r="H70" s="80">
        <v>51</v>
      </c>
      <c r="I70" s="80">
        <v>54</v>
      </c>
      <c r="J70" s="80">
        <v>54</v>
      </c>
      <c r="K70" s="80">
        <v>53</v>
      </c>
      <c r="L70" s="80">
        <v>53</v>
      </c>
      <c r="M70" s="80">
        <v>54</v>
      </c>
      <c r="R70" s="32"/>
      <c r="S70" s="32"/>
      <c r="T70" s="32"/>
    </row>
    <row r="71" spans="3:20">
      <c r="C71" t="s">
        <v>112</v>
      </c>
      <c r="H71" s="15">
        <v>-137</v>
      </c>
      <c r="I71" s="15">
        <f>Schedules!H45</f>
        <v>-159</v>
      </c>
      <c r="J71" s="15">
        <f>Schedules!I45</f>
        <v>-137</v>
      </c>
      <c r="K71" s="15">
        <f ca="1">Schedules!J45</f>
        <v>-136.77687495000001</v>
      </c>
      <c r="L71" s="15">
        <f ca="1">Schedules!K45</f>
        <v>-136.35859196160001</v>
      </c>
      <c r="M71" s="15">
        <f ca="1">Schedules!L45</f>
        <v>-136.8737663920632</v>
      </c>
      <c r="R71" s="32"/>
      <c r="S71" s="32"/>
      <c r="T71" s="32"/>
    </row>
    <row r="72" spans="3:20">
      <c r="C72" t="s">
        <v>113</v>
      </c>
      <c r="H72" s="15">
        <v>266</v>
      </c>
      <c r="I72" s="15">
        <f>Schedules!H54</f>
        <v>307</v>
      </c>
      <c r="J72" s="15">
        <f>Schedules!I54</f>
        <v>-6</v>
      </c>
      <c r="K72" s="15">
        <f ca="1">Schedules!J54</f>
        <v>-10</v>
      </c>
      <c r="L72" s="15">
        <f ca="1">Schedules!K54</f>
        <v>11.679639610000017</v>
      </c>
      <c r="M72" s="15">
        <f ca="1">Schedules!L54</f>
        <v>46.730896108690082</v>
      </c>
      <c r="R72" s="32"/>
      <c r="S72" s="32"/>
      <c r="T72" s="32"/>
    </row>
    <row r="73" spans="3:20">
      <c r="C73" s="8" t="s">
        <v>114</v>
      </c>
      <c r="D73" s="8"/>
      <c r="E73" s="8"/>
      <c r="F73" s="8"/>
      <c r="G73" s="8"/>
      <c r="H73" s="63">
        <f>H69+H70+H71+H72</f>
        <v>4784</v>
      </c>
      <c r="I73" s="63">
        <f t="shared" ref="I73:M73" si="35">I69+I70+I71+I72</f>
        <v>2679</v>
      </c>
      <c r="J73" s="63">
        <f t="shared" si="35"/>
        <v>2634</v>
      </c>
      <c r="K73" s="63">
        <f t="shared" ca="1" si="35"/>
        <v>3961.8294090499994</v>
      </c>
      <c r="L73" s="63">
        <f t="shared" ca="1" si="35"/>
        <v>3905.4466465284004</v>
      </c>
      <c r="M73" s="63">
        <f t="shared" ca="1" si="35"/>
        <v>3757.4883753515069</v>
      </c>
      <c r="R73" s="32"/>
      <c r="S73" s="32"/>
      <c r="T73" s="32"/>
    </row>
    <row r="74" spans="3:20">
      <c r="C74" s="41" t="s">
        <v>3</v>
      </c>
      <c r="I74" s="79">
        <f>I73/H73-1</f>
        <v>-0.44000836120401343</v>
      </c>
      <c r="J74" s="79">
        <f>J73/I73-1</f>
        <v>-1.6797312430011146E-2</v>
      </c>
      <c r="K74" s="79">
        <f t="shared" ref="K74:M74" ca="1" si="36">K73/J73-1</f>
        <v>0.50411139295747898</v>
      </c>
      <c r="L74" s="79">
        <f t="shared" ca="1" si="36"/>
        <v>-1.4231496791054177E-2</v>
      </c>
      <c r="M74" s="79">
        <f t="shared" ca="1" si="36"/>
        <v>-3.7885108815509105E-2</v>
      </c>
      <c r="R74" s="32"/>
      <c r="S74" s="32"/>
      <c r="T74" s="32"/>
    </row>
    <row r="75" spans="3:20">
      <c r="C75" t="s">
        <v>115</v>
      </c>
      <c r="H75" s="68">
        <v>4770.659416887248</v>
      </c>
      <c r="I75" s="68">
        <v>2644.1431686893247</v>
      </c>
      <c r="J75" s="68">
        <v>2596.5310293417074</v>
      </c>
      <c r="K75" s="68">
        <v>3929.230006582176</v>
      </c>
      <c r="L75" s="68">
        <v>3868.977668174095</v>
      </c>
      <c r="M75" s="68">
        <v>3716.6621736074153</v>
      </c>
      <c r="R75" s="32"/>
      <c r="S75" s="32"/>
      <c r="T75" s="32"/>
    </row>
    <row r="76" spans="3:20">
      <c r="C76" s="8" t="s">
        <v>116</v>
      </c>
      <c r="D76" s="8"/>
      <c r="E76" s="8"/>
      <c r="F76" s="8"/>
      <c r="G76" s="8"/>
      <c r="H76" s="81">
        <f>H73/H75</f>
        <v>1.0027963813693195</v>
      </c>
      <c r="I76" s="81">
        <f>I73/I75</f>
        <v>1.0131826565684616</v>
      </c>
      <c r="J76" s="81">
        <f>J73/J75</f>
        <v>1.0144303958762211</v>
      </c>
      <c r="K76" s="81">
        <f ca="1">K73/K75</f>
        <v>1.0082966388868082</v>
      </c>
      <c r="L76" s="81">
        <f t="shared" ref="L76:M76" ca="1" si="37">L73/L75</f>
        <v>1.0094259986699579</v>
      </c>
      <c r="M76" s="81">
        <f t="shared" ca="1" si="37"/>
        <v>1.0109846415512296</v>
      </c>
      <c r="R76" s="32"/>
      <c r="S76" s="32"/>
      <c r="T76" s="32"/>
    </row>
    <row r="77" spans="3:20">
      <c r="C77" s="41" t="s">
        <v>3</v>
      </c>
      <c r="I77" s="79">
        <f>I76/H76-1</f>
        <v>1.0357312204257951E-2</v>
      </c>
      <c r="J77" s="79">
        <f t="shared" ref="J77:M77" si="38">J76/I76-1</f>
        <v>1.2315048028805897E-3</v>
      </c>
      <c r="K77" s="79">
        <f t="shared" ca="1" si="38"/>
        <v>-6.0465035495261832E-3</v>
      </c>
      <c r="L77" s="79">
        <f t="shared" ca="1" si="38"/>
        <v>1.1200669917896811E-3</v>
      </c>
      <c r="M77" s="79">
        <f t="shared" ca="1" si="38"/>
        <v>1.5440883069441913E-3</v>
      </c>
      <c r="N77" s="66"/>
      <c r="O77" s="66"/>
      <c r="R77" s="32"/>
      <c r="S77" s="32"/>
      <c r="T77" s="32"/>
    </row>
    <row r="78" spans="3:20">
      <c r="R78" s="32"/>
      <c r="S78" s="32"/>
      <c r="T78" s="32"/>
    </row>
    <row r="79" spans="3:20">
      <c r="R79" s="32"/>
      <c r="S79" s="32"/>
      <c r="T79" s="32"/>
    </row>
    <row r="80" spans="3:20">
      <c r="C80" s="3" t="s">
        <v>4</v>
      </c>
      <c r="D80" s="4"/>
      <c r="E80" s="4"/>
      <c r="F80" s="4"/>
      <c r="G80" s="4"/>
      <c r="H80" s="4"/>
      <c r="I80" s="4"/>
      <c r="J80" s="4"/>
      <c r="K80" s="4"/>
      <c r="L80" s="4"/>
      <c r="M80" s="4"/>
      <c r="R80" s="32"/>
      <c r="S80" s="32"/>
      <c r="T80" s="32"/>
    </row>
    <row r="81" spans="3:21" ht="5.25" customHeight="1">
      <c r="R81" s="32"/>
      <c r="S81" s="32"/>
      <c r="T81" s="32"/>
    </row>
    <row r="82" spans="3:21" ht="17">
      <c r="H82" s="9" t="s">
        <v>2</v>
      </c>
      <c r="I82" s="10"/>
      <c r="J82" s="10"/>
      <c r="K82" s="9" t="s">
        <v>9</v>
      </c>
      <c r="L82" s="10"/>
      <c r="M82" s="10"/>
      <c r="R82" s="32"/>
      <c r="S82" s="32"/>
      <c r="T82" s="32"/>
    </row>
    <row r="83" spans="3:21" ht="15" thickBot="1">
      <c r="C83" s="11" t="s">
        <v>15</v>
      </c>
      <c r="D83" s="12"/>
      <c r="E83" s="12"/>
      <c r="F83" s="12"/>
      <c r="G83" s="12"/>
      <c r="H83" s="13">
        <v>2017</v>
      </c>
      <c r="I83" s="13">
        <f>+H83+1</f>
        <v>2018</v>
      </c>
      <c r="J83" s="13">
        <f>+I83+1</f>
        <v>2019</v>
      </c>
      <c r="K83" s="18">
        <f>+J83+1</f>
        <v>2020</v>
      </c>
      <c r="L83" s="18">
        <f>+K83+1</f>
        <v>2021</v>
      </c>
      <c r="M83" s="18">
        <f>+L83+1</f>
        <v>2022</v>
      </c>
    </row>
    <row r="84" spans="3:21">
      <c r="C84" s="5"/>
      <c r="D84" s="5"/>
      <c r="E84" s="5"/>
      <c r="F84" s="5"/>
      <c r="G84" s="5"/>
      <c r="H84" s="5"/>
      <c r="I84" s="5"/>
      <c r="J84" s="5"/>
      <c r="K84" s="5"/>
      <c r="L84" s="5"/>
      <c r="M84" s="5"/>
    </row>
    <row r="85" spans="3:21">
      <c r="C85" s="14" t="s">
        <v>1</v>
      </c>
      <c r="D85" s="5"/>
      <c r="E85" s="5"/>
      <c r="F85" s="5"/>
      <c r="G85" s="5"/>
      <c r="H85" s="5"/>
      <c r="I85" s="5"/>
      <c r="J85" s="5"/>
      <c r="K85" s="5"/>
      <c r="L85" s="5"/>
      <c r="M85" s="5"/>
      <c r="R85" s="32"/>
      <c r="S85" s="32"/>
      <c r="T85" s="32"/>
      <c r="U85" s="32"/>
    </row>
    <row r="86" spans="3:21">
      <c r="C86" s="21" t="s">
        <v>28</v>
      </c>
      <c r="D86" s="22"/>
      <c r="E86" s="22"/>
      <c r="F86" s="22"/>
      <c r="G86" s="22"/>
      <c r="H86" s="25">
        <f>+H14</f>
        <v>-3.6098829648894659E-2</v>
      </c>
      <c r="I86" s="25">
        <f>+I14</f>
        <v>7.8786897630995778E-3</v>
      </c>
      <c r="J86" s="25">
        <f>+J14</f>
        <v>5.5148043047599238E-3</v>
      </c>
      <c r="K86" s="25">
        <f ca="1">OFFSET(K86,$D$6,0)</f>
        <v>-2E-3</v>
      </c>
      <c r="L86" s="25">
        <f ca="1">OFFSET(L86,$D$6,0)</f>
        <v>2E-3</v>
      </c>
      <c r="M86" s="25">
        <f ca="1">OFFSET(M86,$D$6,0)</f>
        <v>4.0000000000000001E-3</v>
      </c>
      <c r="O86" s="32" t="s">
        <v>34</v>
      </c>
      <c r="P86" s="32"/>
      <c r="Q86" s="32"/>
      <c r="R86" s="32"/>
      <c r="S86" s="32"/>
      <c r="T86" s="32"/>
      <c r="U86" s="32"/>
    </row>
    <row r="87" spans="3:21">
      <c r="C87" s="5" t="s">
        <v>5</v>
      </c>
      <c r="D87" s="5"/>
      <c r="E87" s="5"/>
      <c r="F87" s="5"/>
      <c r="G87" s="5"/>
      <c r="H87" s="5"/>
      <c r="I87" s="5"/>
      <c r="J87" s="5"/>
      <c r="K87" s="50">
        <v>-2E-3</v>
      </c>
      <c r="L87" s="50">
        <v>2E-3</v>
      </c>
      <c r="M87" s="50">
        <v>4.0000000000000001E-3</v>
      </c>
      <c r="P87" s="32"/>
      <c r="Q87" s="32"/>
      <c r="R87" s="32"/>
      <c r="S87" s="32"/>
      <c r="T87" s="32"/>
      <c r="U87" s="32"/>
    </row>
    <row r="88" spans="3:21">
      <c r="C88" s="7" t="s">
        <v>6</v>
      </c>
      <c r="K88" s="50">
        <v>6.0000000000000001E-3</v>
      </c>
      <c r="L88" s="50">
        <v>6.0000000000000001E-3</v>
      </c>
      <c r="M88" s="50">
        <v>8.0000000000000002E-3</v>
      </c>
      <c r="O88" s="32"/>
      <c r="P88" s="32"/>
      <c r="Q88" s="32"/>
      <c r="R88" s="32"/>
      <c r="S88" s="32"/>
      <c r="T88" s="32"/>
      <c r="U88" s="32"/>
    </row>
    <row r="89" spans="3:21">
      <c r="O89" s="32"/>
      <c r="P89" s="32"/>
      <c r="Q89" s="32"/>
      <c r="R89" s="32"/>
      <c r="S89" s="32"/>
      <c r="T89" s="32"/>
      <c r="U89" s="32"/>
    </row>
    <row r="90" spans="3:21">
      <c r="C90" s="21" t="s">
        <v>24</v>
      </c>
      <c r="D90" s="22"/>
      <c r="E90" s="22"/>
      <c r="F90" s="22"/>
      <c r="G90" s="22"/>
      <c r="H90" s="25">
        <f>+H16</f>
        <v>-1.7693715680292876E-2</v>
      </c>
      <c r="I90" s="25">
        <f>+I16</f>
        <v>6.8944099378881907E-2</v>
      </c>
      <c r="J90" s="25">
        <f>+J16</f>
        <v>3.9511911679256162E-2</v>
      </c>
      <c r="K90" s="25">
        <f ca="1">OFFSET(K90,$D$6,0)</f>
        <v>-0.02</v>
      </c>
      <c r="L90" s="25">
        <f ca="1">OFFSET(L90,$D$6,0)</f>
        <v>0.02</v>
      </c>
      <c r="M90" s="25">
        <f ca="1">OFFSET(M90,$D$6,0)</f>
        <v>0.03</v>
      </c>
      <c r="O90" s="32" t="s">
        <v>36</v>
      </c>
      <c r="P90" s="32"/>
      <c r="Q90" s="32"/>
      <c r="R90" s="32"/>
      <c r="S90" s="32"/>
      <c r="T90" s="32"/>
      <c r="U90" s="32"/>
    </row>
    <row r="91" spans="3:21">
      <c r="C91" s="5" t="s">
        <v>5</v>
      </c>
      <c r="D91" s="5"/>
      <c r="E91" s="5"/>
      <c r="F91" s="5"/>
      <c r="G91" s="5"/>
      <c r="H91" s="5"/>
      <c r="I91" s="5"/>
      <c r="J91" s="5"/>
      <c r="K91" s="50">
        <v>-0.02</v>
      </c>
      <c r="L91" s="50">
        <v>0.02</v>
      </c>
      <c r="M91" s="50">
        <v>0.03</v>
      </c>
      <c r="P91" s="32"/>
      <c r="Q91" s="32"/>
      <c r="R91" s="32"/>
      <c r="S91" s="32"/>
      <c r="T91" s="32"/>
      <c r="U91" s="32"/>
    </row>
    <row r="92" spans="3:21">
      <c r="C92" s="7" t="s">
        <v>6</v>
      </c>
      <c r="K92" s="50">
        <v>0.04</v>
      </c>
      <c r="L92" s="50">
        <v>0.05</v>
      </c>
      <c r="M92" s="50">
        <v>0.06</v>
      </c>
      <c r="O92" s="32"/>
      <c r="P92" s="32"/>
      <c r="Q92" s="32"/>
      <c r="R92" s="32"/>
      <c r="S92" s="32"/>
      <c r="T92" s="32"/>
      <c r="U92" s="32"/>
    </row>
    <row r="93" spans="3:21">
      <c r="O93" s="32"/>
      <c r="P93" s="32"/>
      <c r="Q93" s="32"/>
      <c r="R93" s="32"/>
      <c r="S93" s="32"/>
      <c r="T93" s="32"/>
      <c r="U93" s="32"/>
    </row>
    <row r="94" spans="3:21">
      <c r="C94" s="21" t="s">
        <v>25</v>
      </c>
      <c r="D94" s="22"/>
      <c r="E94" s="22"/>
      <c r="F94" s="22"/>
      <c r="G94" s="22"/>
      <c r="H94" s="25">
        <f>+H20</f>
        <v>-4.2857142857142816E-2</v>
      </c>
      <c r="I94" s="25">
        <f>+I20</f>
        <v>2.9850746268656803E-2</v>
      </c>
      <c r="J94" s="25">
        <f>+J20</f>
        <v>0.21739130434782616</v>
      </c>
      <c r="K94" s="25">
        <f ca="1">OFFSET(K94,$D$6,0)</f>
        <v>0.15</v>
      </c>
      <c r="L94" s="25">
        <f ca="1">OFFSET(L94,$D$6,0)</f>
        <v>0.16</v>
      </c>
      <c r="M94" s="25">
        <f ca="1">OFFSET(M94,$D$6,0)</f>
        <v>0.18</v>
      </c>
      <c r="O94" s="32" t="s">
        <v>35</v>
      </c>
      <c r="P94" s="32"/>
      <c r="Q94" s="32"/>
      <c r="R94" s="32"/>
      <c r="S94" s="32"/>
      <c r="T94" s="32"/>
      <c r="U94" s="32"/>
    </row>
    <row r="95" spans="3:21">
      <c r="C95" s="5" t="s">
        <v>5</v>
      </c>
      <c r="D95" s="5"/>
      <c r="E95" s="5"/>
      <c r="F95" s="5"/>
      <c r="G95" s="5"/>
      <c r="H95" s="5"/>
      <c r="I95" s="5"/>
      <c r="J95" s="5"/>
      <c r="K95" s="50">
        <v>0.15</v>
      </c>
      <c r="L95" s="50">
        <v>0.16</v>
      </c>
      <c r="M95" s="50">
        <v>0.18</v>
      </c>
      <c r="O95" s="32"/>
      <c r="P95" s="32"/>
      <c r="Q95" s="32"/>
      <c r="R95" s="32"/>
      <c r="S95" s="32"/>
      <c r="T95" s="32"/>
      <c r="U95" s="32"/>
    </row>
    <row r="96" spans="3:21">
      <c r="C96" s="7" t="s">
        <v>6</v>
      </c>
      <c r="K96" s="50">
        <v>0.23</v>
      </c>
      <c r="L96" s="50">
        <v>0.24</v>
      </c>
      <c r="M96" s="50">
        <v>0.25</v>
      </c>
      <c r="O96" s="32"/>
      <c r="P96" s="32"/>
      <c r="Q96" s="32"/>
      <c r="R96" s="32"/>
      <c r="S96" s="32"/>
      <c r="T96" s="32"/>
      <c r="U96" s="32"/>
    </row>
    <row r="97" spans="3:21">
      <c r="I97" s="24"/>
      <c r="J97" s="24"/>
      <c r="O97" s="32"/>
      <c r="P97" s="32"/>
      <c r="Q97" s="32"/>
      <c r="R97" s="32"/>
      <c r="S97" s="32"/>
      <c r="T97" s="32"/>
      <c r="U97" s="32"/>
    </row>
    <row r="98" spans="3:21">
      <c r="C98" s="21" t="s">
        <v>29</v>
      </c>
      <c r="D98" s="22"/>
      <c r="E98" s="22"/>
      <c r="F98" s="22"/>
      <c r="G98" s="22"/>
      <c r="H98" s="25">
        <f>H20</f>
        <v>-4.2857142857142816E-2</v>
      </c>
      <c r="I98" s="25">
        <f>I20</f>
        <v>2.9850746268656803E-2</v>
      </c>
      <c r="J98" s="25">
        <f>J20</f>
        <v>0.21739130434782616</v>
      </c>
      <c r="K98" s="25">
        <f ca="1">OFFSET(K98,$D$6,0)</f>
        <v>0.1</v>
      </c>
      <c r="L98" s="25">
        <f ca="1">OFFSET(L98,$D$6,0)</f>
        <v>0.13</v>
      </c>
      <c r="M98" s="25">
        <f ca="1">OFFSET(M98,$D$6,0)</f>
        <v>0.16</v>
      </c>
      <c r="O98" s="32" t="s">
        <v>37</v>
      </c>
      <c r="P98" s="32"/>
      <c r="Q98" s="32"/>
      <c r="R98" s="32"/>
      <c r="S98" s="32"/>
      <c r="T98" s="32"/>
      <c r="U98" s="32"/>
    </row>
    <row r="99" spans="3:21">
      <c r="C99" s="5" t="s">
        <v>5</v>
      </c>
      <c r="D99" s="5"/>
      <c r="E99" s="5"/>
      <c r="F99" s="5"/>
      <c r="G99" s="5"/>
      <c r="H99" s="5"/>
      <c r="I99" s="5"/>
      <c r="J99" s="5"/>
      <c r="K99" s="51">
        <v>0.1</v>
      </c>
      <c r="L99" s="51">
        <v>0.13</v>
      </c>
      <c r="M99" s="51">
        <v>0.16</v>
      </c>
      <c r="O99" s="32"/>
      <c r="P99" s="32"/>
      <c r="Q99" s="32"/>
      <c r="R99" s="32"/>
      <c r="S99" s="32"/>
      <c r="T99" s="32"/>
      <c r="U99" s="32"/>
    </row>
    <row r="100" spans="3:21">
      <c r="C100" s="7" t="s">
        <v>6</v>
      </c>
      <c r="K100" s="51">
        <v>0.22</v>
      </c>
      <c r="L100" s="51">
        <v>0.23</v>
      </c>
      <c r="M100" s="51">
        <v>0.24</v>
      </c>
      <c r="O100" s="32"/>
      <c r="P100" s="32"/>
      <c r="Q100" s="32"/>
      <c r="R100" s="32"/>
      <c r="S100" s="32"/>
      <c r="T100" s="32"/>
      <c r="U100" s="32"/>
    </row>
    <row r="101" spans="3:21">
      <c r="O101" s="32"/>
      <c r="P101" s="32"/>
      <c r="Q101" s="32"/>
      <c r="R101" s="32"/>
      <c r="S101" s="32"/>
      <c r="T101" s="32"/>
      <c r="U101" s="32"/>
    </row>
    <row r="102" spans="3:21">
      <c r="C102" s="21" t="s">
        <v>27</v>
      </c>
      <c r="D102" s="22"/>
      <c r="E102" s="22"/>
      <c r="F102" s="22"/>
      <c r="G102" s="25"/>
      <c r="H102" s="25">
        <f>H26</f>
        <v>-4.5587280986372436E-2</v>
      </c>
      <c r="I102" s="25">
        <f>I26</f>
        <v>7.1392146863844541E-3</v>
      </c>
      <c r="J102" s="25">
        <f>J26</f>
        <v>4.8945147679324563E-3</v>
      </c>
      <c r="K102" s="25">
        <f ca="1">OFFSET(K102,$D$6,0)</f>
        <v>3.0000000000000001E-3</v>
      </c>
      <c r="L102" s="25">
        <f ca="1">OFFSET(L102,$D$6,0)</f>
        <v>3.0000000000000001E-3</v>
      </c>
      <c r="M102" s="25">
        <f ca="1">OFFSET(M102,$D$6,0)</f>
        <v>3.0000000000000001E-3</v>
      </c>
      <c r="O102" s="32" t="s">
        <v>38</v>
      </c>
      <c r="P102" s="32"/>
      <c r="Q102" s="32"/>
      <c r="R102" s="32"/>
      <c r="S102" s="32"/>
      <c r="T102" s="32"/>
      <c r="U102" s="32"/>
    </row>
    <row r="103" spans="3:21">
      <c r="C103" s="5" t="s">
        <v>5</v>
      </c>
      <c r="D103" s="5"/>
      <c r="E103" s="5"/>
      <c r="F103" s="5"/>
      <c r="G103" s="5"/>
      <c r="H103" s="5"/>
      <c r="I103" s="5"/>
      <c r="J103" s="5"/>
      <c r="K103" s="51">
        <v>3.0000000000000001E-3</v>
      </c>
      <c r="L103" s="51">
        <v>3.0000000000000001E-3</v>
      </c>
      <c r="M103" s="51">
        <v>3.0000000000000001E-3</v>
      </c>
      <c r="O103" s="32"/>
      <c r="P103" s="32"/>
      <c r="Q103" s="32"/>
      <c r="R103" s="32"/>
      <c r="S103" s="32"/>
      <c r="T103" s="32"/>
      <c r="U103" s="32"/>
    </row>
    <row r="104" spans="3:21">
      <c r="C104" s="7" t="s">
        <v>6</v>
      </c>
      <c r="K104" s="51">
        <v>0.01</v>
      </c>
      <c r="L104" s="51">
        <v>0.02</v>
      </c>
      <c r="M104" s="51">
        <v>0.03</v>
      </c>
      <c r="O104" s="32"/>
      <c r="P104" s="32"/>
      <c r="Q104" s="32"/>
      <c r="R104" s="32"/>
      <c r="S104" s="32"/>
      <c r="T104" s="32"/>
      <c r="U104" s="32"/>
    </row>
    <row r="105" spans="3:21">
      <c r="O105" s="32"/>
      <c r="P105" s="32"/>
      <c r="Q105" s="32"/>
      <c r="R105" s="32"/>
      <c r="S105" s="32"/>
      <c r="T105" s="32"/>
      <c r="U105" s="32"/>
    </row>
    <row r="106" spans="3:21">
      <c r="C106" s="21" t="s">
        <v>30</v>
      </c>
      <c r="D106" s="22"/>
      <c r="E106" s="22"/>
      <c r="F106" s="22"/>
      <c r="G106" s="22"/>
      <c r="H106" s="25">
        <f>H30</f>
        <v>-1.4161931818181819</v>
      </c>
      <c r="I106" s="25">
        <f>I30</f>
        <v>-2.8139931740614337</v>
      </c>
      <c r="J106" s="25">
        <f>J30</f>
        <v>7.3377234242709255E-2</v>
      </c>
      <c r="K106" s="25">
        <f ca="1">OFFSET(K106,$D$6,0)</f>
        <v>-0.1</v>
      </c>
      <c r="L106" s="25">
        <f ca="1">OFFSET(L106,$D$6,0)</f>
        <v>-0.05</v>
      </c>
      <c r="M106" s="25">
        <f ca="1">OFFSET(M106,$D$6,0)</f>
        <v>0</v>
      </c>
      <c r="O106" s="32" t="s">
        <v>39</v>
      </c>
      <c r="P106" s="32"/>
      <c r="Q106" s="32"/>
      <c r="R106" s="32"/>
      <c r="S106" s="32"/>
      <c r="T106" s="32"/>
      <c r="U106" s="32"/>
    </row>
    <row r="107" spans="3:21">
      <c r="C107" s="5" t="s">
        <v>5</v>
      </c>
      <c r="D107" s="5"/>
      <c r="E107" s="5"/>
      <c r="F107" s="5"/>
      <c r="G107" s="5"/>
      <c r="H107" s="5"/>
      <c r="I107" s="5"/>
      <c r="J107" s="5"/>
      <c r="K107" s="51">
        <v>-0.1</v>
      </c>
      <c r="L107" s="51">
        <v>-0.05</v>
      </c>
      <c r="M107" s="51">
        <v>0</v>
      </c>
      <c r="O107" s="32"/>
      <c r="P107" s="32"/>
      <c r="Q107" s="32"/>
      <c r="R107" s="32"/>
      <c r="S107" s="32"/>
      <c r="T107" s="32"/>
      <c r="U107" s="32"/>
    </row>
    <row r="108" spans="3:21">
      <c r="C108" s="7" t="s">
        <v>6</v>
      </c>
      <c r="K108" s="51">
        <v>7.4999999999999997E-2</v>
      </c>
      <c r="L108" s="51">
        <v>7.6999999999999999E-2</v>
      </c>
      <c r="M108" s="51">
        <v>0.08</v>
      </c>
      <c r="O108" s="32"/>
      <c r="P108" s="32"/>
      <c r="Q108" s="32"/>
      <c r="R108" s="32"/>
      <c r="S108" s="32"/>
      <c r="T108" s="32"/>
      <c r="U108" s="32"/>
    </row>
    <row r="110" spans="3:21">
      <c r="C110" s="14" t="s">
        <v>41</v>
      </c>
      <c r="D110" s="5"/>
      <c r="E110" s="5"/>
      <c r="F110" s="5"/>
      <c r="G110" s="5"/>
      <c r="H110" s="5"/>
      <c r="I110" s="5"/>
      <c r="J110" s="5"/>
      <c r="K110" s="5"/>
      <c r="L110" s="5"/>
      <c r="M110" s="5"/>
    </row>
    <row r="111" spans="3:21">
      <c r="C111" s="21" t="s">
        <v>51</v>
      </c>
      <c r="D111" s="22"/>
      <c r="E111" s="22"/>
      <c r="F111" s="22"/>
      <c r="G111" s="22"/>
      <c r="H111" s="23">
        <f>H42</f>
        <v>0.56219135090229377</v>
      </c>
      <c r="I111" s="23">
        <f>I42</f>
        <v>0.55152127952936847</v>
      </c>
      <c r="J111" s="23">
        <f>J42</f>
        <v>0.53534764872013274</v>
      </c>
      <c r="K111" s="25">
        <f ca="1">OFFSET(K111,$D$6,0)</f>
        <v>0.5</v>
      </c>
      <c r="L111" s="25">
        <f ca="1">OFFSET(L111,$D$6,0)</f>
        <v>0.51</v>
      </c>
      <c r="M111" s="25">
        <f ca="1">OFFSET(M111,$D$6,0)</f>
        <v>0.52</v>
      </c>
      <c r="O111" s="32" t="s">
        <v>57</v>
      </c>
      <c r="P111" s="32"/>
      <c r="Q111" s="32"/>
    </row>
    <row r="112" spans="3:21">
      <c r="C112" s="5" t="s">
        <v>5</v>
      </c>
      <c r="D112" s="5"/>
      <c r="E112" s="5"/>
      <c r="F112" s="5"/>
      <c r="G112" s="5"/>
      <c r="H112" s="5"/>
      <c r="I112" s="5"/>
      <c r="J112" s="5"/>
      <c r="K112" s="50">
        <v>0.5</v>
      </c>
      <c r="L112" s="50">
        <v>0.51</v>
      </c>
      <c r="M112" s="50">
        <v>0.52</v>
      </c>
      <c r="O112" s="32"/>
      <c r="P112" s="32"/>
      <c r="Q112" s="32"/>
    </row>
    <row r="113" spans="3:17">
      <c r="C113" s="7" t="s">
        <v>6</v>
      </c>
      <c r="K113" s="50">
        <v>0.55000000000000004</v>
      </c>
      <c r="L113" s="50">
        <v>0.56999999999999995</v>
      </c>
      <c r="M113" s="50">
        <v>0.57999999999999996</v>
      </c>
      <c r="O113" s="32"/>
      <c r="P113" s="32"/>
      <c r="Q113" s="32"/>
    </row>
    <row r="114" spans="3:17">
      <c r="O114" s="32"/>
      <c r="P114" s="32"/>
      <c r="Q114" s="32"/>
    </row>
    <row r="115" spans="3:17">
      <c r="C115" s="21" t="s">
        <v>52</v>
      </c>
      <c r="D115" s="22"/>
      <c r="E115" s="22"/>
      <c r="F115" s="22"/>
      <c r="G115" s="22"/>
      <c r="H115" s="25">
        <f>H50</f>
        <v>5.2245350071537362E-2</v>
      </c>
      <c r="I115" s="25">
        <f>I50</f>
        <v>7.7580659987131165E-2</v>
      </c>
      <c r="J115" s="25">
        <f>J50</f>
        <v>8.3516384991258352E-2</v>
      </c>
      <c r="K115" s="25">
        <f ca="1">OFFSET(K115,$D$6,0)</f>
        <v>5.7200000000000001E-2</v>
      </c>
      <c r="L115" s="25">
        <f ca="1">OFFSET(L115,$D$6,0)</f>
        <v>5.6000000000000001E-2</v>
      </c>
      <c r="M115" s="25">
        <f ca="1">OFFSET(M115,$D$6,0)</f>
        <v>5.5E-2</v>
      </c>
      <c r="O115" s="32" t="s">
        <v>58</v>
      </c>
      <c r="P115" s="32"/>
      <c r="Q115" s="32"/>
    </row>
    <row r="116" spans="3:17">
      <c r="C116" s="5" t="s">
        <v>5</v>
      </c>
      <c r="D116" s="5"/>
      <c r="E116" s="5"/>
      <c r="F116" s="5"/>
      <c r="G116" s="5"/>
      <c r="H116" s="5"/>
      <c r="I116" s="5"/>
      <c r="J116" s="5"/>
      <c r="K116" s="50">
        <v>5.7200000000000001E-2</v>
      </c>
      <c r="L116" s="50">
        <v>5.6000000000000001E-2</v>
      </c>
      <c r="M116" s="50">
        <v>5.5E-2</v>
      </c>
      <c r="O116" s="32"/>
      <c r="P116" s="32"/>
      <c r="Q116" s="32"/>
    </row>
    <row r="117" spans="3:17">
      <c r="C117" s="7" t="s">
        <v>6</v>
      </c>
      <c r="K117" s="50">
        <v>5.8000000000000003E-2</v>
      </c>
      <c r="L117" s="50">
        <v>5.8999999999999997E-2</v>
      </c>
      <c r="M117" s="50">
        <v>0.06</v>
      </c>
      <c r="O117" s="32"/>
      <c r="P117" s="32"/>
      <c r="Q117" s="32"/>
    </row>
    <row r="118" spans="3:17">
      <c r="O118" s="32"/>
      <c r="P118" s="32"/>
      <c r="Q118" s="32"/>
    </row>
    <row r="119" spans="3:17">
      <c r="C119" s="21" t="s">
        <v>53</v>
      </c>
      <c r="D119" s="22"/>
      <c r="E119" s="22"/>
      <c r="F119" s="22"/>
      <c r="G119" s="22"/>
      <c r="H119" s="25">
        <f>H44</f>
        <v>6.0737527114967459E-2</v>
      </c>
      <c r="I119" s="25">
        <f>I44</f>
        <v>6.0667340748230533E-2</v>
      </c>
      <c r="J119" s="25">
        <f>J44</f>
        <v>5.9219079212803158E-2</v>
      </c>
      <c r="K119" s="25">
        <f ca="1">OFFSET(K119,$D$6,0)</f>
        <v>5.8000000000000003E-2</v>
      </c>
      <c r="L119" s="25">
        <f ca="1">OFFSET(L119,$D$6,0)</f>
        <v>5.7000000000000002E-2</v>
      </c>
      <c r="M119" s="25">
        <f ca="1">OFFSET(M119,$D$6,0)</f>
        <v>5.7000000000000002E-2</v>
      </c>
      <c r="O119" s="32" t="s">
        <v>59</v>
      </c>
      <c r="P119" s="32"/>
      <c r="Q119" s="32"/>
    </row>
    <row r="120" spans="3:17">
      <c r="C120" s="5" t="s">
        <v>5</v>
      </c>
      <c r="D120" s="5"/>
      <c r="E120" s="5"/>
      <c r="F120" s="5"/>
      <c r="G120" s="5"/>
      <c r="H120" s="5"/>
      <c r="I120" s="5"/>
      <c r="J120" s="5"/>
      <c r="K120" s="50">
        <v>5.8000000000000003E-2</v>
      </c>
      <c r="L120" s="50">
        <v>5.7000000000000002E-2</v>
      </c>
      <c r="M120" s="50">
        <v>5.7000000000000002E-2</v>
      </c>
      <c r="O120" s="32"/>
      <c r="P120" s="32"/>
      <c r="Q120" s="32"/>
    </row>
    <row r="121" spans="3:17">
      <c r="C121" s="7" t="s">
        <v>6</v>
      </c>
      <c r="K121" s="50">
        <v>6.2E-2</v>
      </c>
      <c r="L121" s="50">
        <v>6.2E-2</v>
      </c>
      <c r="M121" s="50">
        <v>6.1499999999999999E-2</v>
      </c>
      <c r="O121" s="32"/>
      <c r="P121" s="32"/>
      <c r="Q121" s="32"/>
    </row>
    <row r="122" spans="3:17">
      <c r="I122" s="24"/>
      <c r="J122" s="24"/>
      <c r="O122" s="32"/>
      <c r="P122" s="32"/>
      <c r="Q122" s="32"/>
    </row>
    <row r="123" spans="3:17">
      <c r="C123" s="21" t="s">
        <v>54</v>
      </c>
      <c r="D123" s="22"/>
      <c r="E123" s="22"/>
      <c r="F123" s="22"/>
      <c r="G123" s="22"/>
      <c r="H123" s="25">
        <f>H46</f>
        <v>0.12830571837356347</v>
      </c>
      <c r="I123" s="25">
        <f>I46</f>
        <v>0.13732879860281275</v>
      </c>
      <c r="J123" s="25">
        <f>J46</f>
        <v>0.1384767113462142</v>
      </c>
      <c r="K123" s="25">
        <f ca="1">OFFSET(K123,$D$6,0)</f>
        <v>0.13700000000000001</v>
      </c>
      <c r="L123" s="25">
        <f ca="1">OFFSET(L123,$D$6,0)</f>
        <v>0.13600000000000001</v>
      </c>
      <c r="M123" s="25">
        <f ca="1">OFFSET(M123,$D$6,0)</f>
        <v>0.13550000000000001</v>
      </c>
      <c r="O123" s="32" t="s">
        <v>60</v>
      </c>
      <c r="P123" s="32"/>
      <c r="Q123" s="32"/>
    </row>
    <row r="124" spans="3:17">
      <c r="C124" s="5" t="s">
        <v>5</v>
      </c>
      <c r="D124" s="5"/>
      <c r="E124" s="5"/>
      <c r="F124" s="5"/>
      <c r="G124" s="5"/>
      <c r="H124" s="5"/>
      <c r="I124" s="5"/>
      <c r="J124" s="5"/>
      <c r="K124" s="51">
        <v>0.13700000000000001</v>
      </c>
      <c r="L124" s="51">
        <v>0.13600000000000001</v>
      </c>
      <c r="M124" s="51">
        <v>0.13550000000000001</v>
      </c>
      <c r="O124" s="32"/>
      <c r="P124" s="32"/>
      <c r="Q124" s="32"/>
    </row>
    <row r="125" spans="3:17">
      <c r="C125" s="7" t="s">
        <v>6</v>
      </c>
      <c r="K125" s="51">
        <v>0.14000000000000001</v>
      </c>
      <c r="L125" s="51">
        <v>0.14099999999999999</v>
      </c>
      <c r="M125" s="51">
        <v>0.14199999999999999</v>
      </c>
      <c r="O125" s="32"/>
      <c r="P125" s="32"/>
      <c r="Q125" s="32"/>
    </row>
    <row r="126" spans="3:17">
      <c r="O126" s="32"/>
      <c r="P126" s="32"/>
      <c r="Q126" s="32"/>
    </row>
    <row r="127" spans="3:17">
      <c r="C127" s="21" t="s">
        <v>55</v>
      </c>
      <c r="D127" s="22"/>
      <c r="E127" s="22"/>
      <c r="F127" s="22"/>
      <c r="G127" s="25"/>
      <c r="H127" s="25">
        <f>H54</f>
        <v>1.1076752665343611E-2</v>
      </c>
      <c r="I127" s="25">
        <f t="shared" ref="I127:J127" si="39">I54</f>
        <v>1.0203143671293317E-2</v>
      </c>
      <c r="J127" s="25">
        <f t="shared" si="39"/>
        <v>1.0221006858833551E-2</v>
      </c>
      <c r="K127" s="25">
        <f ca="1">OFFSET(K127,$D$6,0)</f>
        <v>0.01</v>
      </c>
      <c r="L127" s="25">
        <f ca="1">OFFSET(L127,$D$6,0)</f>
        <v>9.4999999999999998E-3</v>
      </c>
      <c r="M127" s="25">
        <f ca="1">OFFSET(M127,$D$6,0)</f>
        <v>9.4999999999999998E-3</v>
      </c>
      <c r="O127" s="32" t="s">
        <v>61</v>
      </c>
      <c r="P127" s="32"/>
      <c r="Q127" s="53"/>
    </row>
    <row r="128" spans="3:17">
      <c r="C128" s="5" t="s">
        <v>5</v>
      </c>
      <c r="D128" s="5"/>
      <c r="E128" s="5"/>
      <c r="F128" s="5"/>
      <c r="G128" s="5"/>
      <c r="H128" s="5"/>
      <c r="I128" s="5"/>
      <c r="J128" s="5"/>
      <c r="K128" s="51">
        <v>0.01</v>
      </c>
      <c r="L128" s="51">
        <v>9.4999999999999998E-3</v>
      </c>
      <c r="M128" s="51">
        <v>9.4999999999999998E-3</v>
      </c>
      <c r="O128" s="32"/>
      <c r="P128" s="32"/>
      <c r="Q128" s="32"/>
    </row>
    <row r="129" spans="3:17">
      <c r="C129" s="7" t="s">
        <v>6</v>
      </c>
      <c r="K129" s="51">
        <v>1.0999999999999999E-2</v>
      </c>
      <c r="L129" s="51">
        <v>1.1299999999999999E-2</v>
      </c>
      <c r="M129" s="51">
        <v>1.15E-2</v>
      </c>
      <c r="O129" s="32"/>
      <c r="P129" s="32"/>
      <c r="Q129" s="32"/>
    </row>
    <row r="130" spans="3:17">
      <c r="O130" s="32"/>
      <c r="P130" s="32"/>
      <c r="Q130" s="32"/>
    </row>
    <row r="131" spans="3:17">
      <c r="C131" s="21" t="s">
        <v>56</v>
      </c>
      <c r="D131" s="22"/>
      <c r="E131" s="22"/>
      <c r="F131" s="22"/>
      <c r="G131" s="22"/>
      <c r="H131" s="25">
        <f>H58</f>
        <v>2.7045737757880647E-2</v>
      </c>
      <c r="I131" s="25">
        <f t="shared" ref="I131:J131" si="40">I58</f>
        <v>4.8855593344976557E-2</v>
      </c>
      <c r="J131" s="25">
        <f t="shared" si="40"/>
        <v>5.1149863271618773E-2</v>
      </c>
      <c r="K131" s="25">
        <f ca="1">OFFSET(K131,$D$6,0)</f>
        <v>5.5E-2</v>
      </c>
      <c r="L131" s="25">
        <f ca="1">OFFSET(L131,$D$6,0)</f>
        <v>5.2999999999999999E-2</v>
      </c>
      <c r="M131" s="25">
        <f ca="1">OFFSET(M131,$D$6,0)</f>
        <v>5.3999999999999999E-2</v>
      </c>
      <c r="O131" s="32" t="s">
        <v>62</v>
      </c>
      <c r="P131" s="32"/>
      <c r="Q131" s="32"/>
    </row>
    <row r="132" spans="3:17">
      <c r="C132" s="5" t="s">
        <v>5</v>
      </c>
      <c r="D132" s="5"/>
      <c r="E132" s="5"/>
      <c r="F132" s="5"/>
      <c r="G132" s="5"/>
      <c r="H132" s="5"/>
      <c r="I132" s="5"/>
      <c r="J132" s="5"/>
      <c r="K132" s="51">
        <v>5.5E-2</v>
      </c>
      <c r="L132" s="51">
        <v>5.2999999999999999E-2</v>
      </c>
      <c r="M132" s="51">
        <v>5.3999999999999999E-2</v>
      </c>
      <c r="O132" s="32"/>
      <c r="P132" s="32"/>
      <c r="Q132" s="32"/>
    </row>
    <row r="133" spans="3:17">
      <c r="C133" s="7" t="s">
        <v>6</v>
      </c>
      <c r="K133" s="51">
        <v>5.11E-2</v>
      </c>
      <c r="L133" s="51">
        <v>5.11E-2</v>
      </c>
      <c r="M133" s="51">
        <v>5.1200000000000002E-2</v>
      </c>
      <c r="O133" s="32"/>
      <c r="P133" s="32"/>
      <c r="Q133" s="32"/>
    </row>
  </sheetData>
  <phoneticPr fontId="34"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355D-5039-4DE1-BE8D-60D9FB2FA5BB}">
  <dimension ref="A2:O63"/>
  <sheetViews>
    <sheetView showGridLines="0" zoomScaleNormal="100" workbookViewId="0">
      <selection activeCell="I37" sqref="I37"/>
    </sheetView>
  </sheetViews>
  <sheetFormatPr baseColWidth="10" defaultColWidth="8.83203125" defaultRowHeight="14"/>
  <cols>
    <col min="1" max="1" width="1.6640625" customWidth="1"/>
  </cols>
  <sheetData>
    <row r="2" spans="1:13" ht="37">
      <c r="B2" s="1" t="s">
        <v>74</v>
      </c>
    </row>
    <row r="3" spans="1:13" ht="26">
      <c r="B3" s="2" t="s">
        <v>0</v>
      </c>
    </row>
    <row r="8" spans="1:13">
      <c r="A8" t="s">
        <v>64</v>
      </c>
      <c r="C8" s="3" t="s">
        <v>73</v>
      </c>
      <c r="D8" s="4"/>
      <c r="E8" s="4"/>
      <c r="F8" s="4"/>
      <c r="G8" s="4"/>
      <c r="H8" s="4"/>
      <c r="I8" s="4"/>
      <c r="J8" s="4"/>
      <c r="K8" s="4"/>
      <c r="L8" s="4"/>
      <c r="M8" s="4"/>
    </row>
    <row r="9" spans="1:13" ht="10" customHeight="1"/>
    <row r="10" spans="1:13" ht="17">
      <c r="H10" s="9" t="s">
        <v>2</v>
      </c>
      <c r="I10" s="10"/>
      <c r="J10" s="9" t="s">
        <v>9</v>
      </c>
      <c r="K10" s="10"/>
      <c r="L10" s="10"/>
    </row>
    <row r="11" spans="1:13" ht="15" thickBot="1">
      <c r="C11" s="11" t="s">
        <v>72</v>
      </c>
      <c r="D11" s="12"/>
      <c r="E11" s="12"/>
      <c r="F11" s="12"/>
      <c r="G11" s="13"/>
      <c r="H11" s="13">
        <v>2018</v>
      </c>
      <c r="I11" s="13">
        <f>+H11+1</f>
        <v>2019</v>
      </c>
      <c r="J11" s="18">
        <f>+I11+1</f>
        <v>2020</v>
      </c>
      <c r="K11" s="18">
        <f>+J11+1</f>
        <v>2021</v>
      </c>
      <c r="L11" s="18">
        <f>+K11+1</f>
        <v>2022</v>
      </c>
    </row>
    <row r="12" spans="1:13" ht="5" customHeight="1">
      <c r="K12" s="10"/>
      <c r="L12" s="10"/>
    </row>
    <row r="13" spans="1:13" ht="17">
      <c r="C13" s="52" t="s">
        <v>77</v>
      </c>
      <c r="K13" s="10"/>
      <c r="L13" s="10"/>
    </row>
    <row r="14" spans="1:13">
      <c r="C14" t="s">
        <v>75</v>
      </c>
      <c r="H14" s="69">
        <v>297</v>
      </c>
      <c r="I14" s="69">
        <v>15</v>
      </c>
      <c r="J14" s="69">
        <f ca="1">'Revenue model'!K$31*Schedules!J15</f>
        <v>32.435439999999993</v>
      </c>
      <c r="K14" s="69">
        <f ca="1">'Revenue model'!L$31*Schedules!K15</f>
        <v>66.718558440000052</v>
      </c>
      <c r="L14" s="69">
        <f ca="1">'Revenue model'!M$31*Schedules!L15</f>
        <v>103.46179221738016</v>
      </c>
    </row>
    <row r="15" spans="1:13">
      <c r="C15" s="67" t="s">
        <v>71</v>
      </c>
      <c r="H15" s="66">
        <f>H14/'Revenue model'!I31</f>
        <v>0.10171232876712329</v>
      </c>
      <c r="I15" s="66">
        <f>I14/'Revenue model'!J31</f>
        <v>4.5399515738498786E-3</v>
      </c>
      <c r="J15" s="66">
        <v>0.01</v>
      </c>
      <c r="K15" s="66">
        <v>0.02</v>
      </c>
      <c r="L15" s="66">
        <v>0.03</v>
      </c>
    </row>
    <row r="16" spans="1:13">
      <c r="C16" t="s">
        <v>76</v>
      </c>
      <c r="H16" s="69">
        <v>75</v>
      </c>
      <c r="I16" s="69">
        <v>1</v>
      </c>
      <c r="J16" s="69">
        <v>0</v>
      </c>
      <c r="K16" s="69">
        <v>0</v>
      </c>
      <c r="L16" s="69">
        <v>0</v>
      </c>
      <c r="M16" t="s">
        <v>68</v>
      </c>
    </row>
    <row r="17" spans="3:13">
      <c r="C17" s="67" t="s">
        <v>71</v>
      </c>
      <c r="H17" s="66">
        <f>H16/'Revenue model'!I$31</f>
        <v>2.5684931506849314E-2</v>
      </c>
      <c r="I17" s="66">
        <f>I16/'Revenue model'!J$31</f>
        <v>3.0266343825665861E-4</v>
      </c>
      <c r="J17" s="66"/>
      <c r="K17" s="66"/>
      <c r="L17" s="66"/>
    </row>
    <row r="18" spans="3:13">
      <c r="C18" t="s">
        <v>82</v>
      </c>
      <c r="H18" s="69">
        <v>-83</v>
      </c>
      <c r="I18" s="69">
        <v>-3</v>
      </c>
      <c r="J18" s="69">
        <f ca="1">-'Revenue model'!K$31*Schedules!J20</f>
        <v>-32.435439999999993</v>
      </c>
      <c r="K18" s="69">
        <f ca="1">-'Revenue model'!L$31*Schedules!K20</f>
        <v>-50.038918830000036</v>
      </c>
      <c r="L18" s="69">
        <f ca="1">-'Revenue model'!M$31*Schedules!L20</f>
        <v>-51.730896108690082</v>
      </c>
    </row>
    <row r="19" spans="3:13">
      <c r="C19" t="s">
        <v>81</v>
      </c>
      <c r="H19" s="69"/>
      <c r="I19" s="69"/>
      <c r="J19" s="70"/>
      <c r="K19" s="70"/>
      <c r="L19" s="70"/>
    </row>
    <row r="20" spans="3:13">
      <c r="C20" s="67" t="s">
        <v>71</v>
      </c>
      <c r="H20" s="66">
        <f>-H18/'Revenue model'!I$31</f>
        <v>2.8424657534246577E-2</v>
      </c>
      <c r="I20" s="66">
        <f>-I18/'Revenue model'!J$31</f>
        <v>9.0799031476997583E-4</v>
      </c>
      <c r="J20" s="66">
        <v>0.01</v>
      </c>
      <c r="K20" s="66">
        <v>1.4999999999999999E-2</v>
      </c>
      <c r="L20" s="66">
        <v>1.4999999999999999E-2</v>
      </c>
    </row>
    <row r="21" spans="3:13">
      <c r="C21" t="s">
        <v>78</v>
      </c>
      <c r="H21" s="69">
        <v>18</v>
      </c>
      <c r="I21" s="69">
        <v>-4</v>
      </c>
      <c r="J21" s="69">
        <v>0</v>
      </c>
      <c r="K21" s="69">
        <v>0</v>
      </c>
      <c r="L21" s="69">
        <v>0</v>
      </c>
      <c r="M21" t="s">
        <v>68</v>
      </c>
    </row>
    <row r="22" spans="3:13">
      <c r="C22" t="s">
        <v>80</v>
      </c>
      <c r="H22" s="69">
        <v>0</v>
      </c>
      <c r="I22" s="69">
        <v>-15</v>
      </c>
      <c r="J22" s="69">
        <v>-10</v>
      </c>
      <c r="K22" s="69">
        <v>-5</v>
      </c>
      <c r="L22" s="69">
        <v>-5</v>
      </c>
    </row>
    <row r="24" spans="3:13">
      <c r="C24" t="s">
        <v>79</v>
      </c>
      <c r="H24" s="69">
        <f>H14+H16+H18+H21+H22</f>
        <v>307</v>
      </c>
      <c r="I24" s="69">
        <f>I14+I16+I18+I21+I22</f>
        <v>-6</v>
      </c>
      <c r="J24" s="69">
        <f ca="1">J14+J16+J18+J21+J22</f>
        <v>-10</v>
      </c>
      <c r="K24" s="69">
        <f ca="1">K14+K16+K18+K21+K22</f>
        <v>11.679639610000017</v>
      </c>
      <c r="L24" s="69">
        <f ca="1">L14+L16+L18+L21+L22</f>
        <v>46.730896108690082</v>
      </c>
    </row>
    <row r="25" spans="3:13">
      <c r="C25" s="52" t="s">
        <v>95</v>
      </c>
    </row>
    <row r="27" spans="3:13">
      <c r="C27" s="52" t="s">
        <v>70</v>
      </c>
    </row>
    <row r="28" spans="3:13">
      <c r="C28" t="s">
        <v>70</v>
      </c>
      <c r="H28" s="69">
        <v>0</v>
      </c>
      <c r="I28" s="69">
        <v>0</v>
      </c>
      <c r="J28" s="69">
        <v>0</v>
      </c>
      <c r="K28" s="69">
        <v>0</v>
      </c>
      <c r="L28" s="69">
        <v>0</v>
      </c>
    </row>
    <row r="29" spans="3:13">
      <c r="H29" s="68"/>
      <c r="I29" s="68"/>
      <c r="J29" s="15"/>
      <c r="K29" s="15"/>
      <c r="L29" s="15"/>
    </row>
    <row r="30" spans="3:13">
      <c r="C30" s="52" t="s">
        <v>69</v>
      </c>
    </row>
    <row r="31" spans="3:13">
      <c r="C31" t="s">
        <v>83</v>
      </c>
      <c r="H31" s="69">
        <v>208</v>
      </c>
      <c r="I31" s="69">
        <v>200</v>
      </c>
      <c r="J31" s="69">
        <f ca="1">'Revenue model'!K$31*Schedules!J$32</f>
        <v>194.61263999999997</v>
      </c>
      <c r="K31" s="69">
        <f ca="1">'Revenue model'!L$31*Schedules!K$32</f>
        <v>200.15567532000014</v>
      </c>
      <c r="L31" s="69">
        <f ca="1">'Revenue model'!M$31*Schedules!L$32</f>
        <v>206.92358443476033</v>
      </c>
    </row>
    <row r="32" spans="3:13">
      <c r="C32" s="67" t="s">
        <v>71</v>
      </c>
      <c r="H32" s="66">
        <f>H31/'Revenue model'!I$31</f>
        <v>7.1232876712328766E-2</v>
      </c>
      <c r="I32" s="66">
        <f>I31/'Revenue model'!J$31</f>
        <v>6.0532687651331719E-2</v>
      </c>
      <c r="J32" s="66">
        <v>0.06</v>
      </c>
      <c r="K32" s="66">
        <v>0.06</v>
      </c>
      <c r="L32" s="66">
        <v>0.06</v>
      </c>
    </row>
    <row r="33" spans="3:12">
      <c r="C33" t="s">
        <v>14</v>
      </c>
      <c r="H33" s="69">
        <v>77</v>
      </c>
      <c r="I33" s="69">
        <v>88</v>
      </c>
      <c r="J33" s="69">
        <f ca="1">'Revenue model'!K$31*J34</f>
        <v>84.332143999999985</v>
      </c>
      <c r="K33" s="69">
        <f ca="1">'Revenue model'!L$31*K34</f>
        <v>83.398198050000076</v>
      </c>
      <c r="L33" s="69">
        <f ca="1">'Revenue model'!M$31*L34</f>
        <v>82.76943377390414</v>
      </c>
    </row>
    <row r="34" spans="3:12">
      <c r="C34" s="67" t="s">
        <v>71</v>
      </c>
      <c r="H34" s="66">
        <f>H33/'Revenue model'!I$31</f>
        <v>2.6369863013698629E-2</v>
      </c>
      <c r="I34" s="66">
        <f>I33/'Revenue model'!J$31</f>
        <v>2.6634382566585957E-2</v>
      </c>
      <c r="J34" s="66">
        <v>2.5999999999999999E-2</v>
      </c>
      <c r="K34" s="66">
        <v>2.5000000000000001E-2</v>
      </c>
      <c r="L34" s="66">
        <v>2.4E-2</v>
      </c>
    </row>
    <row r="35" spans="3:12">
      <c r="C35" t="s">
        <v>84</v>
      </c>
      <c r="H35" s="69">
        <v>36</v>
      </c>
      <c r="I35" s="69">
        <v>89</v>
      </c>
      <c r="J35" s="69">
        <f ca="1">'Revenue model'!K$31*J37</f>
        <v>97.306319999999985</v>
      </c>
      <c r="K35" s="69">
        <f ca="1">'Revenue model'!L$31*K37</f>
        <v>133.4371168800001</v>
      </c>
      <c r="L35" s="69">
        <f ca="1">'Revenue model'!M$31*L37</f>
        <v>137.94905628984023</v>
      </c>
    </row>
    <row r="36" spans="3:12">
      <c r="C36" t="s">
        <v>85</v>
      </c>
    </row>
    <row r="37" spans="3:12">
      <c r="C37" s="67" t="s">
        <v>71</v>
      </c>
      <c r="H37" s="66">
        <f>H35/'Revenue model'!I$31</f>
        <v>1.2328767123287671E-2</v>
      </c>
      <c r="I37" s="66">
        <f>I35/'Revenue model'!J$31</f>
        <v>2.6937046004842615E-2</v>
      </c>
      <c r="J37" s="66">
        <v>0.03</v>
      </c>
      <c r="K37" s="66">
        <v>0.04</v>
      </c>
      <c r="L37" s="66">
        <v>0.04</v>
      </c>
    </row>
    <row r="38" spans="3:12">
      <c r="C38" t="s">
        <v>90</v>
      </c>
      <c r="H38" s="69">
        <v>113</v>
      </c>
      <c r="I38" s="69">
        <v>177</v>
      </c>
      <c r="J38" s="69">
        <f ca="1">'Revenue model'!K$31*J40</f>
        <v>194.61263999999997</v>
      </c>
      <c r="K38" s="69">
        <f ca="1">'Revenue model'!L$31*K40</f>
        <v>216.83531493000018</v>
      </c>
      <c r="L38" s="69">
        <f ca="1">'Revenue model'!M$31*L40</f>
        <v>224.16721647099038</v>
      </c>
    </row>
    <row r="39" spans="3:12">
      <c r="C39" t="s">
        <v>91</v>
      </c>
      <c r="H39" s="69"/>
      <c r="I39" s="69"/>
      <c r="J39" s="69"/>
      <c r="K39" s="69"/>
      <c r="L39" s="69"/>
    </row>
    <row r="40" spans="3:12">
      <c r="C40" s="67" t="s">
        <v>71</v>
      </c>
      <c r="H40" s="66">
        <f>H38/'Revenue model'!I$31</f>
        <v>3.8698630136986302E-2</v>
      </c>
      <c r="I40" s="66">
        <f>I38/'Revenue model'!J$31</f>
        <v>5.3571428571428568E-2</v>
      </c>
      <c r="J40" s="66">
        <v>0.06</v>
      </c>
      <c r="K40" s="66">
        <v>6.5000000000000002E-2</v>
      </c>
      <c r="L40" s="66">
        <v>6.5000000000000002E-2</v>
      </c>
    </row>
    <row r="41" spans="3:12">
      <c r="C41" t="s">
        <v>18</v>
      </c>
      <c r="H41" s="69">
        <v>18</v>
      </c>
      <c r="I41" s="69">
        <v>15</v>
      </c>
      <c r="J41" s="69">
        <f ca="1">'Revenue model'!K$31*J42</f>
        <v>16.217719999999996</v>
      </c>
      <c r="K41" s="69">
        <f ca="1">'Revenue model'!L$31*K42</f>
        <v>16.679639610000013</v>
      </c>
      <c r="L41" s="69">
        <f ca="1">'Revenue model'!M$31*L42</f>
        <v>17.243632036230029</v>
      </c>
    </row>
    <row r="42" spans="3:12">
      <c r="C42" s="67" t="s">
        <v>71</v>
      </c>
      <c r="H42" s="66">
        <f>H41/'Revenue model'!I$31</f>
        <v>6.1643835616438354E-3</v>
      </c>
      <c r="I42" s="66">
        <f>I41/'Revenue model'!J$31</f>
        <v>4.5399515738498786E-3</v>
      </c>
      <c r="J42" s="66">
        <v>5.0000000000000001E-3</v>
      </c>
      <c r="K42" s="66">
        <v>5.0000000000000001E-3</v>
      </c>
      <c r="L42" s="66">
        <v>5.0000000000000001E-3</v>
      </c>
    </row>
    <row r="43" spans="3:12">
      <c r="C43" t="s">
        <v>86</v>
      </c>
      <c r="H43" s="69">
        <v>-120</v>
      </c>
      <c r="I43" s="69">
        <v>-133</v>
      </c>
      <c r="J43" s="69">
        <f ca="1">'Revenue model'!K$53*Schedules!J44</f>
        <v>-133.11617999999999</v>
      </c>
      <c r="K43" s="69">
        <f ca="1">'Revenue model'!L$53*Schedules!K44</f>
        <v>-127.00064937599998</v>
      </c>
      <c r="L43" s="69">
        <f ca="1">'Revenue model'!M$53*Schedules!L44</f>
        <v>-127.95087633206398</v>
      </c>
    </row>
    <row r="44" spans="3:12">
      <c r="C44" s="67" t="s">
        <v>93</v>
      </c>
      <c r="H44" s="66">
        <f>H43/'Revenue model'!I$53</f>
        <v>0.54054054054054057</v>
      </c>
      <c r="I44" s="66">
        <f>I43/'Revenue model'!J$53</f>
        <v>0.58333333333333337</v>
      </c>
      <c r="J44" s="66">
        <v>0.6</v>
      </c>
      <c r="K44" s="66">
        <v>0.6</v>
      </c>
      <c r="L44" s="66">
        <v>0.6</v>
      </c>
    </row>
    <row r="45" spans="3:12">
      <c r="C45" t="s">
        <v>87</v>
      </c>
      <c r="H45" s="69">
        <v>-159</v>
      </c>
      <c r="I45" s="69">
        <v>-137</v>
      </c>
      <c r="J45" s="69">
        <f ca="1">'Revenue model'!K$45*Schedules!J46</f>
        <v>-136.77687495000001</v>
      </c>
      <c r="K45" s="69">
        <f ca="1">'Revenue model'!L$45*Schedules!K46</f>
        <v>-136.35859196160001</v>
      </c>
      <c r="L45" s="69">
        <f ca="1">'Revenue model'!M$45*Schedules!L46</f>
        <v>-136.8737663920632</v>
      </c>
    </row>
    <row r="46" spans="3:12">
      <c r="C46" s="67" t="s">
        <v>94</v>
      </c>
      <c r="H46" s="66">
        <f>H45/'Revenue model'!I$45</f>
        <v>5.3212851405622492E-2</v>
      </c>
      <c r="I46" s="66">
        <f>I45/'Revenue model'!J$45</f>
        <v>4.435092262868242E-2</v>
      </c>
      <c r="J46" s="66">
        <v>4.4999999999999998E-2</v>
      </c>
      <c r="K46" s="66">
        <v>4.4999999999999998E-2</v>
      </c>
      <c r="L46" s="66">
        <v>4.4999999999999998E-2</v>
      </c>
    </row>
    <row r="47" spans="3:12">
      <c r="C47" t="s">
        <v>88</v>
      </c>
      <c r="H47" s="69">
        <v>478</v>
      </c>
      <c r="I47" s="69">
        <v>464</v>
      </c>
      <c r="J47" s="69">
        <f ca="1">'Revenue model'!K$25*Schedules!J48</f>
        <v>465.80523599999998</v>
      </c>
      <c r="K47" s="69">
        <f ca="1">'Revenue model'!L$25*Schedules!K48</f>
        <v>485.17198446599991</v>
      </c>
      <c r="L47" s="69">
        <f ca="1">'Revenue model'!M$25*Schedules!L48</f>
        <v>504.65074117567184</v>
      </c>
    </row>
    <row r="48" spans="3:12">
      <c r="C48" s="67" t="s">
        <v>92</v>
      </c>
      <c r="H48" s="66">
        <f>H47/'Revenue model'!I$25</f>
        <v>2.6891701828410688E-2</v>
      </c>
      <c r="I48" s="66">
        <f>I47/'Revenue model'!J$25</f>
        <v>2.5976934273877504E-2</v>
      </c>
      <c r="J48" s="66">
        <v>2.5999999999999999E-2</v>
      </c>
      <c r="K48" s="66">
        <v>2.7E-2</v>
      </c>
      <c r="L48" s="66">
        <v>2.8000000000000001E-2</v>
      </c>
    </row>
    <row r="49" spans="1:15">
      <c r="C49" t="s">
        <v>89</v>
      </c>
      <c r="H49" s="69">
        <v>-72</v>
      </c>
      <c r="I49" s="69">
        <v>-139</v>
      </c>
      <c r="J49" s="69">
        <f ca="1">-'Revenue model'!K$31*J50</f>
        <v>-129.74175999999997</v>
      </c>
      <c r="K49" s="69">
        <f ca="1">-'Revenue model'!L$31*K50</f>
        <v>-133.4371168800001</v>
      </c>
      <c r="L49" s="69">
        <f ca="1">-'Revenue model'!M$31*L50</f>
        <v>-137.94905628984023</v>
      </c>
    </row>
    <row r="50" spans="1:15">
      <c r="C50" s="67" t="s">
        <v>71</v>
      </c>
      <c r="H50" s="66">
        <f>-H49/'Revenue model'!I$31</f>
        <v>2.4657534246575342E-2</v>
      </c>
      <c r="I50" s="66">
        <f>-I49/'Revenue model'!J$31</f>
        <v>4.2070217917675547E-2</v>
      </c>
      <c r="J50" s="66">
        <v>0.04</v>
      </c>
      <c r="K50" s="66">
        <v>0.04</v>
      </c>
      <c r="L50" s="66">
        <v>0.04</v>
      </c>
    </row>
    <row r="51" spans="1:15">
      <c r="H51" s="20"/>
      <c r="I51" s="20"/>
      <c r="J51" s="20"/>
      <c r="K51" s="20"/>
      <c r="L51" s="20"/>
    </row>
    <row r="52" spans="1:15">
      <c r="C52" s="52" t="s">
        <v>67</v>
      </c>
      <c r="H52" s="15"/>
      <c r="I52" s="15"/>
      <c r="J52" s="15"/>
      <c r="K52" s="15"/>
      <c r="L52" s="15"/>
    </row>
    <row r="53" spans="1:15">
      <c r="C53" s="65" t="s">
        <v>66</v>
      </c>
      <c r="D53" s="65"/>
      <c r="E53" s="65"/>
      <c r="F53" s="65"/>
      <c r="G53" s="65"/>
      <c r="H53" s="64">
        <f>H31+H33+H35+H38+H41+H43+H45+H47+H49</f>
        <v>579</v>
      </c>
      <c r="I53" s="64">
        <f t="shared" ref="I53:L53" si="0">I31+I33+I35+I38+I41+I43+I45+I47+I49</f>
        <v>624</v>
      </c>
      <c r="J53" s="64">
        <f t="shared" ca="1" si="0"/>
        <v>653.25188504999994</v>
      </c>
      <c r="K53" s="64">
        <f t="shared" ca="1" si="0"/>
        <v>738.88157103840035</v>
      </c>
      <c r="L53" s="64">
        <f t="shared" ca="1" si="0"/>
        <v>770.9299651674296</v>
      </c>
    </row>
    <row r="54" spans="1:15">
      <c r="C54" t="s">
        <v>65</v>
      </c>
      <c r="H54" s="15">
        <f>H24+H28</f>
        <v>307</v>
      </c>
      <c r="I54" s="15">
        <f t="shared" ref="I54:L54" si="1">I24+I28</f>
        <v>-6</v>
      </c>
      <c r="J54" s="15">
        <f t="shared" ca="1" si="1"/>
        <v>-10</v>
      </c>
      <c r="K54" s="15">
        <f t="shared" ca="1" si="1"/>
        <v>11.679639610000017</v>
      </c>
      <c r="L54" s="15">
        <f t="shared" ca="1" si="1"/>
        <v>46.730896108690082</v>
      </c>
    </row>
    <row r="55" spans="1:15">
      <c r="C55" s="8" t="s">
        <v>63</v>
      </c>
      <c r="D55" s="8"/>
      <c r="E55" s="8"/>
      <c r="F55" s="8"/>
      <c r="G55" s="8"/>
      <c r="H55" s="63">
        <f>+H53+H54</f>
        <v>886</v>
      </c>
      <c r="I55" s="63">
        <f t="shared" ref="I55:L55" si="2">+I53+I54</f>
        <v>618</v>
      </c>
      <c r="J55" s="63">
        <f t="shared" ca="1" si="2"/>
        <v>643.25188504999994</v>
      </c>
      <c r="K55" s="63">
        <f t="shared" ca="1" si="2"/>
        <v>750.56121064840033</v>
      </c>
      <c r="L55" s="63">
        <f t="shared" ca="1" si="2"/>
        <v>817.6608612761197</v>
      </c>
    </row>
    <row r="59" spans="1:15">
      <c r="A59" t="s">
        <v>64</v>
      </c>
    </row>
    <row r="60" spans="1:15">
      <c r="H60" s="20"/>
      <c r="I60" s="20"/>
      <c r="J60" s="20"/>
    </row>
    <row r="63" spans="1:15">
      <c r="H63" s="20"/>
      <c r="I63" s="20"/>
      <c r="J63" s="20"/>
      <c r="K63" s="20"/>
      <c r="L63" s="20"/>
      <c r="M63" s="20"/>
      <c r="N63" s="20"/>
      <c r="O63" s="20"/>
    </row>
  </sheetData>
  <phoneticPr fontId="34"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7AE4-5551-4867-A5B4-136C838AD8C8}">
  <dimension ref="A2:P48"/>
  <sheetViews>
    <sheetView showGridLines="0" topLeftCell="A7" zoomScale="85" zoomScaleNormal="85" workbookViewId="0">
      <selection activeCell="B19" sqref="B19"/>
    </sheetView>
  </sheetViews>
  <sheetFormatPr baseColWidth="10" defaultColWidth="8.83203125" defaultRowHeight="14"/>
  <cols>
    <col min="1" max="1" width="1.6640625" customWidth="1"/>
    <col min="3" max="15" width="10.6640625" customWidth="1"/>
  </cols>
  <sheetData>
    <row r="2" spans="1:16" ht="37">
      <c r="B2" s="1" t="s">
        <v>140</v>
      </c>
    </row>
    <row r="3" spans="1:16" ht="26">
      <c r="B3" s="2" t="s">
        <v>0</v>
      </c>
    </row>
    <row r="8" spans="1:16">
      <c r="A8" t="s">
        <v>64</v>
      </c>
      <c r="C8" s="3" t="s">
        <v>119</v>
      </c>
      <c r="D8" s="4"/>
      <c r="E8" s="4"/>
      <c r="F8" s="4"/>
      <c r="G8" s="4"/>
      <c r="H8" s="4"/>
      <c r="I8" s="4"/>
      <c r="J8" s="4"/>
      <c r="K8" s="4"/>
      <c r="L8" s="4"/>
      <c r="M8" s="4"/>
    </row>
    <row r="10" spans="1:16" ht="17">
      <c r="G10" s="9"/>
      <c r="H10" s="9" t="s">
        <v>2</v>
      </c>
      <c r="I10" s="10"/>
      <c r="J10" s="10"/>
      <c r="K10" s="9" t="s">
        <v>9</v>
      </c>
      <c r="L10" s="10"/>
      <c r="M10" s="10"/>
    </row>
    <row r="11" spans="1:16" ht="15" thickBot="1">
      <c r="C11" s="11" t="s">
        <v>72</v>
      </c>
      <c r="D11" s="12"/>
      <c r="E11" s="12"/>
      <c r="F11" s="12"/>
      <c r="G11" s="13"/>
      <c r="H11" s="13">
        <v>2017</v>
      </c>
      <c r="I11" s="13">
        <f>H11+1</f>
        <v>2018</v>
      </c>
      <c r="J11" s="13">
        <f>I11+1</f>
        <v>2019</v>
      </c>
      <c r="K11" s="18">
        <v>2020</v>
      </c>
      <c r="L11" s="18">
        <f>K11+1</f>
        <v>2021</v>
      </c>
      <c r="M11" s="18">
        <f t="shared" ref="M11" si="0">L11+1</f>
        <v>2022</v>
      </c>
    </row>
    <row r="12" spans="1:16" ht="5" customHeight="1"/>
    <row r="13" spans="1:16">
      <c r="C13" s="52" t="s">
        <v>120</v>
      </c>
      <c r="P13" s="82"/>
    </row>
    <row r="14" spans="1:16">
      <c r="C14" s="6" t="s">
        <v>110</v>
      </c>
      <c r="H14" s="73">
        <v>4604</v>
      </c>
      <c r="I14" s="73">
        <v>2920</v>
      </c>
      <c r="J14" s="73">
        <v>3304</v>
      </c>
      <c r="K14" s="73">
        <f ca="1">'Revenue model'!K$31</f>
        <v>3243.5439999999994</v>
      </c>
      <c r="L14" s="73">
        <f ca="1">'Revenue model'!L$31</f>
        <v>3335.9279220000026</v>
      </c>
      <c r="M14" s="73">
        <f ca="1">'Revenue model'!M$31</f>
        <v>3448.7264072460057</v>
      </c>
    </row>
    <row r="15" spans="1:16">
      <c r="C15" t="s">
        <v>141</v>
      </c>
      <c r="H15" s="20">
        <v>-91</v>
      </c>
      <c r="I15" s="20">
        <v>-55</v>
      </c>
      <c r="J15" s="20">
        <v>-32</v>
      </c>
      <c r="K15" s="20">
        <v>-30</v>
      </c>
      <c r="L15" s="20">
        <v>-25</v>
      </c>
      <c r="M15" s="20">
        <v>-25</v>
      </c>
    </row>
    <row r="16" spans="1:16">
      <c r="C16" t="s">
        <v>142</v>
      </c>
      <c r="H16" s="20">
        <v>-1468</v>
      </c>
      <c r="I16" s="20">
        <v>-1504</v>
      </c>
      <c r="J16" s="20">
        <v>-1452</v>
      </c>
      <c r="K16" s="20">
        <v>-1450</v>
      </c>
      <c r="L16" s="20">
        <v>-1450</v>
      </c>
      <c r="M16" s="20">
        <v>-1450</v>
      </c>
    </row>
    <row r="17" spans="3:13">
      <c r="C17" t="s">
        <v>143</v>
      </c>
      <c r="H17" s="20">
        <v>1132</v>
      </c>
      <c r="I17" s="20">
        <v>1245</v>
      </c>
      <c r="J17" s="20">
        <v>1282</v>
      </c>
      <c r="K17" s="20">
        <v>1250</v>
      </c>
      <c r="L17" s="20">
        <v>1250</v>
      </c>
      <c r="M17" s="20">
        <v>1250</v>
      </c>
    </row>
    <row r="18" spans="3:13">
      <c r="C18" t="s">
        <v>144</v>
      </c>
      <c r="H18" s="20">
        <v>2890</v>
      </c>
      <c r="I18" s="20">
        <v>2343</v>
      </c>
      <c r="J18" s="20">
        <v>2104</v>
      </c>
      <c r="K18" s="20">
        <v>2000</v>
      </c>
      <c r="L18" s="20">
        <v>1800</v>
      </c>
      <c r="M18" s="20">
        <v>1600</v>
      </c>
    </row>
    <row r="19" spans="3:13">
      <c r="C19" t="s">
        <v>145</v>
      </c>
      <c r="H19" s="20">
        <v>-1240</v>
      </c>
      <c r="I19" s="20">
        <v>64</v>
      </c>
      <c r="J19" s="20">
        <v>-244</v>
      </c>
      <c r="K19" s="20">
        <v>-200</v>
      </c>
      <c r="L19" s="20">
        <v>-200</v>
      </c>
      <c r="M19" s="20">
        <v>-200</v>
      </c>
    </row>
    <row r="20" spans="3:13">
      <c r="C20" t="s">
        <v>147</v>
      </c>
      <c r="H20" s="20">
        <v>151</v>
      </c>
      <c r="I20" s="20">
        <v>430</v>
      </c>
      <c r="J20" s="20">
        <v>135</v>
      </c>
      <c r="K20" s="20">
        <v>0</v>
      </c>
      <c r="L20" s="20">
        <v>0</v>
      </c>
      <c r="M20" s="20">
        <v>0</v>
      </c>
    </row>
    <row r="21" spans="3:13">
      <c r="C21" t="s">
        <v>146</v>
      </c>
      <c r="H21" s="20">
        <v>150</v>
      </c>
      <c r="I21" s="20">
        <v>571</v>
      </c>
      <c r="J21" s="20">
        <v>358</v>
      </c>
      <c r="K21" s="20">
        <v>0</v>
      </c>
      <c r="L21" s="20">
        <v>0</v>
      </c>
      <c r="M21" s="20">
        <v>0</v>
      </c>
    </row>
    <row r="22" spans="3:13">
      <c r="C22" s="67"/>
      <c r="H22" s="20"/>
      <c r="I22" s="20"/>
      <c r="J22" s="20"/>
      <c r="K22" s="84"/>
      <c r="L22" s="84"/>
      <c r="M22" s="84"/>
    </row>
    <row r="23" spans="3:13">
      <c r="C23" s="6" t="s">
        <v>128</v>
      </c>
      <c r="H23" s="73">
        <f>+H14+H15+H16+H17+H18+H19+H20+H21</f>
        <v>6128</v>
      </c>
      <c r="I23" s="73">
        <f t="shared" ref="I23:M23" si="1">+I14+I15+I16+I17+I18+I19+I20+I21</f>
        <v>6014</v>
      </c>
      <c r="J23" s="73">
        <f t="shared" si="1"/>
        <v>5455</v>
      </c>
      <c r="K23" s="73">
        <f t="shared" ca="1" si="1"/>
        <v>4813.5439999999999</v>
      </c>
      <c r="L23" s="73">
        <f t="shared" ca="1" si="1"/>
        <v>4710.9279220000026</v>
      </c>
      <c r="M23" s="73">
        <f t="shared" ca="1" si="1"/>
        <v>4623.7264072460057</v>
      </c>
    </row>
    <row r="24" spans="3:13">
      <c r="C24" t="s">
        <v>129</v>
      </c>
      <c r="H24" s="68">
        <v>-5431</v>
      </c>
      <c r="I24" s="68">
        <v>-3582</v>
      </c>
      <c r="J24" s="68">
        <v>-3171</v>
      </c>
      <c r="K24" s="68">
        <f ca="1">-K25*'Revenue model'!K$21</f>
        <v>-3327.9044999999996</v>
      </c>
      <c r="L24" s="68">
        <f ca="1">-L25*'Revenue model'!L$21</f>
        <v>-3342.1223519999999</v>
      </c>
      <c r="M24" s="68">
        <f ca="1">-M25*'Revenue model'!M$21</f>
        <v>-3367.1283245279997</v>
      </c>
    </row>
    <row r="25" spans="3:13">
      <c r="C25" s="67" t="s">
        <v>130</v>
      </c>
      <c r="H25" s="66">
        <f>-H24/'Revenue model'!H$21</f>
        <v>0.25065768218950479</v>
      </c>
      <c r="I25" s="66">
        <f>-I24/'Revenue model'!I$21</f>
        <v>0.16462910193951649</v>
      </c>
      <c r="J25" s="66">
        <f>-J24/'Revenue model'!J$21</f>
        <v>0.1421526874971982</v>
      </c>
      <c r="K25" s="66">
        <v>0.15</v>
      </c>
      <c r="L25" s="66">
        <v>0.15</v>
      </c>
      <c r="M25" s="66">
        <v>0.15</v>
      </c>
    </row>
    <row r="26" spans="3:13">
      <c r="C26" s="8" t="s">
        <v>120</v>
      </c>
      <c r="D26" s="8"/>
      <c r="E26" s="8"/>
      <c r="F26" s="8"/>
      <c r="G26" s="8"/>
      <c r="H26" s="63">
        <f>+H23+H24</f>
        <v>697</v>
      </c>
      <c r="I26" s="63">
        <f>+I23+I24</f>
        <v>2432</v>
      </c>
      <c r="J26" s="63">
        <f>+J23+J24</f>
        <v>2284</v>
      </c>
      <c r="K26" s="63">
        <f t="shared" ref="K26:M26" ca="1" si="2">+K23+K24</f>
        <v>1485.6395000000002</v>
      </c>
      <c r="L26" s="63">
        <f t="shared" ca="1" si="2"/>
        <v>1368.8055700000027</v>
      </c>
      <c r="M26" s="63">
        <f t="shared" ca="1" si="2"/>
        <v>1256.598082718006</v>
      </c>
    </row>
    <row r="29" spans="3:13">
      <c r="C29" s="52" t="s">
        <v>131</v>
      </c>
    </row>
    <row r="30" spans="3:13">
      <c r="C30" s="6" t="s">
        <v>132</v>
      </c>
      <c r="D30" s="6"/>
      <c r="E30" s="6"/>
      <c r="F30" s="6"/>
      <c r="G30" s="6"/>
      <c r="H30" s="73">
        <v>5914</v>
      </c>
      <c r="I30" s="73">
        <v>6029</v>
      </c>
      <c r="J30" s="73">
        <v>6579</v>
      </c>
      <c r="K30" s="73">
        <v>7419.9910350499995</v>
      </c>
      <c r="L30" s="73">
        <v>7356.2838279984007</v>
      </c>
      <c r="M30" s="73">
        <v>7224.5925871794298</v>
      </c>
    </row>
    <row r="31" spans="3:13">
      <c r="C31" t="s">
        <v>133</v>
      </c>
      <c r="H31" s="89">
        <v>-51</v>
      </c>
      <c r="I31" s="89">
        <v>-54</v>
      </c>
      <c r="J31" s="89">
        <v>-54</v>
      </c>
      <c r="K31" s="89">
        <v>-53</v>
      </c>
      <c r="L31" s="89">
        <v>-53</v>
      </c>
      <c r="M31" s="89">
        <v>-54</v>
      </c>
    </row>
    <row r="32" spans="3:13">
      <c r="C32" t="s">
        <v>134</v>
      </c>
      <c r="H32" s="83">
        <v>-137</v>
      </c>
      <c r="I32" s="83">
        <v>-159</v>
      </c>
      <c r="J32" s="83">
        <v>-137</v>
      </c>
      <c r="K32" s="83">
        <v>-136.77687495000001</v>
      </c>
      <c r="L32" s="83">
        <v>-136.35859196160001</v>
      </c>
      <c r="M32" s="83">
        <v>-136.8737663920632</v>
      </c>
    </row>
    <row r="33" spans="3:13">
      <c r="C33" t="s">
        <v>135</v>
      </c>
      <c r="H33" s="83">
        <v>-1132</v>
      </c>
      <c r="I33" s="83">
        <v>-1688</v>
      </c>
      <c r="J33" s="83">
        <v>-1863</v>
      </c>
      <c r="K33" s="83">
        <v>-1269.0409159999999</v>
      </c>
      <c r="L33" s="83">
        <v>-1247.7256780800001</v>
      </c>
      <c r="M33" s="83">
        <v>-1234.6137189936001</v>
      </c>
    </row>
    <row r="34" spans="3:13">
      <c r="C34" s="6" t="s">
        <v>136</v>
      </c>
      <c r="D34" s="6"/>
      <c r="E34" s="6"/>
      <c r="F34" s="6"/>
      <c r="G34" s="6"/>
      <c r="H34" s="73">
        <f>+H30+H33+H31+H32</f>
        <v>4594</v>
      </c>
      <c r="I34" s="73">
        <f>+I30+I33+I31+I32</f>
        <v>4128</v>
      </c>
      <c r="J34" s="73">
        <f>+J30+J33+J31+J32</f>
        <v>4525</v>
      </c>
      <c r="K34" s="73">
        <f>+K30+K33+K31+K32</f>
        <v>5961.1732440999995</v>
      </c>
      <c r="L34" s="73">
        <f t="shared" ref="L34:M34" si="3">+L30+L33+L31+L32</f>
        <v>5919.1995579568011</v>
      </c>
      <c r="M34" s="73">
        <f t="shared" si="3"/>
        <v>5799.1051017937671</v>
      </c>
    </row>
    <row r="35" spans="3:13">
      <c r="C35" t="s">
        <v>137</v>
      </c>
      <c r="H35" s="83">
        <v>586</v>
      </c>
      <c r="I35" s="83">
        <v>-1063</v>
      </c>
      <c r="J35" s="83">
        <v>-1141</v>
      </c>
      <c r="K35" s="83">
        <v>-1220.2316499999999</v>
      </c>
      <c r="L35" s="83">
        <v>-1180.8832310400001</v>
      </c>
      <c r="M35" s="83">
        <v>-1212.16619683008</v>
      </c>
    </row>
    <row r="36" spans="3:13">
      <c r="C36" s="67" t="s">
        <v>138</v>
      </c>
      <c r="H36" s="84"/>
      <c r="I36" s="84">
        <f>I35/H35-1</f>
        <v>-2.8139931740614337</v>
      </c>
      <c r="J36" s="84">
        <f t="shared" ref="J36:M36" si="4">J35/I35-1</f>
        <v>7.3377234242709255E-2</v>
      </c>
      <c r="K36" s="84">
        <f t="shared" si="4"/>
        <v>6.9440534618755434E-2</v>
      </c>
      <c r="L36" s="84">
        <f t="shared" si="4"/>
        <v>-3.2246679521875987E-2</v>
      </c>
      <c r="M36" s="84">
        <f t="shared" si="4"/>
        <v>2.6491159301609501E-2</v>
      </c>
    </row>
    <row r="37" spans="3:13">
      <c r="C37" s="6" t="s">
        <v>139</v>
      </c>
      <c r="D37" s="6"/>
      <c r="E37" s="6"/>
      <c r="F37" s="6"/>
      <c r="G37" s="6"/>
      <c r="H37" s="73">
        <f>+H34+H35</f>
        <v>5180</v>
      </c>
      <c r="I37" s="73">
        <f>+I34+I35</f>
        <v>3065</v>
      </c>
      <c r="J37" s="73">
        <f>+J34+J35</f>
        <v>3384</v>
      </c>
      <c r="K37" s="73">
        <f>+K34+K35</f>
        <v>4740.9415940999997</v>
      </c>
      <c r="L37" s="73">
        <f t="shared" ref="L37:M37" si="5">+L34+L35</f>
        <v>4738.3163269168008</v>
      </c>
      <c r="M37" s="73">
        <f t="shared" si="5"/>
        <v>4586.9389049636866</v>
      </c>
    </row>
    <row r="38" spans="3:13">
      <c r="C38" t="s">
        <v>121</v>
      </c>
      <c r="H38" s="83">
        <v>1812</v>
      </c>
      <c r="I38" s="83">
        <v>3912</v>
      </c>
      <c r="J38" s="83">
        <v>2587</v>
      </c>
      <c r="K38" s="83">
        <v>0</v>
      </c>
      <c r="L38" s="83">
        <v>0</v>
      </c>
      <c r="M38" s="83">
        <v>0</v>
      </c>
    </row>
    <row r="39" spans="3:13">
      <c r="C39" t="s">
        <v>122</v>
      </c>
      <c r="H39" s="83">
        <v>1132</v>
      </c>
      <c r="I39" s="83">
        <v>1688</v>
      </c>
      <c r="J39" s="83">
        <v>1863</v>
      </c>
      <c r="K39" s="83">
        <v>1269.0409159999999</v>
      </c>
      <c r="L39" s="83">
        <v>1247.7256780800001</v>
      </c>
      <c r="M39" s="83">
        <v>1234.6137189936001</v>
      </c>
    </row>
    <row r="40" spans="3:13">
      <c r="C40" t="s">
        <v>123</v>
      </c>
      <c r="H40" s="89">
        <v>51</v>
      </c>
      <c r="I40" s="89">
        <v>54</v>
      </c>
      <c r="J40" s="89">
        <v>54</v>
      </c>
      <c r="K40" s="89">
        <v>53</v>
      </c>
      <c r="L40" s="89">
        <v>53</v>
      </c>
      <c r="M40" s="89">
        <v>54</v>
      </c>
    </row>
    <row r="41" spans="3:13">
      <c r="C41" t="s">
        <v>124</v>
      </c>
      <c r="H41" s="83">
        <v>1217</v>
      </c>
      <c r="I41" s="83">
        <v>316</v>
      </c>
      <c r="J41" s="83">
        <v>-335</v>
      </c>
      <c r="K41" s="83">
        <v>0</v>
      </c>
      <c r="L41" s="83">
        <v>0</v>
      </c>
      <c r="M41" s="83">
        <v>0</v>
      </c>
    </row>
    <row r="42" spans="3:13">
      <c r="C42" t="s">
        <v>125</v>
      </c>
      <c r="H42" s="90">
        <f>H40*24.7%</f>
        <v>12.597</v>
      </c>
      <c r="I42" s="90">
        <f>I40*25.7%</f>
        <v>13.878</v>
      </c>
      <c r="J42" s="90">
        <f>J40*26.7%</f>
        <v>14.418000000000001</v>
      </c>
      <c r="K42" s="90">
        <f t="shared" ref="K42:M42" si="6">K40*26.7%</f>
        <v>14.151000000000002</v>
      </c>
      <c r="L42" s="90">
        <f t="shared" si="6"/>
        <v>14.151000000000002</v>
      </c>
      <c r="M42" s="90">
        <f t="shared" si="6"/>
        <v>14.418000000000001</v>
      </c>
    </row>
    <row r="43" spans="3:13">
      <c r="C43" t="s">
        <v>126</v>
      </c>
      <c r="H43" s="83">
        <f>+H20</f>
        <v>151</v>
      </c>
      <c r="I43" s="83">
        <f t="shared" ref="I43:J43" si="7">+I20</f>
        <v>430</v>
      </c>
      <c r="J43" s="83">
        <f t="shared" si="7"/>
        <v>135</v>
      </c>
      <c r="K43" s="83">
        <v>0</v>
      </c>
      <c r="L43" s="83">
        <v>0</v>
      </c>
      <c r="M43" s="83">
        <v>0</v>
      </c>
    </row>
    <row r="44" spans="3:13">
      <c r="C44" t="s">
        <v>127</v>
      </c>
      <c r="H44" s="83">
        <f>+H21</f>
        <v>150</v>
      </c>
      <c r="I44" s="83">
        <v>-114</v>
      </c>
      <c r="J44" s="83">
        <v>-559</v>
      </c>
      <c r="K44" s="83">
        <v>0</v>
      </c>
      <c r="L44" s="83">
        <v>0</v>
      </c>
      <c r="M44" s="83">
        <v>0</v>
      </c>
    </row>
    <row r="45" spans="3:13">
      <c r="C45" t="s">
        <v>129</v>
      </c>
      <c r="H45" s="83">
        <v>-2799</v>
      </c>
      <c r="I45" s="83">
        <v>-1559</v>
      </c>
      <c r="J45" s="83">
        <v>-1728</v>
      </c>
      <c r="K45" s="83">
        <v>0</v>
      </c>
      <c r="L45" s="83">
        <v>0</v>
      </c>
      <c r="M45" s="83">
        <v>0</v>
      </c>
    </row>
    <row r="46" spans="3:13">
      <c r="C46" s="8" t="s">
        <v>131</v>
      </c>
      <c r="D46" s="8"/>
      <c r="E46" s="8"/>
      <c r="F46" s="8"/>
      <c r="G46" s="8"/>
      <c r="H46" s="63">
        <f>+H37+H38+H39+H40+H41+H42+H43+H44+H45</f>
        <v>6906.5969999999998</v>
      </c>
      <c r="I46" s="63">
        <f>+I37+I38+I39+I40+I41+I42+I43+I44+I45</f>
        <v>7805.8780000000006</v>
      </c>
      <c r="J46" s="63">
        <f>+J37+J38+J39+J40+J41+J42+J43+J44+J45</f>
        <v>5415.4179999999997</v>
      </c>
      <c r="K46" s="63">
        <f>+K37+K38+K39+K40+K41+K42+K43+K44+K45</f>
        <v>6077.1335100999995</v>
      </c>
      <c r="L46" s="63">
        <f t="shared" ref="L46:M46" si="8">+L37+L38+L39+L40+L41+L42+L43+L44+L45</f>
        <v>6053.1930049968005</v>
      </c>
      <c r="M46" s="63">
        <f t="shared" si="8"/>
        <v>5889.9706239572861</v>
      </c>
    </row>
    <row r="47" spans="3:13">
      <c r="K47" s="85"/>
      <c r="L47" s="86"/>
      <c r="M47" s="85"/>
    </row>
    <row r="48" spans="3:13">
      <c r="K48" s="87"/>
      <c r="L48" s="88"/>
    </row>
  </sheetData>
  <phoneticPr fontId="34"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20E19-D9D3-4061-9D59-9EA3B39F2617}">
  <dimension ref="A2:S67"/>
  <sheetViews>
    <sheetView showGridLines="0" zoomScaleNormal="100" workbookViewId="0">
      <selection activeCell="S31" sqref="S31"/>
    </sheetView>
  </sheetViews>
  <sheetFormatPr baseColWidth="10" defaultColWidth="8.83203125" defaultRowHeight="14"/>
  <cols>
    <col min="1" max="1" width="1.6640625" customWidth="1"/>
    <col min="3" max="15" width="10.6640625" customWidth="1"/>
    <col min="21" max="21" width="11.5" customWidth="1"/>
  </cols>
  <sheetData>
    <row r="2" spans="1:15" ht="37">
      <c r="B2" s="1" t="s">
        <v>190</v>
      </c>
    </row>
    <row r="3" spans="1:15" ht="26">
      <c r="B3" s="2" t="s">
        <v>0</v>
      </c>
    </row>
    <row r="6" spans="1:15">
      <c r="C6" s="6" t="s">
        <v>7</v>
      </c>
      <c r="D6" s="91">
        <v>1</v>
      </c>
      <c r="E6" t="s">
        <v>8</v>
      </c>
    </row>
    <row r="8" spans="1:15">
      <c r="A8" t="s">
        <v>64</v>
      </c>
      <c r="C8" s="3" t="s">
        <v>148</v>
      </c>
      <c r="D8" s="4"/>
      <c r="E8" s="4"/>
      <c r="F8" s="4"/>
      <c r="G8" s="4"/>
      <c r="H8" s="4"/>
      <c r="I8" s="4"/>
      <c r="J8" s="4"/>
      <c r="K8" s="4"/>
      <c r="L8" s="4"/>
      <c r="M8" s="4"/>
      <c r="N8" s="4"/>
      <c r="O8" s="4"/>
    </row>
    <row r="9" spans="1:15">
      <c r="N9" s="92"/>
    </row>
    <row r="10" spans="1:15">
      <c r="C10" s="93" t="s">
        <v>149</v>
      </c>
      <c r="D10" s="94"/>
      <c r="E10" s="94"/>
      <c r="F10" s="94"/>
      <c r="G10" s="94"/>
      <c r="H10" s="95"/>
      <c r="J10" s="93" t="s">
        <v>150</v>
      </c>
      <c r="K10" s="94"/>
      <c r="L10" s="94"/>
      <c r="M10" s="94"/>
      <c r="N10" s="94"/>
      <c r="O10" s="95"/>
    </row>
    <row r="11" spans="1:15">
      <c r="C11" t="s">
        <v>151</v>
      </c>
      <c r="H11" s="96">
        <v>0.25700000000000001</v>
      </c>
      <c r="J11" t="s">
        <v>152</v>
      </c>
      <c r="O11" s="97">
        <f>H13+(H14*H15)</f>
        <v>8.8700000000000015E-2</v>
      </c>
    </row>
    <row r="12" spans="1:15">
      <c r="C12" t="s">
        <v>153</v>
      </c>
      <c r="H12" s="98">
        <v>43830</v>
      </c>
      <c r="J12" t="s">
        <v>154</v>
      </c>
      <c r="O12" s="97">
        <f>+H16*(1-H11)</f>
        <v>2.7416700000000002E-2</v>
      </c>
    </row>
    <row r="13" spans="1:15">
      <c r="C13" t="s">
        <v>155</v>
      </c>
      <c r="H13" s="96">
        <v>2.3900000000000001E-2</v>
      </c>
    </row>
    <row r="14" spans="1:15">
      <c r="C14" t="s">
        <v>156</v>
      </c>
      <c r="H14" s="96">
        <v>0.08</v>
      </c>
      <c r="J14" t="s">
        <v>157</v>
      </c>
      <c r="O14" s="97">
        <f>28959/(28959+6596)</f>
        <v>0.81448460132189571</v>
      </c>
    </row>
    <row r="15" spans="1:15">
      <c r="C15" t="s">
        <v>158</v>
      </c>
      <c r="H15" s="99">
        <v>0.81</v>
      </c>
      <c r="J15" t="s">
        <v>159</v>
      </c>
      <c r="O15" s="97">
        <f>1-O14</f>
        <v>0.18551539867810429</v>
      </c>
    </row>
    <row r="16" spans="1:15">
      <c r="C16" t="s">
        <v>160</v>
      </c>
      <c r="H16" s="96">
        <v>3.6900000000000002E-2</v>
      </c>
      <c r="J16" s="100" t="s">
        <v>161</v>
      </c>
      <c r="K16" s="100"/>
      <c r="L16" s="100"/>
      <c r="M16" s="100"/>
      <c r="N16" s="100"/>
      <c r="O16" s="101">
        <f>(O11*O14)+(O12*O15)</f>
        <v>7.7331004168190137E-2</v>
      </c>
    </row>
    <row r="19" spans="3:15">
      <c r="C19" s="93" t="s">
        <v>162</v>
      </c>
      <c r="D19" s="94"/>
      <c r="E19" s="94"/>
      <c r="F19" s="94"/>
      <c r="G19" s="94"/>
      <c r="H19" s="95"/>
      <c r="J19" s="93" t="s">
        <v>163</v>
      </c>
      <c r="K19" s="94"/>
      <c r="L19" s="94"/>
      <c r="M19" s="94"/>
      <c r="N19" s="94"/>
      <c r="O19" s="95"/>
    </row>
    <row r="20" spans="3:15">
      <c r="C20" t="s">
        <v>164</v>
      </c>
      <c r="H20" s="20">
        <f>J64</f>
        <v>5889.9706239572861</v>
      </c>
      <c r="J20" t="s">
        <v>165</v>
      </c>
      <c r="O20" s="20">
        <f>J48</f>
        <v>7224.5925871794298</v>
      </c>
    </row>
    <row r="21" spans="3:15" ht="15">
      <c r="C21" t="s">
        <v>166</v>
      </c>
      <c r="H21" s="96">
        <v>0.02</v>
      </c>
      <c r="J21" t="s">
        <v>167</v>
      </c>
      <c r="O21" s="102">
        <v>12</v>
      </c>
    </row>
    <row r="22" spans="3:15">
      <c r="C22" s="6" t="s">
        <v>168</v>
      </c>
      <c r="D22" s="6"/>
      <c r="E22" s="6"/>
      <c r="F22" s="6"/>
      <c r="G22" s="6"/>
      <c r="H22" s="73">
        <f>+(H20*(1+H21))/(O16-H21)</f>
        <v>104790.94381133861</v>
      </c>
      <c r="J22" s="6" t="s">
        <v>168</v>
      </c>
      <c r="O22" s="73">
        <f>+O20*O21</f>
        <v>86695.11104615315</v>
      </c>
    </row>
    <row r="23" spans="3:15">
      <c r="C23" t="s">
        <v>169</v>
      </c>
      <c r="H23" s="83">
        <f>H22/(1+O16)^J66</f>
        <v>86986.299487586395</v>
      </c>
      <c r="J23" t="s">
        <v>169</v>
      </c>
      <c r="O23" s="83">
        <f>+O22/(1+O16)^J65</f>
        <v>69334.139809365966</v>
      </c>
    </row>
    <row r="24" spans="3:15">
      <c r="C24" t="s">
        <v>170</v>
      </c>
      <c r="H24" s="83">
        <f>+SUM($H$67:$J$67)</f>
        <v>16157.474582356595</v>
      </c>
      <c r="J24" t="s">
        <v>170</v>
      </c>
      <c r="O24" s="83">
        <f>+SUM($H$67:$J$67)</f>
        <v>16157.474582356595</v>
      </c>
    </row>
    <row r="25" spans="3:15">
      <c r="C25" s="100" t="s">
        <v>171</v>
      </c>
      <c r="D25" s="100"/>
      <c r="E25" s="100"/>
      <c r="F25" s="100"/>
      <c r="G25" s="100"/>
      <c r="H25" s="63">
        <f>+H23+H24</f>
        <v>103143.77406994299</v>
      </c>
      <c r="J25" s="100" t="s">
        <v>171</v>
      </c>
      <c r="K25" s="100"/>
      <c r="L25" s="100"/>
      <c r="M25" s="100"/>
      <c r="N25" s="100"/>
      <c r="O25" s="63">
        <f>+O23+O24</f>
        <v>85491.614391722556</v>
      </c>
    </row>
    <row r="26" spans="3:15">
      <c r="C26" t="s">
        <v>172</v>
      </c>
      <c r="H26" s="83">
        <v>-6569</v>
      </c>
      <c r="J26" t="s">
        <v>172</v>
      </c>
      <c r="O26" s="83">
        <v>-6569</v>
      </c>
    </row>
    <row r="27" spans="3:15">
      <c r="C27" t="s">
        <v>173</v>
      </c>
      <c r="H27" s="83">
        <v>4896</v>
      </c>
      <c r="J27" t="s">
        <v>173</v>
      </c>
      <c r="O27" s="83">
        <v>4896</v>
      </c>
    </row>
    <row r="28" spans="3:15">
      <c r="C28" t="s">
        <v>174</v>
      </c>
      <c r="H28" s="83">
        <v>91262</v>
      </c>
      <c r="J28" t="s">
        <v>174</v>
      </c>
      <c r="O28" s="83">
        <v>91262</v>
      </c>
    </row>
    <row r="29" spans="3:15">
      <c r="C29" t="s">
        <v>175</v>
      </c>
      <c r="H29" s="83">
        <v>41933</v>
      </c>
      <c r="J29" t="s">
        <v>175</v>
      </c>
      <c r="O29" s="83">
        <v>41933</v>
      </c>
    </row>
    <row r="30" spans="3:15">
      <c r="C30" s="6" t="s">
        <v>176</v>
      </c>
      <c r="D30" s="6"/>
      <c r="E30" s="6"/>
      <c r="F30" s="6"/>
      <c r="G30" s="6"/>
      <c r="H30" s="73">
        <f>+H25+H26+H27+H28+H29</f>
        <v>234665.774069943</v>
      </c>
      <c r="J30" s="6" t="s">
        <v>176</v>
      </c>
      <c r="K30" s="6"/>
      <c r="L30" s="6"/>
      <c r="M30" s="6"/>
      <c r="N30" s="6"/>
      <c r="O30" s="73">
        <f>+O25+O26+O27+O28+O29</f>
        <v>217013.61439172254</v>
      </c>
    </row>
    <row r="31" spans="3:15">
      <c r="C31" t="s">
        <v>177</v>
      </c>
      <c r="H31" s="83">
        <f ca="1">H40</f>
        <v>1427.0799685580357</v>
      </c>
      <c r="J31" t="s">
        <v>177</v>
      </c>
      <c r="O31" s="83">
        <f ca="1">O40</f>
        <v>1426.6563111923547</v>
      </c>
    </row>
    <row r="32" spans="3:15">
      <c r="C32" s="100" t="s">
        <v>178</v>
      </c>
      <c r="D32" s="100"/>
      <c r="E32" s="100"/>
      <c r="F32" s="100"/>
      <c r="G32" s="100"/>
      <c r="H32" s="103">
        <f ca="1">+H30/H31</f>
        <v>164.43771844618934</v>
      </c>
      <c r="J32" s="100" t="s">
        <v>178</v>
      </c>
      <c r="K32" s="100"/>
      <c r="L32" s="100"/>
      <c r="M32" s="100"/>
      <c r="N32" s="100"/>
      <c r="O32" s="103">
        <f ca="1">+O30/O31</f>
        <v>152.11345065326165</v>
      </c>
    </row>
    <row r="33" spans="1:15">
      <c r="C33" s="67" t="s">
        <v>179</v>
      </c>
      <c r="H33" s="104">
        <f ca="1">(H32-'Revenue model'!$V$10)/DCF!H32</f>
        <v>0.73710411207057347</v>
      </c>
      <c r="J33" s="67" t="s">
        <v>179</v>
      </c>
      <c r="O33" s="104">
        <f ca="1">(O32-'Revenue model'!$V$10)/DCF!O32</f>
        <v>0.71580422497585983</v>
      </c>
    </row>
    <row r="35" spans="1:15">
      <c r="C35" s="105" t="s">
        <v>180</v>
      </c>
      <c r="J35" s="105" t="s">
        <v>180</v>
      </c>
    </row>
    <row r="36" spans="1:15">
      <c r="F36" s="106" t="s">
        <v>181</v>
      </c>
      <c r="G36" s="106" t="s">
        <v>182</v>
      </c>
      <c r="M36" s="106" t="s">
        <v>181</v>
      </c>
      <c r="N36" s="106" t="s">
        <v>182</v>
      </c>
    </row>
    <row r="37" spans="1:15">
      <c r="C37" t="s">
        <v>183</v>
      </c>
      <c r="F37" s="107">
        <v>29.65</v>
      </c>
      <c r="G37" s="83">
        <v>29</v>
      </c>
      <c r="H37" s="108">
        <f ca="1">IFERROR((H$32-F37)/H$32*G37,0)</f>
        <v>23.77096855803568</v>
      </c>
      <c r="J37" t="s">
        <v>183</v>
      </c>
      <c r="M37" s="107">
        <v>29.65</v>
      </c>
      <c r="N37" s="83">
        <v>29</v>
      </c>
      <c r="O37" s="108">
        <f ca="1">IFERROR((O$32-M37)/O$32*N37,0)</f>
        <v>23.347311192354685</v>
      </c>
    </row>
    <row r="38" spans="1:15">
      <c r="C38" t="s">
        <v>184</v>
      </c>
      <c r="F38" s="107">
        <f>+'[1]P&amp;L'!U14</f>
        <v>0</v>
      </c>
      <c r="G38" s="83">
        <v>54</v>
      </c>
      <c r="H38" s="108">
        <f ca="1">(H$32-F38)/H$32*G38</f>
        <v>54</v>
      </c>
      <c r="J38" t="s">
        <v>184</v>
      </c>
      <c r="M38" s="107">
        <f>+'[1]P&amp;L'!AB14</f>
        <v>0</v>
      </c>
      <c r="N38" s="83">
        <v>54</v>
      </c>
      <c r="O38" s="108">
        <f ca="1">(O$32-M38)/O$32*N38</f>
        <v>54</v>
      </c>
    </row>
    <row r="39" spans="1:15">
      <c r="C39" t="s">
        <v>185</v>
      </c>
      <c r="H39" s="108">
        <f>1349309000/1000000</f>
        <v>1349.309</v>
      </c>
      <c r="J39" t="s">
        <v>185</v>
      </c>
      <c r="O39" s="108">
        <f>1349309000/1000000</f>
        <v>1349.309</v>
      </c>
    </row>
    <row r="40" spans="1:15">
      <c r="C40" s="109" t="s">
        <v>186</v>
      </c>
      <c r="D40" s="109"/>
      <c r="E40" s="109"/>
      <c r="F40" s="109"/>
      <c r="G40" s="109"/>
      <c r="H40" s="110">
        <f ca="1">+H37+H38+H39</f>
        <v>1427.0799685580357</v>
      </c>
      <c r="J40" s="109" t="s">
        <v>186</v>
      </c>
      <c r="K40" s="109"/>
      <c r="L40" s="109"/>
      <c r="M40" s="109"/>
      <c r="N40" s="109"/>
      <c r="O40" s="110">
        <f ca="1">+O37+O38+O39</f>
        <v>1426.6563111923547</v>
      </c>
    </row>
    <row r="43" spans="1:15">
      <c r="A43" t="s">
        <v>64</v>
      </c>
      <c r="C43" s="3" t="s">
        <v>119</v>
      </c>
      <c r="D43" s="4"/>
      <c r="E43" s="4"/>
      <c r="F43" s="4"/>
      <c r="G43" s="4"/>
      <c r="H43" s="4"/>
      <c r="I43" s="4"/>
      <c r="J43" s="4"/>
    </row>
    <row r="45" spans="1:15" ht="17">
      <c r="G45" s="9"/>
      <c r="H45" s="9" t="s">
        <v>9</v>
      </c>
      <c r="I45" s="10"/>
      <c r="J45" s="10"/>
    </row>
    <row r="46" spans="1:15" ht="15" thickBot="1">
      <c r="C46" s="11" t="s">
        <v>72</v>
      </c>
      <c r="D46" s="12"/>
      <c r="E46" s="12"/>
      <c r="F46" s="12"/>
      <c r="G46" s="13"/>
      <c r="H46" s="18" t="s">
        <v>191</v>
      </c>
      <c r="I46" s="18">
        <v>2021</v>
      </c>
      <c r="J46" s="18">
        <f>+I46+1</f>
        <v>2022</v>
      </c>
    </row>
    <row r="47" spans="1:15" ht="5" customHeight="1"/>
    <row r="48" spans="1:15">
      <c r="C48" s="6" t="s">
        <v>132</v>
      </c>
      <c r="D48" s="6"/>
      <c r="E48" s="6"/>
      <c r="F48" s="6"/>
      <c r="G48" s="6"/>
      <c r="H48" s="73">
        <v>7419.9910350499995</v>
      </c>
      <c r="I48" s="73">
        <v>7356.2838279984007</v>
      </c>
      <c r="J48" s="73">
        <v>7224.5925871794298</v>
      </c>
    </row>
    <row r="49" spans="3:19">
      <c r="C49" t="s">
        <v>133</v>
      </c>
      <c r="H49" s="89">
        <v>-53</v>
      </c>
      <c r="I49" s="89">
        <v>-53</v>
      </c>
      <c r="J49" s="89">
        <v>-54</v>
      </c>
    </row>
    <row r="50" spans="3:19">
      <c r="C50" t="s">
        <v>134</v>
      </c>
      <c r="H50" s="83">
        <v>-136.77687495000001</v>
      </c>
      <c r="I50" s="83">
        <v>-136.35859196160001</v>
      </c>
      <c r="J50" s="83">
        <v>-136.8737663920632</v>
      </c>
    </row>
    <row r="51" spans="3:19">
      <c r="C51" t="s">
        <v>135</v>
      </c>
      <c r="H51" s="83">
        <v>-1269.0409159999999</v>
      </c>
      <c r="I51" s="83">
        <v>-1247.7256780800001</v>
      </c>
      <c r="J51" s="83">
        <v>-1234.6137189936001</v>
      </c>
    </row>
    <row r="52" spans="3:19">
      <c r="C52" s="6" t="s">
        <v>136</v>
      </c>
      <c r="D52" s="6"/>
      <c r="E52" s="6"/>
      <c r="F52" s="6"/>
      <c r="G52" s="6"/>
      <c r="H52" s="73">
        <f>+H48+H51+H49+H50</f>
        <v>5961.1732440999995</v>
      </c>
      <c r="I52" s="73">
        <f t="shared" ref="I52:J52" si="0">+I48+I51+I49+I50</f>
        <v>5919.1995579568011</v>
      </c>
      <c r="J52" s="73">
        <f t="shared" si="0"/>
        <v>5799.1051017937671</v>
      </c>
    </row>
    <row r="53" spans="3:19">
      <c r="C53" t="s">
        <v>137</v>
      </c>
      <c r="H53" s="83">
        <v>-1220.2316499999999</v>
      </c>
      <c r="I53" s="83">
        <v>-1180.8832310400001</v>
      </c>
      <c r="J53" s="83">
        <v>-1212.16619683008</v>
      </c>
    </row>
    <row r="54" spans="3:19">
      <c r="C54" s="67" t="s">
        <v>138</v>
      </c>
      <c r="H54" s="84">
        <f>-$H$11</f>
        <v>-0.25700000000000001</v>
      </c>
      <c r="I54" s="84">
        <f t="shared" ref="I54:J54" si="1">-$H$11</f>
        <v>-0.25700000000000001</v>
      </c>
      <c r="J54" s="84">
        <f t="shared" si="1"/>
        <v>-0.25700000000000001</v>
      </c>
    </row>
    <row r="55" spans="3:19">
      <c r="C55" s="6" t="s">
        <v>139</v>
      </c>
      <c r="D55" s="6"/>
      <c r="E55" s="6"/>
      <c r="F55" s="6"/>
      <c r="G55" s="6"/>
      <c r="H55" s="73">
        <f>+H52+H53</f>
        <v>4740.9415940999997</v>
      </c>
      <c r="I55" s="73">
        <f t="shared" ref="I55:J55" si="2">+I52+I53</f>
        <v>4738.3163269168008</v>
      </c>
      <c r="J55" s="73">
        <f t="shared" si="2"/>
        <v>4586.9389049636866</v>
      </c>
    </row>
    <row r="56" spans="3:19">
      <c r="C56" t="s">
        <v>121</v>
      </c>
      <c r="H56" s="83">
        <v>0</v>
      </c>
      <c r="I56" s="83">
        <v>0</v>
      </c>
      <c r="J56" s="83">
        <v>0</v>
      </c>
    </row>
    <row r="57" spans="3:19">
      <c r="C57" t="s">
        <v>122</v>
      </c>
      <c r="H57" s="83">
        <v>1269.0409159999999</v>
      </c>
      <c r="I57" s="83">
        <v>1247.7256780800001</v>
      </c>
      <c r="J57" s="83">
        <v>1234.6137189936001</v>
      </c>
    </row>
    <row r="58" spans="3:19">
      <c r="C58" t="s">
        <v>123</v>
      </c>
      <c r="H58" s="89">
        <v>53</v>
      </c>
      <c r="I58" s="89">
        <v>53</v>
      </c>
      <c r="J58" s="89">
        <v>54</v>
      </c>
    </row>
    <row r="59" spans="3:19">
      <c r="C59" t="s">
        <v>124</v>
      </c>
      <c r="H59" s="83">
        <v>0</v>
      </c>
      <c r="I59" s="83">
        <v>0</v>
      </c>
      <c r="J59" s="83">
        <v>0</v>
      </c>
    </row>
    <row r="60" spans="3:19">
      <c r="C60" t="s">
        <v>125</v>
      </c>
      <c r="H60" s="90">
        <f t="shared" ref="H60:J60" si="3">H58*26.7%</f>
        <v>14.151000000000002</v>
      </c>
      <c r="I60" s="90">
        <f t="shared" si="3"/>
        <v>14.151000000000002</v>
      </c>
      <c r="J60" s="90">
        <f t="shared" si="3"/>
        <v>14.418000000000001</v>
      </c>
    </row>
    <row r="61" spans="3:19">
      <c r="C61" t="s">
        <v>126</v>
      </c>
      <c r="H61" s="83">
        <v>0</v>
      </c>
      <c r="I61" s="83">
        <v>0</v>
      </c>
      <c r="J61" s="83">
        <v>0</v>
      </c>
    </row>
    <row r="62" spans="3:19">
      <c r="C62" t="s">
        <v>127</v>
      </c>
      <c r="H62" s="83">
        <v>0</v>
      </c>
      <c r="I62" s="83">
        <v>0</v>
      </c>
      <c r="J62" s="83">
        <v>0</v>
      </c>
    </row>
    <row r="63" spans="3:19">
      <c r="C63" t="s">
        <v>129</v>
      </c>
      <c r="H63" s="83">
        <v>0</v>
      </c>
      <c r="I63" s="83">
        <v>0</v>
      </c>
      <c r="J63" s="83">
        <v>0</v>
      </c>
    </row>
    <row r="64" spans="3:19">
      <c r="C64" s="8" t="s">
        <v>131</v>
      </c>
      <c r="D64" s="8"/>
      <c r="E64" s="8"/>
      <c r="F64" s="8"/>
      <c r="G64" s="8"/>
      <c r="H64" s="63">
        <f>+H55+H56+H57+H58+H59+H60+H61+H62+H63</f>
        <v>6077.1335100999995</v>
      </c>
      <c r="I64" s="63">
        <f t="shared" ref="I64:J64" si="4">+I55+I56+I57+I58+I59+I60+I61+I62+I63</f>
        <v>6053.1930049968005</v>
      </c>
      <c r="J64" s="63">
        <f t="shared" si="4"/>
        <v>5889.9706239572861</v>
      </c>
      <c r="S64" s="111"/>
    </row>
    <row r="65" spans="3:19">
      <c r="C65" t="s">
        <v>187</v>
      </c>
      <c r="H65" s="111">
        <v>1</v>
      </c>
      <c r="I65" s="111">
        <f>+H65+1</f>
        <v>2</v>
      </c>
      <c r="J65" s="111">
        <f>+I65+1</f>
        <v>3</v>
      </c>
      <c r="S65" s="111"/>
    </row>
    <row r="66" spans="3:19">
      <c r="C66" t="s">
        <v>188</v>
      </c>
      <c r="H66" s="111">
        <f>+H65/2</f>
        <v>0.5</v>
      </c>
      <c r="I66" s="111">
        <f>+I65-0.5</f>
        <v>1.5</v>
      </c>
      <c r="J66" s="111">
        <f>+J65-0.5</f>
        <v>2.5</v>
      </c>
      <c r="R66" s="111"/>
      <c r="S66" s="111"/>
    </row>
    <row r="67" spans="3:19">
      <c r="C67" s="8" t="s">
        <v>189</v>
      </c>
      <c r="D67" s="8"/>
      <c r="E67" s="8"/>
      <c r="F67" s="8"/>
      <c r="G67" s="8"/>
      <c r="H67" s="63">
        <f>+H64/(1+$O$16)^H66</f>
        <v>5854.9635854832677</v>
      </c>
      <c r="I67" s="63">
        <f t="shared" ref="I67:J67" si="5">+I64/(1+$O$16)^I66</f>
        <v>5413.2836454044545</v>
      </c>
      <c r="J67" s="63">
        <f t="shared" si="5"/>
        <v>4889.2273514688732</v>
      </c>
      <c r="R67" s="111"/>
      <c r="S67" s="111"/>
    </row>
  </sheetData>
  <phoneticPr fontId="34"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22C-4DDD-493F-B919-2343B6517BC9}">
  <dimension ref="A2:S67"/>
  <sheetViews>
    <sheetView showGridLines="0" topLeftCell="A7" zoomScaleNormal="100" workbookViewId="0">
      <selection activeCell="G35" sqref="G35"/>
    </sheetView>
  </sheetViews>
  <sheetFormatPr baseColWidth="10" defaultColWidth="9.1640625" defaultRowHeight="14"/>
  <cols>
    <col min="1" max="1" width="1.6640625" style="117" customWidth="1"/>
    <col min="2" max="2" width="9.1640625" style="117"/>
    <col min="3" max="3" width="20.33203125" style="117" customWidth="1"/>
    <col min="4" max="15" width="10.6640625" style="117" customWidth="1"/>
    <col min="16" max="20" width="9.1640625" style="117"/>
    <col min="21" max="21" width="11.5" style="117" customWidth="1"/>
    <col min="22" max="16384" width="9.1640625" style="117"/>
  </cols>
  <sheetData>
    <row r="2" spans="1:9" ht="37">
      <c r="B2" s="128" t="s">
        <v>211</v>
      </c>
    </row>
    <row r="3" spans="1:9" ht="26">
      <c r="B3" s="127" t="s">
        <v>0</v>
      </c>
    </row>
    <row r="6" spans="1:9">
      <c r="C6" s="126"/>
    </row>
    <row r="8" spans="1:9">
      <c r="A8" s="117" t="s">
        <v>64</v>
      </c>
      <c r="C8" s="125" t="s">
        <v>148</v>
      </c>
      <c r="D8" s="124"/>
      <c r="E8" s="124"/>
      <c r="F8" s="124"/>
      <c r="G8" s="124"/>
      <c r="H8" s="124"/>
      <c r="I8" s="124"/>
    </row>
    <row r="9" spans="1:9">
      <c r="C9" s="122"/>
      <c r="D9" s="122"/>
      <c r="E9" s="123">
        <f t="shared" ref="E9:F9" si="0">F9-1</f>
        <v>2015</v>
      </c>
      <c r="F9" s="123">
        <f t="shared" si="0"/>
        <v>2016</v>
      </c>
      <c r="G9" s="123">
        <f>H9-1</f>
        <v>2017</v>
      </c>
      <c r="H9" s="123">
        <f>I9-1</f>
        <v>2018</v>
      </c>
      <c r="I9" s="122">
        <v>2019</v>
      </c>
    </row>
    <row r="10" spans="1:9">
      <c r="C10" s="119" t="s">
        <v>210</v>
      </c>
      <c r="D10" s="119"/>
      <c r="E10" s="119"/>
      <c r="F10" s="119"/>
      <c r="G10" s="119"/>
      <c r="H10" s="119"/>
      <c r="I10" s="119"/>
    </row>
    <row r="11" spans="1:9">
      <c r="C11" s="121" t="s">
        <v>209</v>
      </c>
      <c r="E11" s="130">
        <f>2533/20872</f>
        <v>0.1213587581448831</v>
      </c>
      <c r="F11" s="130">
        <f>2659/22559</f>
        <v>0.11786869985371692</v>
      </c>
      <c r="G11" s="130">
        <f>'Revenue model'!H$59/'Revenue model'!H$39</f>
        <v>0.21248903863017493</v>
      </c>
      <c r="H11" s="130">
        <f>'Revenue model'!I$59/'Revenue model'!I$39</f>
        <v>0.11384318411618714</v>
      </c>
      <c r="I11" s="130">
        <f>'Revenue model'!J$59/'Revenue model'!J$39</f>
        <v>0.12206930559913928</v>
      </c>
    </row>
    <row r="12" spans="1:9">
      <c r="C12" s="121" t="s">
        <v>208</v>
      </c>
      <c r="E12" s="131">
        <f>20872/118296</f>
        <v>0.17643876377899506</v>
      </c>
      <c r="F12" s="131">
        <f>22559/129819</f>
        <v>0.17377271431762684</v>
      </c>
      <c r="G12" s="131">
        <f>'Revenue model'!H$39/137217</f>
        <v>0.15790317526254036</v>
      </c>
      <c r="H12" s="131">
        <f>'Revenue model'!I$39/140406</f>
        <v>0.15496488754041851</v>
      </c>
      <c r="I12" s="131">
        <f>'Revenue model'!J$39/152768</f>
        <v>0.14601879974863846</v>
      </c>
    </row>
    <row r="13" spans="1:9">
      <c r="C13" s="121" t="s">
        <v>207</v>
      </c>
      <c r="E13" s="131">
        <f>4971/17708</f>
        <v>0.28072057826970859</v>
      </c>
      <c r="F13" s="131">
        <f>5360/20482</f>
        <v>0.26169319402402108</v>
      </c>
      <c r="G13" s="131">
        <f>5289/24598</f>
        <v>0.21501748109602406</v>
      </c>
      <c r="H13" s="131">
        <f>5778/23462</f>
        <v>0.24627056516920978</v>
      </c>
      <c r="I13" s="131">
        <f>6569/28959</f>
        <v>0.22683794329914708</v>
      </c>
    </row>
    <row r="14" spans="1:9">
      <c r="C14" s="121" t="s">
        <v>206</v>
      </c>
      <c r="E14" s="129">
        <f>2533/17708</f>
        <v>0.14304269256833069</v>
      </c>
      <c r="F14" s="129">
        <f>2659/20482</f>
        <v>0.12982130651303583</v>
      </c>
      <c r="G14" s="129">
        <f>4604/24598</f>
        <v>0.1871696885925685</v>
      </c>
      <c r="H14" s="129">
        <f>2920/23462</f>
        <v>0.12445656806751343</v>
      </c>
      <c r="I14" s="129">
        <f>3304/28959</f>
        <v>0.11409233744259124</v>
      </c>
    </row>
    <row r="15" spans="1:9">
      <c r="C15" s="121" t="s">
        <v>205</v>
      </c>
      <c r="E15" s="129">
        <f>2533/118256</f>
        <v>2.1419631984846435E-2</v>
      </c>
      <c r="F15" s="129">
        <f>2659/129819</f>
        <v>2.0482363906670055E-2</v>
      </c>
      <c r="G15" s="129">
        <f>4604/137217</f>
        <v>3.355269390818922E-2</v>
      </c>
      <c r="H15" s="129">
        <f>2920/140406</f>
        <v>2.0796832044214633E-2</v>
      </c>
      <c r="I15" s="129">
        <f>3304/152768</f>
        <v>2.1627565982404694E-2</v>
      </c>
    </row>
    <row r="16" spans="1:9">
      <c r="C16" s="120" t="s">
        <v>204</v>
      </c>
      <c r="D16" s="119"/>
      <c r="E16" s="119"/>
      <c r="F16" s="119"/>
      <c r="G16" s="119"/>
      <c r="H16" s="119"/>
      <c r="I16" s="119"/>
    </row>
    <row r="17" spans="3:9">
      <c r="C17" s="121" t="s">
        <v>203</v>
      </c>
      <c r="E17" s="129">
        <f>118256/100548</f>
        <v>1.1761148904006047</v>
      </c>
      <c r="F17" s="129">
        <f>129819/109337</f>
        <v>1.187329083475859</v>
      </c>
      <c r="G17" s="129">
        <f>137217/112619</f>
        <v>1.2184178513394721</v>
      </c>
      <c r="H17" s="129">
        <f>140406/116944</f>
        <v>1.2006259406211519</v>
      </c>
      <c r="I17" s="132">
        <f>152768/123809</f>
        <v>1.2339006049640979</v>
      </c>
    </row>
    <row r="18" spans="3:9">
      <c r="C18" s="121" t="s">
        <v>202</v>
      </c>
      <c r="E18" s="129">
        <f>(4350+705)/100548</f>
        <v>5.0274495763217568E-2</v>
      </c>
      <c r="F18" s="129">
        <f>(4859+669)/109337</f>
        <v>5.0559280024145531E-2</v>
      </c>
      <c r="G18" s="129">
        <f>(3491+827)/112619</f>
        <v>3.8341665260746408E-2</v>
      </c>
      <c r="H18" s="129">
        <f>(4337+851)/116944</f>
        <v>4.4363113969079215E-2</v>
      </c>
      <c r="I18" s="129">
        <f>(4896+828)/123809</f>
        <v>4.6232503291360076E-2</v>
      </c>
    </row>
    <row r="19" spans="3:9">
      <c r="C19" s="121" t="s">
        <v>201</v>
      </c>
      <c r="E19" s="129">
        <f>4350/100548</f>
        <v>4.3262919202768826E-2</v>
      </c>
      <c r="F19" s="129">
        <f>4859/109337</f>
        <v>4.4440582785333416E-2</v>
      </c>
      <c r="G19" s="129">
        <f>3491/112619</f>
        <v>3.0998321775188912E-2</v>
      </c>
      <c r="H19" s="129">
        <f>4337/116944</f>
        <v>3.7086126693118074E-2</v>
      </c>
      <c r="I19" s="129">
        <f>4896/123809</f>
        <v>3.9544782689465222E-2</v>
      </c>
    </row>
    <row r="20" spans="3:9">
      <c r="C20" s="120" t="s">
        <v>200</v>
      </c>
      <c r="D20" s="120"/>
      <c r="E20" s="120"/>
      <c r="F20" s="120"/>
      <c r="G20" s="120"/>
      <c r="H20" s="120"/>
      <c r="I20" s="120"/>
    </row>
    <row r="21" spans="3:9">
      <c r="C21" t="s">
        <v>212</v>
      </c>
      <c r="E21" s="129">
        <f>4971/118256</f>
        <v>4.2035922067379244E-2</v>
      </c>
      <c r="F21" s="129">
        <f>5360/129819</f>
        <v>4.1288255186066755E-2</v>
      </c>
      <c r="G21" s="129">
        <f>5289/137217</f>
        <v>3.8544786724676969E-2</v>
      </c>
      <c r="H21" s="129">
        <f>5778/140406</f>
        <v>4.1152087517627452E-2</v>
      </c>
      <c r="I21" s="129">
        <f>6569/152768</f>
        <v>4.2999842899036446E-2</v>
      </c>
    </row>
    <row r="22" spans="3:9">
      <c r="C22" t="s">
        <v>213</v>
      </c>
      <c r="E22" s="129">
        <f>4971/17708</f>
        <v>0.28072057826970859</v>
      </c>
      <c r="F22" s="129">
        <f>5360/20482</f>
        <v>0.26169319402402108</v>
      </c>
      <c r="G22" s="129">
        <f>5289/24598</f>
        <v>0.21501748109602406</v>
      </c>
      <c r="H22" s="129">
        <f>5778/23462</f>
        <v>0.24627056516920978</v>
      </c>
      <c r="I22" s="129">
        <f>6569/28959</f>
        <v>0.22683794329914708</v>
      </c>
    </row>
    <row r="23" spans="3:9">
      <c r="C23" t="s">
        <v>214</v>
      </c>
      <c r="E23" s="129">
        <f>4971/(24007+1828)</f>
        <v>0.19241339268434293</v>
      </c>
      <c r="F23" s="129">
        <f>5360/(1976+25981)</f>
        <v>0.19172300318346031</v>
      </c>
      <c r="G23" s="129">
        <f>5289/(2120+29895)</f>
        <v>0.16520381071372794</v>
      </c>
      <c r="H23" s="129">
        <f>5778/(2177+31788)</f>
        <v>0.17011629618725158</v>
      </c>
      <c r="I23" s="129">
        <f>6569/(2313+34291)</f>
        <v>0.17946126106436455</v>
      </c>
    </row>
    <row r="24" spans="3:9">
      <c r="C24" t="s">
        <v>215</v>
      </c>
      <c r="E24" s="135" t="s">
        <v>222</v>
      </c>
      <c r="F24" s="135" t="s">
        <v>222</v>
      </c>
      <c r="G24" s="129">
        <f>6569/'Revenue model'!H$47</f>
        <v>1.2187384044526901</v>
      </c>
      <c r="H24" s="129">
        <f>6569/'Revenue model'!I$47</f>
        <v>1.2053211009174312</v>
      </c>
      <c r="I24" s="129">
        <f>6569/'Revenue model'!J$47</f>
        <v>1.1031066330814441</v>
      </c>
    </row>
    <row r="25" spans="3:9">
      <c r="C25" t="s">
        <v>216</v>
      </c>
      <c r="E25" s="135" t="s">
        <v>222</v>
      </c>
      <c r="F25" s="135" t="s">
        <v>222</v>
      </c>
      <c r="G25" s="133">
        <f>'Revenue model'!H$51/-'Revenue model'!H$53</f>
        <v>17.741666666666667</v>
      </c>
      <c r="H25" s="133">
        <f>'Revenue model'!I$51/-'Revenue model'!I$53</f>
        <v>16.945945945945947</v>
      </c>
      <c r="I25" s="133">
        <f>'Revenue model'!J$51/-'Revenue model'!J$53</f>
        <v>17.94736842105263</v>
      </c>
    </row>
    <row r="26" spans="3:9">
      <c r="C26" t="s">
        <v>217</v>
      </c>
      <c r="E26" s="135" t="s">
        <v>222</v>
      </c>
      <c r="F26" s="135" t="s">
        <v>222</v>
      </c>
      <c r="G26" s="134">
        <f>'Cash Flow'!$H$23/5289</f>
        <v>1.1586311211949329</v>
      </c>
      <c r="H26" s="134">
        <f>'Cash Flow'!$I$23/5778</f>
        <v>1.0408445829006576</v>
      </c>
      <c r="I26" s="134">
        <f>'Cash Flow'!$J$23/6569</f>
        <v>0.83041558836961482</v>
      </c>
    </row>
    <row r="27" spans="3:9">
      <c r="C27" t="s">
        <v>218</v>
      </c>
      <c r="E27" s="135" t="s">
        <v>222</v>
      </c>
      <c r="F27" s="135" t="s">
        <v>222</v>
      </c>
      <c r="G27" s="134">
        <f>'Revenue model'!H$51/'Revenue model'!H$59</f>
        <v>0.92484795829713295</v>
      </c>
      <c r="H27" s="134">
        <f>'Revenue model'!I$51/'Revenue model'!I$59</f>
        <v>1.5187727089220833</v>
      </c>
      <c r="I27" s="134">
        <f>'Revenue model'!J$51/'Revenue model'!J$59</f>
        <v>1.5027543150936467</v>
      </c>
    </row>
    <row r="28" spans="3:9">
      <c r="C28" s="119" t="s">
        <v>219</v>
      </c>
      <c r="D28" s="119"/>
      <c r="E28" s="119"/>
      <c r="F28" s="119"/>
      <c r="G28" s="119"/>
      <c r="H28" s="119"/>
      <c r="I28" s="119"/>
    </row>
    <row r="29" spans="3:9">
      <c r="C29" t="s">
        <v>220</v>
      </c>
      <c r="E29" s="136">
        <f>20872/705</f>
        <v>29.605673758865247</v>
      </c>
      <c r="F29" s="136">
        <v>33.720478325859489</v>
      </c>
      <c r="G29" s="136">
        <v>26.199516324062877</v>
      </c>
      <c r="H29" s="136">
        <v>28.147477360931436</v>
      </c>
      <c r="I29" s="136">
        <v>28.895077720207254</v>
      </c>
    </row>
    <row r="30" spans="3:9">
      <c r="C30" t="s">
        <v>208</v>
      </c>
      <c r="E30" s="131">
        <f>20872/118296</f>
        <v>0.17643876377899506</v>
      </c>
      <c r="F30" s="131">
        <f>22559/129819</f>
        <v>0.17377271431762684</v>
      </c>
      <c r="G30" s="131">
        <f>'Revenue model'!H$39/137217</f>
        <v>0.15790317526254036</v>
      </c>
      <c r="H30" s="131">
        <f>'Revenue model'!I$39/140406</f>
        <v>0.15496488754041851</v>
      </c>
      <c r="I30" s="131">
        <f>'Revenue model'!J$39/152768</f>
        <v>0.14601879974863846</v>
      </c>
    </row>
    <row r="31" spans="3:9">
      <c r="C31" t="s">
        <v>221</v>
      </c>
      <c r="E31" s="134">
        <f>20872/(118296-100588)</f>
        <v>1.1786763044951434</v>
      </c>
      <c r="F31" s="134">
        <f>22559/(129819-109337)</f>
        <v>1.1014061126843082</v>
      </c>
      <c r="G31" s="134">
        <f>21667/(137217-112619)</f>
        <v>0.88084397105455725</v>
      </c>
      <c r="H31" s="134">
        <f>21758/(140406-116944)</f>
        <v>0.9273719205523826</v>
      </c>
      <c r="I31" s="134">
        <f>22307/(152768-123809)</f>
        <v>0.77029593563313647</v>
      </c>
    </row>
    <row r="43" spans="1:1">
      <c r="A43" s="117" t="s">
        <v>64</v>
      </c>
    </row>
    <row r="47" spans="1:1" ht="5" customHeight="1"/>
    <row r="64" spans="19:19">
      <c r="S64" s="118"/>
    </row>
    <row r="65" spans="18:19">
      <c r="S65" s="118"/>
    </row>
    <row r="66" spans="18:19">
      <c r="R66" s="118"/>
      <c r="S66" s="118"/>
    </row>
    <row r="67" spans="18:19">
      <c r="R67" s="118"/>
      <c r="S67" s="118"/>
    </row>
  </sheetData>
  <phoneticPr fontId="34" type="noConversion"/>
  <pageMargins left="0.7" right="0.7" top="0.75" bottom="0.75" header="0.3" footer="0.3"/>
  <pageSetup orientation="portrait" r:id="rId1"/>
  <ignoredErrors>
    <ignoredError sqref="F23" formula="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Revenue model</vt:lpstr>
      <vt:lpstr>Schedules</vt:lpstr>
      <vt:lpstr>Cash Flow</vt:lpstr>
      <vt:lpstr>DCF</vt:lpstr>
      <vt:lpstr>Financial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lumovest</dc:creator>
  <cp:lastModifiedBy>Microsoft Office User</cp:lastModifiedBy>
  <dcterms:created xsi:type="dcterms:W3CDTF">2017-05-03T13:43:46Z</dcterms:created>
  <dcterms:modified xsi:type="dcterms:W3CDTF">2020-11-28T13:55:07Z</dcterms:modified>
</cp:coreProperties>
</file>