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anepa-my.sharepoint.com/personal/ternovskiy-ds_ranepa_ru/Documents/2022/Темы по продуктам/Отправлено на сайт/Получено/"/>
    </mc:Choice>
  </mc:AlternateContent>
  <xr:revisionPtr revIDLastSave="579" documentId="8_{4F3B083E-9C92-4C27-AA07-A11A7E2D2259}" xr6:coauthVersionLast="47" xr6:coauthVersionMax="47" xr10:uidLastSave="{84C2B559-DE7B-45FF-BBB2-65C3CA722F15}"/>
  <bookViews>
    <workbookView xWindow="2505" yWindow="2505" windowWidth="27675" windowHeight="15075" xr2:uid="{EF8BB419-F027-4294-945C-D3BEC7990AEF}"/>
  </bookViews>
  <sheets>
    <sheet name="Бананы" sheetId="1" r:id="rId1"/>
    <sheet name="Цены Россия" sheetId="2" r:id="rId2"/>
    <sheet name="Цены мир" sheetId="5" r:id="rId3"/>
    <sheet name="Баланс ТР" sheetId="4" r:id="rId4"/>
  </sheets>
  <externalReferences>
    <externalReference r:id="rId5"/>
  </externalReferences>
  <definedNames>
    <definedName name="_ftn1" localSheetId="3">'Баланс ТР'!#REF!</definedName>
    <definedName name="_ftnref1" localSheetId="3">'Баланс ТР'!#REF!</definedName>
    <definedName name="_Toc48138990" localSheetId="3">'Баланс ТР'!#REF!</definedName>
    <definedName name="solver_adj" localSheetId="0" hidden="1">Бананы!$E$12</definedName>
    <definedName name="solver_eng" localSheetId="0" hidden="1">1</definedName>
    <definedName name="solver_opt" localSheetId="0" hidden="1">Бананы!$I$17</definedName>
    <definedName name="solver_typ" localSheetId="0" hidden="1">3</definedName>
    <definedName name="solver_va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P3" i="5"/>
  <c r="C16" i="2" l="1"/>
  <c r="C45" i="1"/>
  <c r="C29" i="1"/>
  <c r="C37" i="1" s="1"/>
  <c r="C26" i="1"/>
  <c r="C25" i="1"/>
  <c r="C24" i="1"/>
  <c r="I16" i="1"/>
  <c r="D12" i="1" s="1"/>
  <c r="D16" i="1"/>
  <c r="D18" i="1" s="1"/>
  <c r="F8" i="1"/>
  <c r="F7" i="1"/>
  <c r="E5" i="1"/>
  <c r="I12" i="1" l="1"/>
  <c r="D5" i="1"/>
  <c r="D19" i="1" s="1"/>
  <c r="C38" i="1"/>
  <c r="C36" i="1"/>
  <c r="C34" i="1"/>
  <c r="C40" i="1"/>
  <c r="C42" i="1"/>
  <c r="C30" i="1"/>
  <c r="C32" i="1"/>
  <c r="C33" i="1"/>
  <c r="C41" i="1"/>
  <c r="D6" i="1" l="1"/>
  <c r="D20" i="1"/>
  <c r="J6" i="1" s="1"/>
  <c r="F5" i="1"/>
  <c r="J7" i="1" l="1"/>
  <c r="J8" i="1" s="1"/>
  <c r="I13" i="1" s="1"/>
  <c r="E4" i="1" l="1"/>
  <c r="I14" i="1"/>
  <c r="I15" i="1" s="1"/>
  <c r="E17" i="1" s="1"/>
  <c r="E15" i="1" l="1"/>
  <c r="B41" i="1" s="1"/>
  <c r="F4" i="1"/>
  <c r="B32" i="1" l="1"/>
  <c r="E19" i="1"/>
  <c r="E20" i="1" s="1"/>
  <c r="B24" i="1"/>
  <c r="D24" i="1" s="1"/>
  <c r="B42" i="1"/>
  <c r="B40" i="1" s="1"/>
  <c r="F15" i="1"/>
  <c r="E16" i="1"/>
  <c r="J16" i="1"/>
  <c r="I17" i="1" s="1"/>
  <c r="H18" i="1" s="1"/>
  <c r="B26" i="1"/>
  <c r="D26" i="1" s="1"/>
  <c r="F17" i="1"/>
  <c r="B29" i="1"/>
  <c r="D29" i="1" s="1"/>
  <c r="B30" i="1"/>
  <c r="D30" i="1" s="1"/>
  <c r="E18" i="1" l="1"/>
  <c r="F16" i="1"/>
  <c r="E6" i="1"/>
  <c r="F6" i="1" l="1"/>
  <c r="E3" i="1"/>
  <c r="B38" i="1" s="1"/>
  <c r="F18" i="1"/>
  <c r="B25" i="1"/>
  <c r="D25" i="1" s="1"/>
  <c r="B45" i="1" l="1"/>
  <c r="D45" i="1" s="1"/>
  <c r="B46" i="1" s="1"/>
  <c r="F3" i="1"/>
  <c r="B37" i="1"/>
  <c r="B36" i="1" s="1"/>
  <c r="B33" i="1"/>
  <c r="B34" i="1" s="1"/>
</calcChain>
</file>

<file path=xl/sharedStrings.xml><?xml version="1.0" encoding="utf-8"?>
<sst xmlns="http://schemas.openxmlformats.org/spreadsheetml/2006/main" count="164" uniqueCount="137">
  <si>
    <t>до</t>
  </si>
  <si>
    <t>после</t>
  </si>
  <si>
    <t>Прирост,%</t>
  </si>
  <si>
    <t>Характеристики ценообразования</t>
  </si>
  <si>
    <t>Значения параметров</t>
  </si>
  <si>
    <t>Розничная цена</t>
  </si>
  <si>
    <t>Pc</t>
  </si>
  <si>
    <t>руб/кг</t>
  </si>
  <si>
    <t>Эластичность совокупного спроса по собственной цене</t>
  </si>
  <si>
    <t>Ed</t>
  </si>
  <si>
    <t>Цена внутреннего производителя</t>
  </si>
  <si>
    <t>Pd</t>
  </si>
  <si>
    <t>Эластичность внутреннего предложения по собственной цене</t>
  </si>
  <si>
    <t>Es</t>
  </si>
  <si>
    <t>Цена импорта</t>
  </si>
  <si>
    <t>Pm</t>
  </si>
  <si>
    <t>Эластичность замещения (Армингтона)</t>
  </si>
  <si>
    <t>Ω</t>
  </si>
  <si>
    <t>Внутренняя цена</t>
  </si>
  <si>
    <t>Pws</t>
  </si>
  <si>
    <t>Эластичность спроса на отечественную продукцию по перекрестной цене</t>
  </si>
  <si>
    <t>Edm</t>
  </si>
  <si>
    <t>Цена на границе</t>
  </si>
  <si>
    <t>Pcif</t>
  </si>
  <si>
    <t>долл США/кг</t>
  </si>
  <si>
    <t>Эластичность спроса на отечественный товар по собственной цене</t>
  </si>
  <si>
    <t>Edd</t>
  </si>
  <si>
    <t>Обменный курс</t>
  </si>
  <si>
    <t>ER</t>
  </si>
  <si>
    <t>руб/долл США</t>
  </si>
  <si>
    <t>Эластичность переноса импортных цен в цены производителя</t>
  </si>
  <si>
    <t>η</t>
  </si>
  <si>
    <t>Ставка тарифа в пределах квоты</t>
  </si>
  <si>
    <t>t_in</t>
  </si>
  <si>
    <t>Параметр апроксимации эффективного уровня тарифа</t>
  </si>
  <si>
    <t>SigDel</t>
  </si>
  <si>
    <t>Ставка тарифа внеквотная</t>
  </si>
  <si>
    <t>t_out</t>
  </si>
  <si>
    <t>Вклад в ИПЦ</t>
  </si>
  <si>
    <t>weght_icp</t>
  </si>
  <si>
    <t>Тарифная квота</t>
  </si>
  <si>
    <t>Qt</t>
  </si>
  <si>
    <t>тыс тонн</t>
  </si>
  <si>
    <t>Эффективный уровень тарифа</t>
  </si>
  <si>
    <t>tia</t>
  </si>
  <si>
    <t>dlnPm</t>
  </si>
  <si>
    <t>dlnPd</t>
  </si>
  <si>
    <t>Количественные характеристики</t>
  </si>
  <si>
    <t>dlnS</t>
  </si>
  <si>
    <t>Внутреннее производство</t>
  </si>
  <si>
    <t>S</t>
  </si>
  <si>
    <t>dlnM</t>
  </si>
  <si>
    <t>Спрос на отечественный товар</t>
  </si>
  <si>
    <t>D</t>
  </si>
  <si>
    <t>Импорт</t>
  </si>
  <si>
    <t>M</t>
  </si>
  <si>
    <t>dt</t>
  </si>
  <si>
    <t>Внутреннее потребление</t>
  </si>
  <si>
    <t>С</t>
  </si>
  <si>
    <t>Доля отечественного товара в обороте</t>
  </si>
  <si>
    <t>Sd</t>
  </si>
  <si>
    <t>Доля импортного товара в обороте</t>
  </si>
  <si>
    <t>Sm</t>
  </si>
  <si>
    <t>Колличественные эффекты</t>
  </si>
  <si>
    <t>Прирост</t>
  </si>
  <si>
    <t>эффект защиты отечественного производства</t>
  </si>
  <si>
    <t>эффект потребления</t>
  </si>
  <si>
    <t>эффект внешней торговли</t>
  </si>
  <si>
    <t>Стоимостные эффекты</t>
  </si>
  <si>
    <t>эффект платежного баланса</t>
  </si>
  <si>
    <t>эффект таможенных сборов</t>
  </si>
  <si>
    <t>эффект перераспределения:</t>
  </si>
  <si>
    <t xml:space="preserve"> - излишек производителя</t>
  </si>
  <si>
    <t xml:space="preserve"> - излишек потребителя</t>
  </si>
  <si>
    <t>эффект экономических потерь</t>
  </si>
  <si>
    <t>Изменение суммы покупок потребителей:</t>
  </si>
  <si>
    <t xml:space="preserve"> - переплата потребителей из-за изменения цен</t>
  </si>
  <si>
    <t xml:space="preserve"> - изменение объема потребления</t>
  </si>
  <si>
    <t>Изменение оборота производителей:</t>
  </si>
  <si>
    <t xml:space="preserve"> - изменение оборота из-за изменения цен</t>
  </si>
  <si>
    <t xml:space="preserve"> - изменение объема производства</t>
  </si>
  <si>
    <t>Ценовые эффекты</t>
  </si>
  <si>
    <t>Изменение средней розничной цены</t>
  </si>
  <si>
    <t>Изменение ИПЦ</t>
  </si>
  <si>
    <t/>
  </si>
  <si>
    <t>Российская Федерация</t>
  </si>
  <si>
    <t>рубль</t>
  </si>
  <si>
    <t>2020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</si>
  <si>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</si>
  <si>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</si>
  <si>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</si>
  <si>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</si>
  <si>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</si>
  <si>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</si>
  <si>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</si>
  <si>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</si>
  <si>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</si>
  <si>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</si>
  <si>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</si>
  <si>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</si>
  <si>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Бананы, кг</t>
  </si>
  <si>
    <t>Period</t>
  </si>
  <si>
    <t>Trade Flow</t>
  </si>
  <si>
    <t>Reporter</t>
  </si>
  <si>
    <t>Partner</t>
  </si>
  <si>
    <t>2nd Partner</t>
  </si>
  <si>
    <t>Customs Desc</t>
  </si>
  <si>
    <t>Transport Mode</t>
  </si>
  <si>
    <t>Commodity Code</t>
  </si>
  <si>
    <t>Trade Value (US$)</t>
  </si>
  <si>
    <t>Net Weight(kg)</t>
  </si>
  <si>
    <t>Gross Weight</t>
  </si>
  <si>
    <t>Qty Unit</t>
  </si>
  <si>
    <t>Qty</t>
  </si>
  <si>
    <t>Alternate Quantity unit</t>
  </si>
  <si>
    <t>Alternate Quantity</t>
  </si>
  <si>
    <t>CIF Value (US$)</t>
  </si>
  <si>
    <t>FOB Value (US$)</t>
  </si>
  <si>
    <t>Russian Federation</t>
  </si>
  <si>
    <t>World</t>
  </si>
  <si>
    <t>TOTAL CPC</t>
  </si>
  <si>
    <t>TOTAL MOT</t>
  </si>
  <si>
    <t>kg</t>
  </si>
  <si>
    <t>$1116756775</t>
  </si>
  <si>
    <t>К содержанию</t>
  </si>
  <si>
    <t>ВАЛОВЫЕ СБОРЫ  ПЛОДОВ,  ЯГОД,  ВИНОГРАДА, ЧАЙНОГО ЛИСТА  И  ХМЕЛЯ  В  РОССИЙСКОЙ ФЕДЕРАЦИИ</t>
  </si>
  <si>
    <t>(хозяйства всех категорий; тысяч тонн)</t>
  </si>
  <si>
    <t>Плодово-ягодные насаждения - всего</t>
  </si>
  <si>
    <t xml:space="preserve">   в том числе:                           семечковые</t>
  </si>
  <si>
    <t>косточковые</t>
  </si>
  <si>
    <t>орехоплодные</t>
  </si>
  <si>
    <t>субтропические</t>
  </si>
  <si>
    <t>цитрусовые</t>
  </si>
  <si>
    <t>ягодники</t>
  </si>
  <si>
    <t>Виноградники</t>
  </si>
  <si>
    <t>Хмель</t>
  </si>
  <si>
    <t>Чай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</si>
</sst>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%"/>
    <numFmt numFmtId="166" formatCode="0.000"/>
    <numFmt numFmtId="167" formatCode="#,##0.####"/>
    <numFmt numFmtId="168" formatCode="[&lt;0.1]##0.00;[=0]&quot;-&quot;;##0.0"/>
    <numFmt numFmtId="169" formatCode="[&lt;0.1]##0.0;[=0]&quot;-&quot;;##0"/>
    <numFmt numFmtId="170" formatCode="[&lt;0.1]##0.0;[=0]&quot;-&quot;;##0.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0"/>
      <color rgb="FF000000"/>
      <name val="Verdana"/>
      <family val="2"/>
      <charset val="204"/>
    </font>
    <font>
      <sz val="10"/>
      <color indexed="18"/>
      <name val="Arial"/>
      <family val="2"/>
      <charset val="204"/>
    </font>
    <font>
      <b/>
      <sz val="11"/>
      <color rgb="FF212529"/>
      <name val="Arial"/>
      <family val="2"/>
      <charset val="204"/>
    </font>
    <font>
      <sz val="11"/>
      <color rgb="FF212529"/>
      <name val="Arial"/>
      <family val="2"/>
      <charset val="204"/>
    </font>
    <font>
      <sz val="9"/>
      <name val="Arial"/>
      <family val="2"/>
      <charset val="204"/>
    </font>
    <font>
      <u/>
      <sz val="10"/>
      <color theme="10"/>
      <name val="Arial Cyr"/>
      <charset val="204"/>
    </font>
    <font>
      <b/>
      <sz val="12"/>
      <name val="Times New Roman"/>
      <family val="1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</font>
    <font>
      <b/>
      <i/>
      <sz val="9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F2F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164" fontId="0" fillId="3" borderId="1" xfId="0" applyNumberFormat="1" applyFill="1" applyBorder="1"/>
    <xf numFmtId="165" fontId="0" fillId="0" borderId="1" xfId="1" applyNumberFormat="1" applyFont="1" applyBorder="1"/>
    <xf numFmtId="2" fontId="0" fillId="4" borderId="1" xfId="0" applyNumberFormat="1" applyFill="1" applyBorder="1"/>
    <xf numFmtId="0" fontId="3" fillId="0" borderId="1" xfId="0" applyFont="1" applyBorder="1"/>
    <xf numFmtId="2" fontId="0" fillId="3" borderId="1" xfId="0" applyNumberFormat="1" applyFill="1" applyBorder="1"/>
    <xf numFmtId="0" fontId="0" fillId="4" borderId="1" xfId="0" applyFill="1" applyBorder="1"/>
    <xf numFmtId="2" fontId="0" fillId="0" borderId="0" xfId="0" applyNumberFormat="1"/>
    <xf numFmtId="1" fontId="0" fillId="3" borderId="1" xfId="0" applyNumberFormat="1" applyFill="1" applyBorder="1"/>
    <xf numFmtId="166" fontId="0" fillId="0" borderId="0" xfId="0" applyNumberFormat="1"/>
    <xf numFmtId="0" fontId="0" fillId="0" borderId="1" xfId="0" applyBorder="1" applyAlignment="1">
      <alignment horizontal="center"/>
    </xf>
    <xf numFmtId="0" fontId="4" fillId="0" borderId="1" xfId="0" applyFont="1" applyBorder="1"/>
    <xf numFmtId="1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2" xfId="0" applyBorder="1"/>
    <xf numFmtId="10" fontId="0" fillId="0" borderId="1" xfId="1" applyNumberFormat="1" applyFont="1" applyBorder="1"/>
    <xf numFmtId="1" fontId="0" fillId="0" borderId="0" xfId="0" applyNumberFormat="1"/>
    <xf numFmtId="0" fontId="5" fillId="5" borderId="3" xfId="0" applyFont="1" applyFill="1" applyBorder="1" applyAlignment="1">
      <alignment vertical="top" wrapText="1"/>
    </xf>
    <xf numFmtId="0" fontId="5" fillId="5" borderId="3" xfId="0" applyFont="1" applyFill="1" applyBorder="1" applyAlignment="1">
      <alignment horizontal="left" vertical="top" wrapText="1"/>
    </xf>
    <xf numFmtId="167" fontId="0" fillId="5" borderId="0" xfId="0" applyNumberFormat="1" applyFill="1" applyAlignment="1">
      <alignment horizontal="right" vertical="top"/>
    </xf>
    <xf numFmtId="164" fontId="0" fillId="2" borderId="1" xfId="0" applyNumberFormat="1" applyFill="1" applyBorder="1"/>
    <xf numFmtId="3" fontId="0" fillId="5" borderId="3" xfId="0" applyNumberFormat="1" applyFill="1" applyBorder="1" applyAlignment="1">
      <alignment horizontal="right" vertical="top"/>
    </xf>
    <xf numFmtId="0" fontId="6" fillId="6" borderId="4" xfId="0" applyFont="1" applyFill="1" applyBorder="1" applyAlignment="1">
      <alignment horizontal="center" wrapText="1"/>
    </xf>
    <xf numFmtId="0" fontId="7" fillId="7" borderId="4" xfId="0" applyFont="1" applyFill="1" applyBorder="1" applyAlignment="1">
      <alignment vertical="top" wrapText="1"/>
    </xf>
    <xf numFmtId="0" fontId="7" fillId="7" borderId="4" xfId="0" applyFont="1" applyFill="1" applyBorder="1" applyAlignment="1">
      <alignment horizontal="right" vertical="top" wrapText="1"/>
    </xf>
    <xf numFmtId="168" fontId="8" fillId="0" borderId="0" xfId="0" applyNumberFormat="1" applyFont="1"/>
    <xf numFmtId="0" fontId="10" fillId="0" borderId="0" xfId="2" applyFont="1" applyFill="1" applyBorder="1" applyAlignment="1" applyProtection="1">
      <alignment vertical="center"/>
    </xf>
    <xf numFmtId="0" fontId="11" fillId="0" borderId="5" xfId="0" applyFont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169" fontId="13" fillId="8" borderId="1" xfId="0" applyNumberFormat="1" applyFont="1" applyFill="1" applyBorder="1" applyAlignment="1">
      <alignment horizontal="center" vertical="center"/>
    </xf>
    <xf numFmtId="169" fontId="13" fillId="8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 wrapText="1" indent="1"/>
    </xf>
    <xf numFmtId="170" fontId="8" fillId="0" borderId="0" xfId="0" applyNumberFormat="1" applyFont="1"/>
    <xf numFmtId="169" fontId="8" fillId="0" borderId="0" xfId="0" applyNumberFormat="1" applyFont="1"/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 vertical="center" wrapText="1"/>
    </xf>
  </cellXfs>
  <cellStyles count="3">
    <cellStyle name="Гиперссылка 2" xfId="2" xr:uid="{F2D58C0C-77B5-404C-9B4D-D0C4E628B872}"/>
    <cellStyle name="Обычный" xfId="0" builtinId="0"/>
    <cellStyle name="Процентный" xfId="1" builtinId="5"/>
  </cellStyles>
  <dxfs count="2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3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590550</xdr:colOff>
          <xdr:row>18</xdr:row>
          <xdr:rowOff>171450</xdr:rowOff>
        </xdr:from>
        <xdr:to>
          <xdr:col>7</xdr:col>
          <xdr:colOff>1514475</xdr:colOff>
          <xdr:row>21</xdr:row>
          <xdr:rowOff>9525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Поиск решения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1182371</xdr:colOff>
      <xdr:row>0</xdr:row>
      <xdr:rowOff>0</xdr:rowOff>
    </xdr:from>
    <xdr:ext cx="297547" cy="317499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2371" y="127001"/>
          <a:ext cx="297547" cy="317499"/>
        </a:xfrm>
        <a:prstGeom prst="rect">
          <a:avLst/>
        </a:prstGeom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8;&#1084;&#1087;&#1086;&#1088;&#1090;_&#1074;&#1089;&#1077;_&#1087;&#1088;&#1086;&#1076;&#1090;&#1086;&#1074;&#1072;&#1088;&#109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1 (2)"/>
      <sheetName val="Лист2"/>
      <sheetName val="Лист3"/>
      <sheetName val="Лист4"/>
      <sheetName val="Лист5"/>
      <sheetName val="Лист6"/>
      <sheetName val="Лист7"/>
      <sheetName val="Импорт_все_продтовары"/>
    </sheetNames>
    <definedNames>
      <definedName name="Макрос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0CFD-5AB7-4773-8B45-8B7C7FB74170}">
  <dimension ref="A1:J52"/>
  <sheetViews>
    <sheetView tabSelected="1" workbookViewId="0">
      <selection activeCell="J11" sqref="J11"/>
    </sheetView>
  </sheetViews>
  <sheetFormatPr defaultRowHeight="15" x14ac:dyDescent="0.25"/>
  <cols>
    <col min="1" max="1" width="49.7109375" customWidth="1"/>
    <col min="2" max="2" width="12.140625" customWidth="1"/>
    <col min="3" max="3" width="17.85546875" customWidth="1"/>
    <col min="4" max="4" width="12.140625" bestFit="1" customWidth="1"/>
    <col min="5" max="5" width="10.5703125" bestFit="1" customWidth="1"/>
    <col min="6" max="6" width="11.5703125" customWidth="1"/>
    <col min="8" max="8" width="71" customWidth="1"/>
    <col min="9" max="9" width="10.5703125" customWidth="1"/>
  </cols>
  <sheetData>
    <row r="1" spans="1:10" x14ac:dyDescent="0.25">
      <c r="D1" s="1" t="s">
        <v>0</v>
      </c>
      <c r="E1" s="1" t="s">
        <v>1</v>
      </c>
      <c r="F1" s="1" t="s">
        <v>2</v>
      </c>
    </row>
    <row r="2" spans="1:10" x14ac:dyDescent="0.25">
      <c r="A2" s="39" t="s">
        <v>3</v>
      </c>
      <c r="B2" s="39"/>
      <c r="C2" s="39"/>
      <c r="D2" s="39"/>
      <c r="E2" s="39"/>
      <c r="F2" s="2"/>
      <c r="H2" s="39" t="s">
        <v>4</v>
      </c>
      <c r="I2" s="39"/>
      <c r="J2" s="39"/>
    </row>
    <row r="3" spans="1:10" x14ac:dyDescent="0.25">
      <c r="A3" s="2" t="s">
        <v>5</v>
      </c>
      <c r="B3" s="2" t="s">
        <v>6</v>
      </c>
      <c r="C3" s="2" t="s">
        <v>7</v>
      </c>
      <c r="D3" s="3">
        <v>75.2</v>
      </c>
      <c r="E3" s="4">
        <f>D3-D6+E6</f>
        <v>73.088839472209997</v>
      </c>
      <c r="F3" s="5">
        <f>E3/D3-1</f>
        <v>-2.8073943188696826E-2</v>
      </c>
      <c r="H3" s="2" t="s">
        <v>8</v>
      </c>
      <c r="I3" s="2" t="s">
        <v>9</v>
      </c>
      <c r="J3" s="6">
        <v>-0.84</v>
      </c>
    </row>
    <row r="4" spans="1:10" x14ac:dyDescent="0.25">
      <c r="A4" s="2" t="s">
        <v>10</v>
      </c>
      <c r="B4" s="2" t="s">
        <v>11</v>
      </c>
      <c r="C4" s="2" t="s">
        <v>7</v>
      </c>
      <c r="D4" s="24">
        <v>0</v>
      </c>
      <c r="E4" s="4">
        <f>D4*EXP(I13)</f>
        <v>0</v>
      </c>
      <c r="F4" s="5" t="e">
        <f t="shared" ref="F4:F8" si="0">E4/D4-1</f>
        <v>#DIV/0!</v>
      </c>
      <c r="H4" s="2" t="s">
        <v>12</v>
      </c>
      <c r="I4" s="2" t="s">
        <v>13</v>
      </c>
      <c r="J4" s="6">
        <v>0</v>
      </c>
    </row>
    <row r="5" spans="1:10" x14ac:dyDescent="0.25">
      <c r="A5" s="2" t="s">
        <v>14</v>
      </c>
      <c r="B5" s="2" t="s">
        <v>15</v>
      </c>
      <c r="C5" s="2" t="s">
        <v>7</v>
      </c>
      <c r="D5" s="4">
        <f>D7*D8*(1+D12)</f>
        <v>54.890160000000002</v>
      </c>
      <c r="E5" s="4">
        <f>E7*E8*(1+E12)</f>
        <v>52.778999472209996</v>
      </c>
      <c r="F5" s="5">
        <f t="shared" si="0"/>
        <v>-3.8461548076923147E-2</v>
      </c>
      <c r="H5" s="2" t="s">
        <v>16</v>
      </c>
      <c r="I5" s="7" t="s">
        <v>17</v>
      </c>
      <c r="J5" s="6">
        <v>1.85</v>
      </c>
    </row>
    <row r="6" spans="1:10" x14ac:dyDescent="0.25">
      <c r="A6" s="2" t="s">
        <v>18</v>
      </c>
      <c r="B6" s="2" t="s">
        <v>19</v>
      </c>
      <c r="C6" s="2" t="s">
        <v>7</v>
      </c>
      <c r="D6" s="4">
        <f>D4*D16/(D16+D17)+D5*D17/(D16+D17)</f>
        <v>54.890160000000002</v>
      </c>
      <c r="E6" s="4">
        <f>E4*E16/(E16+E17)+E5*E17/(E16+E17)</f>
        <v>52.778999472209996</v>
      </c>
      <c r="F6" s="5">
        <f t="shared" si="0"/>
        <v>-3.8461548076923147E-2</v>
      </c>
      <c r="H6" s="2" t="s">
        <v>20</v>
      </c>
      <c r="I6" s="7" t="s">
        <v>21</v>
      </c>
      <c r="J6" s="8">
        <f>(J5+J3)*D20</f>
        <v>1.0100000000000002</v>
      </c>
    </row>
    <row r="7" spans="1:10" x14ac:dyDescent="0.25">
      <c r="A7" s="2" t="s">
        <v>22</v>
      </c>
      <c r="B7" s="2" t="s">
        <v>23</v>
      </c>
      <c r="C7" s="2" t="s">
        <v>24</v>
      </c>
      <c r="D7" s="3">
        <v>0.73</v>
      </c>
      <c r="E7" s="2">
        <v>0.73</v>
      </c>
      <c r="F7" s="5">
        <f t="shared" si="0"/>
        <v>0</v>
      </c>
      <c r="H7" s="2" t="s">
        <v>25</v>
      </c>
      <c r="I7" s="7" t="s">
        <v>26</v>
      </c>
      <c r="J7" s="8">
        <f>J3*D19-J5*D20</f>
        <v>-1.85</v>
      </c>
    </row>
    <row r="8" spans="1:10" x14ac:dyDescent="0.25">
      <c r="A8" s="2" t="s">
        <v>27</v>
      </c>
      <c r="B8" s="2" t="s">
        <v>28</v>
      </c>
      <c r="C8" s="2" t="s">
        <v>29</v>
      </c>
      <c r="D8" s="3">
        <v>72.3</v>
      </c>
      <c r="E8" s="2">
        <v>72.3</v>
      </c>
      <c r="F8" s="5">
        <f t="shared" si="0"/>
        <v>0</v>
      </c>
      <c r="H8" s="2" t="s">
        <v>30</v>
      </c>
      <c r="I8" s="7" t="s">
        <v>31</v>
      </c>
      <c r="J8" s="8">
        <f>J6/(J4-J7)</f>
        <v>0.54594594594594603</v>
      </c>
    </row>
    <row r="9" spans="1:10" x14ac:dyDescent="0.25">
      <c r="A9" s="2" t="s">
        <v>32</v>
      </c>
      <c r="B9" s="2" t="s">
        <v>33</v>
      </c>
      <c r="C9" s="2"/>
      <c r="D9" s="3">
        <v>0</v>
      </c>
      <c r="E9" s="2">
        <v>0</v>
      </c>
      <c r="F9" s="5"/>
      <c r="H9" s="2" t="s">
        <v>34</v>
      </c>
      <c r="I9" s="7" t="s">
        <v>35</v>
      </c>
      <c r="J9" s="9">
        <v>100</v>
      </c>
    </row>
    <row r="10" spans="1:10" x14ac:dyDescent="0.25">
      <c r="A10" s="2" t="s">
        <v>36</v>
      </c>
      <c r="B10" s="2" t="s">
        <v>37</v>
      </c>
      <c r="C10" s="2"/>
      <c r="D10" s="3">
        <v>0.04</v>
      </c>
      <c r="E10" s="2">
        <v>0</v>
      </c>
      <c r="F10" s="5"/>
      <c r="H10" s="2" t="s">
        <v>38</v>
      </c>
      <c r="I10" s="7" t="s">
        <v>39</v>
      </c>
      <c r="J10" s="2">
        <v>0.30299999999999999</v>
      </c>
    </row>
    <row r="11" spans="1:10" x14ac:dyDescent="0.25">
      <c r="A11" s="2" t="s">
        <v>40</v>
      </c>
      <c r="B11" s="2" t="s">
        <v>41</v>
      </c>
      <c r="C11" s="2" t="s">
        <v>42</v>
      </c>
      <c r="D11" s="3">
        <v>0</v>
      </c>
      <c r="E11" s="2">
        <v>0</v>
      </c>
      <c r="F11" s="5"/>
    </row>
    <row r="12" spans="1:10" x14ac:dyDescent="0.25">
      <c r="A12" s="2" t="s">
        <v>43</v>
      </c>
      <c r="B12" s="2" t="s">
        <v>44</v>
      </c>
      <c r="C12" s="2"/>
      <c r="D12" s="8">
        <f>I16</f>
        <v>0.04</v>
      </c>
      <c r="E12" s="8">
        <v>-9.9999999392252903E-9</v>
      </c>
      <c r="F12" s="5"/>
      <c r="H12" t="s">
        <v>45</v>
      </c>
      <c r="I12" s="10">
        <f>LN(E7)-LN(D7)+LN(E8)-LN(D8)+(LN(E12+1)-LN(D12+1))</f>
        <v>-3.9220723153281317E-2</v>
      </c>
    </row>
    <row r="13" spans="1:10" x14ac:dyDescent="0.25">
      <c r="D13" s="10"/>
      <c r="E13" s="10"/>
      <c r="H13" t="s">
        <v>46</v>
      </c>
      <c r="I13">
        <f>J8*I12</f>
        <v>-2.1412394802602236E-2</v>
      </c>
    </row>
    <row r="14" spans="1:10" x14ac:dyDescent="0.25">
      <c r="A14" s="39" t="s">
        <v>47</v>
      </c>
      <c r="B14" s="39"/>
      <c r="C14" s="39"/>
      <c r="D14" s="39"/>
      <c r="E14" s="39"/>
      <c r="F14" s="2"/>
      <c r="H14" t="s">
        <v>48</v>
      </c>
      <c r="I14">
        <f>I13*J4</f>
        <v>0</v>
      </c>
    </row>
    <row r="15" spans="1:10" x14ac:dyDescent="0.25">
      <c r="A15" s="2" t="s">
        <v>49</v>
      </c>
      <c r="B15" s="2" t="s">
        <v>50</v>
      </c>
      <c r="C15" s="2" t="s">
        <v>42</v>
      </c>
      <c r="D15" s="3">
        <v>0</v>
      </c>
      <c r="E15" s="11">
        <f>D15*EXP(I14)</f>
        <v>0</v>
      </c>
      <c r="F15" s="5" t="e">
        <f>E15/D15-1</f>
        <v>#DIV/0!</v>
      </c>
      <c r="H15" t="s">
        <v>51</v>
      </c>
      <c r="I15">
        <f>I14+J5*(J8-1)*I12</f>
        <v>3.2945407448756299E-2</v>
      </c>
    </row>
    <row r="16" spans="1:10" x14ac:dyDescent="0.25">
      <c r="A16" s="2" t="s">
        <v>52</v>
      </c>
      <c r="B16" s="2" t="s">
        <v>53</v>
      </c>
      <c r="C16" s="2" t="s">
        <v>42</v>
      </c>
      <c r="D16" s="11">
        <f>D15</f>
        <v>0</v>
      </c>
      <c r="E16" s="11">
        <f>E15</f>
        <v>0</v>
      </c>
      <c r="F16" s="5" t="e">
        <f t="shared" ref="F16:F18" si="1">E16/D16-1</f>
        <v>#DIV/0!</v>
      </c>
      <c r="H16" t="s">
        <v>44</v>
      </c>
      <c r="I16" s="12">
        <f>D9+EXP(MIN(0,(D17-(D11+0.001))/(D11+0.001)*J9))/(1+EXP(-ABS(D17-(D11+0.001))/(D11+0.001)*J9))*(D10-D9)</f>
        <v>0.04</v>
      </c>
      <c r="J16" s="12">
        <f>E9+EXP(MIN(0,(E17-(E11+0.001))/(E11+0.001)*J9))/(1+EXP(-ABS(E17-(E11+0.001))/(E11+0.001)*J9))*(E10-E9)</f>
        <v>0</v>
      </c>
    </row>
    <row r="17" spans="1:9" x14ac:dyDescent="0.25">
      <c r="A17" s="2" t="s">
        <v>54</v>
      </c>
      <c r="B17" s="2" t="s">
        <v>55</v>
      </c>
      <c r="C17" s="2" t="s">
        <v>42</v>
      </c>
      <c r="D17" s="3">
        <v>1515.71</v>
      </c>
      <c r="E17" s="11">
        <f>D17*EXP(I15)</f>
        <v>1566.4773675031163</v>
      </c>
      <c r="F17" s="5">
        <f t="shared" si="1"/>
        <v>3.3494116620670367E-2</v>
      </c>
      <c r="H17" t="s">
        <v>56</v>
      </c>
      <c r="I17" s="12">
        <f>J16-E12</f>
        <v>9.9999999392252903E-9</v>
      </c>
    </row>
    <row r="18" spans="1:9" x14ac:dyDescent="0.25">
      <c r="A18" s="2" t="s">
        <v>57</v>
      </c>
      <c r="B18" s="2" t="s">
        <v>58</v>
      </c>
      <c r="C18" s="2" t="s">
        <v>42</v>
      </c>
      <c r="D18" s="11">
        <f>D16+D17</f>
        <v>1515.71</v>
      </c>
      <c r="E18" s="11">
        <f>E16+E17</f>
        <v>1566.4773675031163</v>
      </c>
      <c r="F18" s="5">
        <f t="shared" si="1"/>
        <v>3.3494116620670367E-2</v>
      </c>
      <c r="H18" t="str">
        <f>IF(SUMSQ(I17)&lt;0.000001,"Сошлось","Не сошлось")</f>
        <v>Сошлось</v>
      </c>
    </row>
    <row r="19" spans="1:9" x14ac:dyDescent="0.25">
      <c r="A19" s="2" t="s">
        <v>59</v>
      </c>
      <c r="B19" s="2" t="s">
        <v>60</v>
      </c>
      <c r="C19" s="2"/>
      <c r="D19" s="8">
        <f>D4*D15/(D4*D15+D5*D17)</f>
        <v>0</v>
      </c>
      <c r="E19" s="8">
        <f>E4*E15/(E4*E15+E5*E17)</f>
        <v>0</v>
      </c>
      <c r="F19" s="5"/>
    </row>
    <row r="20" spans="1:9" x14ac:dyDescent="0.25">
      <c r="A20" s="2" t="s">
        <v>61</v>
      </c>
      <c r="B20" s="2" t="s">
        <v>62</v>
      </c>
      <c r="C20" s="2"/>
      <c r="D20" s="8">
        <f>1-D19</f>
        <v>1</v>
      </c>
      <c r="E20" s="8">
        <f>1-E19</f>
        <v>1</v>
      </c>
      <c r="F20" s="5"/>
    </row>
    <row r="23" spans="1:9" x14ac:dyDescent="0.25">
      <c r="A23" s="2" t="s">
        <v>63</v>
      </c>
      <c r="B23" s="2"/>
      <c r="C23" s="2"/>
      <c r="D23" s="13" t="s">
        <v>64</v>
      </c>
    </row>
    <row r="24" spans="1:9" x14ac:dyDescent="0.25">
      <c r="A24" s="14" t="s">
        <v>65</v>
      </c>
      <c r="B24" s="16">
        <f>E15-D15</f>
        <v>0</v>
      </c>
      <c r="C24" s="15" t="str">
        <f>C15</f>
        <v>тыс тонн</v>
      </c>
      <c r="D24" s="5" t="e">
        <f>B24/D15</f>
        <v>#DIV/0!</v>
      </c>
    </row>
    <row r="25" spans="1:9" x14ac:dyDescent="0.25">
      <c r="A25" s="14" t="s">
        <v>66</v>
      </c>
      <c r="B25" s="16">
        <f>E18-D18</f>
        <v>50.767367503116247</v>
      </c>
      <c r="C25" s="15" t="str">
        <f>C18</f>
        <v>тыс тонн</v>
      </c>
      <c r="D25" s="5">
        <f>B25/D18</f>
        <v>3.3494116620670346E-2</v>
      </c>
    </row>
    <row r="26" spans="1:9" x14ac:dyDescent="0.25">
      <c r="A26" s="14" t="s">
        <v>67</v>
      </c>
      <c r="B26" s="16">
        <f>E17-D17</f>
        <v>50.767367503116247</v>
      </c>
      <c r="C26" s="15" t="str">
        <f>C17</f>
        <v>тыс тонн</v>
      </c>
      <c r="D26" s="5">
        <f>B26/D17</f>
        <v>3.3494116620670346E-2</v>
      </c>
    </row>
    <row r="28" spans="1:9" x14ac:dyDescent="0.25">
      <c r="A28" s="14" t="s">
        <v>68</v>
      </c>
      <c r="B28" s="2"/>
      <c r="C28" s="2"/>
      <c r="D28" s="2"/>
    </row>
    <row r="29" spans="1:9" x14ac:dyDescent="0.25">
      <c r="A29" s="14" t="s">
        <v>69</v>
      </c>
      <c r="B29" s="15">
        <f>-(E7*E8*E17-D7*D8*D17)</f>
        <v>-2679.4508894469764</v>
      </c>
      <c r="C29" s="15" t="str">
        <f>_xlfn.CONCAT(C17,"*",C5)</f>
        <v>тыс тонн*руб/кг</v>
      </c>
      <c r="D29" s="5">
        <f>B29/(D7*D8*D17)</f>
        <v>-3.3494116620670394E-2</v>
      </c>
    </row>
    <row r="30" spans="1:9" x14ac:dyDescent="0.25">
      <c r="A30" s="14" t="s">
        <v>70</v>
      </c>
      <c r="B30" s="16">
        <f>E5*(1-1/(1+E12))*E17-D5*(1-1/(1+D12))*D17</f>
        <v>-3199.9071503710838</v>
      </c>
      <c r="C30" s="15" t="str">
        <f>C29</f>
        <v>тыс тонн*руб/кг</v>
      </c>
      <c r="D30" s="5">
        <f>B30/(D5*(1-1/(1+(MIN(D11,D17)*D9+MAX(0,D17-D11)*D10)/D17))*D17)</f>
        <v>-1.000000258373525</v>
      </c>
    </row>
    <row r="31" spans="1:9" x14ac:dyDescent="0.25">
      <c r="A31" s="14" t="s">
        <v>71</v>
      </c>
      <c r="B31" s="2"/>
      <c r="C31" s="2"/>
      <c r="D31" s="2"/>
    </row>
    <row r="32" spans="1:9" x14ac:dyDescent="0.25">
      <c r="A32" s="2" t="s">
        <v>72</v>
      </c>
      <c r="B32" s="16">
        <f>D15*(E4-D4)+0.5*(E4-D4)*(E15-D15)</f>
        <v>0</v>
      </c>
      <c r="C32" s="16" t="str">
        <f>C29</f>
        <v>тыс тонн*руб/кг</v>
      </c>
      <c r="D32" s="2"/>
    </row>
    <row r="33" spans="1:7" x14ac:dyDescent="0.25">
      <c r="A33" s="2" t="s">
        <v>73</v>
      </c>
      <c r="B33" s="16">
        <f>-(D18*(E3-D3)+0.5*(E3-D3)*(E18-D18))</f>
        <v>3253.4961547627831</v>
      </c>
      <c r="C33" s="16" t="str">
        <f>C29</f>
        <v>тыс тонн*руб/кг</v>
      </c>
      <c r="D33" s="2"/>
    </row>
    <row r="34" spans="1:7" x14ac:dyDescent="0.25">
      <c r="A34" s="14" t="s">
        <v>74</v>
      </c>
      <c r="B34" s="16">
        <f>B32+B33+B30</f>
        <v>53.589004391699291</v>
      </c>
      <c r="C34" s="16" t="str">
        <f>C29</f>
        <v>тыс тонн*руб/кг</v>
      </c>
      <c r="D34" s="2"/>
      <c r="F34" s="17"/>
      <c r="G34" s="17"/>
    </row>
    <row r="35" spans="1:7" x14ac:dyDescent="0.25">
      <c r="A35" s="2"/>
      <c r="B35" s="2"/>
      <c r="C35" s="2"/>
      <c r="D35" s="2"/>
    </row>
    <row r="36" spans="1:7" x14ac:dyDescent="0.25">
      <c r="A36" s="2" t="s">
        <v>75</v>
      </c>
      <c r="B36" s="16">
        <f>B37+B38</f>
        <v>510.62085028536467</v>
      </c>
      <c r="C36" s="16" t="str">
        <f>C29</f>
        <v>тыс тонн*руб/кг</v>
      </c>
      <c r="D36" s="2"/>
    </row>
    <row r="37" spans="1:7" x14ac:dyDescent="0.25">
      <c r="A37" s="2" t="s">
        <v>76</v>
      </c>
      <c r="B37" s="16">
        <f>D18*(E3-D3)+0.5*(E3-D3)*(E18-D18)</f>
        <v>-3253.4961547627831</v>
      </c>
      <c r="C37" s="16" t="str">
        <f>C29</f>
        <v>тыс тонн*руб/кг</v>
      </c>
      <c r="D37" s="2"/>
    </row>
    <row r="38" spans="1:7" x14ac:dyDescent="0.25">
      <c r="A38" s="2" t="s">
        <v>77</v>
      </c>
      <c r="B38" s="16">
        <f>D3*(E18-D18)+0.5*(E3-D3)*(E18-D18)</f>
        <v>3764.1170050481478</v>
      </c>
      <c r="C38" s="16" t="str">
        <f>C29</f>
        <v>тыс тонн*руб/кг</v>
      </c>
      <c r="D38" s="2"/>
    </row>
    <row r="39" spans="1:7" x14ac:dyDescent="0.25">
      <c r="A39" s="18"/>
      <c r="B39" s="18"/>
      <c r="C39" s="2"/>
      <c r="D39" s="2"/>
    </row>
    <row r="40" spans="1:7" x14ac:dyDescent="0.25">
      <c r="A40" s="2" t="s">
        <v>78</v>
      </c>
      <c r="B40" s="16">
        <f>B41+B42</f>
        <v>0</v>
      </c>
      <c r="C40" s="16" t="str">
        <f>C29</f>
        <v>тыс тонн*руб/кг</v>
      </c>
      <c r="D40" s="2"/>
    </row>
    <row r="41" spans="1:7" x14ac:dyDescent="0.25">
      <c r="A41" s="2" t="s">
        <v>79</v>
      </c>
      <c r="B41" s="16">
        <f>D15*(E4-D4)+0.5*(E4-D4)*(E15-D15)</f>
        <v>0</v>
      </c>
      <c r="C41" s="16" t="str">
        <f>C29</f>
        <v>тыс тонн*руб/кг</v>
      </c>
      <c r="D41" s="2"/>
    </row>
    <row r="42" spans="1:7" x14ac:dyDescent="0.25">
      <c r="A42" s="2" t="s">
        <v>80</v>
      </c>
      <c r="B42" s="16">
        <f>D4*(E15-D15)+0.5*(E4-D4)*(E15-D15)</f>
        <v>0</v>
      </c>
      <c r="C42" s="16" t="str">
        <f>C29</f>
        <v>тыс тонн*руб/кг</v>
      </c>
      <c r="D42" s="2"/>
    </row>
    <row r="44" spans="1:7" x14ac:dyDescent="0.25">
      <c r="A44" s="2" t="s">
        <v>81</v>
      </c>
      <c r="B44" s="2"/>
      <c r="C44" s="2"/>
      <c r="D44" s="2"/>
    </row>
    <row r="45" spans="1:7" x14ac:dyDescent="0.25">
      <c r="A45" s="2" t="s">
        <v>82</v>
      </c>
      <c r="B45" s="16">
        <f>E3-D3</f>
        <v>-2.1111605277900054</v>
      </c>
      <c r="C45" s="2" t="str">
        <f>C3</f>
        <v>руб/кг</v>
      </c>
      <c r="D45" s="5">
        <f>B45/D3</f>
        <v>-2.8073943188696878E-2</v>
      </c>
    </row>
    <row r="46" spans="1:7" x14ac:dyDescent="0.25">
      <c r="A46" s="2" t="s">
        <v>83</v>
      </c>
      <c r="B46" s="19">
        <f>D45*J10/100</f>
        <v>-8.5064047861751533E-5</v>
      </c>
      <c r="C46" s="2"/>
      <c r="D46" s="2"/>
    </row>
    <row r="47" spans="1:7" x14ac:dyDescent="0.25">
      <c r="B47" s="20"/>
    </row>
    <row r="48" spans="1:7" x14ac:dyDescent="0.25">
      <c r="B48" s="20"/>
    </row>
    <row r="50" spans="2:2" x14ac:dyDescent="0.25">
      <c r="B50" s="20"/>
    </row>
    <row r="51" spans="2:2" x14ac:dyDescent="0.25">
      <c r="B51" s="20"/>
    </row>
    <row r="52" spans="2:2" x14ac:dyDescent="0.25">
      <c r="B52" s="20"/>
    </row>
  </sheetData>
  <mergeCells count="3">
    <mergeCell ref="A2:E2"/>
    <mergeCell ref="H2:J2"/>
    <mergeCell ref="A14:E14"/>
  </mergeCells>
  <conditionalFormatting sqref="F3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cellIs" dxfId="1" priority="1" operator="equal">
      <formula>"Не сошлось"</formula>
    </cfRule>
    <cfRule type="cellIs" dxfId="0" priority="2" operator="equal">
      <formula>"Сошлось"</formula>
    </cfRule>
  </conditionalFormatting>
  <conditionalFormatting sqref="F15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Макрос1">
                <anchor moveWithCells="1" sizeWithCells="1">
                  <from>
                    <xdr:col>6</xdr:col>
                    <xdr:colOff>590550</xdr:colOff>
                    <xdr:row>18</xdr:row>
                    <xdr:rowOff>171450</xdr:rowOff>
                  </from>
                  <to>
                    <xdr:col>7</xdr:col>
                    <xdr:colOff>1514475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953E-C9CE-40EB-A7C6-B8EAD8C07122}">
  <dimension ref="A1:C16"/>
  <sheetViews>
    <sheetView workbookViewId="0">
      <selection activeCell="K9" sqref="K9"/>
    </sheetView>
  </sheetViews>
  <sheetFormatPr defaultRowHeight="15" x14ac:dyDescent="0.25"/>
  <cols>
    <col min="3" max="3" width="12.85546875" customWidth="1"/>
  </cols>
  <sheetData>
    <row r="1" spans="1:3" x14ac:dyDescent="0.25">
      <c r="A1" s="21" t="s">
        <v>84</v>
      </c>
      <c r="B1" s="21" t="s">
        <v>84</v>
      </c>
      <c r="C1" s="22" t="s">
        <v>100</v>
      </c>
    </row>
    <row r="2" spans="1:3" ht="25.5" x14ac:dyDescent="0.25">
      <c r="A2" s="21" t="s">
        <v>84</v>
      </c>
      <c r="B2" s="21" t="s">
        <v>84</v>
      </c>
      <c r="C2" s="22" t="s">
        <v>85</v>
      </c>
    </row>
    <row r="3" spans="1:3" x14ac:dyDescent="0.25">
      <c r="A3" s="21" t="s">
        <v>84</v>
      </c>
      <c r="B3" s="21" t="s">
        <v>84</v>
      </c>
      <c r="C3" s="22" t="s">
        <v>86</v>
      </c>
    </row>
    <row r="4" spans="1:3" x14ac:dyDescent="0.25">
      <c r="A4" s="21" t="s">
        <v>87</v>
      </c>
      <c r="B4" s="22" t="s">
        <v>88</v>
      </c>
      <c r="C4" s="23">
        <v>74.97</v>
      </c>
    </row>
    <row r="5" spans="1:3" x14ac:dyDescent="0.25">
      <c r="A5" s="21" t="s">
        <v>84</v>
      </c>
      <c r="B5" s="22" t="s">
        <v>89</v>
      </c>
      <c r="C5" s="23">
        <v>75.44</v>
      </c>
    </row>
    <row r="6" spans="1:3" x14ac:dyDescent="0.25">
      <c r="A6" s="21" t="s">
        <v>84</v>
      </c>
      <c r="B6" s="22" t="s">
        <v>90</v>
      </c>
      <c r="C6" s="23">
        <v>76.02</v>
      </c>
    </row>
    <row r="7" spans="1:3" x14ac:dyDescent="0.25">
      <c r="A7" s="21" t="s">
        <v>84</v>
      </c>
      <c r="B7" s="22" t="s">
        <v>91</v>
      </c>
      <c r="C7" s="23">
        <v>79.400000000000006</v>
      </c>
    </row>
    <row r="8" spans="1:3" x14ac:dyDescent="0.25">
      <c r="A8" s="21" t="s">
        <v>84</v>
      </c>
      <c r="B8" s="22" t="s">
        <v>92</v>
      </c>
      <c r="C8" s="25">
        <v>83</v>
      </c>
    </row>
    <row r="9" spans="1:3" x14ac:dyDescent="0.25">
      <c r="A9" s="21" t="s">
        <v>84</v>
      </c>
      <c r="B9" s="22" t="s">
        <v>93</v>
      </c>
      <c r="C9" s="23">
        <v>80.430000000000007</v>
      </c>
    </row>
    <row r="10" spans="1:3" x14ac:dyDescent="0.25">
      <c r="A10" s="21" t="s">
        <v>84</v>
      </c>
      <c r="B10" s="22" t="s">
        <v>94</v>
      </c>
      <c r="C10" s="23">
        <v>74.69</v>
      </c>
    </row>
    <row r="11" spans="1:3" x14ac:dyDescent="0.25">
      <c r="A11" s="21" t="s">
        <v>84</v>
      </c>
      <c r="B11" s="22" t="s">
        <v>95</v>
      </c>
      <c r="C11" s="23">
        <v>69.03</v>
      </c>
    </row>
    <row r="12" spans="1:3" x14ac:dyDescent="0.25">
      <c r="A12" s="21" t="s">
        <v>84</v>
      </c>
      <c r="B12" s="22" t="s">
        <v>96</v>
      </c>
      <c r="C12" s="23">
        <v>69.75</v>
      </c>
    </row>
    <row r="13" spans="1:3" x14ac:dyDescent="0.25">
      <c r="A13" s="21" t="s">
        <v>84</v>
      </c>
      <c r="B13" s="22" t="s">
        <v>97</v>
      </c>
      <c r="C13" s="23">
        <v>71.209999999999994</v>
      </c>
    </row>
    <row r="14" spans="1:3" x14ac:dyDescent="0.25">
      <c r="A14" s="21" t="s">
        <v>84</v>
      </c>
      <c r="B14" s="22" t="s">
        <v>98</v>
      </c>
      <c r="C14" s="23">
        <v>73.05</v>
      </c>
    </row>
    <row r="15" spans="1:3" x14ac:dyDescent="0.25">
      <c r="A15" s="21" t="s">
        <v>84</v>
      </c>
      <c r="B15" s="22" t="s">
        <v>99</v>
      </c>
      <c r="C15" s="23">
        <v>75.09</v>
      </c>
    </row>
    <row r="16" spans="1:3" x14ac:dyDescent="0.25">
      <c r="C16" s="17">
        <f>AVERAGE(C4:C15)</f>
        <v>75.173333333333332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CABB-3C24-4DC1-9B42-2EF50B08D510}">
  <dimension ref="A1:Q3"/>
  <sheetViews>
    <sheetView workbookViewId="0">
      <selection activeCell="M7" sqref="M7"/>
    </sheetView>
  </sheetViews>
  <sheetFormatPr defaultRowHeight="15" x14ac:dyDescent="0.25"/>
  <cols>
    <col min="9" max="9" width="15.140625" customWidth="1"/>
    <col min="10" max="10" width="14.28515625" customWidth="1"/>
    <col min="13" max="13" width="13" customWidth="1"/>
    <col min="15" max="15" width="12.5703125" customWidth="1"/>
    <col min="16" max="16" width="16" customWidth="1"/>
  </cols>
  <sheetData>
    <row r="1" spans="1:17" ht="60.75" thickBot="1" x14ac:dyDescent="0.3">
      <c r="A1" s="26" t="s">
        <v>101</v>
      </c>
      <c r="B1" s="26" t="s">
        <v>102</v>
      </c>
      <c r="C1" s="26" t="s">
        <v>103</v>
      </c>
      <c r="D1" s="26" t="s">
        <v>104</v>
      </c>
      <c r="E1" s="26" t="s">
        <v>105</v>
      </c>
      <c r="F1" s="26" t="s">
        <v>106</v>
      </c>
      <c r="G1" s="26" t="s">
        <v>107</v>
      </c>
      <c r="H1" s="26" t="s">
        <v>108</v>
      </c>
      <c r="I1" s="26" t="s">
        <v>109</v>
      </c>
      <c r="J1" s="26" t="s">
        <v>110</v>
      </c>
      <c r="K1" s="26" t="s">
        <v>111</v>
      </c>
      <c r="L1" s="26" t="s">
        <v>112</v>
      </c>
      <c r="M1" s="26" t="s">
        <v>113</v>
      </c>
      <c r="N1" s="26" t="s">
        <v>114</v>
      </c>
      <c r="O1" s="26" t="s">
        <v>115</v>
      </c>
      <c r="P1" s="26" t="s">
        <v>116</v>
      </c>
      <c r="Q1" s="26" t="s">
        <v>117</v>
      </c>
    </row>
    <row r="2" spans="1:17" ht="43.5" thickBot="1" x14ac:dyDescent="0.3">
      <c r="A2" s="27">
        <v>2020</v>
      </c>
      <c r="B2" s="27" t="s">
        <v>55</v>
      </c>
      <c r="C2" s="27" t="s">
        <v>118</v>
      </c>
      <c r="D2" s="27" t="s">
        <v>119</v>
      </c>
      <c r="E2" s="27" t="s">
        <v>119</v>
      </c>
      <c r="F2" s="27" t="s">
        <v>120</v>
      </c>
      <c r="G2" s="27" t="s">
        <v>121</v>
      </c>
      <c r="H2" s="27">
        <v>80390</v>
      </c>
      <c r="I2" s="28" t="s">
        <v>123</v>
      </c>
      <c r="J2" s="28">
        <v>1515711689</v>
      </c>
      <c r="K2" s="28"/>
      <c r="L2" s="27" t="s">
        <v>122</v>
      </c>
      <c r="M2" s="28">
        <v>1515711689</v>
      </c>
      <c r="N2" s="27" t="s">
        <v>122</v>
      </c>
      <c r="O2" s="28">
        <v>1515711689</v>
      </c>
      <c r="P2" s="27">
        <v>1116756775.9000001</v>
      </c>
      <c r="Q2" s="27">
        <v>0</v>
      </c>
    </row>
    <row r="3" spans="1:17" x14ac:dyDescent="0.25">
      <c r="M3">
        <f>M2/1000000</f>
        <v>1515.711689</v>
      </c>
      <c r="P3">
        <f>P2/J2</f>
        <v>0.73678707105359009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C845-CF05-4C76-BDE0-E677F69DFA0E}">
  <dimension ref="A1:AG14"/>
  <sheetViews>
    <sheetView workbookViewId="0">
      <selection activeCell="F30" sqref="F30"/>
    </sheetView>
  </sheetViews>
  <sheetFormatPr defaultRowHeight="15" x14ac:dyDescent="0.25"/>
  <cols>
    <col min="1" max="1" width="29.42578125" customWidth="1"/>
  </cols>
  <sheetData>
    <row r="1" spans="1:33" ht="15.75" x14ac:dyDescent="0.25">
      <c r="A1" s="30" t="s">
        <v>124</v>
      </c>
      <c r="B1" s="40" t="s">
        <v>125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</row>
    <row r="2" spans="1:33" x14ac:dyDescent="0.25">
      <c r="A2" s="29"/>
      <c r="B2" s="40" t="s">
        <v>126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</row>
    <row r="4" spans="1:33" x14ac:dyDescent="0.25">
      <c r="A4" s="32"/>
      <c r="B4" s="32">
        <v>1990</v>
      </c>
      <c r="C4" s="32">
        <v>1991</v>
      </c>
      <c r="D4" s="32">
        <v>1992</v>
      </c>
      <c r="E4" s="32">
        <v>1993</v>
      </c>
      <c r="F4" s="32">
        <v>1994</v>
      </c>
      <c r="G4" s="32">
        <v>1995</v>
      </c>
      <c r="H4" s="32">
        <v>1996</v>
      </c>
      <c r="I4" s="32">
        <v>1997</v>
      </c>
      <c r="J4" s="32">
        <v>1998</v>
      </c>
      <c r="K4" s="32">
        <v>1999</v>
      </c>
      <c r="L4" s="32">
        <v>2000</v>
      </c>
      <c r="M4" s="32">
        <v>2001</v>
      </c>
      <c r="N4" s="32">
        <v>2002</v>
      </c>
      <c r="O4" s="32">
        <v>2003</v>
      </c>
      <c r="P4" s="32">
        <v>2004</v>
      </c>
      <c r="Q4" s="32">
        <v>2005</v>
      </c>
      <c r="R4" s="32">
        <v>2006</v>
      </c>
      <c r="S4" s="32">
        <v>2007</v>
      </c>
      <c r="T4" s="32">
        <v>2008</v>
      </c>
      <c r="U4" s="32">
        <v>2009</v>
      </c>
      <c r="V4" s="32">
        <v>2010</v>
      </c>
      <c r="W4" s="32">
        <v>2011</v>
      </c>
      <c r="X4" s="32">
        <v>2012</v>
      </c>
      <c r="Y4" s="32">
        <v>2013</v>
      </c>
      <c r="Z4" s="32">
        <v>2014</v>
      </c>
      <c r="AA4" s="33">
        <v>2015</v>
      </c>
      <c r="AB4" s="33">
        <v>2016</v>
      </c>
      <c r="AC4" s="34">
        <v>2017</v>
      </c>
      <c r="AD4" s="34">
        <v>2018</v>
      </c>
      <c r="AE4" s="34">
        <v>2019</v>
      </c>
      <c r="AF4" s="34">
        <v>2020</v>
      </c>
      <c r="AG4" s="34">
        <v>2021</v>
      </c>
    </row>
    <row r="5" spans="1:33" ht="24.75" x14ac:dyDescent="0.25">
      <c r="A5" s="35" t="s">
        <v>127</v>
      </c>
      <c r="B5" s="29">
        <v>2384.5500000000002</v>
      </c>
      <c r="C5" s="29">
        <v>2203.4699999999998</v>
      </c>
      <c r="D5" s="29">
        <v>2839.64</v>
      </c>
      <c r="E5" s="29">
        <v>2725.77</v>
      </c>
      <c r="F5" s="29">
        <v>2094.12</v>
      </c>
      <c r="G5" s="29">
        <v>2220.77</v>
      </c>
      <c r="H5" s="29">
        <v>3011.989</v>
      </c>
      <c r="I5" s="29">
        <v>2654.9880000000003</v>
      </c>
      <c r="J5" s="29">
        <v>2173.8000000000002</v>
      </c>
      <c r="K5" s="29">
        <v>1881.6479999999999</v>
      </c>
      <c r="L5" s="29">
        <v>2690.01</v>
      </c>
      <c r="M5" s="29">
        <v>2378.4380000000001</v>
      </c>
      <c r="N5" s="29">
        <v>2644.3090000000002</v>
      </c>
      <c r="O5" s="29">
        <v>2444.6169999999997</v>
      </c>
      <c r="P5" s="29">
        <v>2537.192</v>
      </c>
      <c r="Q5" s="29">
        <v>2403.7840000000001</v>
      </c>
      <c r="R5" s="29">
        <v>1940.1490000000001</v>
      </c>
      <c r="S5" s="29">
        <v>2435.4304000000002</v>
      </c>
      <c r="T5" s="29">
        <v>2344.2485999999999</v>
      </c>
      <c r="U5" s="29">
        <v>2639.9342999999999</v>
      </c>
      <c r="V5" s="29">
        <v>2074.6756</v>
      </c>
      <c r="W5" s="29">
        <v>2415.9812000000002</v>
      </c>
      <c r="X5" s="29">
        <v>2511.7969000000003</v>
      </c>
      <c r="Y5" s="29">
        <v>2739.0704000000001</v>
      </c>
      <c r="Z5" s="29">
        <v>2779.6197000000002</v>
      </c>
      <c r="AA5" s="29">
        <v>2676.067</v>
      </c>
      <c r="AB5" s="29">
        <v>3055.6455000000001</v>
      </c>
      <c r="AC5" s="29">
        <v>2682.5565999999999</v>
      </c>
      <c r="AD5" s="29">
        <v>3336.9726000000001</v>
      </c>
      <c r="AE5" s="29">
        <v>3500.0423999999998</v>
      </c>
      <c r="AF5" s="29">
        <v>3661.3717999999999</v>
      </c>
      <c r="AG5" s="29">
        <v>3985.5286999999998</v>
      </c>
    </row>
    <row r="6" spans="1:33" ht="24.75" x14ac:dyDescent="0.25">
      <c r="A6" s="36" t="s">
        <v>128</v>
      </c>
      <c r="B6" s="29">
        <v>1655.89</v>
      </c>
      <c r="C6" s="29">
        <v>1357.34</v>
      </c>
      <c r="D6" s="29">
        <v>1861.56</v>
      </c>
      <c r="E6" s="29">
        <v>1691.14</v>
      </c>
      <c r="F6" s="29">
        <v>1189.9100000000001</v>
      </c>
      <c r="G6" s="29">
        <v>1285.3699999999999</v>
      </c>
      <c r="H6" s="29">
        <v>2003.598</v>
      </c>
      <c r="I6" s="29">
        <v>1527.5219999999999</v>
      </c>
      <c r="J6" s="29">
        <v>1256.04</v>
      </c>
      <c r="K6" s="29">
        <v>958.87400000000002</v>
      </c>
      <c r="L6" s="29">
        <v>1519.3679999999999</v>
      </c>
      <c r="M6" s="29">
        <v>1190.568</v>
      </c>
      <c r="N6" s="29">
        <v>1566.971</v>
      </c>
      <c r="O6" s="29">
        <v>1344.87</v>
      </c>
      <c r="P6" s="29">
        <v>1361.7850000000001</v>
      </c>
      <c r="Q6" s="29">
        <v>1220.9569999999999</v>
      </c>
      <c r="R6" s="29">
        <v>986.81500000000005</v>
      </c>
      <c r="S6" s="29">
        <v>1298.2356</v>
      </c>
      <c r="T6" s="29">
        <v>1144.9838</v>
      </c>
      <c r="U6" s="29">
        <v>1397.8724999999999</v>
      </c>
      <c r="V6" s="29">
        <v>996.23359999999991</v>
      </c>
      <c r="W6" s="29">
        <v>1184.0891999999999</v>
      </c>
      <c r="X6" s="29">
        <v>1387.9560999999999</v>
      </c>
      <c r="Y6" s="29">
        <v>1527.4151999999999</v>
      </c>
      <c r="Z6" s="29">
        <v>1596.6218999999999</v>
      </c>
      <c r="AA6" s="29">
        <v>1495.2517</v>
      </c>
      <c r="AB6" s="29">
        <v>1725.8629000000001</v>
      </c>
      <c r="AC6" s="29">
        <v>1521.1991</v>
      </c>
      <c r="AD6" s="29">
        <v>1997.4747</v>
      </c>
      <c r="AE6" s="29">
        <v>2179.3258000000001</v>
      </c>
      <c r="AF6" s="29">
        <v>2341.6491999999998</v>
      </c>
      <c r="AG6" s="29">
        <v>2607.1819999999998</v>
      </c>
    </row>
    <row r="7" spans="1:33" x14ac:dyDescent="0.25">
      <c r="A7" s="36" t="s">
        <v>129</v>
      </c>
      <c r="B7" s="29">
        <v>361.92</v>
      </c>
      <c r="C7" s="29">
        <v>440.05</v>
      </c>
      <c r="D7" s="29">
        <v>535.97</v>
      </c>
      <c r="E7" s="29">
        <v>546.61</v>
      </c>
      <c r="F7" s="29">
        <v>407.39</v>
      </c>
      <c r="G7" s="29">
        <v>429.96</v>
      </c>
      <c r="H7" s="29">
        <v>424.93700000000001</v>
      </c>
      <c r="I7" s="29">
        <v>520.82299999999998</v>
      </c>
      <c r="J7" s="29">
        <v>309.92199999999997</v>
      </c>
      <c r="K7" s="29">
        <v>322.96499999999997</v>
      </c>
      <c r="L7" s="29">
        <v>466.24</v>
      </c>
      <c r="M7" s="29">
        <v>482.221</v>
      </c>
      <c r="N7" s="29">
        <v>381.35900000000004</v>
      </c>
      <c r="O7" s="29">
        <v>410.416</v>
      </c>
      <c r="P7" s="29">
        <v>435.7</v>
      </c>
      <c r="Q7" s="29">
        <v>424.56899999999996</v>
      </c>
      <c r="R7" s="29">
        <v>223.273</v>
      </c>
      <c r="S7" s="29">
        <v>420.77749999999997</v>
      </c>
      <c r="T7" s="29">
        <v>485.91850000000005</v>
      </c>
      <c r="U7" s="29">
        <v>508.00580000000002</v>
      </c>
      <c r="V7" s="29">
        <v>432.14279999999997</v>
      </c>
      <c r="W7" s="29">
        <v>513.7944</v>
      </c>
      <c r="X7" s="29">
        <v>463.27479999999997</v>
      </c>
      <c r="Y7" s="29">
        <v>511.04570000000001</v>
      </c>
      <c r="Z7" s="29">
        <v>494.50010000000003</v>
      </c>
      <c r="AA7" s="29">
        <v>502.68259999999998</v>
      </c>
      <c r="AB7" s="29">
        <v>624.024</v>
      </c>
      <c r="AC7" s="29">
        <v>509.05840000000001</v>
      </c>
      <c r="AD7" s="29">
        <v>615.59609999999998</v>
      </c>
      <c r="AE7" s="29">
        <v>597.12799999999993</v>
      </c>
      <c r="AF7" s="29">
        <v>601.74860000000001</v>
      </c>
      <c r="AG7" s="29">
        <v>641.08699999999999</v>
      </c>
    </row>
    <row r="8" spans="1:33" x14ac:dyDescent="0.25">
      <c r="A8" s="36" t="s">
        <v>130</v>
      </c>
      <c r="B8" s="29">
        <v>15.55</v>
      </c>
      <c r="C8" s="29">
        <v>10.23</v>
      </c>
      <c r="D8" s="29">
        <v>7.73</v>
      </c>
      <c r="E8" s="29">
        <v>8.42</v>
      </c>
      <c r="F8" s="29">
        <v>8.4</v>
      </c>
      <c r="G8" s="29">
        <v>9.01</v>
      </c>
      <c r="H8" s="29">
        <v>8.7319999999999993</v>
      </c>
      <c r="I8" s="29">
        <v>7.6829999999999998</v>
      </c>
      <c r="J8" s="29">
        <v>9.9529999999999994</v>
      </c>
      <c r="K8" s="29">
        <v>8.4269999999999996</v>
      </c>
      <c r="L8" s="29">
        <v>7.9019999999999992</v>
      </c>
      <c r="M8" s="29">
        <v>6.9930000000000003</v>
      </c>
      <c r="N8" s="29">
        <v>5.4770000000000003</v>
      </c>
      <c r="O8" s="29">
        <v>5.8929999999999998</v>
      </c>
      <c r="P8" s="29">
        <v>4.258</v>
      </c>
      <c r="Q8" s="29">
        <v>5.63</v>
      </c>
      <c r="R8" s="29">
        <v>5.0199999999999996</v>
      </c>
      <c r="S8" s="29">
        <v>9.7992999999999988</v>
      </c>
      <c r="T8" s="29">
        <v>12.570699999999999</v>
      </c>
      <c r="U8" s="29">
        <v>13.665799999999999</v>
      </c>
      <c r="V8" s="29">
        <v>12.702400000000001</v>
      </c>
      <c r="W8" s="29">
        <v>14.5261</v>
      </c>
      <c r="X8" s="29">
        <v>15.040199999999999</v>
      </c>
      <c r="Y8" s="29">
        <v>14.818000000000001</v>
      </c>
      <c r="Z8" s="29">
        <v>15.541399999999999</v>
      </c>
      <c r="AA8" s="29">
        <v>16.825899999999997</v>
      </c>
      <c r="AB8" s="29">
        <v>20.815300000000001</v>
      </c>
      <c r="AC8" s="29">
        <v>17.832000000000001</v>
      </c>
      <c r="AD8" s="29">
        <v>20.043900000000001</v>
      </c>
      <c r="AE8" s="29">
        <v>19.6858</v>
      </c>
      <c r="AF8" s="29">
        <v>20.626899999999999</v>
      </c>
      <c r="AG8" s="29">
        <v>31.710899999999999</v>
      </c>
    </row>
    <row r="9" spans="1:33" x14ac:dyDescent="0.25">
      <c r="A9" s="36" t="s">
        <v>131</v>
      </c>
      <c r="B9" s="29">
        <v>1.28</v>
      </c>
      <c r="C9" s="29">
        <v>2.04</v>
      </c>
      <c r="D9" s="29">
        <v>1.1100000000000001</v>
      </c>
      <c r="E9" s="29">
        <v>0.56999999999999995</v>
      </c>
      <c r="F9" s="29">
        <v>0.93</v>
      </c>
      <c r="G9" s="29">
        <v>1.0900000000000001</v>
      </c>
      <c r="H9" s="29">
        <v>1.2749999999999999</v>
      </c>
      <c r="I9" s="29">
        <v>0.99199999999999999</v>
      </c>
      <c r="J9" s="29">
        <v>0.51900000000000002</v>
      </c>
      <c r="K9" s="29">
        <v>0.84499999999999997</v>
      </c>
      <c r="L9" s="29">
        <v>0.71299999999999997</v>
      </c>
      <c r="M9" s="29">
        <v>1.089</v>
      </c>
      <c r="N9" s="29">
        <v>0.82400000000000007</v>
      </c>
      <c r="O9" s="29">
        <v>1.0779999999999998</v>
      </c>
      <c r="P9" s="29">
        <v>1.4259999999999999</v>
      </c>
      <c r="Q9" s="29">
        <v>1.675</v>
      </c>
      <c r="R9" s="29">
        <v>2.169</v>
      </c>
      <c r="S9" s="29">
        <v>1.6210999999999998</v>
      </c>
      <c r="T9" s="29">
        <v>1.6765000000000001</v>
      </c>
      <c r="U9" s="29">
        <v>1.6709000000000001</v>
      </c>
      <c r="V9" s="29">
        <v>2.0603000000000002</v>
      </c>
      <c r="W9" s="29">
        <v>1.8152999999999999</v>
      </c>
      <c r="X9" s="29">
        <v>1.9390999999999998</v>
      </c>
      <c r="Y9" s="29">
        <v>1.9678</v>
      </c>
      <c r="Z9" s="29">
        <v>2.0246</v>
      </c>
      <c r="AA9" s="29">
        <v>1.8457000000000001</v>
      </c>
      <c r="AB9" s="29">
        <v>1.9466999999999999</v>
      </c>
      <c r="AC9" s="29">
        <v>1.9838999999999998</v>
      </c>
      <c r="AD9" s="29">
        <v>2.0057999999999998</v>
      </c>
      <c r="AE9" s="29">
        <v>2.0141999999999998</v>
      </c>
      <c r="AF9" s="29">
        <v>2.0198</v>
      </c>
      <c r="AG9" s="29">
        <v>2.0297999999999998</v>
      </c>
    </row>
    <row r="10" spans="1:33" x14ac:dyDescent="0.25">
      <c r="A10" s="36" t="s">
        <v>132</v>
      </c>
      <c r="B10" s="37">
        <v>0.56999999999999995</v>
      </c>
      <c r="C10" s="37">
        <v>1</v>
      </c>
      <c r="D10" s="37">
        <v>0.39</v>
      </c>
      <c r="E10" s="37">
        <v>0.19</v>
      </c>
      <c r="F10" s="37">
        <v>0.3</v>
      </c>
      <c r="G10" s="37">
        <v>0.3</v>
      </c>
      <c r="H10" s="37">
        <v>0.10800000000000001</v>
      </c>
      <c r="I10" s="37">
        <v>5.8999999999999997E-2</v>
      </c>
      <c r="J10" s="37">
        <v>8.199999999999999E-2</v>
      </c>
      <c r="K10" s="37">
        <v>0.16299999999999998</v>
      </c>
      <c r="L10" s="37">
        <v>0.17699999999999999</v>
      </c>
      <c r="M10" s="37">
        <v>0.18</v>
      </c>
      <c r="N10" s="37">
        <v>0.13600000000000001</v>
      </c>
      <c r="O10" s="37">
        <v>0.14299999999999999</v>
      </c>
      <c r="P10" s="38">
        <v>8.7999999999999995E-2</v>
      </c>
      <c r="Q10" s="29">
        <v>0.127</v>
      </c>
      <c r="R10" s="29">
        <v>0.11399999999999999</v>
      </c>
      <c r="S10" s="38">
        <v>7.2999999999999995E-2</v>
      </c>
      <c r="T10" s="38">
        <v>6.9999999999999993E-2</v>
      </c>
      <c r="U10" s="38">
        <v>5.9799999999999999E-2</v>
      </c>
      <c r="V10" s="37">
        <v>0.13220000000000001</v>
      </c>
      <c r="W10" s="37">
        <v>0.1038</v>
      </c>
      <c r="X10" s="37">
        <v>0.1065</v>
      </c>
      <c r="Y10" s="37">
        <v>0.1072</v>
      </c>
      <c r="Z10" s="37">
        <v>0.1116</v>
      </c>
      <c r="AA10" s="38">
        <v>7.9899999999999999E-2</v>
      </c>
      <c r="AB10" s="38">
        <v>6.2100000000000002E-2</v>
      </c>
      <c r="AC10" s="38">
        <v>8.4199999999999997E-2</v>
      </c>
      <c r="AD10" s="38">
        <v>8.3299999999999999E-2</v>
      </c>
      <c r="AE10" s="38">
        <v>7.4499999999999997E-2</v>
      </c>
      <c r="AF10" s="38">
        <v>6.6600000000000006E-2</v>
      </c>
      <c r="AG10" s="38">
        <v>7.2400000000000006E-2</v>
      </c>
    </row>
    <row r="11" spans="1:33" x14ac:dyDescent="0.25">
      <c r="A11" s="36" t="s">
        <v>133</v>
      </c>
      <c r="B11" s="29">
        <v>349.33</v>
      </c>
      <c r="C11" s="29">
        <v>392.8</v>
      </c>
      <c r="D11" s="29">
        <v>432.9</v>
      </c>
      <c r="E11" s="29">
        <v>478.85</v>
      </c>
      <c r="F11" s="29">
        <v>487.19</v>
      </c>
      <c r="G11" s="29">
        <v>495.04</v>
      </c>
      <c r="H11" s="29">
        <v>573.33900000000006</v>
      </c>
      <c r="I11" s="29">
        <v>597.90899999999999</v>
      </c>
      <c r="J11" s="29">
        <v>597.28399999999999</v>
      </c>
      <c r="K11" s="29">
        <v>590.37400000000002</v>
      </c>
      <c r="L11" s="29">
        <v>695.61</v>
      </c>
      <c r="M11" s="29">
        <v>697.38599999999997</v>
      </c>
      <c r="N11" s="29">
        <v>689.54099999999994</v>
      </c>
      <c r="O11" s="29">
        <v>682.21699999999998</v>
      </c>
      <c r="P11" s="29">
        <v>733.93399999999997</v>
      </c>
      <c r="Q11" s="29">
        <v>750.82500000000005</v>
      </c>
      <c r="R11" s="29">
        <v>722.75900000000001</v>
      </c>
      <c r="S11" s="29">
        <v>704.9239</v>
      </c>
      <c r="T11" s="29">
        <v>699.02890000000002</v>
      </c>
      <c r="U11" s="29">
        <v>718.65949999999998</v>
      </c>
      <c r="V11" s="29">
        <v>631.40440000000001</v>
      </c>
      <c r="W11" s="29">
        <v>701.65229999999997</v>
      </c>
      <c r="X11" s="29">
        <v>643.48019999999997</v>
      </c>
      <c r="Y11" s="29">
        <v>683.71640000000002</v>
      </c>
      <c r="Z11" s="29">
        <v>670.81999999999994</v>
      </c>
      <c r="AA11" s="29">
        <v>659.38109999999995</v>
      </c>
      <c r="AB11" s="29">
        <v>682.93450000000007</v>
      </c>
      <c r="AC11" s="29">
        <v>632.399</v>
      </c>
      <c r="AD11" s="29">
        <v>701.76880000000006</v>
      </c>
      <c r="AE11" s="29">
        <v>701.81409999999994</v>
      </c>
      <c r="AF11" s="29">
        <v>695.26080000000002</v>
      </c>
      <c r="AG11" s="29">
        <v>703.44659999999999</v>
      </c>
    </row>
    <row r="12" spans="1:33" x14ac:dyDescent="0.25">
      <c r="A12" s="35" t="s">
        <v>134</v>
      </c>
      <c r="B12" s="29">
        <v>612.25</v>
      </c>
      <c r="C12" s="29">
        <v>543.33000000000004</v>
      </c>
      <c r="D12" s="29">
        <v>529.26</v>
      </c>
      <c r="E12" s="29">
        <v>467.48</v>
      </c>
      <c r="F12" s="29">
        <v>310.55</v>
      </c>
      <c r="G12" s="29">
        <v>300.56</v>
      </c>
      <c r="H12" s="29">
        <v>345.99899999999997</v>
      </c>
      <c r="I12" s="29">
        <v>279.767</v>
      </c>
      <c r="J12" s="29">
        <v>192.334</v>
      </c>
      <c r="K12" s="29">
        <v>248.05799999999999</v>
      </c>
      <c r="L12" s="29">
        <v>278.76900000000001</v>
      </c>
      <c r="M12" s="29">
        <v>232.62899999999999</v>
      </c>
      <c r="N12" s="29">
        <v>213.60599999999999</v>
      </c>
      <c r="O12" s="29">
        <v>341.108</v>
      </c>
      <c r="P12" s="29">
        <v>308.70499999999998</v>
      </c>
      <c r="Q12" s="29">
        <v>321.82399999999996</v>
      </c>
      <c r="R12" s="29">
        <v>234.10499999999999</v>
      </c>
      <c r="S12" s="29">
        <v>320.72989999999999</v>
      </c>
      <c r="T12" s="29">
        <v>274.202</v>
      </c>
      <c r="U12" s="29">
        <v>306.62389999999999</v>
      </c>
      <c r="V12" s="29">
        <v>335.78370000000001</v>
      </c>
      <c r="W12" s="29">
        <v>427.78039999999999</v>
      </c>
      <c r="X12" s="29">
        <v>282.6216</v>
      </c>
      <c r="Y12" s="29">
        <v>461.64269999999999</v>
      </c>
      <c r="Z12" s="29">
        <v>570.39480000000003</v>
      </c>
      <c r="AA12" s="29">
        <v>519.97910000000002</v>
      </c>
      <c r="AB12" s="29">
        <v>601.33320000000003</v>
      </c>
      <c r="AC12" s="29">
        <v>580.07690000000002</v>
      </c>
      <c r="AD12" s="29">
        <v>627.73900000000003</v>
      </c>
      <c r="AE12" s="29">
        <v>677.99739999999997</v>
      </c>
      <c r="AF12" s="29">
        <v>681.90829999999994</v>
      </c>
      <c r="AG12" s="29">
        <v>751.50340000000006</v>
      </c>
    </row>
    <row r="13" spans="1:33" x14ac:dyDescent="0.25">
      <c r="A13" s="35" t="s">
        <v>135</v>
      </c>
      <c r="B13" s="29">
        <v>3.78</v>
      </c>
      <c r="C13" s="29">
        <v>2.87</v>
      </c>
      <c r="D13" s="29">
        <v>2.92</v>
      </c>
      <c r="E13" s="29">
        <v>3.87</v>
      </c>
      <c r="F13" s="29">
        <v>1.57</v>
      </c>
      <c r="G13" s="29">
        <v>2.13</v>
      </c>
      <c r="H13" s="29">
        <v>1.6059999999999999</v>
      </c>
      <c r="I13" s="29">
        <v>0.87100000000000011</v>
      </c>
      <c r="J13" s="29">
        <v>0.622</v>
      </c>
      <c r="K13" s="29">
        <v>0.96300000000000008</v>
      </c>
      <c r="L13" s="29">
        <v>0.92599999999999993</v>
      </c>
      <c r="M13" s="29">
        <v>0.60199999999999998</v>
      </c>
      <c r="N13" s="29">
        <v>0.59499999999999997</v>
      </c>
      <c r="O13" s="29">
        <v>0.51800000000000002</v>
      </c>
      <c r="P13" s="29">
        <v>0.47199999999999998</v>
      </c>
      <c r="Q13" s="29">
        <v>0.39</v>
      </c>
      <c r="R13" s="29">
        <v>0.35499999999999998</v>
      </c>
      <c r="S13" s="29">
        <v>0.26724999999999999</v>
      </c>
      <c r="T13" s="29">
        <v>0.2805588235294118</v>
      </c>
      <c r="U13" s="29">
        <v>0.28279411764705881</v>
      </c>
      <c r="V13" s="29">
        <v>1.9050999999999998E-2</v>
      </c>
      <c r="W13" s="29">
        <v>0.25309500000000001</v>
      </c>
      <c r="X13" s="29">
        <v>0.23615</v>
      </c>
      <c r="Y13" s="29">
        <v>0.20384000000000002</v>
      </c>
      <c r="Z13" s="29">
        <v>0.172322</v>
      </c>
      <c r="AA13" s="29">
        <v>0.21852700000000005</v>
      </c>
      <c r="AB13" s="29">
        <v>0.15778900000000001</v>
      </c>
      <c r="AC13" s="29">
        <v>0.173565926471</v>
      </c>
      <c r="AD13" s="29">
        <v>0.14422499999999999</v>
      </c>
      <c r="AE13" s="29">
        <v>0.20449999999999999</v>
      </c>
      <c r="AF13" s="29">
        <v>0.22109999999999999</v>
      </c>
      <c r="AG13" s="29">
        <v>0.19570000000000001</v>
      </c>
    </row>
    <row r="14" spans="1:33" x14ac:dyDescent="0.25">
      <c r="A14" s="35" t="s">
        <v>136</v>
      </c>
      <c r="B14" s="29">
        <v>7.08</v>
      </c>
      <c r="C14" s="29">
        <v>8.14</v>
      </c>
      <c r="D14" s="29">
        <v>7.24</v>
      </c>
      <c r="E14" s="29">
        <v>7.63</v>
      </c>
      <c r="F14" s="29">
        <v>3.96</v>
      </c>
      <c r="G14" s="29">
        <v>4.3499999999999996</v>
      </c>
      <c r="H14" s="29">
        <v>2.38</v>
      </c>
      <c r="I14" s="29">
        <v>1.63</v>
      </c>
      <c r="J14" s="29">
        <v>1.48</v>
      </c>
      <c r="K14" s="29">
        <v>1.93</v>
      </c>
      <c r="L14" s="29">
        <v>1.52</v>
      </c>
      <c r="M14" s="29">
        <v>1.24</v>
      </c>
      <c r="N14" s="29">
        <v>1.29</v>
      </c>
      <c r="O14" s="29">
        <v>0.87</v>
      </c>
      <c r="P14" s="29">
        <v>1.24</v>
      </c>
      <c r="Q14" s="29">
        <v>1.26</v>
      </c>
      <c r="R14" s="29">
        <v>1.1499999999999999</v>
      </c>
      <c r="S14" s="29">
        <v>0.63</v>
      </c>
      <c r="T14" s="29">
        <v>0.82</v>
      </c>
      <c r="U14" s="29">
        <v>0.63</v>
      </c>
      <c r="V14" s="29">
        <v>0.37</v>
      </c>
      <c r="W14" s="29">
        <v>0.26700000000000002</v>
      </c>
      <c r="X14" s="38">
        <v>9.0200000000000002E-2</v>
      </c>
      <c r="Y14" s="38">
        <v>9.01E-2</v>
      </c>
      <c r="Z14" s="29">
        <v>0.2223</v>
      </c>
      <c r="AA14" s="29">
        <v>0.24559999999999998</v>
      </c>
      <c r="AB14" s="29">
        <v>0.44889999999999997</v>
      </c>
      <c r="AC14" s="29">
        <v>0.55410000000000004</v>
      </c>
      <c r="AD14" s="29">
        <v>0.50359999999999994</v>
      </c>
      <c r="AE14" s="29">
        <v>0.29769999999999996</v>
      </c>
      <c r="AF14" s="29">
        <v>0.3422</v>
      </c>
      <c r="AG14" s="29">
        <v>0.2293</v>
      </c>
    </row>
  </sheetData>
  <mergeCells count="2">
    <mergeCell ref="B1:AG1"/>
    <mergeCell ref="B2:A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Бананы</vt:lpstr>
      <vt:lpstr>Цены Россия</vt:lpstr>
      <vt:lpstr>Цены мир</vt:lpstr>
      <vt:lpstr>Баланс ТР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Терновский</dc:creator>
  <cp:lastModifiedBy>Денис Терновский</cp:lastModifiedBy>
  <dcterms:created xsi:type="dcterms:W3CDTF">2022-10-26T12:27:00Z</dcterms:created>
  <dcterms:modified xsi:type="dcterms:W3CDTF">2022-11-01T07:32:16Z</dcterms:modified>
</cp:coreProperties>
</file>