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수현\Desktop\"/>
    </mc:Choice>
  </mc:AlternateContent>
  <xr:revisionPtr revIDLastSave="0" documentId="8_{845D1C01-86DC-45B0-B9CF-50C64DE9A64F}" xr6:coauthVersionLast="47" xr6:coauthVersionMax="47" xr10:uidLastSave="{00000000-0000-0000-0000-000000000000}"/>
  <bookViews>
    <workbookView xWindow="-108" yWindow="-108" windowWidth="23256" windowHeight="12576" xr2:uid="{31DA98BE-A3E3-48D2-BADF-19E88621F58C}"/>
  </bookViews>
  <sheets>
    <sheet name="Long Call" sheetId="5" r:id="rId1"/>
    <sheet name="Long Put" sheetId="8" state="hidden" r:id="rId2"/>
    <sheet name="Short Call" sheetId="7" state="hidden" r:id="rId3"/>
    <sheet name="Short Put" sheetId="9" state="hidden" r:id="rId4"/>
    <sheet name="Short Straddle" sheetId="6" r:id="rId5"/>
    <sheet name="Data(Greeks)" sheetId="2" r:id="rId6"/>
    <sheet name="Sheet1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6" l="1"/>
  <c r="I62" i="6"/>
  <c r="I63" i="6"/>
  <c r="I64" i="6"/>
  <c r="K64" i="6" s="1"/>
  <c r="I65" i="6"/>
  <c r="I66" i="6"/>
  <c r="I67" i="6"/>
  <c r="I68" i="6"/>
  <c r="K68" i="6" s="1"/>
  <c r="I69" i="6"/>
  <c r="I70" i="6"/>
  <c r="I71" i="6"/>
  <c r="I72" i="6"/>
  <c r="I73" i="6"/>
  <c r="I74" i="6"/>
  <c r="I75" i="6"/>
  <c r="K75" i="6" s="1"/>
  <c r="I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61" i="6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6" i="2"/>
  <c r="F63" i="6"/>
  <c r="F67" i="6"/>
  <c r="F71" i="6"/>
  <c r="F75" i="6"/>
  <c r="D62" i="6"/>
  <c r="F62" i="6" s="1"/>
  <c r="D63" i="6"/>
  <c r="D64" i="6"/>
  <c r="F64" i="6" s="1"/>
  <c r="D65" i="6"/>
  <c r="F65" i="6" s="1"/>
  <c r="D66" i="6"/>
  <c r="F66" i="6" s="1"/>
  <c r="D67" i="6"/>
  <c r="D68" i="6"/>
  <c r="F68" i="6" s="1"/>
  <c r="D69" i="6"/>
  <c r="F69" i="6" s="1"/>
  <c r="D70" i="6"/>
  <c r="F70" i="6" s="1"/>
  <c r="D71" i="6"/>
  <c r="D72" i="6"/>
  <c r="F72" i="6" s="1"/>
  <c r="D73" i="6"/>
  <c r="F73" i="6" s="1"/>
  <c r="D74" i="6"/>
  <c r="F74" i="6" s="1"/>
  <c r="D75" i="6"/>
  <c r="D61" i="6"/>
  <c r="F61" i="6" s="1"/>
  <c r="D45" i="5"/>
  <c r="F45" i="5" s="1"/>
  <c r="I45" i="5" s="1"/>
  <c r="D46" i="5"/>
  <c r="D47" i="5"/>
  <c r="F47" i="5" s="1"/>
  <c r="I47" i="5" s="1"/>
  <c r="D48" i="5"/>
  <c r="D49" i="5"/>
  <c r="D50" i="5"/>
  <c r="D51" i="5"/>
  <c r="D52" i="5"/>
  <c r="D53" i="5"/>
  <c r="D54" i="5"/>
  <c r="D55" i="5"/>
  <c r="F55" i="5" s="1"/>
  <c r="I55" i="5" s="1"/>
  <c r="D56" i="5"/>
  <c r="D57" i="5"/>
  <c r="D58" i="5"/>
  <c r="D59" i="5"/>
  <c r="F59" i="5" s="1"/>
  <c r="I59" i="5" s="1"/>
  <c r="C61" i="6"/>
  <c r="C62" i="6"/>
  <c r="K62" i="6"/>
  <c r="C63" i="6"/>
  <c r="K63" i="6"/>
  <c r="C64" i="6"/>
  <c r="C65" i="6"/>
  <c r="C66" i="6"/>
  <c r="K66" i="6"/>
  <c r="C67" i="6"/>
  <c r="K67" i="6"/>
  <c r="C68" i="6"/>
  <c r="C69" i="6"/>
  <c r="C70" i="6"/>
  <c r="K70" i="6"/>
  <c r="C71" i="6"/>
  <c r="K71" i="6"/>
  <c r="C72" i="6"/>
  <c r="K72" i="6"/>
  <c r="C73" i="6"/>
  <c r="C74" i="6"/>
  <c r="K74" i="6"/>
  <c r="C75" i="6"/>
  <c r="C76" i="6"/>
  <c r="O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7" i="6"/>
  <c r="N22" i="6" s="1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22" i="6" s="1"/>
  <c r="H47" i="5"/>
  <c r="H51" i="5"/>
  <c r="H55" i="5"/>
  <c r="H59" i="5"/>
  <c r="L60" i="5"/>
  <c r="F51" i="5"/>
  <c r="I51" i="5" s="1"/>
  <c r="F56" i="5"/>
  <c r="I56" i="5" s="1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22" i="5" s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O8" i="5"/>
  <c r="O4" i="5" s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7" i="5"/>
  <c r="O22" i="5" s="1"/>
  <c r="G38" i="6"/>
  <c r="F38" i="6" s="1"/>
  <c r="G23" i="6"/>
  <c r="G22" i="6"/>
  <c r="G7" i="6"/>
  <c r="G22" i="9"/>
  <c r="G7" i="9"/>
  <c r="G22" i="7"/>
  <c r="G7" i="7"/>
  <c r="G22" i="8"/>
  <c r="G7" i="8"/>
  <c r="F7" i="8" s="1"/>
  <c r="H7" i="8"/>
  <c r="I7" i="8" s="1"/>
  <c r="L7" i="8" s="1"/>
  <c r="G7" i="5"/>
  <c r="F7" i="5" s="1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 s="1"/>
  <c r="F26" i="7"/>
  <c r="F27" i="5"/>
  <c r="E46" i="5" s="1"/>
  <c r="F28" i="5"/>
  <c r="E47" i="5" s="1"/>
  <c r="F29" i="5"/>
  <c r="E48" i="5" s="1"/>
  <c r="F30" i="5"/>
  <c r="E49" i="5" s="1"/>
  <c r="F31" i="5"/>
  <c r="E50" i="5" s="1"/>
  <c r="F32" i="5"/>
  <c r="E51" i="5" s="1"/>
  <c r="F33" i="5"/>
  <c r="E52" i="5" s="1"/>
  <c r="F34" i="5"/>
  <c r="E53" i="5" s="1"/>
  <c r="F35" i="5"/>
  <c r="E54" i="5" s="1"/>
  <c r="F36" i="5"/>
  <c r="E55" i="5" s="1"/>
  <c r="F37" i="5"/>
  <c r="E56" i="5" s="1"/>
  <c r="F38" i="5"/>
  <c r="E57" i="5" s="1"/>
  <c r="F39" i="5"/>
  <c r="E58" i="5" s="1"/>
  <c r="F40" i="5"/>
  <c r="F41" i="5" s="1"/>
  <c r="F26" i="5"/>
  <c r="E45" i="5" s="1"/>
  <c r="C59" i="9"/>
  <c r="C60" i="9" s="1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E45" i="9"/>
  <c r="D45" i="9"/>
  <c r="C45" i="9"/>
  <c r="M40" i="9"/>
  <c r="F40" i="9"/>
  <c r="F41" i="9" s="1"/>
  <c r="M39" i="9"/>
  <c r="F39" i="9"/>
  <c r="M38" i="9"/>
  <c r="F38" i="9"/>
  <c r="M37" i="9"/>
  <c r="F37" i="9"/>
  <c r="M36" i="9"/>
  <c r="F36" i="9"/>
  <c r="M35" i="9"/>
  <c r="F35" i="9"/>
  <c r="M34" i="9"/>
  <c r="F34" i="9"/>
  <c r="M33" i="9"/>
  <c r="F33" i="9"/>
  <c r="M32" i="9"/>
  <c r="F32" i="9"/>
  <c r="M31" i="9"/>
  <c r="F31" i="9"/>
  <c r="M30" i="9"/>
  <c r="F30" i="9"/>
  <c r="M29" i="9"/>
  <c r="F29" i="9"/>
  <c r="M28" i="9"/>
  <c r="F28" i="9"/>
  <c r="M27" i="9"/>
  <c r="F27" i="9"/>
  <c r="M26" i="9"/>
  <c r="F26" i="9"/>
  <c r="F22" i="9"/>
  <c r="H21" i="9"/>
  <c r="H22" i="9" s="1"/>
  <c r="I22" i="9" s="1"/>
  <c r="F21" i="9"/>
  <c r="H20" i="9"/>
  <c r="I20" i="9" s="1"/>
  <c r="F20" i="9"/>
  <c r="H19" i="9"/>
  <c r="I19" i="9" s="1"/>
  <c r="F19" i="9"/>
  <c r="H18" i="9"/>
  <c r="I18" i="9" s="1"/>
  <c r="F18" i="9"/>
  <c r="H17" i="9"/>
  <c r="I17" i="9" s="1"/>
  <c r="F17" i="9"/>
  <c r="H16" i="9"/>
  <c r="I16" i="9" s="1"/>
  <c r="F16" i="9"/>
  <c r="H15" i="9"/>
  <c r="I15" i="9" s="1"/>
  <c r="F15" i="9"/>
  <c r="H14" i="9"/>
  <c r="I14" i="9" s="1"/>
  <c r="F14" i="9"/>
  <c r="H13" i="9"/>
  <c r="I13" i="9" s="1"/>
  <c r="F13" i="9"/>
  <c r="H12" i="9"/>
  <c r="I12" i="9" s="1"/>
  <c r="F12" i="9"/>
  <c r="H11" i="9"/>
  <c r="I11" i="9" s="1"/>
  <c r="F11" i="9"/>
  <c r="H10" i="9"/>
  <c r="I10" i="9" s="1"/>
  <c r="F10" i="9"/>
  <c r="H9" i="9"/>
  <c r="I9" i="9" s="1"/>
  <c r="F9" i="9"/>
  <c r="H8" i="9"/>
  <c r="I8" i="9" s="1"/>
  <c r="F8" i="9"/>
  <c r="J7" i="9"/>
  <c r="H7" i="9"/>
  <c r="I7" i="9" s="1"/>
  <c r="L7" i="9" s="1"/>
  <c r="F7" i="9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 s="1"/>
  <c r="F26" i="8"/>
  <c r="H8" i="8"/>
  <c r="I8" i="8" s="1"/>
  <c r="H9" i="8"/>
  <c r="I9" i="8" s="1"/>
  <c r="H10" i="8"/>
  <c r="I10" i="8" s="1"/>
  <c r="H11" i="8"/>
  <c r="I11" i="8" s="1"/>
  <c r="H12" i="8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H22" i="8" s="1"/>
  <c r="I22" i="8" s="1"/>
  <c r="C59" i="8"/>
  <c r="C60" i="8" s="1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D45" i="8"/>
  <c r="C45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F22" i="8"/>
  <c r="F21" i="8"/>
  <c r="F20" i="8"/>
  <c r="F19" i="8"/>
  <c r="F18" i="8"/>
  <c r="F17" i="8"/>
  <c r="F16" i="8"/>
  <c r="F15" i="8"/>
  <c r="F14" i="8"/>
  <c r="F13" i="8"/>
  <c r="I12" i="8"/>
  <c r="F12" i="8"/>
  <c r="F11" i="8"/>
  <c r="F10" i="8"/>
  <c r="F9" i="8"/>
  <c r="F8" i="8"/>
  <c r="C59" i="7"/>
  <c r="C60" i="7" s="1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E45" i="7"/>
  <c r="D45" i="7"/>
  <c r="C45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F22" i="7"/>
  <c r="I21" i="7"/>
  <c r="H21" i="7"/>
  <c r="H22" i="7" s="1"/>
  <c r="I22" i="7" s="1"/>
  <c r="F21" i="7"/>
  <c r="H20" i="7"/>
  <c r="I20" i="7" s="1"/>
  <c r="F20" i="7"/>
  <c r="H19" i="7"/>
  <c r="I19" i="7" s="1"/>
  <c r="F19" i="7"/>
  <c r="H18" i="7"/>
  <c r="I18" i="7" s="1"/>
  <c r="F18" i="7"/>
  <c r="H17" i="7"/>
  <c r="I17" i="7" s="1"/>
  <c r="F17" i="7"/>
  <c r="H16" i="7"/>
  <c r="I16" i="7" s="1"/>
  <c r="F16" i="7"/>
  <c r="H15" i="7"/>
  <c r="I15" i="7" s="1"/>
  <c r="F15" i="7"/>
  <c r="H14" i="7"/>
  <c r="I14" i="7" s="1"/>
  <c r="F14" i="7"/>
  <c r="H13" i="7"/>
  <c r="I13" i="7" s="1"/>
  <c r="F13" i="7"/>
  <c r="H12" i="7"/>
  <c r="I12" i="7" s="1"/>
  <c r="F12" i="7"/>
  <c r="H11" i="7"/>
  <c r="I11" i="7" s="1"/>
  <c r="F11" i="7"/>
  <c r="H10" i="7"/>
  <c r="I10" i="7" s="1"/>
  <c r="F10" i="7"/>
  <c r="H9" i="7"/>
  <c r="I9" i="7" s="1"/>
  <c r="F9" i="7"/>
  <c r="H8" i="7"/>
  <c r="I8" i="7" s="1"/>
  <c r="F8" i="7"/>
  <c r="J7" i="7"/>
  <c r="H26" i="7" s="1"/>
  <c r="H7" i="7"/>
  <c r="I7" i="7" s="1"/>
  <c r="L7" i="7" s="1"/>
  <c r="F7" i="7"/>
  <c r="C46" i="5"/>
  <c r="F46" i="5" s="1"/>
  <c r="I46" i="5" s="1"/>
  <c r="C47" i="5"/>
  <c r="C48" i="5"/>
  <c r="F48" i="5" s="1"/>
  <c r="I48" i="5" s="1"/>
  <c r="C49" i="5"/>
  <c r="F49" i="5" s="1"/>
  <c r="I49" i="5" s="1"/>
  <c r="C50" i="5"/>
  <c r="F50" i="5" s="1"/>
  <c r="I50" i="5" s="1"/>
  <c r="C51" i="5"/>
  <c r="C52" i="5"/>
  <c r="F52" i="5" s="1"/>
  <c r="I52" i="5" s="1"/>
  <c r="C53" i="5"/>
  <c r="C54" i="5"/>
  <c r="F54" i="5" s="1"/>
  <c r="I54" i="5" s="1"/>
  <c r="C55" i="5"/>
  <c r="C56" i="5"/>
  <c r="C57" i="5"/>
  <c r="C58" i="5"/>
  <c r="F58" i="5" s="1"/>
  <c r="I58" i="5" s="1"/>
  <c r="C59" i="5"/>
  <c r="C60" i="5" s="1"/>
  <c r="C45" i="5"/>
  <c r="F43" i="6"/>
  <c r="E62" i="6" s="1"/>
  <c r="F44" i="6"/>
  <c r="E63" i="6" s="1"/>
  <c r="F45" i="6"/>
  <c r="E64" i="6" s="1"/>
  <c r="F46" i="6"/>
  <c r="E65" i="6" s="1"/>
  <c r="F47" i="6"/>
  <c r="E66" i="6" s="1"/>
  <c r="F48" i="6"/>
  <c r="E67" i="6" s="1"/>
  <c r="F49" i="6"/>
  <c r="E68" i="6" s="1"/>
  <c r="F50" i="6"/>
  <c r="E69" i="6" s="1"/>
  <c r="F51" i="6"/>
  <c r="E70" i="6" s="1"/>
  <c r="F52" i="6"/>
  <c r="E71" i="6" s="1"/>
  <c r="F53" i="6"/>
  <c r="E72" i="6" s="1"/>
  <c r="F54" i="6"/>
  <c r="E73" i="6" s="1"/>
  <c r="F55" i="6"/>
  <c r="E74" i="6" s="1"/>
  <c r="F56" i="6"/>
  <c r="F57" i="6" s="1"/>
  <c r="F42" i="6"/>
  <c r="E61" i="6" s="1"/>
  <c r="H24" i="6"/>
  <c r="I24" i="6" s="1"/>
  <c r="H25" i="6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H38" i="6" s="1"/>
  <c r="H23" i="6"/>
  <c r="I23" i="6" s="1"/>
  <c r="L23" i="6" s="1"/>
  <c r="F37" i="6"/>
  <c r="F36" i="6"/>
  <c r="F35" i="6"/>
  <c r="F34" i="6"/>
  <c r="F33" i="6"/>
  <c r="F32" i="6"/>
  <c r="F31" i="6"/>
  <c r="F30" i="6"/>
  <c r="F29" i="6"/>
  <c r="F28" i="6"/>
  <c r="F27" i="6"/>
  <c r="F26" i="6"/>
  <c r="I25" i="6"/>
  <c r="F25" i="6"/>
  <c r="F24" i="6"/>
  <c r="J23" i="6"/>
  <c r="J24" i="6" s="1"/>
  <c r="J25" i="6" s="1"/>
  <c r="F23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F22" i="6"/>
  <c r="H21" i="6"/>
  <c r="I21" i="6" s="1"/>
  <c r="F21" i="6"/>
  <c r="H20" i="6"/>
  <c r="I20" i="6" s="1"/>
  <c r="F20" i="6"/>
  <c r="H19" i="6"/>
  <c r="I19" i="6" s="1"/>
  <c r="F19" i="6"/>
  <c r="H18" i="6"/>
  <c r="I18" i="6" s="1"/>
  <c r="F18" i="6"/>
  <c r="H17" i="6"/>
  <c r="I17" i="6" s="1"/>
  <c r="F17" i="6"/>
  <c r="H16" i="6"/>
  <c r="I16" i="6" s="1"/>
  <c r="F16" i="6"/>
  <c r="H15" i="6"/>
  <c r="I15" i="6" s="1"/>
  <c r="F15" i="6"/>
  <c r="H14" i="6"/>
  <c r="I14" i="6" s="1"/>
  <c r="F14" i="6"/>
  <c r="H13" i="6"/>
  <c r="I13" i="6" s="1"/>
  <c r="F13" i="6"/>
  <c r="H12" i="6"/>
  <c r="I12" i="6" s="1"/>
  <c r="F12" i="6"/>
  <c r="H11" i="6"/>
  <c r="I11" i="6" s="1"/>
  <c r="F11" i="6"/>
  <c r="H10" i="6"/>
  <c r="I10" i="6" s="1"/>
  <c r="F10" i="6"/>
  <c r="H9" i="6"/>
  <c r="I9" i="6" s="1"/>
  <c r="F9" i="6"/>
  <c r="H8" i="6"/>
  <c r="I8" i="6" s="1"/>
  <c r="F8" i="6"/>
  <c r="J7" i="6"/>
  <c r="H42" i="6" s="1"/>
  <c r="H7" i="6"/>
  <c r="I7" i="6" s="1"/>
  <c r="L7" i="6" s="1"/>
  <c r="F7" i="6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J7" i="5"/>
  <c r="H26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J7" i="2"/>
  <c r="H46" i="5" s="1"/>
  <c r="J8" i="2"/>
  <c r="J9" i="2"/>
  <c r="H48" i="5" s="1"/>
  <c r="J10" i="2"/>
  <c r="H49" i="5" s="1"/>
  <c r="J11" i="2"/>
  <c r="H50" i="5" s="1"/>
  <c r="J12" i="2"/>
  <c r="J13" i="2"/>
  <c r="H52" i="5" s="1"/>
  <c r="J14" i="2"/>
  <c r="H53" i="5" s="1"/>
  <c r="J15" i="2"/>
  <c r="H54" i="5" s="1"/>
  <c r="J16" i="2"/>
  <c r="J17" i="2"/>
  <c r="H56" i="5" s="1"/>
  <c r="J18" i="2"/>
  <c r="H57" i="5" s="1"/>
  <c r="J19" i="2"/>
  <c r="H58" i="5" s="1"/>
  <c r="J20" i="2"/>
  <c r="J6" i="2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26" i="5"/>
  <c r="H7" i="5"/>
  <c r="I7" i="5" s="1"/>
  <c r="L7" i="5" s="1"/>
  <c r="K61" i="6" l="1"/>
  <c r="L61" i="6" s="1"/>
  <c r="K73" i="6"/>
  <c r="K69" i="6"/>
  <c r="K65" i="6"/>
  <c r="L72" i="6" s="1"/>
  <c r="E59" i="5"/>
  <c r="E75" i="6"/>
  <c r="N4" i="5"/>
  <c r="F57" i="5"/>
  <c r="I57" i="5" s="1"/>
  <c r="F53" i="5"/>
  <c r="I53" i="5" s="1"/>
  <c r="H45" i="5"/>
  <c r="N5" i="5"/>
  <c r="L64" i="6"/>
  <c r="L62" i="6"/>
  <c r="L63" i="6"/>
  <c r="I38" i="6"/>
  <c r="E45" i="8"/>
  <c r="J7" i="8"/>
  <c r="I21" i="9"/>
  <c r="K7" i="9"/>
  <c r="K7" i="8"/>
  <c r="F45" i="8"/>
  <c r="G22" i="5"/>
  <c r="F22" i="5" s="1"/>
  <c r="J26" i="5"/>
  <c r="K26" i="5" s="1"/>
  <c r="L26" i="5" s="1"/>
  <c r="I21" i="8"/>
  <c r="L8" i="9"/>
  <c r="L9" i="9" s="1"/>
  <c r="H26" i="9"/>
  <c r="J8" i="9"/>
  <c r="F45" i="9"/>
  <c r="L8" i="8"/>
  <c r="L9" i="8" s="1"/>
  <c r="L10" i="8" s="1"/>
  <c r="K7" i="7"/>
  <c r="L8" i="7"/>
  <c r="J26" i="7"/>
  <c r="H45" i="7"/>
  <c r="J8" i="7"/>
  <c r="F45" i="7"/>
  <c r="I45" i="7"/>
  <c r="K23" i="6"/>
  <c r="L24" i="6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J26" i="6"/>
  <c r="K25" i="6"/>
  <c r="K24" i="6"/>
  <c r="I37" i="6"/>
  <c r="J8" i="6"/>
  <c r="K7" i="6"/>
  <c r="H22" i="6"/>
  <c r="I22" i="6" s="1"/>
  <c r="J42" i="6"/>
  <c r="K42" i="6" s="1"/>
  <c r="L42" i="6" s="1"/>
  <c r="L8" i="6"/>
  <c r="K45" i="5"/>
  <c r="K7" i="5"/>
  <c r="H22" i="5"/>
  <c r="L8" i="5"/>
  <c r="L9" i="5" s="1"/>
  <c r="J8" i="5"/>
  <c r="L65" i="6" l="1"/>
  <c r="L69" i="6"/>
  <c r="L74" i="6"/>
  <c r="L67" i="6"/>
  <c r="L71" i="6"/>
  <c r="L68" i="6"/>
  <c r="L73" i="6"/>
  <c r="L66" i="6"/>
  <c r="L75" i="6"/>
  <c r="L70" i="6"/>
  <c r="J8" i="8"/>
  <c r="H26" i="8"/>
  <c r="K45" i="7"/>
  <c r="I22" i="5"/>
  <c r="Q26" i="5"/>
  <c r="I27" i="5" s="1"/>
  <c r="N26" i="5"/>
  <c r="O26" i="5" s="1"/>
  <c r="S26" i="5" s="1"/>
  <c r="O45" i="5" s="1"/>
  <c r="H27" i="9"/>
  <c r="J9" i="9"/>
  <c r="K8" i="9"/>
  <c r="H45" i="9"/>
  <c r="J26" i="9"/>
  <c r="I45" i="9"/>
  <c r="L10" i="9"/>
  <c r="L11" i="8"/>
  <c r="H27" i="7"/>
  <c r="J9" i="7"/>
  <c r="K8" i="7"/>
  <c r="L9" i="7"/>
  <c r="L45" i="7"/>
  <c r="K26" i="7"/>
  <c r="K8" i="6"/>
  <c r="H43" i="6"/>
  <c r="J27" i="6"/>
  <c r="K26" i="6"/>
  <c r="L37" i="6"/>
  <c r="L38" i="6" s="1"/>
  <c r="J9" i="6"/>
  <c r="H44" i="6" s="1"/>
  <c r="L9" i="6"/>
  <c r="J9" i="5"/>
  <c r="K8" i="5"/>
  <c r="H27" i="5"/>
  <c r="L10" i="5"/>
  <c r="L45" i="5"/>
  <c r="H27" i="8" l="1"/>
  <c r="H46" i="8" s="1"/>
  <c r="K46" i="8" s="1"/>
  <c r="K8" i="8"/>
  <c r="J9" i="8"/>
  <c r="I45" i="8"/>
  <c r="J26" i="8"/>
  <c r="K26" i="8" s="1"/>
  <c r="Q26" i="8" s="1"/>
  <c r="H45" i="8"/>
  <c r="R26" i="5"/>
  <c r="N45" i="5" s="1"/>
  <c r="Q45" i="5" s="1"/>
  <c r="J10" i="9"/>
  <c r="H28" i="9"/>
  <c r="K9" i="9"/>
  <c r="K26" i="9"/>
  <c r="G45" i="9" s="1"/>
  <c r="H46" i="9"/>
  <c r="K46" i="9" s="1"/>
  <c r="L11" i="9"/>
  <c r="K45" i="9"/>
  <c r="L12" i="8"/>
  <c r="H28" i="7"/>
  <c r="K9" i="7"/>
  <c r="J10" i="7"/>
  <c r="N26" i="7"/>
  <c r="O26" i="7" s="1"/>
  <c r="S26" i="7" s="1"/>
  <c r="L26" i="7"/>
  <c r="Q26" i="7"/>
  <c r="H46" i="7"/>
  <c r="K46" i="7" s="1"/>
  <c r="G45" i="7"/>
  <c r="L10" i="7"/>
  <c r="J28" i="6"/>
  <c r="K27" i="6"/>
  <c r="K9" i="6"/>
  <c r="J10" i="6"/>
  <c r="H45" i="6" s="1"/>
  <c r="N42" i="6"/>
  <c r="O42" i="6" s="1"/>
  <c r="S42" i="6" s="1"/>
  <c r="O61" i="6" s="1"/>
  <c r="Q42" i="6"/>
  <c r="L10" i="6"/>
  <c r="J10" i="5"/>
  <c r="K9" i="5"/>
  <c r="H28" i="5"/>
  <c r="J27" i="5"/>
  <c r="K27" i="5" s="1"/>
  <c r="L27" i="5" s="1"/>
  <c r="K46" i="5"/>
  <c r="L11" i="5"/>
  <c r="K45" i="8" l="1"/>
  <c r="L46" i="8" s="1"/>
  <c r="L45" i="8"/>
  <c r="L26" i="8"/>
  <c r="H28" i="8"/>
  <c r="H47" i="8" s="1"/>
  <c r="K47" i="8" s="1"/>
  <c r="L47" i="8" s="1"/>
  <c r="J10" i="8"/>
  <c r="K9" i="8"/>
  <c r="G45" i="8"/>
  <c r="N26" i="8"/>
  <c r="O26" i="8" s="1"/>
  <c r="S26" i="8" s="1"/>
  <c r="O45" i="8" s="1"/>
  <c r="L46" i="9"/>
  <c r="L45" i="9"/>
  <c r="L12" i="9"/>
  <c r="H47" i="9"/>
  <c r="K47" i="9" s="1"/>
  <c r="Q26" i="9"/>
  <c r="L26" i="9"/>
  <c r="N26" i="9"/>
  <c r="O26" i="9" s="1"/>
  <c r="S26" i="9" s="1"/>
  <c r="H29" i="9"/>
  <c r="J11" i="9"/>
  <c r="K10" i="9"/>
  <c r="R26" i="8"/>
  <c r="N45" i="8" s="1"/>
  <c r="I27" i="8"/>
  <c r="L13" i="8"/>
  <c r="H29" i="7"/>
  <c r="J11" i="7"/>
  <c r="K10" i="7"/>
  <c r="L11" i="7"/>
  <c r="I27" i="7"/>
  <c r="R26" i="7"/>
  <c r="N45" i="7" s="1"/>
  <c r="H47" i="7"/>
  <c r="K47" i="7" s="1"/>
  <c r="L47" i="7" s="1"/>
  <c r="L46" i="7"/>
  <c r="O45" i="7"/>
  <c r="J29" i="6"/>
  <c r="K28" i="6"/>
  <c r="J11" i="6"/>
  <c r="H46" i="6" s="1"/>
  <c r="K10" i="6"/>
  <c r="L11" i="6"/>
  <c r="I43" i="6"/>
  <c r="R42" i="6"/>
  <c r="N61" i="6" s="1"/>
  <c r="K47" i="5"/>
  <c r="J11" i="5"/>
  <c r="K10" i="5"/>
  <c r="H29" i="5"/>
  <c r="N27" i="5"/>
  <c r="O27" i="5" s="1"/>
  <c r="S27" i="5" s="1"/>
  <c r="O46" i="5" s="1"/>
  <c r="Q27" i="5"/>
  <c r="L46" i="5"/>
  <c r="L12" i="5"/>
  <c r="Q45" i="7" l="1"/>
  <c r="J11" i="8"/>
  <c r="K10" i="8"/>
  <c r="H29" i="8"/>
  <c r="H48" i="8" s="1"/>
  <c r="K48" i="8" s="1"/>
  <c r="L48" i="8" s="1"/>
  <c r="Q45" i="8"/>
  <c r="H48" i="9"/>
  <c r="K48" i="9" s="1"/>
  <c r="O45" i="9"/>
  <c r="L47" i="9"/>
  <c r="L13" i="9"/>
  <c r="J12" i="9"/>
  <c r="H30" i="9"/>
  <c r="K11" i="9"/>
  <c r="I27" i="9"/>
  <c r="R26" i="9"/>
  <c r="N45" i="9" s="1"/>
  <c r="J27" i="8"/>
  <c r="L14" i="8"/>
  <c r="J27" i="7"/>
  <c r="J12" i="7"/>
  <c r="K11" i="7"/>
  <c r="H30" i="7"/>
  <c r="L12" i="7"/>
  <c r="H48" i="7"/>
  <c r="K48" i="7" s="1"/>
  <c r="I28" i="5"/>
  <c r="J28" i="5" s="1"/>
  <c r="K28" i="5" s="1"/>
  <c r="R27" i="5"/>
  <c r="N46" i="5" s="1"/>
  <c r="Q46" i="5" s="1"/>
  <c r="J30" i="6"/>
  <c r="K29" i="6"/>
  <c r="K11" i="6"/>
  <c r="J12" i="6"/>
  <c r="H47" i="6" s="1"/>
  <c r="J43" i="6"/>
  <c r="Q61" i="6"/>
  <c r="L12" i="6"/>
  <c r="L47" i="5"/>
  <c r="K48" i="5"/>
  <c r="J12" i="5"/>
  <c r="K11" i="5"/>
  <c r="H30" i="5"/>
  <c r="L13" i="5"/>
  <c r="J12" i="8" l="1"/>
  <c r="H30" i="8"/>
  <c r="H49" i="8" s="1"/>
  <c r="K49" i="8" s="1"/>
  <c r="L49" i="8" s="1"/>
  <c r="K11" i="8"/>
  <c r="Q45" i="9"/>
  <c r="L14" i="9"/>
  <c r="H49" i="9"/>
  <c r="K49" i="9" s="1"/>
  <c r="H31" i="9"/>
  <c r="J13" i="9"/>
  <c r="K12" i="9"/>
  <c r="J27" i="9"/>
  <c r="L48" i="9"/>
  <c r="K27" i="8"/>
  <c r="G46" i="8" s="1"/>
  <c r="L15" i="8"/>
  <c r="L13" i="7"/>
  <c r="K12" i="7"/>
  <c r="H31" i="7"/>
  <c r="J13" i="7"/>
  <c r="K27" i="7"/>
  <c r="G46" i="7" s="1"/>
  <c r="H49" i="7"/>
  <c r="K49" i="7" s="1"/>
  <c r="L49" i="7" s="1"/>
  <c r="L48" i="7"/>
  <c r="J31" i="6"/>
  <c r="K30" i="6"/>
  <c r="K12" i="6"/>
  <c r="J13" i="6"/>
  <c r="H48" i="6" s="1"/>
  <c r="L13" i="6"/>
  <c r="K43" i="6"/>
  <c r="L48" i="5"/>
  <c r="K49" i="5"/>
  <c r="J13" i="5"/>
  <c r="K12" i="5"/>
  <c r="H31" i="5"/>
  <c r="Q28" i="5"/>
  <c r="L14" i="5"/>
  <c r="N28" i="5"/>
  <c r="O28" i="5" s="1"/>
  <c r="S28" i="5" s="1"/>
  <c r="O47" i="5" s="1"/>
  <c r="L28" i="5"/>
  <c r="K12" i="8" l="1"/>
  <c r="J13" i="8"/>
  <c r="H31" i="8"/>
  <c r="H50" i="8" s="1"/>
  <c r="K50" i="8" s="1"/>
  <c r="L50" i="8" s="1"/>
  <c r="K27" i="9"/>
  <c r="L15" i="9"/>
  <c r="L49" i="9"/>
  <c r="J14" i="9"/>
  <c r="H32" i="9"/>
  <c r="K13" i="9"/>
  <c r="H50" i="9"/>
  <c r="K50" i="9" s="1"/>
  <c r="L50" i="9" s="1"/>
  <c r="L16" i="8"/>
  <c r="N27" i="8"/>
  <c r="O27" i="8" s="1"/>
  <c r="S27" i="8" s="1"/>
  <c r="L27" i="8"/>
  <c r="Q27" i="8"/>
  <c r="H50" i="7"/>
  <c r="K50" i="7" s="1"/>
  <c r="N27" i="7"/>
  <c r="O27" i="7" s="1"/>
  <c r="S27" i="7" s="1"/>
  <c r="L27" i="7"/>
  <c r="Q27" i="7"/>
  <c r="L14" i="7"/>
  <c r="H32" i="7"/>
  <c r="J14" i="7"/>
  <c r="K13" i="7"/>
  <c r="I29" i="5"/>
  <c r="J29" i="5" s="1"/>
  <c r="K29" i="5" s="1"/>
  <c r="R28" i="5"/>
  <c r="N47" i="5" s="1"/>
  <c r="Q47" i="5" s="1"/>
  <c r="K31" i="6"/>
  <c r="J32" i="6"/>
  <c r="J14" i="6"/>
  <c r="H49" i="6" s="1"/>
  <c r="K13" i="6"/>
  <c r="L14" i="6"/>
  <c r="L43" i="6"/>
  <c r="N43" i="6"/>
  <c r="O43" i="6" s="1"/>
  <c r="S43" i="6" s="1"/>
  <c r="O62" i="6" s="1"/>
  <c r="Q43" i="6"/>
  <c r="L49" i="5"/>
  <c r="J14" i="5"/>
  <c r="K13" i="5"/>
  <c r="H32" i="5"/>
  <c r="K50" i="5"/>
  <c r="L15" i="5"/>
  <c r="H32" i="8" l="1"/>
  <c r="H51" i="8" s="1"/>
  <c r="K51" i="8" s="1"/>
  <c r="L51" i="8" s="1"/>
  <c r="J14" i="8"/>
  <c r="K13" i="8"/>
  <c r="L16" i="9"/>
  <c r="H33" i="9"/>
  <c r="J15" i="9"/>
  <c r="K14" i="9"/>
  <c r="L27" i="9"/>
  <c r="N27" i="9"/>
  <c r="O27" i="9" s="1"/>
  <c r="S27" i="9" s="1"/>
  <c r="Q27" i="9"/>
  <c r="H51" i="9"/>
  <c r="K51" i="9" s="1"/>
  <c r="G46" i="9"/>
  <c r="O46" i="8"/>
  <c r="L17" i="8"/>
  <c r="R27" i="8"/>
  <c r="N46" i="8" s="1"/>
  <c r="I28" i="8"/>
  <c r="O46" i="7"/>
  <c r="L15" i="7"/>
  <c r="J15" i="7"/>
  <c r="H33" i="7"/>
  <c r="K14" i="7"/>
  <c r="I28" i="7"/>
  <c r="R27" i="7"/>
  <c r="N46" i="7" s="1"/>
  <c r="H51" i="7"/>
  <c r="K51" i="7" s="1"/>
  <c r="L50" i="7"/>
  <c r="J33" i="6"/>
  <c r="K32" i="6"/>
  <c r="J15" i="6"/>
  <c r="H50" i="6" s="1"/>
  <c r="K14" i="6"/>
  <c r="R43" i="6"/>
  <c r="N62" i="6" s="1"/>
  <c r="I44" i="6"/>
  <c r="L15" i="6"/>
  <c r="L50" i="5"/>
  <c r="K51" i="5"/>
  <c r="J15" i="5"/>
  <c r="K14" i="5"/>
  <c r="H33" i="5"/>
  <c r="Q29" i="5"/>
  <c r="N29" i="5"/>
  <c r="O29" i="5" s="1"/>
  <c r="S29" i="5" s="1"/>
  <c r="O48" i="5" s="1"/>
  <c r="L29" i="5"/>
  <c r="L16" i="5"/>
  <c r="K14" i="8" l="1"/>
  <c r="H33" i="8"/>
  <c r="H52" i="8" s="1"/>
  <c r="K52" i="8" s="1"/>
  <c r="L52" i="8" s="1"/>
  <c r="J15" i="8"/>
  <c r="L51" i="9"/>
  <c r="L17" i="9"/>
  <c r="I28" i="9"/>
  <c r="R27" i="9"/>
  <c r="N46" i="9" s="1"/>
  <c r="O46" i="9"/>
  <c r="J16" i="9"/>
  <c r="H34" i="9"/>
  <c r="K15" i="9"/>
  <c r="H52" i="9"/>
  <c r="K52" i="9" s="1"/>
  <c r="L52" i="9" s="1"/>
  <c r="L18" i="8"/>
  <c r="J28" i="8"/>
  <c r="Q46" i="8"/>
  <c r="L16" i="7"/>
  <c r="H52" i="7"/>
  <c r="K52" i="7" s="1"/>
  <c r="J16" i="7"/>
  <c r="K15" i="7"/>
  <c r="H34" i="7"/>
  <c r="Q46" i="7"/>
  <c r="L51" i="7"/>
  <c r="J28" i="7"/>
  <c r="I30" i="5"/>
  <c r="J30" i="5" s="1"/>
  <c r="R29" i="5"/>
  <c r="N48" i="5" s="1"/>
  <c r="Q48" i="5" s="1"/>
  <c r="J34" i="6"/>
  <c r="K33" i="6"/>
  <c r="J16" i="6"/>
  <c r="H51" i="6" s="1"/>
  <c r="K15" i="6"/>
  <c r="Q62" i="6"/>
  <c r="L16" i="6"/>
  <c r="J44" i="6"/>
  <c r="K52" i="5"/>
  <c r="J16" i="5"/>
  <c r="K15" i="5"/>
  <c r="H34" i="5"/>
  <c r="L51" i="5"/>
  <c r="L17" i="5"/>
  <c r="J16" i="8" l="1"/>
  <c r="H34" i="8"/>
  <c r="H53" i="8" s="1"/>
  <c r="K53" i="8" s="1"/>
  <c r="L53" i="8" s="1"/>
  <c r="K15" i="8"/>
  <c r="Q46" i="9"/>
  <c r="H53" i="9"/>
  <c r="K53" i="9" s="1"/>
  <c r="L53" i="9" s="1"/>
  <c r="L18" i="9"/>
  <c r="H35" i="9"/>
  <c r="K16" i="9"/>
  <c r="J17" i="9"/>
  <c r="J28" i="9"/>
  <c r="L19" i="8"/>
  <c r="K28" i="8"/>
  <c r="G47" i="8" s="1"/>
  <c r="H53" i="7"/>
  <c r="K53" i="7" s="1"/>
  <c r="L53" i="7" s="1"/>
  <c r="L17" i="7"/>
  <c r="H35" i="7"/>
  <c r="K16" i="7"/>
  <c r="J17" i="7"/>
  <c r="L52" i="7"/>
  <c r="K28" i="7"/>
  <c r="J35" i="6"/>
  <c r="K34" i="6"/>
  <c r="J17" i="6"/>
  <c r="H52" i="6" s="1"/>
  <c r="K16" i="6"/>
  <c r="L17" i="6"/>
  <c r="K44" i="6"/>
  <c r="L52" i="5"/>
  <c r="K53" i="5"/>
  <c r="J17" i="5"/>
  <c r="K16" i="5"/>
  <c r="H35" i="5"/>
  <c r="K30" i="5"/>
  <c r="L18" i="5"/>
  <c r="J17" i="8" l="1"/>
  <c r="H35" i="8"/>
  <c r="H54" i="8" s="1"/>
  <c r="K54" i="8" s="1"/>
  <c r="L54" i="8" s="1"/>
  <c r="K16" i="8"/>
  <c r="L19" i="9"/>
  <c r="J18" i="9"/>
  <c r="H36" i="9"/>
  <c r="K17" i="9"/>
  <c r="K28" i="9"/>
  <c r="G47" i="9" s="1"/>
  <c r="H54" i="9"/>
  <c r="K54" i="9" s="1"/>
  <c r="L54" i="9" s="1"/>
  <c r="L20" i="8"/>
  <c r="L28" i="8"/>
  <c r="N28" i="8"/>
  <c r="O28" i="8" s="1"/>
  <c r="S28" i="8" s="1"/>
  <c r="Q28" i="8"/>
  <c r="L28" i="7"/>
  <c r="N28" i="7"/>
  <c r="O28" i="7" s="1"/>
  <c r="S28" i="7" s="1"/>
  <c r="Q28" i="7"/>
  <c r="H36" i="7"/>
  <c r="J18" i="7"/>
  <c r="K17" i="7"/>
  <c r="G47" i="7"/>
  <c r="H54" i="7"/>
  <c r="K54" i="7" s="1"/>
  <c r="L54" i="7" s="1"/>
  <c r="L18" i="7"/>
  <c r="J36" i="6"/>
  <c r="K35" i="6"/>
  <c r="J18" i="6"/>
  <c r="H53" i="6" s="1"/>
  <c r="K17" i="6"/>
  <c r="L18" i="6"/>
  <c r="L44" i="6"/>
  <c r="N44" i="6"/>
  <c r="O44" i="6" s="1"/>
  <c r="S44" i="6" s="1"/>
  <c r="O63" i="6" s="1"/>
  <c r="Q44" i="6"/>
  <c r="L53" i="5"/>
  <c r="K54" i="5"/>
  <c r="L54" i="5" s="1"/>
  <c r="J18" i="5"/>
  <c r="K17" i="5"/>
  <c r="H36" i="5"/>
  <c r="Q30" i="5"/>
  <c r="L19" i="5"/>
  <c r="L30" i="5"/>
  <c r="N30" i="5"/>
  <c r="O30" i="5" s="1"/>
  <c r="S30" i="5" s="1"/>
  <c r="O49" i="5" s="1"/>
  <c r="J18" i="8" l="1"/>
  <c r="K17" i="8"/>
  <c r="H36" i="8"/>
  <c r="H55" i="8" s="1"/>
  <c r="K55" i="8" s="1"/>
  <c r="L55" i="8" s="1"/>
  <c r="H55" i="9"/>
  <c r="K55" i="9" s="1"/>
  <c r="L55" i="9" s="1"/>
  <c r="H37" i="9"/>
  <c r="K18" i="9"/>
  <c r="J19" i="9"/>
  <c r="L28" i="9"/>
  <c r="N28" i="9"/>
  <c r="O28" i="9" s="1"/>
  <c r="S28" i="9" s="1"/>
  <c r="Q28" i="9"/>
  <c r="L20" i="9"/>
  <c r="O47" i="8"/>
  <c r="L21" i="8"/>
  <c r="I29" i="8"/>
  <c r="R28" i="8"/>
  <c r="N47" i="8" s="1"/>
  <c r="L19" i="7"/>
  <c r="H55" i="7"/>
  <c r="K55" i="7" s="1"/>
  <c r="L55" i="7" s="1"/>
  <c r="I29" i="7"/>
  <c r="R28" i="7"/>
  <c r="N47" i="7" s="1"/>
  <c r="O47" i="7"/>
  <c r="H37" i="7"/>
  <c r="J19" i="7"/>
  <c r="K18" i="7"/>
  <c r="I31" i="5"/>
  <c r="J31" i="5" s="1"/>
  <c r="R30" i="5"/>
  <c r="N49" i="5" s="1"/>
  <c r="Q49" i="5" s="1"/>
  <c r="J37" i="6"/>
  <c r="K36" i="6"/>
  <c r="J19" i="6"/>
  <c r="H54" i="6" s="1"/>
  <c r="K18" i="6"/>
  <c r="L19" i="6"/>
  <c r="I45" i="6"/>
  <c r="R44" i="6"/>
  <c r="N63" i="6" s="1"/>
  <c r="K55" i="5"/>
  <c r="L55" i="5" s="1"/>
  <c r="J19" i="5"/>
  <c r="K18" i="5"/>
  <c r="H37" i="5"/>
  <c r="L20" i="5"/>
  <c r="K18" i="8" l="1"/>
  <c r="H37" i="8"/>
  <c r="H56" i="8" s="1"/>
  <c r="K56" i="8" s="1"/>
  <c r="L56" i="8" s="1"/>
  <c r="J19" i="8"/>
  <c r="I29" i="9"/>
  <c r="R28" i="9"/>
  <c r="N47" i="9" s="1"/>
  <c r="O47" i="9"/>
  <c r="H56" i="9"/>
  <c r="K56" i="9" s="1"/>
  <c r="L56" i="9" s="1"/>
  <c r="L21" i="9"/>
  <c r="J20" i="9"/>
  <c r="H38" i="9"/>
  <c r="K19" i="9"/>
  <c r="J29" i="8"/>
  <c r="Q47" i="8"/>
  <c r="L22" i="8"/>
  <c r="J20" i="7"/>
  <c r="H38" i="7"/>
  <c r="K19" i="7"/>
  <c r="L20" i="7"/>
  <c r="H56" i="7"/>
  <c r="K56" i="7" s="1"/>
  <c r="L56" i="7" s="1"/>
  <c r="Q47" i="7"/>
  <c r="J29" i="7"/>
  <c r="K37" i="6"/>
  <c r="J38" i="6"/>
  <c r="K38" i="6" s="1"/>
  <c r="K19" i="6"/>
  <c r="J20" i="6"/>
  <c r="H55" i="6" s="1"/>
  <c r="J45" i="6"/>
  <c r="L20" i="6"/>
  <c r="Q63" i="6"/>
  <c r="K56" i="5"/>
  <c r="L56" i="5" s="1"/>
  <c r="J20" i="5"/>
  <c r="K19" i="5"/>
  <c r="H38" i="5"/>
  <c r="L21" i="5"/>
  <c r="L22" i="5" s="1"/>
  <c r="K31" i="5"/>
  <c r="J20" i="8" l="1"/>
  <c r="K19" i="8"/>
  <c r="H38" i="8"/>
  <c r="H57" i="8" s="1"/>
  <c r="K57" i="8" s="1"/>
  <c r="L57" i="8" s="1"/>
  <c r="H57" i="9"/>
  <c r="K57" i="9" s="1"/>
  <c r="L57" i="9" s="1"/>
  <c r="H39" i="9"/>
  <c r="K20" i="9"/>
  <c r="J21" i="9"/>
  <c r="L22" i="9"/>
  <c r="Q47" i="9"/>
  <c r="J29" i="9"/>
  <c r="K29" i="8"/>
  <c r="K29" i="7"/>
  <c r="G48" i="7" s="1"/>
  <c r="H57" i="7"/>
  <c r="K57" i="7" s="1"/>
  <c r="L57" i="7" s="1"/>
  <c r="L21" i="7"/>
  <c r="H39" i="7"/>
  <c r="K20" i="7"/>
  <c r="J21" i="7"/>
  <c r="J21" i="6"/>
  <c r="H56" i="6" s="1"/>
  <c r="K20" i="6"/>
  <c r="L21" i="6"/>
  <c r="K45" i="6"/>
  <c r="K57" i="5"/>
  <c r="L57" i="5" s="1"/>
  <c r="J21" i="5"/>
  <c r="K20" i="5"/>
  <c r="H39" i="5"/>
  <c r="Q31" i="5"/>
  <c r="N31" i="5"/>
  <c r="O31" i="5" s="1"/>
  <c r="S31" i="5" s="1"/>
  <c r="O50" i="5" s="1"/>
  <c r="L31" i="5"/>
  <c r="K20" i="8" l="1"/>
  <c r="J21" i="8"/>
  <c r="H39" i="8"/>
  <c r="H58" i="8" s="1"/>
  <c r="K58" i="8" s="1"/>
  <c r="L58" i="8" s="1"/>
  <c r="H58" i="9"/>
  <c r="K58" i="9" s="1"/>
  <c r="L58" i="9" s="1"/>
  <c r="K29" i="9"/>
  <c r="G48" i="9" s="1"/>
  <c r="J22" i="9"/>
  <c r="H40" i="9"/>
  <c r="K21" i="9"/>
  <c r="L29" i="8"/>
  <c r="N29" i="8"/>
  <c r="O29" i="8" s="1"/>
  <c r="S29" i="8" s="1"/>
  <c r="Q29" i="8"/>
  <c r="G48" i="8"/>
  <c r="H58" i="7"/>
  <c r="K58" i="7" s="1"/>
  <c r="L58" i="7" s="1"/>
  <c r="L22" i="7"/>
  <c r="H40" i="7"/>
  <c r="J22" i="7"/>
  <c r="K21" i="7"/>
  <c r="L29" i="7"/>
  <c r="N29" i="7"/>
  <c r="O29" i="7" s="1"/>
  <c r="S29" i="7" s="1"/>
  <c r="Q29" i="7"/>
  <c r="I32" i="5"/>
  <c r="J32" i="5" s="1"/>
  <c r="K32" i="5" s="1"/>
  <c r="R31" i="5"/>
  <c r="N50" i="5" s="1"/>
  <c r="Q50" i="5" s="1"/>
  <c r="K21" i="6"/>
  <c r="J22" i="6"/>
  <c r="H57" i="6" s="1"/>
  <c r="L22" i="6"/>
  <c r="L45" i="6"/>
  <c r="N45" i="6"/>
  <c r="O45" i="6" s="1"/>
  <c r="S45" i="6" s="1"/>
  <c r="O64" i="6" s="1"/>
  <c r="Q45" i="6"/>
  <c r="K58" i="5"/>
  <c r="L58" i="5" s="1"/>
  <c r="J22" i="5"/>
  <c r="K21" i="5"/>
  <c r="H40" i="5"/>
  <c r="K21" i="8" l="1"/>
  <c r="H40" i="8"/>
  <c r="H59" i="8" s="1"/>
  <c r="K59" i="8" s="1"/>
  <c r="L59" i="8" s="1"/>
  <c r="J22" i="8"/>
  <c r="H59" i="9"/>
  <c r="K59" i="9" s="1"/>
  <c r="L59" i="9" s="1"/>
  <c r="H41" i="9"/>
  <c r="K22" i="9"/>
  <c r="L29" i="9"/>
  <c r="N29" i="9"/>
  <c r="O29" i="9" s="1"/>
  <c r="S29" i="9" s="1"/>
  <c r="Q29" i="9"/>
  <c r="R29" i="8"/>
  <c r="N48" i="8" s="1"/>
  <c r="I30" i="8"/>
  <c r="O48" i="8"/>
  <c r="R29" i="7"/>
  <c r="N48" i="7" s="1"/>
  <c r="I30" i="7"/>
  <c r="H41" i="7"/>
  <c r="K22" i="7"/>
  <c r="O48" i="7"/>
  <c r="H59" i="7"/>
  <c r="K59" i="7" s="1"/>
  <c r="L59" i="7" s="1"/>
  <c r="K22" i="6"/>
  <c r="R45" i="6"/>
  <c r="N64" i="6" s="1"/>
  <c r="I46" i="6"/>
  <c r="K59" i="5"/>
  <c r="L59" i="5" s="1"/>
  <c r="K22" i="5"/>
  <c r="H41" i="5"/>
  <c r="Q32" i="5"/>
  <c r="L32" i="5"/>
  <c r="N32" i="5"/>
  <c r="O32" i="5" s="1"/>
  <c r="S32" i="5" s="1"/>
  <c r="O51" i="5" s="1"/>
  <c r="H41" i="8" l="1"/>
  <c r="K22" i="8"/>
  <c r="Q48" i="7"/>
  <c r="Q48" i="8"/>
  <c r="I30" i="9"/>
  <c r="R29" i="9"/>
  <c r="N48" i="9" s="1"/>
  <c r="O48" i="9"/>
  <c r="J30" i="8"/>
  <c r="J30" i="7"/>
  <c r="I33" i="5"/>
  <c r="J33" i="5" s="1"/>
  <c r="K33" i="5" s="1"/>
  <c r="R32" i="5"/>
  <c r="N51" i="5" s="1"/>
  <c r="Q51" i="5" s="1"/>
  <c r="J46" i="6"/>
  <c r="Q64" i="6"/>
  <c r="Q48" i="9" l="1"/>
  <c r="J30" i="9"/>
  <c r="K30" i="8"/>
  <c r="K30" i="7"/>
  <c r="K46" i="6"/>
  <c r="Q33" i="5"/>
  <c r="N33" i="5"/>
  <c r="O33" i="5" s="1"/>
  <c r="S33" i="5" s="1"/>
  <c r="O52" i="5" s="1"/>
  <c r="L33" i="5"/>
  <c r="K30" i="9" l="1"/>
  <c r="N30" i="8"/>
  <c r="O30" i="8" s="1"/>
  <c r="S30" i="8" s="1"/>
  <c r="L30" i="8"/>
  <c r="Q30" i="8"/>
  <c r="G49" i="8"/>
  <c r="N30" i="7"/>
  <c r="O30" i="7" s="1"/>
  <c r="S30" i="7" s="1"/>
  <c r="L30" i="7"/>
  <c r="Q30" i="7"/>
  <c r="G49" i="7"/>
  <c r="I34" i="5"/>
  <c r="J34" i="5" s="1"/>
  <c r="R33" i="5"/>
  <c r="N52" i="5" s="1"/>
  <c r="Q52" i="5" s="1"/>
  <c r="N46" i="6"/>
  <c r="O46" i="6" s="1"/>
  <c r="S46" i="6" s="1"/>
  <c r="O65" i="6" s="1"/>
  <c r="L46" i="6"/>
  <c r="Q46" i="6"/>
  <c r="K34" i="5"/>
  <c r="Q34" i="5" s="1"/>
  <c r="L30" i="9" l="1"/>
  <c r="N30" i="9"/>
  <c r="O30" i="9" s="1"/>
  <c r="S30" i="9" s="1"/>
  <c r="Q30" i="9"/>
  <c r="G49" i="9"/>
  <c r="R30" i="8"/>
  <c r="N49" i="8" s="1"/>
  <c r="I31" i="8"/>
  <c r="O49" i="8"/>
  <c r="Q49" i="8" s="1"/>
  <c r="R30" i="7"/>
  <c r="N49" i="7" s="1"/>
  <c r="I31" i="7"/>
  <c r="O49" i="7"/>
  <c r="I35" i="5"/>
  <c r="J35" i="5" s="1"/>
  <c r="R34" i="5"/>
  <c r="N53" i="5" s="1"/>
  <c r="R46" i="6"/>
  <c r="N65" i="6" s="1"/>
  <c r="I47" i="6"/>
  <c r="Q65" i="6"/>
  <c r="N34" i="5"/>
  <c r="O34" i="5" s="1"/>
  <c r="S34" i="5" s="1"/>
  <c r="O53" i="5" s="1"/>
  <c r="L34" i="5"/>
  <c r="Q53" i="5" l="1"/>
  <c r="Q49" i="7"/>
  <c r="I31" i="9"/>
  <c r="R30" i="9"/>
  <c r="N49" i="9" s="1"/>
  <c r="O49" i="9"/>
  <c r="J31" i="8"/>
  <c r="J31" i="7"/>
  <c r="J47" i="6"/>
  <c r="K35" i="5"/>
  <c r="Q49" i="9" l="1"/>
  <c r="J31" i="9"/>
  <c r="K31" i="8"/>
  <c r="G50" i="8" s="1"/>
  <c r="K31" i="7"/>
  <c r="G50" i="7" s="1"/>
  <c r="K47" i="6"/>
  <c r="Q35" i="5"/>
  <c r="L35" i="5"/>
  <c r="N35" i="5"/>
  <c r="O35" i="5" s="1"/>
  <c r="S35" i="5" s="1"/>
  <c r="O54" i="5" s="1"/>
  <c r="K31" i="9" l="1"/>
  <c r="N31" i="8"/>
  <c r="O31" i="8" s="1"/>
  <c r="S31" i="8" s="1"/>
  <c r="L31" i="8"/>
  <c r="Q31" i="8"/>
  <c r="L31" i="7"/>
  <c r="N31" i="7"/>
  <c r="O31" i="7" s="1"/>
  <c r="S31" i="7" s="1"/>
  <c r="Q31" i="7"/>
  <c r="I36" i="5"/>
  <c r="J36" i="5" s="1"/>
  <c r="K36" i="5" s="1"/>
  <c r="R35" i="5"/>
  <c r="N54" i="5" s="1"/>
  <c r="Q54" i="5" s="1"/>
  <c r="N47" i="6"/>
  <c r="O47" i="6" s="1"/>
  <c r="S47" i="6" s="1"/>
  <c r="O66" i="6" s="1"/>
  <c r="L47" i="6"/>
  <c r="Q47" i="6"/>
  <c r="L31" i="9" l="1"/>
  <c r="N31" i="9"/>
  <c r="O31" i="9" s="1"/>
  <c r="S31" i="9" s="1"/>
  <c r="Q31" i="9"/>
  <c r="G50" i="9"/>
  <c r="R31" i="8"/>
  <c r="N50" i="8" s="1"/>
  <c r="I32" i="8"/>
  <c r="O50" i="8"/>
  <c r="Q50" i="8" s="1"/>
  <c r="R31" i="7"/>
  <c r="N50" i="7" s="1"/>
  <c r="I32" i="7"/>
  <c r="O50" i="7"/>
  <c r="R47" i="6"/>
  <c r="N66" i="6" s="1"/>
  <c r="I48" i="6"/>
  <c r="Q36" i="5"/>
  <c r="N36" i="5"/>
  <c r="O36" i="5" s="1"/>
  <c r="S36" i="5" s="1"/>
  <c r="O55" i="5" s="1"/>
  <c r="L36" i="5"/>
  <c r="Q50" i="7" l="1"/>
  <c r="I32" i="9"/>
  <c r="R31" i="9"/>
  <c r="N50" i="9" s="1"/>
  <c r="O50" i="9"/>
  <c r="J32" i="8"/>
  <c r="J32" i="7"/>
  <c r="I37" i="5"/>
  <c r="J37" i="5" s="1"/>
  <c r="K37" i="5" s="1"/>
  <c r="R36" i="5"/>
  <c r="N55" i="5" s="1"/>
  <c r="Q55" i="5" s="1"/>
  <c r="Q66" i="6"/>
  <c r="J48" i="6"/>
  <c r="Q50" i="9" l="1"/>
  <c r="J32" i="9"/>
  <c r="K32" i="8"/>
  <c r="G51" i="8" s="1"/>
  <c r="K32" i="7"/>
  <c r="G51" i="7" s="1"/>
  <c r="K48" i="6"/>
  <c r="Q37" i="5"/>
  <c r="L37" i="5"/>
  <c r="N37" i="5"/>
  <c r="O37" i="5" s="1"/>
  <c r="S37" i="5" s="1"/>
  <c r="O56" i="5" s="1"/>
  <c r="K32" i="9" l="1"/>
  <c r="L32" i="8"/>
  <c r="N32" i="8"/>
  <c r="O32" i="8" s="1"/>
  <c r="S32" i="8" s="1"/>
  <c r="Q32" i="8"/>
  <c r="L32" i="7"/>
  <c r="N32" i="7"/>
  <c r="O32" i="7" s="1"/>
  <c r="S32" i="7" s="1"/>
  <c r="Q32" i="7"/>
  <c r="I38" i="5"/>
  <c r="J38" i="5" s="1"/>
  <c r="K38" i="5" s="1"/>
  <c r="R37" i="5"/>
  <c r="N56" i="5" s="1"/>
  <c r="Q56" i="5" s="1"/>
  <c r="L48" i="6"/>
  <c r="N48" i="6"/>
  <c r="O48" i="6" s="1"/>
  <c r="S48" i="6" s="1"/>
  <c r="O67" i="6" s="1"/>
  <c r="Q48" i="6"/>
  <c r="L32" i="9" l="1"/>
  <c r="N32" i="9"/>
  <c r="O32" i="9" s="1"/>
  <c r="S32" i="9" s="1"/>
  <c r="Q32" i="9"/>
  <c r="G51" i="9"/>
  <c r="I33" i="8"/>
  <c r="R32" i="8"/>
  <c r="N51" i="8" s="1"/>
  <c r="O51" i="8"/>
  <c r="Q51" i="8" s="1"/>
  <c r="I33" i="7"/>
  <c r="R32" i="7"/>
  <c r="N51" i="7" s="1"/>
  <c r="O51" i="7"/>
  <c r="I49" i="6"/>
  <c r="R48" i="6"/>
  <c r="N67" i="6" s="1"/>
  <c r="Q38" i="5"/>
  <c r="L38" i="5"/>
  <c r="N38" i="5"/>
  <c r="O38" i="5" s="1"/>
  <c r="S38" i="5" s="1"/>
  <c r="O57" i="5" s="1"/>
  <c r="I33" i="9" l="1"/>
  <c r="R32" i="9"/>
  <c r="N51" i="9" s="1"/>
  <c r="O51" i="9"/>
  <c r="J33" i="8"/>
  <c r="Q51" i="7"/>
  <c r="J33" i="7"/>
  <c r="I39" i="5"/>
  <c r="J39" i="5" s="1"/>
  <c r="K39" i="5" s="1"/>
  <c r="R38" i="5"/>
  <c r="N57" i="5" s="1"/>
  <c r="Q57" i="5" s="1"/>
  <c r="Q67" i="6"/>
  <c r="J49" i="6"/>
  <c r="Q51" i="9" l="1"/>
  <c r="J33" i="9"/>
  <c r="K33" i="8"/>
  <c r="K33" i="7"/>
  <c r="G52" i="7" s="1"/>
  <c r="K49" i="6"/>
  <c r="Q39" i="5"/>
  <c r="L39" i="5"/>
  <c r="N39" i="5"/>
  <c r="O39" i="5" s="1"/>
  <c r="S39" i="5" s="1"/>
  <c r="O58" i="5" s="1"/>
  <c r="K33" i="9" l="1"/>
  <c r="L33" i="8"/>
  <c r="N33" i="8"/>
  <c r="O33" i="8" s="1"/>
  <c r="S33" i="8" s="1"/>
  <c r="Q33" i="8"/>
  <c r="G52" i="8"/>
  <c r="L33" i="7"/>
  <c r="N33" i="7"/>
  <c r="O33" i="7" s="1"/>
  <c r="S33" i="7" s="1"/>
  <c r="Q33" i="7"/>
  <c r="I40" i="5"/>
  <c r="J40" i="5" s="1"/>
  <c r="K40" i="5" s="1"/>
  <c r="R39" i="5"/>
  <c r="N58" i="5" s="1"/>
  <c r="Q58" i="5" s="1"/>
  <c r="L49" i="6"/>
  <c r="N49" i="6"/>
  <c r="O49" i="6" s="1"/>
  <c r="S49" i="6" s="1"/>
  <c r="O68" i="6" s="1"/>
  <c r="Q49" i="6"/>
  <c r="L33" i="9" l="1"/>
  <c r="N33" i="9"/>
  <c r="O33" i="9" s="1"/>
  <c r="S33" i="9" s="1"/>
  <c r="Q33" i="9"/>
  <c r="G52" i="9"/>
  <c r="O52" i="8"/>
  <c r="R33" i="8"/>
  <c r="N52" i="8" s="1"/>
  <c r="I34" i="8"/>
  <c r="R33" i="7"/>
  <c r="N52" i="7" s="1"/>
  <c r="I34" i="7"/>
  <c r="O52" i="7"/>
  <c r="R49" i="6"/>
  <c r="N68" i="6" s="1"/>
  <c r="I50" i="6"/>
  <c r="I41" i="5"/>
  <c r="J41" i="5" s="1"/>
  <c r="K41" i="5" s="1"/>
  <c r="Q40" i="5"/>
  <c r="R40" i="5" s="1"/>
  <c r="N59" i="5" s="1"/>
  <c r="N40" i="5"/>
  <c r="O40" i="5" s="1"/>
  <c r="S40" i="5" s="1"/>
  <c r="O59" i="5" s="1"/>
  <c r="L40" i="5"/>
  <c r="Q52" i="7" l="1"/>
  <c r="I34" i="9"/>
  <c r="R33" i="9"/>
  <c r="N52" i="9" s="1"/>
  <c r="O52" i="9"/>
  <c r="J34" i="8"/>
  <c r="Q52" i="8"/>
  <c r="J34" i="7"/>
  <c r="Q59" i="5"/>
  <c r="Q68" i="6"/>
  <c r="J50" i="6"/>
  <c r="Q41" i="5"/>
  <c r="R41" i="5" s="1"/>
  <c r="N60" i="5" s="1"/>
  <c r="L41" i="5"/>
  <c r="N41" i="5"/>
  <c r="O41" i="5" s="1"/>
  <c r="S41" i="5" s="1"/>
  <c r="O60" i="5" s="1"/>
  <c r="Q60" i="5" l="1"/>
  <c r="Q52" i="9"/>
  <c r="J34" i="9"/>
  <c r="K34" i="8"/>
  <c r="K34" i="7"/>
  <c r="K50" i="6"/>
  <c r="K34" i="9" l="1"/>
  <c r="N34" i="8"/>
  <c r="O34" i="8" s="1"/>
  <c r="S34" i="8" s="1"/>
  <c r="L34" i="8"/>
  <c r="Q34" i="8"/>
  <c r="G53" i="8"/>
  <c r="N34" i="7"/>
  <c r="O34" i="7" s="1"/>
  <c r="S34" i="7" s="1"/>
  <c r="L34" i="7"/>
  <c r="Q34" i="7"/>
  <c r="G53" i="7"/>
  <c r="N50" i="6"/>
  <c r="O50" i="6" s="1"/>
  <c r="S50" i="6" s="1"/>
  <c r="O69" i="6" s="1"/>
  <c r="L50" i="6"/>
  <c r="Q50" i="6"/>
  <c r="L34" i="9" l="1"/>
  <c r="N34" i="9"/>
  <c r="O34" i="9" s="1"/>
  <c r="S34" i="9" s="1"/>
  <c r="Q34" i="9"/>
  <c r="G53" i="9"/>
  <c r="O53" i="8"/>
  <c r="R34" i="8"/>
  <c r="N53" i="8" s="1"/>
  <c r="I35" i="8"/>
  <c r="R34" i="7"/>
  <c r="N53" i="7" s="1"/>
  <c r="I35" i="7"/>
  <c r="O53" i="7"/>
  <c r="R50" i="6"/>
  <c r="N69" i="6" s="1"/>
  <c r="Q69" i="6" s="1"/>
  <c r="I51" i="6"/>
  <c r="Q53" i="7" l="1"/>
  <c r="I35" i="9"/>
  <c r="R34" i="9"/>
  <c r="N53" i="9" s="1"/>
  <c r="O53" i="9"/>
  <c r="J35" i="8"/>
  <c r="Q53" i="8"/>
  <c r="J35" i="7"/>
  <c r="J51" i="6"/>
  <c r="Q53" i="9" l="1"/>
  <c r="J35" i="9"/>
  <c r="K35" i="8"/>
  <c r="G54" i="8" s="1"/>
  <c r="K35" i="7"/>
  <c r="G54" i="7" s="1"/>
  <c r="K51" i="6"/>
  <c r="K35" i="9" l="1"/>
  <c r="N35" i="8"/>
  <c r="O35" i="8" s="1"/>
  <c r="S35" i="8" s="1"/>
  <c r="L35" i="8"/>
  <c r="Q35" i="8"/>
  <c r="N35" i="7"/>
  <c r="O35" i="7" s="1"/>
  <c r="S35" i="7" s="1"/>
  <c r="L35" i="7"/>
  <c r="Q35" i="7"/>
  <c r="N51" i="6"/>
  <c r="O51" i="6" s="1"/>
  <c r="S51" i="6" s="1"/>
  <c r="O70" i="6" s="1"/>
  <c r="L51" i="6"/>
  <c r="Q51" i="6"/>
  <c r="L35" i="9" l="1"/>
  <c r="N35" i="9"/>
  <c r="O35" i="9" s="1"/>
  <c r="S35" i="9" s="1"/>
  <c r="Q35" i="9"/>
  <c r="G54" i="9"/>
  <c r="R35" i="8"/>
  <c r="N54" i="8" s="1"/>
  <c r="I36" i="8"/>
  <c r="O54" i="8"/>
  <c r="Q54" i="8" s="1"/>
  <c r="I36" i="7"/>
  <c r="R35" i="7"/>
  <c r="N54" i="7" s="1"/>
  <c r="O54" i="7"/>
  <c r="R51" i="6"/>
  <c r="N70" i="6" s="1"/>
  <c r="Q70" i="6" s="1"/>
  <c r="I52" i="6"/>
  <c r="Q54" i="7" l="1"/>
  <c r="I36" i="9"/>
  <c r="R35" i="9"/>
  <c r="N54" i="9" s="1"/>
  <c r="O54" i="9"/>
  <c r="J36" i="8"/>
  <c r="J36" i="7"/>
  <c r="J52" i="6"/>
  <c r="Q54" i="9" l="1"/>
  <c r="J36" i="9"/>
  <c r="K36" i="8"/>
  <c r="G55" i="8" s="1"/>
  <c r="K36" i="7"/>
  <c r="G55" i="7" s="1"/>
  <c r="K52" i="6"/>
  <c r="K36" i="9" l="1"/>
  <c r="L36" i="8"/>
  <c r="N36" i="8"/>
  <c r="O36" i="8" s="1"/>
  <c r="S36" i="8" s="1"/>
  <c r="Q36" i="8"/>
  <c r="L36" i="7"/>
  <c r="N36" i="7"/>
  <c r="O36" i="7" s="1"/>
  <c r="S36" i="7" s="1"/>
  <c r="Q36" i="7"/>
  <c r="L52" i="6"/>
  <c r="N52" i="6"/>
  <c r="O52" i="6" s="1"/>
  <c r="S52" i="6" s="1"/>
  <c r="O71" i="6" s="1"/>
  <c r="Q52" i="6"/>
  <c r="L36" i="9" l="1"/>
  <c r="N36" i="9"/>
  <c r="O36" i="9" s="1"/>
  <c r="S36" i="9" s="1"/>
  <c r="Q36" i="9"/>
  <c r="G55" i="9"/>
  <c r="I37" i="8"/>
  <c r="R36" i="8"/>
  <c r="N55" i="8" s="1"/>
  <c r="O55" i="8"/>
  <c r="I37" i="7"/>
  <c r="R36" i="7"/>
  <c r="N55" i="7" s="1"/>
  <c r="O55" i="7"/>
  <c r="I53" i="6"/>
  <c r="R52" i="6"/>
  <c r="N71" i="6" s="1"/>
  <c r="Q71" i="6" s="1"/>
  <c r="Q55" i="8" l="1"/>
  <c r="Q55" i="7"/>
  <c r="I37" i="9"/>
  <c r="R36" i="9"/>
  <c r="N55" i="9" s="1"/>
  <c r="O55" i="9"/>
  <c r="J37" i="8"/>
  <c r="J37" i="7"/>
  <c r="J53" i="6"/>
  <c r="Q55" i="9" l="1"/>
  <c r="J37" i="9"/>
  <c r="K37" i="8"/>
  <c r="K37" i="7"/>
  <c r="K53" i="6"/>
  <c r="K37" i="9" l="1"/>
  <c r="L37" i="8"/>
  <c r="N37" i="8"/>
  <c r="O37" i="8" s="1"/>
  <c r="S37" i="8" s="1"/>
  <c r="Q37" i="8"/>
  <c r="G56" i="8"/>
  <c r="L37" i="7"/>
  <c r="N37" i="7"/>
  <c r="O37" i="7" s="1"/>
  <c r="S37" i="7" s="1"/>
  <c r="Q37" i="7"/>
  <c r="G56" i="7"/>
  <c r="L53" i="6"/>
  <c r="N53" i="6"/>
  <c r="O53" i="6" s="1"/>
  <c r="S53" i="6" s="1"/>
  <c r="O72" i="6" s="1"/>
  <c r="Q53" i="6"/>
  <c r="L37" i="9" l="1"/>
  <c r="N37" i="9"/>
  <c r="O37" i="9" s="1"/>
  <c r="S37" i="9" s="1"/>
  <c r="Q37" i="9"/>
  <c r="G56" i="9"/>
  <c r="R37" i="8"/>
  <c r="N56" i="8" s="1"/>
  <c r="I38" i="8"/>
  <c r="O56" i="8"/>
  <c r="R37" i="7"/>
  <c r="N56" i="7" s="1"/>
  <c r="I38" i="7"/>
  <c r="O56" i="7"/>
  <c r="R53" i="6"/>
  <c r="N72" i="6" s="1"/>
  <c r="I54" i="6"/>
  <c r="Q56" i="8" l="1"/>
  <c r="Q56" i="7"/>
  <c r="I38" i="9"/>
  <c r="R37" i="9"/>
  <c r="N56" i="9" s="1"/>
  <c r="O56" i="9"/>
  <c r="J38" i="8"/>
  <c r="J38" i="7"/>
  <c r="Q72" i="6"/>
  <c r="J54" i="6"/>
  <c r="Q56" i="9" l="1"/>
  <c r="J38" i="9"/>
  <c r="K38" i="8"/>
  <c r="K38" i="7"/>
  <c r="G57" i="7" s="1"/>
  <c r="K54" i="6"/>
  <c r="K38" i="9" l="1"/>
  <c r="N38" i="8"/>
  <c r="O38" i="8" s="1"/>
  <c r="S38" i="8" s="1"/>
  <c r="L38" i="8"/>
  <c r="Q38" i="8"/>
  <c r="G57" i="8"/>
  <c r="N38" i="7"/>
  <c r="O38" i="7" s="1"/>
  <c r="S38" i="7" s="1"/>
  <c r="L38" i="7"/>
  <c r="Q38" i="7"/>
  <c r="N54" i="6"/>
  <c r="O54" i="6" s="1"/>
  <c r="S54" i="6" s="1"/>
  <c r="O73" i="6" s="1"/>
  <c r="L54" i="6"/>
  <c r="Q54" i="6"/>
  <c r="L38" i="9" l="1"/>
  <c r="N38" i="9"/>
  <c r="O38" i="9" s="1"/>
  <c r="S38" i="9" s="1"/>
  <c r="Q38" i="9"/>
  <c r="G57" i="9"/>
  <c r="R38" i="8"/>
  <c r="N57" i="8" s="1"/>
  <c r="I39" i="8"/>
  <c r="O57" i="8"/>
  <c r="Q57" i="8" s="1"/>
  <c r="R38" i="7"/>
  <c r="N57" i="7" s="1"/>
  <c r="I39" i="7"/>
  <c r="O57" i="7"/>
  <c r="R54" i="6"/>
  <c r="N73" i="6" s="1"/>
  <c r="Q73" i="6" s="1"/>
  <c r="I55" i="6"/>
  <c r="Q57" i="7" l="1"/>
  <c r="I39" i="9"/>
  <c r="R38" i="9"/>
  <c r="N57" i="9" s="1"/>
  <c r="O57" i="9"/>
  <c r="J39" i="8"/>
  <c r="J39" i="7"/>
  <c r="J55" i="6"/>
  <c r="Q57" i="9" l="1"/>
  <c r="J39" i="9"/>
  <c r="K39" i="8"/>
  <c r="K39" i="7"/>
  <c r="G58" i="7" s="1"/>
  <c r="K55" i="6"/>
  <c r="K39" i="9" l="1"/>
  <c r="N39" i="8"/>
  <c r="O39" i="8" s="1"/>
  <c r="S39" i="8" s="1"/>
  <c r="L39" i="8"/>
  <c r="Q39" i="8"/>
  <c r="G58" i="8"/>
  <c r="N39" i="7"/>
  <c r="O39" i="7" s="1"/>
  <c r="S39" i="7" s="1"/>
  <c r="L39" i="7"/>
  <c r="Q39" i="7"/>
  <c r="N55" i="6"/>
  <c r="O55" i="6" s="1"/>
  <c r="S55" i="6" s="1"/>
  <c r="O74" i="6" s="1"/>
  <c r="L55" i="6"/>
  <c r="Q55" i="6"/>
  <c r="L39" i="9" l="1"/>
  <c r="N39" i="9"/>
  <c r="O39" i="9" s="1"/>
  <c r="S39" i="9" s="1"/>
  <c r="Q39" i="9"/>
  <c r="G58" i="9"/>
  <c r="R39" i="8"/>
  <c r="N58" i="8" s="1"/>
  <c r="I40" i="8"/>
  <c r="O58" i="8"/>
  <c r="Q58" i="8" s="1"/>
  <c r="I40" i="7"/>
  <c r="R39" i="7"/>
  <c r="N58" i="7" s="1"/>
  <c r="O58" i="7"/>
  <c r="R55" i="6"/>
  <c r="N74" i="6" s="1"/>
  <c r="Q74" i="6" s="1"/>
  <c r="I56" i="6"/>
  <c r="Q58" i="7" l="1"/>
  <c r="I40" i="9"/>
  <c r="R39" i="9"/>
  <c r="N58" i="9" s="1"/>
  <c r="O58" i="9"/>
  <c r="Q58" i="9" s="1"/>
  <c r="J40" i="8"/>
  <c r="J40" i="7"/>
  <c r="J56" i="6"/>
  <c r="J40" i="9" l="1"/>
  <c r="K40" i="8"/>
  <c r="G59" i="8" s="1"/>
  <c r="K40" i="7"/>
  <c r="G59" i="7" s="1"/>
  <c r="K56" i="6"/>
  <c r="K40" i="9" l="1"/>
  <c r="L40" i="8"/>
  <c r="N40" i="8"/>
  <c r="O40" i="8" s="1"/>
  <c r="S40" i="8" s="1"/>
  <c r="I41" i="8"/>
  <c r="Q40" i="8"/>
  <c r="R40" i="8" s="1"/>
  <c r="N59" i="8" s="1"/>
  <c r="L40" i="7"/>
  <c r="N40" i="7"/>
  <c r="O40" i="7" s="1"/>
  <c r="S40" i="7" s="1"/>
  <c r="I41" i="7"/>
  <c r="Q40" i="7"/>
  <c r="R40" i="7" s="1"/>
  <c r="N59" i="7" s="1"/>
  <c r="L56" i="6"/>
  <c r="N56" i="6"/>
  <c r="O56" i="6" s="1"/>
  <c r="S56" i="6" s="1"/>
  <c r="O75" i="6" s="1"/>
  <c r="I57" i="6"/>
  <c r="Q56" i="6"/>
  <c r="R56" i="6" s="1"/>
  <c r="N75" i="6" s="1"/>
  <c r="L40" i="9" l="1"/>
  <c r="N40" i="9"/>
  <c r="O40" i="9" s="1"/>
  <c r="S40" i="9" s="1"/>
  <c r="I41" i="9"/>
  <c r="Q40" i="9"/>
  <c r="R40" i="9" s="1"/>
  <c r="N59" i="9" s="1"/>
  <c r="G59" i="9"/>
  <c r="J41" i="8"/>
  <c r="K41" i="8" s="1"/>
  <c r="O59" i="8"/>
  <c r="Q59" i="8" s="1"/>
  <c r="J41" i="7"/>
  <c r="K41" i="7" s="1"/>
  <c r="O59" i="7"/>
  <c r="Q59" i="7" s="1"/>
  <c r="J57" i="6"/>
  <c r="K57" i="6" s="1"/>
  <c r="Q75" i="6"/>
  <c r="J41" i="9" l="1"/>
  <c r="K41" i="9" s="1"/>
  <c r="O59" i="9"/>
  <c r="Q59" i="9" s="1"/>
  <c r="N41" i="8"/>
  <c r="O41" i="8" s="1"/>
  <c r="S41" i="8" s="1"/>
  <c r="O60" i="8" s="1"/>
  <c r="L41" i="8"/>
  <c r="Q41" i="8"/>
  <c r="R41" i="8" s="1"/>
  <c r="N60" i="8" s="1"/>
  <c r="N41" i="7"/>
  <c r="O41" i="7" s="1"/>
  <c r="S41" i="7" s="1"/>
  <c r="O60" i="7" s="1"/>
  <c r="L41" i="7"/>
  <c r="Q41" i="7"/>
  <c r="R41" i="7" s="1"/>
  <c r="N60" i="7" s="1"/>
  <c r="N57" i="6"/>
  <c r="O57" i="6" s="1"/>
  <c r="S57" i="6" s="1"/>
  <c r="O76" i="6" s="1"/>
  <c r="L57" i="6"/>
  <c r="Q57" i="6"/>
  <c r="R57" i="6" s="1"/>
  <c r="N76" i="6" s="1"/>
  <c r="N41" i="9" l="1"/>
  <c r="O41" i="9" s="1"/>
  <c r="S41" i="9" s="1"/>
  <c r="O60" i="9" s="1"/>
  <c r="L41" i="9"/>
  <c r="Q41" i="9"/>
  <c r="R41" i="9" s="1"/>
  <c r="N60" i="9" s="1"/>
  <c r="Q60" i="8"/>
  <c r="Q60" i="7"/>
  <c r="Q76" i="6"/>
  <c r="Q60" i="9" l="1"/>
</calcChain>
</file>

<file path=xl/sharedStrings.xml><?xml version="1.0" encoding="utf-8"?>
<sst xmlns="http://schemas.openxmlformats.org/spreadsheetml/2006/main" count="852" uniqueCount="107">
  <si>
    <t>거래일</t>
    <phoneticPr fontId="2" type="noConversion"/>
  </si>
  <si>
    <t>매매구분</t>
    <phoneticPr fontId="2" type="noConversion"/>
  </si>
  <si>
    <t>종목코드</t>
    <phoneticPr fontId="2" type="noConversion"/>
  </si>
  <si>
    <t>종목명</t>
    <phoneticPr fontId="2" type="noConversion"/>
  </si>
  <si>
    <t>체결수량</t>
    <phoneticPr fontId="2" type="noConversion"/>
  </si>
  <si>
    <t>체결단가</t>
    <phoneticPr fontId="2" type="noConversion"/>
  </si>
  <si>
    <t>체결금액</t>
    <phoneticPr fontId="2" type="noConversion"/>
  </si>
  <si>
    <t>체결금액(USD)</t>
    <phoneticPr fontId="2" type="noConversion"/>
  </si>
  <si>
    <t>기초자산</t>
    <phoneticPr fontId="2" type="noConversion"/>
  </si>
  <si>
    <t xml:space="preserve">선물 </t>
    <phoneticPr fontId="2" type="noConversion"/>
  </si>
  <si>
    <t>옵션</t>
    <phoneticPr fontId="2" type="noConversion"/>
  </si>
  <si>
    <t>Euro FX</t>
    <phoneticPr fontId="2" type="noConversion"/>
  </si>
  <si>
    <t>Call</t>
    <phoneticPr fontId="2" type="noConversion"/>
  </si>
  <si>
    <t>Put</t>
    <phoneticPr fontId="2" type="noConversion"/>
  </si>
  <si>
    <t>12월 선물</t>
    <phoneticPr fontId="2" type="noConversion"/>
  </si>
  <si>
    <t>Delta</t>
    <phoneticPr fontId="2" type="noConversion"/>
  </si>
  <si>
    <t>Gamma</t>
    <phoneticPr fontId="2" type="noConversion"/>
  </si>
  <si>
    <t>Vega</t>
    <phoneticPr fontId="2" type="noConversion"/>
  </si>
  <si>
    <t>Rho</t>
    <phoneticPr fontId="2" type="noConversion"/>
  </si>
  <si>
    <t>선물가</t>
    <phoneticPr fontId="2" type="noConversion"/>
  </si>
  <si>
    <t>현물가</t>
    <phoneticPr fontId="2" type="noConversion"/>
  </si>
  <si>
    <t>실제가격</t>
    <phoneticPr fontId="2" type="noConversion"/>
  </si>
  <si>
    <t>Euro Fx</t>
    <phoneticPr fontId="2" type="noConversion"/>
  </si>
  <si>
    <t>손익계산</t>
    <phoneticPr fontId="2" type="noConversion"/>
  </si>
  <si>
    <t>Euro Fx 변동율(%)</t>
    <phoneticPr fontId="2" type="noConversion"/>
  </si>
  <si>
    <t>Gamma amt(%, 단위)</t>
    <phoneticPr fontId="2" type="noConversion"/>
  </si>
  <si>
    <t>Delta amt(단위)</t>
    <phoneticPr fontId="2" type="noConversion"/>
  </si>
  <si>
    <t>Gamma 추정</t>
    <phoneticPr fontId="2" type="noConversion"/>
  </si>
  <si>
    <t>델타</t>
    <phoneticPr fontId="2" type="noConversion"/>
  </si>
  <si>
    <t>세타</t>
    <phoneticPr fontId="2" type="noConversion"/>
  </si>
  <si>
    <t>감마</t>
    <phoneticPr fontId="2" type="noConversion"/>
  </si>
  <si>
    <t>베가</t>
    <phoneticPr fontId="2" type="noConversion"/>
  </si>
  <si>
    <t>세타+감마</t>
    <phoneticPr fontId="2" type="noConversion"/>
  </si>
  <si>
    <t>누적 손익</t>
    <phoneticPr fontId="2" type="noConversion"/>
  </si>
  <si>
    <t>변동율</t>
    <phoneticPr fontId="2" type="noConversion"/>
  </si>
  <si>
    <t>델타 계산</t>
    <phoneticPr fontId="2" type="noConversion"/>
  </si>
  <si>
    <t>(그릭스 델타*원화환산수량*kospi200가격+선물보유수량*승수*kospi200가격)*승수*kospi가격</t>
    <phoneticPr fontId="2" type="noConversion"/>
  </si>
  <si>
    <t>역사적변동성(90일)</t>
    <phoneticPr fontId="2" type="noConversion"/>
  </si>
  <si>
    <t>3개월 무위험 수익률</t>
    <phoneticPr fontId="2" type="noConversion"/>
  </si>
  <si>
    <t>미국</t>
    <phoneticPr fontId="2" type="noConversion"/>
  </si>
  <si>
    <t>유로</t>
    <phoneticPr fontId="2" type="noConversion"/>
  </si>
  <si>
    <t>이론가격(역사적)</t>
    <phoneticPr fontId="2" type="noConversion"/>
  </si>
  <si>
    <t>이론가격(내재)</t>
    <phoneticPr fontId="2" type="noConversion"/>
  </si>
  <si>
    <t>옵션 델타</t>
    <phoneticPr fontId="2" type="noConversion"/>
  </si>
  <si>
    <t>선물 델타</t>
    <phoneticPr fontId="2" type="noConversion"/>
  </si>
  <si>
    <t>옵션 수량</t>
    <phoneticPr fontId="2" type="noConversion"/>
  </si>
  <si>
    <t>선물 보유 수량</t>
    <phoneticPr fontId="2" type="noConversion"/>
  </si>
  <si>
    <t>선물 매매</t>
    <phoneticPr fontId="2" type="noConversion"/>
  </si>
  <si>
    <t>데일리 델타 pt</t>
    <phoneticPr fontId="2" type="noConversion"/>
  </si>
  <si>
    <t>EUR/USD FUT</t>
    <phoneticPr fontId="2" type="noConversion"/>
  </si>
  <si>
    <t>Call</t>
  </si>
  <si>
    <t>선물 데일리 잔고</t>
    <phoneticPr fontId="2" type="noConversion"/>
  </si>
  <si>
    <t>데일리 선물 손익</t>
    <phoneticPr fontId="2" type="noConversion"/>
  </si>
  <si>
    <t>Theta/365</t>
    <phoneticPr fontId="2" type="noConversion"/>
  </si>
  <si>
    <t>Theta/252</t>
    <phoneticPr fontId="2" type="noConversion"/>
  </si>
  <si>
    <t>옵션 데일리 잔고</t>
    <phoneticPr fontId="2" type="noConversion"/>
  </si>
  <si>
    <t>옵션+선물 데일리 잔고</t>
    <phoneticPr fontId="2" type="noConversion"/>
  </si>
  <si>
    <t>청산일</t>
    <phoneticPr fontId="2" type="noConversion"/>
  </si>
  <si>
    <t>옵션 보유 수량</t>
    <phoneticPr fontId="2" type="noConversion"/>
  </si>
  <si>
    <t>보유 옵션 데일리 가치</t>
    <phoneticPr fontId="2" type="noConversion"/>
  </si>
  <si>
    <t>선물 보유 데일리 가치</t>
    <phoneticPr fontId="2" type="noConversion"/>
  </si>
  <si>
    <t>옵션+선물 데일리 가치</t>
    <phoneticPr fontId="2" type="noConversion"/>
  </si>
  <si>
    <t>헤징 가치</t>
    <phoneticPr fontId="2" type="noConversion"/>
  </si>
  <si>
    <t>감마는 모르겠어요</t>
    <phoneticPr fontId="2" type="noConversion"/>
  </si>
  <si>
    <t>Put</t>
  </si>
  <si>
    <t>06EZ21P1165</t>
  </si>
  <si>
    <t>06EZ21C1165</t>
  </si>
  <si>
    <t>06EZ21C1165</t>
    <phoneticPr fontId="2" type="noConversion"/>
  </si>
  <si>
    <t>6EZ21</t>
  </si>
  <si>
    <t>내재 변동성</t>
    <phoneticPr fontId="2" type="noConversion"/>
  </si>
  <si>
    <t>내재변동성</t>
    <phoneticPr fontId="2" type="noConversion"/>
  </si>
  <si>
    <t>콜옵션 체결 수량</t>
    <phoneticPr fontId="2" type="noConversion"/>
  </si>
  <si>
    <t>풋옵션 체결 수량</t>
    <phoneticPr fontId="2" type="noConversion"/>
  </si>
  <si>
    <t>옵션 코드 읽기</t>
    <phoneticPr fontId="2" type="noConversion"/>
  </si>
  <si>
    <t>Product Code</t>
    <phoneticPr fontId="2" type="noConversion"/>
  </si>
  <si>
    <t>Month Code</t>
    <phoneticPr fontId="2" type="noConversion"/>
  </si>
  <si>
    <t>Year Code</t>
    <phoneticPr fontId="2" type="noConversion"/>
  </si>
  <si>
    <t>December</t>
    <phoneticPr fontId="2" type="noConversion"/>
  </si>
  <si>
    <t>Z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</si>
  <si>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</si>
  <si>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</si>
  <si>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</si>
  <si>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</si>
  <si>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</si>
  <si>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M</t>
    <phoneticPr fontId="2" type="noConversion"/>
  </si>
  <si>
    <t>N</t>
    <phoneticPr fontId="2" type="noConversion"/>
  </si>
  <si>
    <t>Q</t>
    <phoneticPr fontId="2" type="noConversion"/>
  </si>
  <si>
    <t>U</t>
    <phoneticPr fontId="2" type="noConversion"/>
  </si>
  <si>
    <t>V</t>
    <phoneticPr fontId="2" type="noConversion"/>
  </si>
  <si>
    <t>X</t>
    <phoneticPr fontId="2" type="noConversion"/>
  </si>
  <si>
    <t>January</t>
    <phoneticPr fontId="2" type="noConversion"/>
  </si>
  <si>
    <t>February</t>
    <phoneticPr fontId="2" type="noConversion"/>
  </si>
  <si>
    <t>March</t>
    <phoneticPr fontId="2" type="noConversion"/>
  </si>
  <si>
    <t>April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</si>
  <si>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</si>
  <si>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</si>
  <si>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</si>
  <si>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t>August</t>
    <phoneticPr fontId="2" type="noConversion"/>
  </si>
  <si>
    <t>September</t>
    <phoneticPr fontId="2" type="noConversion"/>
  </si>
  <si>
    <t>October</t>
    <phoneticPr fontId="2" type="noConversion"/>
  </si>
  <si>
    <t>November</t>
    <phoneticPr fontId="2" type="noConversion"/>
  </si>
  <si>
    <t>O6E</t>
    <phoneticPr fontId="2" type="noConversion"/>
  </si>
  <si>
    <t>실현변동성</t>
    <phoneticPr fontId="2" type="noConversion"/>
  </si>
  <si>
    <t>내재변동성보다 실현변동성이 큼</t>
    <phoneticPr fontId="2" type="noConversion"/>
  </si>
  <si>
    <t>-&gt; 롱감마포지션에서 손익이 남 (맞음)</t>
    <phoneticPr fontId="2" type="noConversion"/>
  </si>
  <si>
    <t>델타합</t>
    <phoneticPr fontId="2" type="noConversion"/>
  </si>
  <si>
    <t>첫날 옵션 샀을 때 변동성이 중요한 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</si>
</sst>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0.0000_);[Red]\(0.0000\)"/>
    <numFmt numFmtId="178" formatCode="0.00000"/>
    <numFmt numFmtId="179" formatCode="0.0000"/>
    <numFmt numFmtId="180" formatCode="0.00000000000000_);[Red]\(0.00000000000000\)"/>
    <numFmt numFmtId="181" formatCode="0.0000_ "/>
    <numFmt numFmtId="182" formatCode="0.000%"/>
    <numFmt numFmtId="193" formatCode="0.00000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나눔스퀘어라운드OTF Regular"/>
      <family val="2"/>
      <charset val="129"/>
    </font>
    <font>
      <b/>
      <sz val="11"/>
      <color theme="1"/>
      <name val="나눔스퀘어라운드OTF Regular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4" fontId="0" fillId="0" borderId="6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179" fontId="0" fillId="0" borderId="7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3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4" xfId="0" applyBorder="1">
      <alignment vertical="center"/>
    </xf>
    <xf numFmtId="10" fontId="0" fillId="0" borderId="7" xfId="0" applyNumberFormat="1" applyBorder="1">
      <alignment vertical="center"/>
    </xf>
    <xf numFmtId="180" fontId="0" fillId="0" borderId="1" xfId="0" applyNumberFormat="1" applyBorder="1">
      <alignment vertical="center"/>
    </xf>
    <xf numFmtId="181" fontId="0" fillId="0" borderId="7" xfId="0" applyNumberFormat="1" applyBorder="1">
      <alignment vertical="center"/>
    </xf>
    <xf numFmtId="182" fontId="4" fillId="2" borderId="2" xfId="0" applyNumberFormat="1" applyFont="1" applyFill="1" applyBorder="1" applyAlignment="1">
      <alignment horizontal="center" vertical="center" wrapText="1"/>
    </xf>
    <xf numFmtId="182" fontId="4" fillId="2" borderId="2" xfId="0" applyNumberFormat="1" applyFont="1" applyFill="1" applyBorder="1" applyAlignment="1">
      <alignment horizontal="center" vertical="center" wrapText="1" readingOrder="1"/>
    </xf>
    <xf numFmtId="182" fontId="4" fillId="2" borderId="2" xfId="0" applyNumberFormat="1" applyFont="1" applyFill="1" applyBorder="1" applyAlignment="1">
      <alignment horizontal="center" vertical="center"/>
    </xf>
    <xf numFmtId="182" fontId="4" fillId="2" borderId="2" xfId="0" applyNumberFormat="1" applyFont="1" applyFill="1" applyBorder="1" applyAlignment="1">
      <alignment horizontal="center" vertical="top" wrapText="1"/>
    </xf>
    <xf numFmtId="182" fontId="4" fillId="2" borderId="5" xfId="0" applyNumberFormat="1" applyFont="1" applyFill="1" applyBorder="1" applyAlignment="1">
      <alignment horizontal="center" vertical="top" wrapText="1"/>
    </xf>
    <xf numFmtId="182" fontId="4" fillId="2" borderId="8" xfId="0" applyNumberFormat="1" applyFont="1" applyFill="1" applyBorder="1" applyAlignment="1">
      <alignment horizontal="center" vertical="center" wrapText="1"/>
    </xf>
    <xf numFmtId="11" fontId="0" fillId="0" borderId="0" xfId="0" applyNumberFormat="1">
      <alignment vertical="center"/>
    </xf>
    <xf numFmtId="176" fontId="0" fillId="0" borderId="24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6" xfId="0" applyNumberFormat="1" applyBorder="1">
      <alignment vertical="center"/>
    </xf>
    <xf numFmtId="179" fontId="0" fillId="0" borderId="1" xfId="0" applyNumberFormat="1" applyBorder="1">
      <alignment vertical="center"/>
    </xf>
    <xf numFmtId="10" fontId="0" fillId="0" borderId="4" xfId="1" applyNumberFormat="1" applyFont="1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41" fontId="0" fillId="0" borderId="0" xfId="2" applyFont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0" xfId="0" applyNumberFormat="1" applyFill="1" applyBorder="1">
      <alignment vertical="center"/>
    </xf>
    <xf numFmtId="179" fontId="0" fillId="0" borderId="0" xfId="0" applyNumberFormat="1" applyFill="1" applyBorder="1">
      <alignment vertical="center"/>
    </xf>
    <xf numFmtId="41" fontId="0" fillId="0" borderId="0" xfId="2" applyFont="1" applyFill="1" applyBorder="1">
      <alignment vertical="center"/>
    </xf>
    <xf numFmtId="0" fontId="0" fillId="0" borderId="0" xfId="0" applyFill="1">
      <alignment vertical="center"/>
    </xf>
    <xf numFmtId="177" fontId="0" fillId="3" borderId="1" xfId="0" applyNumberForma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2" xfId="0" applyFill="1" applyBorder="1">
      <alignment vertical="center"/>
    </xf>
    <xf numFmtId="177" fontId="0" fillId="3" borderId="7" xfId="0" applyNumberFormat="1" applyFill="1" applyBorder="1">
      <alignment vertical="center"/>
    </xf>
    <xf numFmtId="0" fontId="0" fillId="3" borderId="7" xfId="0" applyFill="1" applyBorder="1">
      <alignment vertical="center"/>
    </xf>
    <xf numFmtId="177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41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7" xfId="0" applyFill="1" applyBorder="1">
      <alignment vertical="center"/>
    </xf>
    <xf numFmtId="0" fontId="5" fillId="0" borderId="0" xfId="0" applyFont="1">
      <alignment vertical="center"/>
    </xf>
    <xf numFmtId="41" fontId="0" fillId="0" borderId="8" xfId="2" applyFont="1" applyBorder="1">
      <alignment vertical="center"/>
    </xf>
    <xf numFmtId="14" fontId="0" fillId="0" borderId="27" xfId="0" applyNumberFormat="1" applyBorder="1">
      <alignment vertical="center"/>
    </xf>
    <xf numFmtId="41" fontId="0" fillId="0" borderId="2" xfId="2" applyFont="1" applyBorder="1">
      <alignment vertical="center"/>
    </xf>
    <xf numFmtId="14" fontId="0" fillId="3" borderId="3" xfId="0" applyNumberFormat="1" applyFill="1" applyBorder="1">
      <alignment vertical="center"/>
    </xf>
    <xf numFmtId="41" fontId="0" fillId="3" borderId="5" xfId="2" applyFont="1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3" borderId="31" xfId="0" applyFill="1" applyBorder="1">
      <alignment vertical="center"/>
    </xf>
    <xf numFmtId="0" fontId="0" fillId="0" borderId="6" xfId="0" applyBorder="1">
      <alignment vertical="center"/>
    </xf>
    <xf numFmtId="0" fontId="0" fillId="0" borderId="27" xfId="0" applyBorder="1">
      <alignment vertical="center"/>
    </xf>
    <xf numFmtId="0" fontId="0" fillId="3" borderId="3" xfId="0" applyFill="1" applyBorder="1">
      <alignment vertical="center"/>
    </xf>
    <xf numFmtId="179" fontId="0" fillId="3" borderId="4" xfId="0" applyNumberFormat="1" applyFill="1" applyBorder="1">
      <alignment vertical="center"/>
    </xf>
    <xf numFmtId="179" fontId="0" fillId="0" borderId="8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3" borderId="5" xfId="0" applyNumberFormat="1" applyFill="1" applyBorder="1">
      <alignment vertical="center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41" fontId="0" fillId="0" borderId="38" xfId="0" applyNumberFormat="1" applyBorder="1">
      <alignment vertical="center"/>
    </xf>
    <xf numFmtId="41" fontId="0" fillId="0" borderId="40" xfId="0" applyNumberFormat="1" applyBorder="1">
      <alignment vertical="center"/>
    </xf>
    <xf numFmtId="0" fontId="0" fillId="0" borderId="35" xfId="0" applyBorder="1">
      <alignment vertical="center"/>
    </xf>
    <xf numFmtId="41" fontId="0" fillId="3" borderId="39" xfId="0" applyNumberFormat="1" applyFill="1" applyBorder="1">
      <alignment vertical="center"/>
    </xf>
    <xf numFmtId="0" fontId="0" fillId="0" borderId="9" xfId="0" applyFill="1" applyBorder="1">
      <alignment vertical="center"/>
    </xf>
    <xf numFmtId="41" fontId="0" fillId="0" borderId="8" xfId="0" applyNumberFormat="1" applyBorder="1">
      <alignment vertical="center"/>
    </xf>
    <xf numFmtId="41" fontId="0" fillId="0" borderId="2" xfId="0" applyNumberFormat="1" applyBorder="1">
      <alignment vertical="center"/>
    </xf>
    <xf numFmtId="41" fontId="0" fillId="3" borderId="5" xfId="0" applyNumberFormat="1" applyFill="1" applyBorder="1">
      <alignment vertical="center"/>
    </xf>
    <xf numFmtId="0" fontId="0" fillId="0" borderId="10" xfId="0" applyFill="1" applyBorder="1" applyAlignment="1">
      <alignment vertical="center"/>
    </xf>
    <xf numFmtId="10" fontId="0" fillId="3" borderId="4" xfId="0" applyNumberFormat="1" applyFill="1" applyBorder="1">
      <alignment vertical="center"/>
    </xf>
    <xf numFmtId="179" fontId="0" fillId="3" borderId="21" xfId="0" applyNumberFormat="1" applyFill="1" applyBorder="1">
      <alignment vertical="center"/>
    </xf>
    <xf numFmtId="179" fontId="0" fillId="3" borderId="33" xfId="0" applyNumberFormat="1" applyFill="1" applyBorder="1" applyAlignment="1">
      <alignment vertical="center"/>
    </xf>
    <xf numFmtId="43" fontId="0" fillId="3" borderId="5" xfId="0" applyNumberFormat="1" applyFill="1" applyBorder="1">
      <alignment vertical="center"/>
    </xf>
    <xf numFmtId="0" fontId="0" fillId="0" borderId="41" xfId="0" applyBorder="1">
      <alignment vertical="center"/>
    </xf>
    <xf numFmtId="10" fontId="0" fillId="0" borderId="7" xfId="1" applyNumberFormat="1" applyFont="1" applyBorder="1">
      <alignment vertical="center"/>
    </xf>
    <xf numFmtId="10" fontId="0" fillId="0" borderId="1" xfId="1" applyNumberFormat="1" applyFont="1" applyBorder="1">
      <alignment vertical="center"/>
    </xf>
    <xf numFmtId="0" fontId="7" fillId="0" borderId="0" xfId="0" applyFont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11" fontId="0" fillId="0" borderId="2" xfId="0" applyNumberFormat="1" applyBorder="1">
      <alignment vertical="center"/>
    </xf>
    <xf numFmtId="11" fontId="0" fillId="0" borderId="5" xfId="0" applyNumberFormat="1" applyBorder="1">
      <alignment vertical="center"/>
    </xf>
    <xf numFmtId="178" fontId="0" fillId="0" borderId="42" xfId="0" applyNumberFormat="1" applyBorder="1">
      <alignment vertical="center"/>
    </xf>
    <xf numFmtId="178" fontId="0" fillId="0" borderId="43" xfId="0" applyNumberFormat="1" applyBorder="1">
      <alignment vertical="center"/>
    </xf>
    <xf numFmtId="0" fontId="0" fillId="0" borderId="43" xfId="0" applyBorder="1">
      <alignment vertical="center"/>
    </xf>
    <xf numFmtId="178" fontId="0" fillId="0" borderId="33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27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31" xfId="0" applyBorder="1">
      <alignment vertical="center"/>
    </xf>
    <xf numFmtId="0" fontId="0" fillId="0" borderId="18" xfId="0" applyFill="1" applyBorder="1">
      <alignment vertical="center"/>
    </xf>
    <xf numFmtId="182" fontId="4" fillId="2" borderId="42" xfId="0" applyNumberFormat="1" applyFont="1" applyFill="1" applyBorder="1" applyAlignment="1">
      <alignment horizontal="center" vertical="top" wrapText="1"/>
    </xf>
    <xf numFmtId="182" fontId="4" fillId="2" borderId="43" xfId="0" applyNumberFormat="1" applyFont="1" applyFill="1" applyBorder="1" applyAlignment="1">
      <alignment horizontal="center" vertical="top" wrapText="1"/>
    </xf>
    <xf numFmtId="182" fontId="4" fillId="2" borderId="33" xfId="0" applyNumberFormat="1" applyFont="1" applyFill="1" applyBorder="1" applyAlignment="1">
      <alignment horizontal="center" vertical="top" wrapText="1"/>
    </xf>
    <xf numFmtId="179" fontId="0" fillId="0" borderId="6" xfId="0" applyNumberFormat="1" applyBorder="1">
      <alignment vertical="center"/>
    </xf>
    <xf numFmtId="10" fontId="0" fillId="0" borderId="8" xfId="0" applyNumberFormat="1" applyBorder="1">
      <alignment vertical="center"/>
    </xf>
    <xf numFmtId="179" fontId="0" fillId="0" borderId="27" xfId="0" applyNumberFormat="1" applyBorder="1">
      <alignment vertical="center"/>
    </xf>
    <xf numFmtId="10" fontId="0" fillId="0" borderId="2" xfId="0" applyNumberFormat="1" applyBorder="1">
      <alignment vertical="center"/>
    </xf>
    <xf numFmtId="10" fontId="0" fillId="0" borderId="5" xfId="1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82" fontId="0" fillId="0" borderId="6" xfId="1" applyNumberFormat="1" applyFont="1" applyBorder="1">
      <alignment vertical="center"/>
    </xf>
    <xf numFmtId="182" fontId="0" fillId="3" borderId="3" xfId="1" applyNumberFormat="1" applyFont="1" applyFill="1" applyBorder="1">
      <alignment vertical="center"/>
    </xf>
    <xf numFmtId="182" fontId="0" fillId="0" borderId="8" xfId="0" applyNumberFormat="1" applyBorder="1">
      <alignment vertical="center"/>
    </xf>
    <xf numFmtId="182" fontId="0" fillId="0" borderId="2" xfId="0" applyNumberFormat="1" applyBorder="1">
      <alignment vertical="center"/>
    </xf>
    <xf numFmtId="182" fontId="0" fillId="3" borderId="5" xfId="0" applyNumberFormat="1" applyFill="1" applyBorder="1">
      <alignment vertical="center"/>
    </xf>
    <xf numFmtId="0" fontId="0" fillId="0" borderId="0" xfId="0" quotePrefix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82" fontId="0" fillId="0" borderId="0" xfId="1" applyNumberFormat="1" applyFont="1">
      <alignment vertical="center"/>
    </xf>
    <xf numFmtId="0" fontId="0" fillId="0" borderId="48" xfId="0" applyFill="1" applyBorder="1" applyAlignment="1">
      <alignment vertical="center"/>
    </xf>
    <xf numFmtId="0" fontId="0" fillId="0" borderId="7" xfId="0" applyBorder="1" applyAlignment="1">
      <alignment vertical="center"/>
    </xf>
    <xf numFmtId="193" fontId="0" fillId="0" borderId="7" xfId="0" applyNumberFormat="1" applyBorder="1">
      <alignment vertical="center"/>
    </xf>
    <xf numFmtId="193" fontId="0" fillId="0" borderId="1" xfId="0" applyNumberFormat="1" applyBorder="1">
      <alignment vertical="center"/>
    </xf>
    <xf numFmtId="193" fontId="0" fillId="0" borderId="4" xfId="0" applyNumberFormat="1" applyBorder="1">
      <alignment vertical="center"/>
    </xf>
    <xf numFmtId="193" fontId="0" fillId="0" borderId="21" xfId="0" applyNumberFormat="1" applyBorder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09F2-9964-45E1-90B6-61A7E8DDC364}">
  <sheetPr>
    <tabColor theme="7"/>
  </sheetPr>
  <dimension ref="A1:S66"/>
  <sheetViews>
    <sheetView showGridLines="0" tabSelected="1" zoomScale="85" zoomScaleNormal="85" workbookViewId="0">
      <selection activeCell="H4" sqref="H4"/>
    </sheetView>
  </sheetViews>
  <sheetFormatPr defaultRowHeight="17.399999999999999" x14ac:dyDescent="0.4"/>
  <cols>
    <col min="2" max="2" width="16.3984375" customWidth="1"/>
    <col min="3" max="3" width="17.59765625" bestFit="1" customWidth="1"/>
    <col min="4" max="4" width="20.59765625" bestFit="1" customWidth="1"/>
    <col min="5" max="5" width="15.3984375" bestFit="1" customWidth="1"/>
    <col min="6" max="6" width="14.19921875" bestFit="1" customWidth="1"/>
    <col min="7" max="7" width="9.59765625" customWidth="1"/>
    <col min="8" max="8" width="13.69921875" bestFit="1" customWidth="1"/>
    <col min="9" max="9" width="14.3984375" bestFit="1" customWidth="1"/>
    <col min="10" max="10" width="12.8984375" customWidth="1"/>
    <col min="11" max="11" width="21.3984375" bestFit="1" customWidth="1"/>
    <col min="12" max="12" width="16.5" bestFit="1" customWidth="1"/>
    <col min="13" max="13" width="11.5" bestFit="1" customWidth="1"/>
    <col min="14" max="15" width="22.19921875" bestFit="1" customWidth="1"/>
    <col min="16" max="16" width="3.09765625" customWidth="1"/>
    <col min="17" max="18" width="16.5" customWidth="1"/>
    <col min="19" max="19" width="16.5" bestFit="1" customWidth="1"/>
  </cols>
  <sheetData>
    <row r="1" spans="2:15" ht="18" thickBot="1" x14ac:dyDescent="0.45"/>
    <row r="2" spans="2:15" x14ac:dyDescent="0.4">
      <c r="B2" s="97" t="s">
        <v>71</v>
      </c>
      <c r="C2" s="98">
        <v>100</v>
      </c>
    </row>
    <row r="3" spans="2:15" ht="18" thickBot="1" x14ac:dyDescent="0.45">
      <c r="B3" s="99"/>
      <c r="C3" s="100"/>
    </row>
    <row r="4" spans="2:15" x14ac:dyDescent="0.4">
      <c r="N4">
        <f>N7*SQRT(252)</f>
        <v>0.75379709953101315</v>
      </c>
      <c r="O4">
        <f>STDEV(O7:O21)*SQRT(252)</f>
        <v>7.5444602192602225E-2</v>
      </c>
    </row>
    <row r="5" spans="2:15" ht="18" thickBot="1" x14ac:dyDescent="0.45">
      <c r="B5" s="96" t="s">
        <v>10</v>
      </c>
      <c r="N5" s="150">
        <f>N7</f>
        <v>4.7484753913353897E-2</v>
      </c>
    </row>
    <row r="6" spans="2:15" ht="18" thickBot="1" x14ac:dyDescent="0.45">
      <c r="B6" s="4" t="s">
        <v>0</v>
      </c>
      <c r="C6" s="5" t="s">
        <v>2</v>
      </c>
      <c r="D6" s="5" t="s">
        <v>3</v>
      </c>
      <c r="E6" s="5" t="s">
        <v>8</v>
      </c>
      <c r="F6" s="5" t="s">
        <v>1</v>
      </c>
      <c r="G6" s="5" t="s">
        <v>4</v>
      </c>
      <c r="H6" s="5" t="s">
        <v>5</v>
      </c>
      <c r="I6" s="60" t="s">
        <v>7</v>
      </c>
      <c r="J6" s="4" t="s">
        <v>58</v>
      </c>
      <c r="K6" s="10" t="s">
        <v>59</v>
      </c>
      <c r="L6" s="6" t="s">
        <v>55</v>
      </c>
      <c r="N6" s="4" t="s">
        <v>70</v>
      </c>
      <c r="O6" s="6" t="s">
        <v>102</v>
      </c>
    </row>
    <row r="7" spans="2:15" ht="18" thickTop="1" x14ac:dyDescent="0.4">
      <c r="B7" s="7">
        <v>44494</v>
      </c>
      <c r="C7" s="3" t="s">
        <v>67</v>
      </c>
      <c r="D7" s="3" t="s">
        <v>12</v>
      </c>
      <c r="E7" s="3" t="s">
        <v>11</v>
      </c>
      <c r="F7" s="3" t="str">
        <f t="shared" ref="F7:F22" si="0">IF(G7&gt;0,"Buy",IF(G7&lt;0,"Sell",""))</f>
        <v>Buy</v>
      </c>
      <c r="G7" s="3">
        <f>C2</f>
        <v>100</v>
      </c>
      <c r="H7" s="3">
        <f>'Data(Greeks)'!C6</f>
        <v>6.3E-3</v>
      </c>
      <c r="I7" s="61">
        <f>G7*H7*125000</f>
        <v>78750</v>
      </c>
      <c r="J7" s="64">
        <f>G7</f>
        <v>100</v>
      </c>
      <c r="K7" s="3">
        <f>J7*H7*125000</f>
        <v>78750</v>
      </c>
      <c r="L7" s="55">
        <f>-I7</f>
        <v>-78750</v>
      </c>
      <c r="N7" s="137">
        <f>'Data(Greeks)'!F6</f>
        <v>4.7484753913353897E-2</v>
      </c>
      <c r="O7" s="139">
        <f>'Data(Greeks)'!X6</f>
        <v>-2.0999999999999999E-3</v>
      </c>
    </row>
    <row r="8" spans="2:15" x14ac:dyDescent="0.4">
      <c r="B8" s="56">
        <v>44495</v>
      </c>
      <c r="C8" s="1" t="s">
        <v>66</v>
      </c>
      <c r="D8" s="1" t="s">
        <v>12</v>
      </c>
      <c r="E8" s="1" t="s">
        <v>11</v>
      </c>
      <c r="F8" s="1" t="str">
        <f t="shared" si="0"/>
        <v/>
      </c>
      <c r="G8" s="1">
        <v>0</v>
      </c>
      <c r="H8" s="1">
        <f>'Data(Greeks)'!C7</f>
        <v>5.4000000000000003E-3</v>
      </c>
      <c r="I8" s="62">
        <f t="shared" ref="I8:I22" si="1">G8*H8*125000</f>
        <v>0</v>
      </c>
      <c r="J8" s="65">
        <f t="shared" ref="J8:J22" si="2">G8+J7</f>
        <v>100</v>
      </c>
      <c r="K8" s="1">
        <f t="shared" ref="K8:K22" si="3">J8*H8*125000</f>
        <v>67500</v>
      </c>
      <c r="L8" s="57">
        <f t="shared" ref="L8:L22" si="4">-I8+L7</f>
        <v>-78750</v>
      </c>
      <c r="N8" s="137">
        <f>'Data(Greeks)'!F7</f>
        <v>4.68469889159049E-2</v>
      </c>
      <c r="O8" s="140">
        <f>'Data(Greeks)'!X7</f>
        <v>-1.4E-3</v>
      </c>
    </row>
    <row r="9" spans="2:15" x14ac:dyDescent="0.4">
      <c r="B9" s="56">
        <v>44496</v>
      </c>
      <c r="C9" s="1" t="s">
        <v>66</v>
      </c>
      <c r="D9" s="1" t="s">
        <v>12</v>
      </c>
      <c r="E9" s="1" t="s">
        <v>11</v>
      </c>
      <c r="F9" s="1" t="str">
        <f t="shared" si="0"/>
        <v/>
      </c>
      <c r="G9" s="1">
        <v>0</v>
      </c>
      <c r="H9" s="1">
        <f>'Data(Greeks)'!C8</f>
        <v>6.1000000000000004E-3</v>
      </c>
      <c r="I9" s="62">
        <f t="shared" si="1"/>
        <v>0</v>
      </c>
      <c r="J9" s="65">
        <f t="shared" si="2"/>
        <v>100</v>
      </c>
      <c r="K9" s="1">
        <f t="shared" si="3"/>
        <v>76250</v>
      </c>
      <c r="L9" s="57">
        <f t="shared" si="4"/>
        <v>-78750</v>
      </c>
      <c r="N9" s="137">
        <f>'Data(Greeks)'!F8</f>
        <v>4.8723621453282399E-2</v>
      </c>
      <c r="O9" s="140">
        <f>'Data(Greeks)'!X8</f>
        <v>1E-3</v>
      </c>
    </row>
    <row r="10" spans="2:15" x14ac:dyDescent="0.4">
      <c r="B10" s="56">
        <v>44497</v>
      </c>
      <c r="C10" s="1" t="s">
        <v>66</v>
      </c>
      <c r="D10" s="1" t="s">
        <v>12</v>
      </c>
      <c r="E10" s="1" t="s">
        <v>11</v>
      </c>
      <c r="F10" s="1" t="str">
        <f t="shared" si="0"/>
        <v/>
      </c>
      <c r="G10" s="1">
        <v>0</v>
      </c>
      <c r="H10" s="1">
        <f>'Data(Greeks)'!C9</f>
        <v>1.0200000000000001E-2</v>
      </c>
      <c r="I10" s="62">
        <f t="shared" si="1"/>
        <v>0</v>
      </c>
      <c r="J10" s="65">
        <f t="shared" si="2"/>
        <v>100</v>
      </c>
      <c r="K10" s="1">
        <f t="shared" si="3"/>
        <v>127500</v>
      </c>
      <c r="L10" s="57">
        <f t="shared" si="4"/>
        <v>-78750</v>
      </c>
      <c r="N10" s="137">
        <f>'Data(Greeks)'!F9</f>
        <v>5.0143637992321001E-2</v>
      </c>
      <c r="O10" s="140">
        <f>'Data(Greeks)'!X9</f>
        <v>6.4999999999999997E-3</v>
      </c>
    </row>
    <row r="11" spans="2:15" x14ac:dyDescent="0.4">
      <c r="B11" s="56">
        <v>44498</v>
      </c>
      <c r="C11" s="1" t="s">
        <v>66</v>
      </c>
      <c r="D11" s="1" t="s">
        <v>12</v>
      </c>
      <c r="E11" s="1" t="s">
        <v>11</v>
      </c>
      <c r="F11" s="1" t="str">
        <f t="shared" si="0"/>
        <v/>
      </c>
      <c r="G11" s="1">
        <v>0</v>
      </c>
      <c r="H11" s="1">
        <f>'Data(Greeks)'!C10</f>
        <v>4.0000000000000001E-3</v>
      </c>
      <c r="I11" s="62">
        <f t="shared" si="1"/>
        <v>0</v>
      </c>
      <c r="J11" s="65">
        <f t="shared" si="2"/>
        <v>100</v>
      </c>
      <c r="K11" s="1">
        <f t="shared" si="3"/>
        <v>50000</v>
      </c>
      <c r="L11" s="57">
        <f t="shared" si="4"/>
        <v>-78750</v>
      </c>
      <c r="N11" s="137">
        <f>'Data(Greeks)'!F10</f>
        <v>4.9631427839415203E-2</v>
      </c>
      <c r="O11" s="140">
        <f>'Data(Greeks)'!X10</f>
        <v>-1.0800000000000001E-2</v>
      </c>
    </row>
    <row r="12" spans="2:15" x14ac:dyDescent="0.4">
      <c r="B12" s="56">
        <v>44501</v>
      </c>
      <c r="C12" s="1" t="s">
        <v>66</v>
      </c>
      <c r="D12" s="1" t="s">
        <v>12</v>
      </c>
      <c r="E12" s="1" t="s">
        <v>11</v>
      </c>
      <c r="F12" s="1" t="str">
        <f t="shared" si="0"/>
        <v/>
      </c>
      <c r="G12" s="1">
        <v>0</v>
      </c>
      <c r="H12" s="1">
        <f>'Data(Greeks)'!C11</f>
        <v>5.4000000000000003E-3</v>
      </c>
      <c r="I12" s="62">
        <f t="shared" si="1"/>
        <v>0</v>
      </c>
      <c r="J12" s="65">
        <f t="shared" si="2"/>
        <v>100</v>
      </c>
      <c r="K12" s="1">
        <f t="shared" si="3"/>
        <v>67500</v>
      </c>
      <c r="L12" s="57">
        <f t="shared" si="4"/>
        <v>-78750</v>
      </c>
      <c r="N12" s="137">
        <f>'Data(Greeks)'!F11</f>
        <v>4.8701519400377501E-2</v>
      </c>
      <c r="O12" s="140">
        <f>'Data(Greeks)'!X11</f>
        <v>4.1000000000000003E-3</v>
      </c>
    </row>
    <row r="13" spans="2:15" x14ac:dyDescent="0.4">
      <c r="B13" s="56">
        <v>44502</v>
      </c>
      <c r="C13" s="1" t="s">
        <v>66</v>
      </c>
      <c r="D13" s="1" t="s">
        <v>12</v>
      </c>
      <c r="E13" s="1" t="s">
        <v>11</v>
      </c>
      <c r="F13" s="1" t="str">
        <f t="shared" si="0"/>
        <v/>
      </c>
      <c r="G13" s="1">
        <v>0</v>
      </c>
      <c r="H13" s="1">
        <f>'Data(Greeks)'!C12</f>
        <v>4.8999999999999998E-3</v>
      </c>
      <c r="I13" s="62">
        <f t="shared" si="1"/>
        <v>0</v>
      </c>
      <c r="J13" s="65">
        <f t="shared" si="2"/>
        <v>100</v>
      </c>
      <c r="K13" s="1">
        <f t="shared" si="3"/>
        <v>61250</v>
      </c>
      <c r="L13" s="57">
        <f t="shared" si="4"/>
        <v>-78750</v>
      </c>
      <c r="N13" s="137">
        <f>'Data(Greeks)'!F12</f>
        <v>5.3561539943455402E-2</v>
      </c>
      <c r="O13" s="140">
        <f>'Data(Greeks)'!X12</f>
        <v>-2.2000000000000001E-3</v>
      </c>
    </row>
    <row r="14" spans="2:15" x14ac:dyDescent="0.4">
      <c r="B14" s="56">
        <v>44503</v>
      </c>
      <c r="C14" s="1" t="s">
        <v>66</v>
      </c>
      <c r="D14" s="1" t="s">
        <v>12</v>
      </c>
      <c r="E14" s="1" t="s">
        <v>11</v>
      </c>
      <c r="F14" s="1" t="str">
        <f t="shared" si="0"/>
        <v/>
      </c>
      <c r="G14" s="1">
        <v>0</v>
      </c>
      <c r="H14" s="1">
        <f>'Data(Greeks)'!C13</f>
        <v>5.0000000000000001E-3</v>
      </c>
      <c r="I14" s="62">
        <f t="shared" si="1"/>
        <v>0</v>
      </c>
      <c r="J14" s="65">
        <f t="shared" si="2"/>
        <v>100</v>
      </c>
      <c r="K14" s="1">
        <f t="shared" si="3"/>
        <v>62500</v>
      </c>
      <c r="L14" s="57">
        <f t="shared" si="4"/>
        <v>-78750</v>
      </c>
      <c r="N14" s="137">
        <f>'Data(Greeks)'!F13</f>
        <v>4.6047369800355398E-2</v>
      </c>
      <c r="O14" s="140">
        <f>'Data(Greeks)'!X13</f>
        <v>2.5000000000000001E-3</v>
      </c>
    </row>
    <row r="15" spans="2:15" x14ac:dyDescent="0.4">
      <c r="B15" s="56">
        <v>44504</v>
      </c>
      <c r="C15" s="1" t="s">
        <v>66</v>
      </c>
      <c r="D15" s="1" t="s">
        <v>12</v>
      </c>
      <c r="E15" s="1" t="s">
        <v>11</v>
      </c>
      <c r="F15" s="1" t="str">
        <f t="shared" si="0"/>
        <v/>
      </c>
      <c r="G15" s="1">
        <v>0</v>
      </c>
      <c r="H15" s="1">
        <f>'Data(Greeks)'!C14</f>
        <v>2.8999999999999998E-3</v>
      </c>
      <c r="I15" s="62">
        <f t="shared" si="1"/>
        <v>0</v>
      </c>
      <c r="J15" s="65">
        <f t="shared" si="2"/>
        <v>100</v>
      </c>
      <c r="K15" s="1">
        <f t="shared" si="3"/>
        <v>36250</v>
      </c>
      <c r="L15" s="57">
        <f t="shared" si="4"/>
        <v>-78750</v>
      </c>
      <c r="N15" s="137">
        <f>'Data(Greeks)'!F14</f>
        <v>4.7479536444440203E-2</v>
      </c>
      <c r="O15" s="140">
        <f>'Data(Greeks)'!X14</f>
        <v>-5.1000000000000004E-3</v>
      </c>
    </row>
    <row r="16" spans="2:15" x14ac:dyDescent="0.4">
      <c r="B16" s="56">
        <v>44505</v>
      </c>
      <c r="C16" s="1" t="s">
        <v>66</v>
      </c>
      <c r="D16" s="1" t="s">
        <v>12</v>
      </c>
      <c r="E16" s="1" t="s">
        <v>11</v>
      </c>
      <c r="F16" s="1" t="str">
        <f t="shared" si="0"/>
        <v/>
      </c>
      <c r="G16" s="1">
        <v>0</v>
      </c>
      <c r="H16" s="1">
        <f>'Data(Greeks)'!C15</f>
        <v>3.0000000000000001E-3</v>
      </c>
      <c r="I16" s="62">
        <f t="shared" si="1"/>
        <v>0</v>
      </c>
      <c r="J16" s="65">
        <f t="shared" si="2"/>
        <v>100</v>
      </c>
      <c r="K16" s="1">
        <f t="shared" si="3"/>
        <v>37500</v>
      </c>
      <c r="L16" s="57">
        <f t="shared" si="4"/>
        <v>-78750</v>
      </c>
      <c r="N16" s="137">
        <f>'Data(Greeks)'!F15</f>
        <v>5.00418099979522E-2</v>
      </c>
      <c r="O16" s="140">
        <f>'Data(Greeks)'!X15</f>
        <v>-2.9999999999999997E-4</v>
      </c>
    </row>
    <row r="17" spans="1:19" x14ac:dyDescent="0.4">
      <c r="B17" s="56">
        <v>44508</v>
      </c>
      <c r="C17" s="1" t="s">
        <v>66</v>
      </c>
      <c r="D17" s="1" t="s">
        <v>12</v>
      </c>
      <c r="E17" s="1" t="s">
        <v>11</v>
      </c>
      <c r="F17" s="1" t="str">
        <f t="shared" si="0"/>
        <v/>
      </c>
      <c r="G17" s="1">
        <v>0</v>
      </c>
      <c r="H17" s="1">
        <f>'Data(Greeks)'!C16</f>
        <v>3.5999999999999999E-3</v>
      </c>
      <c r="I17" s="62">
        <f t="shared" si="1"/>
        <v>0</v>
      </c>
      <c r="J17" s="65">
        <f t="shared" si="2"/>
        <v>100</v>
      </c>
      <c r="K17" s="1">
        <f t="shared" si="3"/>
        <v>45000</v>
      </c>
      <c r="L17" s="57">
        <f t="shared" si="4"/>
        <v>-78750</v>
      </c>
      <c r="N17" s="137">
        <f>'Data(Greeks)'!F16</f>
        <v>4.6803593994719901E-2</v>
      </c>
      <c r="O17" s="140">
        <f>'Data(Greeks)'!X16</f>
        <v>3.3999999999999998E-3</v>
      </c>
    </row>
    <row r="18" spans="1:19" x14ac:dyDescent="0.4">
      <c r="B18" s="56">
        <v>44509</v>
      </c>
      <c r="C18" s="1" t="s">
        <v>66</v>
      </c>
      <c r="D18" s="1" t="s">
        <v>12</v>
      </c>
      <c r="E18" s="1" t="s">
        <v>11</v>
      </c>
      <c r="F18" s="1" t="str">
        <f t="shared" si="0"/>
        <v/>
      </c>
      <c r="G18" s="1">
        <v>0</v>
      </c>
      <c r="H18" s="1">
        <f>'Data(Greeks)'!C17</f>
        <v>4.0000000000000001E-3</v>
      </c>
      <c r="I18" s="62">
        <f t="shared" si="1"/>
        <v>0</v>
      </c>
      <c r="J18" s="65">
        <f t="shared" si="2"/>
        <v>100</v>
      </c>
      <c r="K18" s="1">
        <f t="shared" si="3"/>
        <v>50000</v>
      </c>
      <c r="L18" s="57">
        <f t="shared" si="4"/>
        <v>-78750</v>
      </c>
      <c r="N18" s="137">
        <f>'Data(Greeks)'!F17</f>
        <v>4.9908138243008597E-2</v>
      </c>
      <c r="O18" s="140">
        <f>'Data(Greeks)'!X17</f>
        <v>4.0000000000000002E-4</v>
      </c>
    </row>
    <row r="19" spans="1:19" x14ac:dyDescent="0.4">
      <c r="B19" s="56">
        <v>44510</v>
      </c>
      <c r="C19" s="1" t="s">
        <v>66</v>
      </c>
      <c r="D19" s="1" t="s">
        <v>12</v>
      </c>
      <c r="E19" s="1" t="s">
        <v>11</v>
      </c>
      <c r="F19" s="1" t="str">
        <f t="shared" si="0"/>
        <v/>
      </c>
      <c r="G19" s="1">
        <v>0</v>
      </c>
      <c r="H19" s="1">
        <f>'Data(Greeks)'!C18</f>
        <v>1.4E-3</v>
      </c>
      <c r="I19" s="62">
        <f t="shared" si="1"/>
        <v>0</v>
      </c>
      <c r="J19" s="65">
        <f t="shared" si="2"/>
        <v>100</v>
      </c>
      <c r="K19" s="1">
        <f t="shared" si="3"/>
        <v>17500</v>
      </c>
      <c r="L19" s="57">
        <f t="shared" si="4"/>
        <v>-78750</v>
      </c>
      <c r="N19" s="137">
        <f>'Data(Greeks)'!F18</f>
        <v>5.4891740624269998E-2</v>
      </c>
      <c r="O19" s="140">
        <f>'Data(Greeks)'!X18</f>
        <v>-9.5999999999999992E-3</v>
      </c>
    </row>
    <row r="20" spans="1:19" x14ac:dyDescent="0.4">
      <c r="B20" s="56">
        <v>44511</v>
      </c>
      <c r="C20" s="1" t="s">
        <v>66</v>
      </c>
      <c r="D20" s="1" t="s">
        <v>12</v>
      </c>
      <c r="E20" s="1" t="s">
        <v>11</v>
      </c>
      <c r="F20" s="1" t="str">
        <f t="shared" si="0"/>
        <v/>
      </c>
      <c r="G20" s="1">
        <v>0</v>
      </c>
      <c r="H20" s="1">
        <f>'Data(Greeks)'!C19</f>
        <v>6.9999999999999999E-4</v>
      </c>
      <c r="I20" s="62">
        <f t="shared" si="1"/>
        <v>0</v>
      </c>
      <c r="J20" s="65">
        <f t="shared" si="2"/>
        <v>100</v>
      </c>
      <c r="K20" s="1">
        <f t="shared" si="3"/>
        <v>8750</v>
      </c>
      <c r="L20" s="57">
        <f t="shared" si="4"/>
        <v>-78750</v>
      </c>
      <c r="N20" s="137">
        <f>'Data(Greeks)'!F19</f>
        <v>5.3089100520592597E-2</v>
      </c>
      <c r="O20" s="140">
        <f>'Data(Greeks)'!X19</f>
        <v>-3.3999999999999998E-3</v>
      </c>
    </row>
    <row r="21" spans="1:19" x14ac:dyDescent="0.4">
      <c r="B21" s="56">
        <v>44512</v>
      </c>
      <c r="C21" s="1" t="s">
        <v>66</v>
      </c>
      <c r="D21" s="1" t="s">
        <v>12</v>
      </c>
      <c r="E21" s="1" t="s">
        <v>11</v>
      </c>
      <c r="F21" s="1" t="str">
        <f t="shared" si="0"/>
        <v/>
      </c>
      <c r="G21" s="1">
        <v>0</v>
      </c>
      <c r="H21" s="1">
        <f>'Data(Greeks)'!C20</f>
        <v>6.9999999999999999E-4</v>
      </c>
      <c r="I21" s="62">
        <f t="shared" si="1"/>
        <v>0</v>
      </c>
      <c r="J21" s="65">
        <f t="shared" si="2"/>
        <v>100</v>
      </c>
      <c r="K21" s="1">
        <f t="shared" si="3"/>
        <v>8750</v>
      </c>
      <c r="L21" s="57">
        <f t="shared" si="4"/>
        <v>-78750</v>
      </c>
      <c r="N21" s="137">
        <f>'Data(Greeks)'!F20</f>
        <v>5.46902085425457E-2</v>
      </c>
      <c r="O21" s="140">
        <f>'Data(Greeks)'!X20</f>
        <v>-1E-4</v>
      </c>
    </row>
    <row r="22" spans="1:19" ht="18" thickBot="1" x14ac:dyDescent="0.45">
      <c r="A22" s="95" t="s">
        <v>57</v>
      </c>
      <c r="B22" s="58">
        <v>44512</v>
      </c>
      <c r="C22" s="50" t="s">
        <v>66</v>
      </c>
      <c r="D22" s="50" t="s">
        <v>50</v>
      </c>
      <c r="E22" s="50" t="s">
        <v>11</v>
      </c>
      <c r="F22" s="50" t="str">
        <f t="shared" si="0"/>
        <v>Sell</v>
      </c>
      <c r="G22" s="50">
        <f>-G7</f>
        <v>-100</v>
      </c>
      <c r="H22" s="50">
        <f>H21</f>
        <v>6.9999999999999999E-4</v>
      </c>
      <c r="I22" s="63">
        <f t="shared" si="1"/>
        <v>-8750</v>
      </c>
      <c r="J22" s="66">
        <f t="shared" si="2"/>
        <v>0</v>
      </c>
      <c r="K22" s="50">
        <f t="shared" si="3"/>
        <v>0</v>
      </c>
      <c r="L22" s="59">
        <f t="shared" si="4"/>
        <v>-70000</v>
      </c>
      <c r="M22" s="95"/>
      <c r="N22" s="138">
        <f>N7</f>
        <v>4.7484753913353897E-2</v>
      </c>
      <c r="O22" s="141">
        <f>STDEV(O7:O21)*SQRT(252)</f>
        <v>7.5444602192602225E-2</v>
      </c>
      <c r="Q22" t="s">
        <v>103</v>
      </c>
    </row>
    <row r="23" spans="1:19" x14ac:dyDescent="0.4">
      <c r="N23" s="36" t="s">
        <v>106</v>
      </c>
      <c r="Q23" s="142" t="s">
        <v>104</v>
      </c>
    </row>
    <row r="24" spans="1:19" ht="18" thickBot="1" x14ac:dyDescent="0.45">
      <c r="B24" s="96" t="s">
        <v>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</row>
    <row r="25" spans="1:19" ht="18" thickBot="1" x14ac:dyDescent="0.45">
      <c r="B25" s="4" t="s">
        <v>0</v>
      </c>
      <c r="C25" s="5" t="s">
        <v>2</v>
      </c>
      <c r="D25" s="5" t="s">
        <v>3</v>
      </c>
      <c r="E25" s="5" t="s">
        <v>8</v>
      </c>
      <c r="F25" s="5" t="s">
        <v>43</v>
      </c>
      <c r="G25" s="5" t="s">
        <v>44</v>
      </c>
      <c r="H25" s="5" t="s">
        <v>45</v>
      </c>
      <c r="I25" s="5" t="s">
        <v>46</v>
      </c>
      <c r="J25" s="74" t="s">
        <v>48</v>
      </c>
      <c r="K25" s="10" t="s">
        <v>47</v>
      </c>
      <c r="L25" s="5" t="s">
        <v>1</v>
      </c>
      <c r="M25" s="5" t="s">
        <v>5</v>
      </c>
      <c r="N25" s="5" t="s">
        <v>6</v>
      </c>
      <c r="O25" s="6" t="s">
        <v>52</v>
      </c>
      <c r="Q25" s="4" t="s">
        <v>46</v>
      </c>
      <c r="R25" s="77" t="s">
        <v>60</v>
      </c>
      <c r="S25" s="6" t="s">
        <v>51</v>
      </c>
    </row>
    <row r="26" spans="1:19" ht="18" thickTop="1" x14ac:dyDescent="0.4">
      <c r="B26" s="7">
        <v>44494</v>
      </c>
      <c r="C26" s="3" t="s">
        <v>68</v>
      </c>
      <c r="D26" s="3" t="s">
        <v>49</v>
      </c>
      <c r="E26" s="3" t="s">
        <v>22</v>
      </c>
      <c r="F26" s="3">
        <f>'Data(Greeks)'!G6</f>
        <v>0.46159360063536298</v>
      </c>
      <c r="G26" s="3">
        <v>1</v>
      </c>
      <c r="H26" s="3">
        <f t="shared" ref="H26:H41" si="5">J7</f>
        <v>100</v>
      </c>
      <c r="I26" s="3">
        <v>0</v>
      </c>
      <c r="J26" s="72">
        <f t="shared" ref="J26:J41" si="6">F26*H26+G26*I26</f>
        <v>46.159360063536298</v>
      </c>
      <c r="K26" s="53">
        <f t="shared" ref="K26:K41" si="7">-ROUND(J26,0)</f>
        <v>-46</v>
      </c>
      <c r="L26" s="3" t="str">
        <f>IF(K26&gt;0,"Buy",IF(K26&lt;0,"Sell",""))</f>
        <v>Sell</v>
      </c>
      <c r="M26" s="12">
        <f>'Data(Greeks)'!W6</f>
        <v>1.16235</v>
      </c>
      <c r="N26" s="12">
        <f>K26*M26*125000</f>
        <v>-6683512.5</v>
      </c>
      <c r="O26" s="68">
        <f t="shared" ref="O26:O41" si="8">-N26</f>
        <v>6683512.5</v>
      </c>
      <c r="Q26" s="65">
        <f t="shared" ref="Q26:Q41" si="9">I26+K26</f>
        <v>-46</v>
      </c>
      <c r="R26" s="78">
        <f>Q26*M26*125000</f>
        <v>-6683512.5</v>
      </c>
      <c r="S26" s="55">
        <f>O26</f>
        <v>6683512.5</v>
      </c>
    </row>
    <row r="27" spans="1:19" x14ac:dyDescent="0.4">
      <c r="B27" s="56">
        <v>44495</v>
      </c>
      <c r="C27" s="1" t="s">
        <v>68</v>
      </c>
      <c r="D27" s="1" t="s">
        <v>49</v>
      </c>
      <c r="E27" s="1" t="s">
        <v>22</v>
      </c>
      <c r="F27" s="3">
        <f>'Data(Greeks)'!G7</f>
        <v>0.42403033159838999</v>
      </c>
      <c r="G27" s="1">
        <v>1</v>
      </c>
      <c r="H27" s="1">
        <f t="shared" si="5"/>
        <v>100</v>
      </c>
      <c r="I27" s="1">
        <f t="shared" ref="I27:I40" si="10">Q26</f>
        <v>-46</v>
      </c>
      <c r="J27" s="71">
        <f t="shared" si="6"/>
        <v>-3.5969668401610022</v>
      </c>
      <c r="K27" s="38">
        <f t="shared" si="7"/>
        <v>4</v>
      </c>
      <c r="L27" s="1" t="str">
        <f t="shared" ref="L27:L41" si="11">IF(K27&gt;0,"Buy",IF(K27&lt;0,"Sell",""))</f>
        <v>Buy</v>
      </c>
      <c r="M27" s="31">
        <f>'Data(Greeks)'!W7</f>
        <v>1.1607499999999999</v>
      </c>
      <c r="N27" s="31">
        <f t="shared" ref="N27:N41" si="12">K27*M27*125000</f>
        <v>580375</v>
      </c>
      <c r="O27" s="69">
        <f t="shared" si="8"/>
        <v>-580375</v>
      </c>
      <c r="Q27" s="65">
        <f t="shared" si="9"/>
        <v>-42</v>
      </c>
      <c r="R27" s="78">
        <f t="shared" ref="R27:R41" si="13">Q27*M27*125000</f>
        <v>-6093937.5</v>
      </c>
      <c r="S27" s="57">
        <f t="shared" ref="S27:S41" si="14">S26+O27</f>
        <v>6103137.5</v>
      </c>
    </row>
    <row r="28" spans="1:19" x14ac:dyDescent="0.4">
      <c r="B28" s="56">
        <v>44496</v>
      </c>
      <c r="C28" s="1" t="s">
        <v>68</v>
      </c>
      <c r="D28" s="1" t="s">
        <v>49</v>
      </c>
      <c r="E28" s="1" t="s">
        <v>22</v>
      </c>
      <c r="F28" s="3">
        <f>'Data(Greeks)'!G8</f>
        <v>0.45210971774525699</v>
      </c>
      <c r="G28" s="1">
        <v>1</v>
      </c>
      <c r="H28" s="1">
        <f t="shared" si="5"/>
        <v>100</v>
      </c>
      <c r="I28" s="1">
        <f t="shared" si="10"/>
        <v>-42</v>
      </c>
      <c r="J28" s="71">
        <f t="shared" si="6"/>
        <v>3.2109717745256958</v>
      </c>
      <c r="K28" s="38">
        <f t="shared" si="7"/>
        <v>-3</v>
      </c>
      <c r="L28" s="1" t="str">
        <f t="shared" si="11"/>
        <v>Sell</v>
      </c>
      <c r="M28" s="31">
        <f>'Data(Greeks)'!W8</f>
        <v>1.16195</v>
      </c>
      <c r="N28" s="31">
        <f t="shared" si="12"/>
        <v>-435731.25</v>
      </c>
      <c r="O28" s="69">
        <f t="shared" si="8"/>
        <v>435731.25</v>
      </c>
      <c r="Q28" s="65">
        <f t="shared" si="9"/>
        <v>-45</v>
      </c>
      <c r="R28" s="78">
        <f t="shared" si="13"/>
        <v>-6535968.75</v>
      </c>
      <c r="S28" s="57">
        <f t="shared" si="14"/>
        <v>6538868.75</v>
      </c>
    </row>
    <row r="29" spans="1:19" x14ac:dyDescent="0.4">
      <c r="B29" s="56">
        <v>44497</v>
      </c>
      <c r="C29" s="1" t="s">
        <v>68</v>
      </c>
      <c r="D29" s="1" t="s">
        <v>49</v>
      </c>
      <c r="E29" s="1" t="s">
        <v>22</v>
      </c>
      <c r="F29" s="3">
        <f>'Data(Greeks)'!G9</f>
        <v>0.61379963194035103</v>
      </c>
      <c r="G29" s="1">
        <v>1</v>
      </c>
      <c r="H29" s="1">
        <f t="shared" si="5"/>
        <v>100</v>
      </c>
      <c r="I29" s="1">
        <f t="shared" si="10"/>
        <v>-45</v>
      </c>
      <c r="J29" s="71">
        <f t="shared" si="6"/>
        <v>16.379963194035106</v>
      </c>
      <c r="K29" s="38">
        <f t="shared" si="7"/>
        <v>-16</v>
      </c>
      <c r="L29" s="1" t="str">
        <f t="shared" si="11"/>
        <v>Sell</v>
      </c>
      <c r="M29" s="31">
        <f>'Data(Greeks)'!W9</f>
        <v>1.1694500000000001</v>
      </c>
      <c r="N29" s="31">
        <f t="shared" si="12"/>
        <v>-2338900</v>
      </c>
      <c r="O29" s="69">
        <f t="shared" si="8"/>
        <v>2338900</v>
      </c>
      <c r="Q29" s="65">
        <f t="shared" si="9"/>
        <v>-61</v>
      </c>
      <c r="R29" s="78">
        <f t="shared" si="13"/>
        <v>-8917056.25</v>
      </c>
      <c r="S29" s="57">
        <f t="shared" si="14"/>
        <v>8877768.75</v>
      </c>
    </row>
    <row r="30" spans="1:19" x14ac:dyDescent="0.4">
      <c r="B30" s="56">
        <v>44498</v>
      </c>
      <c r="C30" s="1" t="s">
        <v>68</v>
      </c>
      <c r="D30" s="1" t="s">
        <v>49</v>
      </c>
      <c r="E30" s="1" t="s">
        <v>22</v>
      </c>
      <c r="F30" s="3">
        <f>'Data(Greeks)'!G10</f>
        <v>0.34065800028011201</v>
      </c>
      <c r="G30" s="1">
        <v>1</v>
      </c>
      <c r="H30" s="1">
        <f t="shared" si="5"/>
        <v>100</v>
      </c>
      <c r="I30" s="1">
        <f t="shared" si="10"/>
        <v>-61</v>
      </c>
      <c r="J30" s="71">
        <f t="shared" si="6"/>
        <v>-26.934199971988797</v>
      </c>
      <c r="K30" s="38">
        <f t="shared" si="7"/>
        <v>27</v>
      </c>
      <c r="L30" s="1" t="str">
        <f t="shared" si="11"/>
        <v>Buy</v>
      </c>
      <c r="M30" s="31">
        <f>'Data(Greeks)'!W10</f>
        <v>1.1568499999999999</v>
      </c>
      <c r="N30" s="31">
        <f t="shared" si="12"/>
        <v>3904368.7499999995</v>
      </c>
      <c r="O30" s="69">
        <f t="shared" si="8"/>
        <v>-3904368.7499999995</v>
      </c>
      <c r="Q30" s="65">
        <f t="shared" si="9"/>
        <v>-34</v>
      </c>
      <c r="R30" s="78">
        <f t="shared" si="13"/>
        <v>-4916612.4999999991</v>
      </c>
      <c r="S30" s="57">
        <f t="shared" si="14"/>
        <v>4973400</v>
      </c>
    </row>
    <row r="31" spans="1:19" x14ac:dyDescent="0.4">
      <c r="B31" s="56">
        <v>44501</v>
      </c>
      <c r="C31" s="1" t="s">
        <v>68</v>
      </c>
      <c r="D31" s="1" t="s">
        <v>49</v>
      </c>
      <c r="E31" s="1" t="s">
        <v>22</v>
      </c>
      <c r="F31" s="3">
        <f>'Data(Greeks)'!G11</f>
        <v>0.43746140733910799</v>
      </c>
      <c r="G31" s="1">
        <v>1</v>
      </c>
      <c r="H31" s="1">
        <f t="shared" si="5"/>
        <v>100</v>
      </c>
      <c r="I31" s="1">
        <f t="shared" si="10"/>
        <v>-34</v>
      </c>
      <c r="J31" s="71">
        <f t="shared" si="6"/>
        <v>9.7461407339107993</v>
      </c>
      <c r="K31" s="38">
        <f t="shared" si="7"/>
        <v>-10</v>
      </c>
      <c r="L31" s="1" t="str">
        <f t="shared" si="11"/>
        <v>Sell</v>
      </c>
      <c r="M31" s="31">
        <f>'Data(Greeks)'!W11</f>
        <v>1.1616</v>
      </c>
      <c r="N31" s="31">
        <f t="shared" si="12"/>
        <v>-1452000</v>
      </c>
      <c r="O31" s="69">
        <f t="shared" si="8"/>
        <v>1452000</v>
      </c>
      <c r="Q31" s="65">
        <f t="shared" si="9"/>
        <v>-44</v>
      </c>
      <c r="R31" s="78">
        <f t="shared" si="13"/>
        <v>-6388800</v>
      </c>
      <c r="S31" s="57">
        <f t="shared" si="14"/>
        <v>6425400</v>
      </c>
    </row>
    <row r="32" spans="1:19" x14ac:dyDescent="0.4">
      <c r="B32" s="56">
        <v>44502</v>
      </c>
      <c r="C32" s="1" t="s">
        <v>68</v>
      </c>
      <c r="D32" s="1" t="s">
        <v>49</v>
      </c>
      <c r="E32" s="1" t="s">
        <v>22</v>
      </c>
      <c r="F32" s="3">
        <f>'Data(Greeks)'!G12</f>
        <v>0.388560880333567</v>
      </c>
      <c r="G32" s="1">
        <v>1</v>
      </c>
      <c r="H32" s="1">
        <f t="shared" si="5"/>
        <v>100</v>
      </c>
      <c r="I32" s="1">
        <f t="shared" si="10"/>
        <v>-44</v>
      </c>
      <c r="J32" s="71">
        <f t="shared" si="6"/>
        <v>-5.1439119666433015</v>
      </c>
      <c r="K32" s="38">
        <f t="shared" si="7"/>
        <v>5</v>
      </c>
      <c r="L32" s="1" t="str">
        <f t="shared" si="11"/>
        <v>Buy</v>
      </c>
      <c r="M32" s="31">
        <f>'Data(Greeks)'!W12</f>
        <v>1.1591</v>
      </c>
      <c r="N32" s="31">
        <f t="shared" si="12"/>
        <v>724437.50000000012</v>
      </c>
      <c r="O32" s="69">
        <f t="shared" si="8"/>
        <v>-724437.50000000012</v>
      </c>
      <c r="Q32" s="65">
        <f t="shared" si="9"/>
        <v>-39</v>
      </c>
      <c r="R32" s="78">
        <f t="shared" si="13"/>
        <v>-5650612.5</v>
      </c>
      <c r="S32" s="57">
        <f t="shared" si="14"/>
        <v>5700962.5</v>
      </c>
    </row>
    <row r="33" spans="1:19" x14ac:dyDescent="0.4">
      <c r="B33" s="56">
        <v>44503</v>
      </c>
      <c r="C33" s="1" t="s">
        <v>68</v>
      </c>
      <c r="D33" s="1" t="s">
        <v>49</v>
      </c>
      <c r="E33" s="1" t="s">
        <v>22</v>
      </c>
      <c r="F33" s="3">
        <f>'Data(Greeks)'!G13</f>
        <v>0.44049408621582897</v>
      </c>
      <c r="G33" s="1">
        <v>1</v>
      </c>
      <c r="H33" s="1">
        <f t="shared" si="5"/>
        <v>100</v>
      </c>
      <c r="I33" s="1">
        <f t="shared" si="10"/>
        <v>-39</v>
      </c>
      <c r="J33" s="71">
        <f t="shared" si="6"/>
        <v>5.0494086215828986</v>
      </c>
      <c r="K33" s="38">
        <f t="shared" si="7"/>
        <v>-5</v>
      </c>
      <c r="L33" s="1" t="str">
        <f t="shared" si="11"/>
        <v>Sell</v>
      </c>
      <c r="M33" s="31">
        <f>'Data(Greeks)'!W13</f>
        <v>1.1619999999999999</v>
      </c>
      <c r="N33" s="31">
        <f t="shared" si="12"/>
        <v>-726250</v>
      </c>
      <c r="O33" s="69">
        <f t="shared" si="8"/>
        <v>726250</v>
      </c>
      <c r="Q33" s="65">
        <f t="shared" si="9"/>
        <v>-44</v>
      </c>
      <c r="R33" s="78">
        <f t="shared" si="13"/>
        <v>-6391000</v>
      </c>
      <c r="S33" s="57">
        <f t="shared" si="14"/>
        <v>6427212.5</v>
      </c>
    </row>
    <row r="34" spans="1:19" x14ac:dyDescent="0.4">
      <c r="B34" s="56">
        <v>44504</v>
      </c>
      <c r="C34" s="1" t="s">
        <v>68</v>
      </c>
      <c r="D34" s="1" t="s">
        <v>49</v>
      </c>
      <c r="E34" s="1" t="s">
        <v>22</v>
      </c>
      <c r="F34" s="3">
        <f>'Data(Greeks)'!G14</f>
        <v>0.29808905404080399</v>
      </c>
      <c r="G34" s="1">
        <v>1</v>
      </c>
      <c r="H34" s="1">
        <f t="shared" si="5"/>
        <v>100</v>
      </c>
      <c r="I34" s="1">
        <f t="shared" si="10"/>
        <v>-44</v>
      </c>
      <c r="J34" s="71">
        <f t="shared" si="6"/>
        <v>-14.191094595919601</v>
      </c>
      <c r="K34" s="38">
        <f t="shared" si="7"/>
        <v>14</v>
      </c>
      <c r="L34" s="1" t="str">
        <f t="shared" si="11"/>
        <v>Buy</v>
      </c>
      <c r="M34" s="31">
        <f>'Data(Greeks)'!W14</f>
        <v>1.1560999999999999</v>
      </c>
      <c r="N34" s="31">
        <f t="shared" si="12"/>
        <v>2023174.9999999998</v>
      </c>
      <c r="O34" s="69">
        <f t="shared" si="8"/>
        <v>-2023174.9999999998</v>
      </c>
      <c r="Q34" s="65">
        <f t="shared" si="9"/>
        <v>-30</v>
      </c>
      <c r="R34" s="78">
        <f t="shared" si="13"/>
        <v>-4335375</v>
      </c>
      <c r="S34" s="57">
        <f t="shared" si="14"/>
        <v>4404037.5</v>
      </c>
    </row>
    <row r="35" spans="1:19" x14ac:dyDescent="0.4">
      <c r="B35" s="56">
        <v>44505</v>
      </c>
      <c r="C35" s="1" t="s">
        <v>68</v>
      </c>
      <c r="D35" s="1" t="s">
        <v>49</v>
      </c>
      <c r="E35" s="1" t="s">
        <v>22</v>
      </c>
      <c r="F35" s="3">
        <f>'Data(Greeks)'!G15</f>
        <v>0.29795409190688699</v>
      </c>
      <c r="G35" s="1">
        <v>1</v>
      </c>
      <c r="H35" s="1">
        <f t="shared" si="5"/>
        <v>100</v>
      </c>
      <c r="I35" s="1">
        <f t="shared" si="10"/>
        <v>-30</v>
      </c>
      <c r="J35" s="71">
        <f t="shared" si="6"/>
        <v>-0.20459080931130202</v>
      </c>
      <c r="K35" s="38">
        <f t="shared" si="7"/>
        <v>0</v>
      </c>
      <c r="L35" s="1" t="str">
        <f t="shared" si="11"/>
        <v/>
      </c>
      <c r="M35" s="31">
        <f>'Data(Greeks)'!W15</f>
        <v>1.1557999999999999</v>
      </c>
      <c r="N35" s="31">
        <f t="shared" si="12"/>
        <v>0</v>
      </c>
      <c r="O35" s="69">
        <f t="shared" si="8"/>
        <v>0</v>
      </c>
      <c r="Q35" s="65">
        <f t="shared" si="9"/>
        <v>-30</v>
      </c>
      <c r="R35" s="78">
        <f t="shared" si="13"/>
        <v>-4334250</v>
      </c>
      <c r="S35" s="57">
        <f t="shared" si="14"/>
        <v>4404037.5</v>
      </c>
    </row>
    <row r="36" spans="1:19" x14ac:dyDescent="0.4">
      <c r="B36" s="56">
        <v>44508</v>
      </c>
      <c r="C36" s="1" t="s">
        <v>68</v>
      </c>
      <c r="D36" s="1" t="s">
        <v>49</v>
      </c>
      <c r="E36" s="1" t="s">
        <v>22</v>
      </c>
      <c r="F36" s="3">
        <f>'Data(Greeks)'!G16</f>
        <v>0.370397873736943</v>
      </c>
      <c r="G36" s="1">
        <v>1</v>
      </c>
      <c r="H36" s="1">
        <f t="shared" si="5"/>
        <v>100</v>
      </c>
      <c r="I36" s="1">
        <f t="shared" si="10"/>
        <v>-30</v>
      </c>
      <c r="J36" s="71">
        <f t="shared" si="6"/>
        <v>7.0397873736943026</v>
      </c>
      <c r="K36" s="38">
        <f t="shared" si="7"/>
        <v>-7</v>
      </c>
      <c r="L36" s="1" t="str">
        <f t="shared" si="11"/>
        <v>Sell</v>
      </c>
      <c r="M36" s="31">
        <f>'Data(Greeks)'!W16</f>
        <v>1.1597</v>
      </c>
      <c r="N36" s="31">
        <f t="shared" si="12"/>
        <v>-1014737.4999999999</v>
      </c>
      <c r="O36" s="69">
        <f t="shared" si="8"/>
        <v>1014737.4999999999</v>
      </c>
      <c r="Q36" s="65">
        <f t="shared" si="9"/>
        <v>-37</v>
      </c>
      <c r="R36" s="78">
        <f t="shared" si="13"/>
        <v>-5363612.4999999991</v>
      </c>
      <c r="S36" s="57">
        <f t="shared" si="14"/>
        <v>5418775</v>
      </c>
    </row>
    <row r="37" spans="1:19" x14ac:dyDescent="0.4">
      <c r="B37" s="56">
        <v>44509</v>
      </c>
      <c r="C37" s="1" t="s">
        <v>68</v>
      </c>
      <c r="D37" s="1" t="s">
        <v>49</v>
      </c>
      <c r="E37" s="1" t="s">
        <v>22</v>
      </c>
      <c r="F37" s="3">
        <f>'Data(Greeks)'!G17</f>
        <v>0.38670661033007703</v>
      </c>
      <c r="G37" s="1">
        <v>1</v>
      </c>
      <c r="H37" s="1">
        <f t="shared" si="5"/>
        <v>100</v>
      </c>
      <c r="I37" s="1">
        <f t="shared" si="10"/>
        <v>-37</v>
      </c>
      <c r="J37" s="71">
        <f t="shared" si="6"/>
        <v>1.6706610330077041</v>
      </c>
      <c r="K37" s="38">
        <f t="shared" si="7"/>
        <v>-2</v>
      </c>
      <c r="L37" s="1" t="str">
        <f t="shared" si="11"/>
        <v>Sell</v>
      </c>
      <c r="M37" s="31">
        <f>'Data(Greeks)'!W17</f>
        <v>1.16015</v>
      </c>
      <c r="N37" s="31">
        <f t="shared" si="12"/>
        <v>-290037.5</v>
      </c>
      <c r="O37" s="69">
        <f t="shared" si="8"/>
        <v>290037.5</v>
      </c>
      <c r="Q37" s="65">
        <f t="shared" si="9"/>
        <v>-39</v>
      </c>
      <c r="R37" s="78">
        <f t="shared" si="13"/>
        <v>-5655731.25</v>
      </c>
      <c r="S37" s="57">
        <f t="shared" si="14"/>
        <v>5708812.5</v>
      </c>
    </row>
    <row r="38" spans="1:19" x14ac:dyDescent="0.4">
      <c r="B38" s="56">
        <v>44510</v>
      </c>
      <c r="C38" s="1" t="s">
        <v>68</v>
      </c>
      <c r="D38" s="1" t="s">
        <v>49</v>
      </c>
      <c r="E38" s="1" t="s">
        <v>22</v>
      </c>
      <c r="F38" s="3">
        <f>'Data(Greeks)'!G18</f>
        <v>0.16719683750862699</v>
      </c>
      <c r="G38" s="1">
        <v>1</v>
      </c>
      <c r="H38" s="1">
        <f t="shared" si="5"/>
        <v>100</v>
      </c>
      <c r="I38" s="1">
        <f t="shared" si="10"/>
        <v>-39</v>
      </c>
      <c r="J38" s="71">
        <f t="shared" si="6"/>
        <v>-22.2803162491373</v>
      </c>
      <c r="K38" s="38">
        <f t="shared" si="7"/>
        <v>22</v>
      </c>
      <c r="L38" s="1" t="str">
        <f t="shared" si="11"/>
        <v>Buy</v>
      </c>
      <c r="M38" s="31">
        <f>'Data(Greeks)'!W18</f>
        <v>1.1490499999999999</v>
      </c>
      <c r="N38" s="31">
        <f t="shared" si="12"/>
        <v>3159887.5</v>
      </c>
      <c r="O38" s="69">
        <f t="shared" si="8"/>
        <v>-3159887.5</v>
      </c>
      <c r="Q38" s="65">
        <f t="shared" si="9"/>
        <v>-17</v>
      </c>
      <c r="R38" s="78">
        <f t="shared" si="13"/>
        <v>-2441731.2499999995</v>
      </c>
      <c r="S38" s="57">
        <f t="shared" si="14"/>
        <v>2548925</v>
      </c>
    </row>
    <row r="39" spans="1:19" x14ac:dyDescent="0.4">
      <c r="B39" s="56">
        <v>44511</v>
      </c>
      <c r="C39" s="1" t="s">
        <v>68</v>
      </c>
      <c r="D39" s="1" t="s">
        <v>49</v>
      </c>
      <c r="E39" s="1" t="s">
        <v>22</v>
      </c>
      <c r="F39" s="3">
        <f>'Data(Greeks)'!G19</f>
        <v>9.9662980058476305E-2</v>
      </c>
      <c r="G39" s="1">
        <v>1</v>
      </c>
      <c r="H39" s="1">
        <f t="shared" si="5"/>
        <v>100</v>
      </c>
      <c r="I39" s="1">
        <f t="shared" si="10"/>
        <v>-17</v>
      </c>
      <c r="J39" s="71">
        <f t="shared" si="6"/>
        <v>-7.03370199415237</v>
      </c>
      <c r="K39" s="38">
        <f t="shared" si="7"/>
        <v>7</v>
      </c>
      <c r="L39" s="1" t="str">
        <f t="shared" si="11"/>
        <v>Buy</v>
      </c>
      <c r="M39" s="31">
        <f>'Data(Greeks)'!W19</f>
        <v>1.1451499999999999</v>
      </c>
      <c r="N39" s="31">
        <f t="shared" si="12"/>
        <v>1002006.25</v>
      </c>
      <c r="O39" s="69">
        <f t="shared" si="8"/>
        <v>-1002006.25</v>
      </c>
      <c r="Q39" s="65">
        <f t="shared" si="9"/>
        <v>-10</v>
      </c>
      <c r="R39" s="78">
        <f t="shared" si="13"/>
        <v>-1431437.5</v>
      </c>
      <c r="S39" s="57">
        <f t="shared" si="14"/>
        <v>1546918.75</v>
      </c>
    </row>
    <row r="40" spans="1:19" x14ac:dyDescent="0.4">
      <c r="B40" s="56">
        <v>44512</v>
      </c>
      <c r="C40" s="1" t="s">
        <v>68</v>
      </c>
      <c r="D40" s="1" t="s">
        <v>49</v>
      </c>
      <c r="E40" s="1" t="s">
        <v>22</v>
      </c>
      <c r="F40" s="3">
        <f>'Data(Greeks)'!G20</f>
        <v>9.9142573355822203E-2</v>
      </c>
      <c r="G40" s="1">
        <v>1</v>
      </c>
      <c r="H40" s="1">
        <f t="shared" si="5"/>
        <v>100</v>
      </c>
      <c r="I40" s="1">
        <f t="shared" si="10"/>
        <v>-10</v>
      </c>
      <c r="J40" s="71">
        <f t="shared" si="6"/>
        <v>-8.5742664417779224E-2</v>
      </c>
      <c r="K40" s="38">
        <f t="shared" si="7"/>
        <v>0</v>
      </c>
      <c r="L40" s="1" t="str">
        <f t="shared" si="11"/>
        <v/>
      </c>
      <c r="M40" s="31">
        <f>'Data(Greeks)'!W20</f>
        <v>1.145</v>
      </c>
      <c r="N40" s="31">
        <f>K40*M40*125000</f>
        <v>0</v>
      </c>
      <c r="O40" s="69">
        <f t="shared" si="8"/>
        <v>0</v>
      </c>
      <c r="Q40" s="65">
        <f t="shared" si="9"/>
        <v>-10</v>
      </c>
      <c r="R40" s="78">
        <f t="shared" si="13"/>
        <v>-1431250</v>
      </c>
      <c r="S40" s="57">
        <f t="shared" si="14"/>
        <v>1546918.75</v>
      </c>
    </row>
    <row r="41" spans="1:19" ht="18" thickBot="1" x14ac:dyDescent="0.45">
      <c r="A41" s="95" t="s">
        <v>57</v>
      </c>
      <c r="B41" s="58">
        <v>44512</v>
      </c>
      <c r="C41" s="50" t="s">
        <v>68</v>
      </c>
      <c r="D41" s="50" t="s">
        <v>49</v>
      </c>
      <c r="E41" s="50" t="s">
        <v>22</v>
      </c>
      <c r="F41" s="50">
        <f>F40</f>
        <v>9.9142573355822203E-2</v>
      </c>
      <c r="G41" s="50">
        <v>1</v>
      </c>
      <c r="H41" s="50">
        <f t="shared" si="5"/>
        <v>0</v>
      </c>
      <c r="I41" s="50">
        <f>I40+K40</f>
        <v>-10</v>
      </c>
      <c r="J41" s="73">
        <f t="shared" si="6"/>
        <v>-10</v>
      </c>
      <c r="K41" s="50">
        <f t="shared" si="7"/>
        <v>10</v>
      </c>
      <c r="L41" s="50" t="str">
        <f t="shared" si="11"/>
        <v>Buy</v>
      </c>
      <c r="M41" s="50">
        <v>1.145</v>
      </c>
      <c r="N41" s="67">
        <f t="shared" si="12"/>
        <v>1431250</v>
      </c>
      <c r="O41" s="70">
        <f t="shared" si="8"/>
        <v>-1431250</v>
      </c>
      <c r="Q41" s="66">
        <f t="shared" si="9"/>
        <v>0</v>
      </c>
      <c r="R41" s="50">
        <f t="shared" si="13"/>
        <v>0</v>
      </c>
      <c r="S41" s="59">
        <f t="shared" si="14"/>
        <v>115668.75</v>
      </c>
    </row>
    <row r="42" spans="1:19" s="42" customFormat="1" x14ac:dyDescent="0.4">
      <c r="B42" s="39"/>
      <c r="C42" s="35"/>
      <c r="D42" s="35"/>
      <c r="F42" s="35"/>
      <c r="G42" s="35"/>
      <c r="H42" s="35"/>
      <c r="I42" s="35"/>
      <c r="J42" s="35"/>
      <c r="K42" s="35"/>
      <c r="L42" s="40"/>
      <c r="M42" s="40"/>
      <c r="N42" s="41"/>
      <c r="O42" s="35"/>
      <c r="P42" s="35"/>
      <c r="Q42" s="35"/>
      <c r="R42" s="35"/>
      <c r="S42" s="35"/>
    </row>
    <row r="43" spans="1:19" ht="18" thickBot="1" x14ac:dyDescent="0.45">
      <c r="B43" s="96" t="s">
        <v>23</v>
      </c>
      <c r="F43" s="34"/>
      <c r="G43" s="34"/>
      <c r="H43" s="34"/>
    </row>
    <row r="44" spans="1:19" ht="18" thickBot="1" x14ac:dyDescent="0.45">
      <c r="B44" s="4" t="s">
        <v>0</v>
      </c>
      <c r="C44" s="5" t="s">
        <v>24</v>
      </c>
      <c r="D44" s="5" t="s">
        <v>25</v>
      </c>
      <c r="E44" s="5" t="s">
        <v>26</v>
      </c>
      <c r="F44" s="5" t="s">
        <v>27</v>
      </c>
      <c r="G44" s="5" t="s">
        <v>28</v>
      </c>
      <c r="H44" s="10" t="s">
        <v>29</v>
      </c>
      <c r="I44" s="87" t="s">
        <v>30</v>
      </c>
      <c r="J44" s="10" t="s">
        <v>31</v>
      </c>
      <c r="K44" s="10" t="s">
        <v>32</v>
      </c>
      <c r="L44" s="11" t="s">
        <v>33</v>
      </c>
      <c r="M44" s="34"/>
      <c r="N44" s="83" t="s">
        <v>61</v>
      </c>
      <c r="O44" s="6" t="s">
        <v>56</v>
      </c>
      <c r="Q44" s="81" t="s">
        <v>62</v>
      </c>
    </row>
    <row r="45" spans="1:19" ht="18" thickTop="1" x14ac:dyDescent="0.4">
      <c r="B45" s="7">
        <v>44494</v>
      </c>
      <c r="C45" s="18">
        <f>'Data(Greeks)'!X6</f>
        <v>-2.0999999999999999E-3</v>
      </c>
      <c r="D45" s="3">
        <f>'Data(Greeks)'!H6*('Data(Greeks)'!W6^2)*1/100*125000*$C$2</f>
        <v>3718980.2107060226</v>
      </c>
      <c r="E45" s="3">
        <f>(F26+G26)*C46</f>
        <v>-2.0462310408895083E-3</v>
      </c>
      <c r="F45" s="3">
        <f>D45*(C45^2)*100/2</f>
        <v>820.03513646067779</v>
      </c>
      <c r="G45" s="12"/>
      <c r="H45" s="12">
        <f>'Data(Greeks)'!J6*100*125000</f>
        <v>-1825.426415607079</v>
      </c>
      <c r="I45" s="152">
        <f>F45</f>
        <v>820.03513646067779</v>
      </c>
      <c r="J45" s="3"/>
      <c r="K45" s="20">
        <f t="shared" ref="K45:K59" si="15">H45+I45</f>
        <v>-1005.3912791464012</v>
      </c>
      <c r="L45" s="55">
        <f>SUM(K45)</f>
        <v>-1005.3912791464012</v>
      </c>
      <c r="M45" s="34"/>
      <c r="N45" s="64">
        <f t="shared" ref="N45:N60" si="16">K7+R26</f>
        <v>-6604762.5</v>
      </c>
      <c r="O45" s="84">
        <f t="shared" ref="O45:O60" si="17">L7+S26</f>
        <v>6604762.5</v>
      </c>
      <c r="Q45" s="80">
        <f>O45+N45</f>
        <v>0</v>
      </c>
    </row>
    <row r="46" spans="1:19" x14ac:dyDescent="0.4">
      <c r="B46" s="56">
        <v>44495</v>
      </c>
      <c r="C46" s="18">
        <f>'Data(Greeks)'!X7</f>
        <v>-1.4E-3</v>
      </c>
      <c r="D46" s="3">
        <f>'Data(Greeks)'!H7*('Data(Greeks)'!W7^2)*1/100*125000*$C$2</f>
        <v>3761470.8226271681</v>
      </c>
      <c r="E46" s="3">
        <f t="shared" ref="E46:E59" si="18">(F27+G27)*C47</f>
        <v>1.42403033159839E-3</v>
      </c>
      <c r="F46" s="3">
        <f t="shared" ref="F46:F59" si="19">D46*(C46^2)*100/2</f>
        <v>368.62414061746244</v>
      </c>
      <c r="G46" s="31"/>
      <c r="H46" s="12">
        <f>'Data(Greeks)'!J7*100*125000</f>
        <v>-1786.6787182092517</v>
      </c>
      <c r="I46" s="75">
        <f t="shared" ref="I46:I59" si="20">F46</f>
        <v>368.62414061746244</v>
      </c>
      <c r="J46" s="1"/>
      <c r="K46" s="20">
        <f t="shared" si="15"/>
        <v>-1418.0545775917892</v>
      </c>
      <c r="L46" s="57">
        <f>SUM($K$45:K46)</f>
        <v>-2423.4458567381903</v>
      </c>
      <c r="M46" s="34"/>
      <c r="N46" s="65">
        <f t="shared" si="16"/>
        <v>-6026437.5</v>
      </c>
      <c r="O46" s="85">
        <f t="shared" si="17"/>
        <v>6024387.5</v>
      </c>
      <c r="Q46" s="79">
        <f t="shared" ref="Q46:Q60" si="21">O46+N46</f>
        <v>-2050</v>
      </c>
    </row>
    <row r="47" spans="1:19" x14ac:dyDescent="0.4">
      <c r="B47" s="56">
        <v>44496</v>
      </c>
      <c r="C47" s="18">
        <f>'Data(Greeks)'!X8</f>
        <v>1E-3</v>
      </c>
      <c r="D47" s="3">
        <f>'Data(Greeks)'!H8*('Data(Greeks)'!W8^2)*1/100*125000*$C$2</f>
        <v>3710054.6437806822</v>
      </c>
      <c r="E47" s="3">
        <f t="shared" si="18"/>
        <v>9.4387131653441703E-3</v>
      </c>
      <c r="F47" s="3">
        <f t="shared" si="19"/>
        <v>185.50273218903411</v>
      </c>
      <c r="G47" s="31"/>
      <c r="H47" s="12">
        <f>'Data(Greeks)'!J8*100*125000</f>
        <v>-1907.8827222474756</v>
      </c>
      <c r="I47" s="75">
        <f t="shared" si="20"/>
        <v>185.50273218903411</v>
      </c>
      <c r="J47" s="1"/>
      <c r="K47" s="20">
        <f t="shared" si="15"/>
        <v>-1722.3799900584415</v>
      </c>
      <c r="L47" s="57">
        <f>SUM($K$45:K47)</f>
        <v>-4145.8258467966316</v>
      </c>
      <c r="M47" s="34"/>
      <c r="N47" s="65">
        <f t="shared" si="16"/>
        <v>-6459718.75</v>
      </c>
      <c r="O47" s="85">
        <f t="shared" si="17"/>
        <v>6460118.75</v>
      </c>
      <c r="Q47" s="79">
        <f t="shared" si="21"/>
        <v>400</v>
      </c>
    </row>
    <row r="48" spans="1:19" x14ac:dyDescent="0.4">
      <c r="B48" s="56">
        <v>44497</v>
      </c>
      <c r="C48" s="18">
        <f>'Data(Greeks)'!X9</f>
        <v>6.4999999999999997E-3</v>
      </c>
      <c r="D48" s="3">
        <f>'Data(Greeks)'!H9*('Data(Greeks)'!W9^2)*1/100*125000*$C$2</f>
        <v>3554362.0498832506</v>
      </c>
      <c r="E48" s="3">
        <f t="shared" si="18"/>
        <v>-1.7429036024955789E-2</v>
      </c>
      <c r="F48" s="3">
        <f t="shared" si="19"/>
        <v>7508.589830378367</v>
      </c>
      <c r="G48" s="31"/>
      <c r="H48" s="12">
        <f>'Data(Greeks)'!J9*100*125000</f>
        <v>-1991.1792351440974</v>
      </c>
      <c r="I48" s="75">
        <f t="shared" si="20"/>
        <v>7508.589830378367</v>
      </c>
      <c r="J48" s="1"/>
      <c r="K48" s="20">
        <f t="shared" si="15"/>
        <v>5517.4105952342697</v>
      </c>
      <c r="L48" s="57">
        <f>SUM($K$45:K48)</f>
        <v>1371.5847484376382</v>
      </c>
      <c r="M48" s="34"/>
      <c r="N48" s="65">
        <f t="shared" si="16"/>
        <v>-8789556.25</v>
      </c>
      <c r="O48" s="85">
        <f t="shared" si="17"/>
        <v>8799018.75</v>
      </c>
      <c r="Q48" s="79">
        <f t="shared" si="21"/>
        <v>9462.5</v>
      </c>
    </row>
    <row r="49" spans="1:18" x14ac:dyDescent="0.4">
      <c r="B49" s="56">
        <v>44498</v>
      </c>
      <c r="C49" s="18">
        <f>'Data(Greeks)'!X10</f>
        <v>-1.0800000000000001E-2</v>
      </c>
      <c r="D49" s="3">
        <f>'Data(Greeks)'!H10*('Data(Greeks)'!W10^2)*1/100*125000*$C$2</f>
        <v>3451238.4013293833</v>
      </c>
      <c r="E49" s="3">
        <f t="shared" si="18"/>
        <v>5.4966978011484601E-3</v>
      </c>
      <c r="F49" s="3">
        <f t="shared" si="19"/>
        <v>20127.622356552965</v>
      </c>
      <c r="G49" s="31"/>
      <c r="H49" s="12">
        <f>'Data(Greeks)'!J10*100*125000</f>
        <v>-1805.5315875527758</v>
      </c>
      <c r="I49" s="75">
        <f t="shared" si="20"/>
        <v>20127.622356552965</v>
      </c>
      <c r="J49" s="1"/>
      <c r="K49" s="20">
        <f t="shared" si="15"/>
        <v>18322.090769000191</v>
      </c>
      <c r="L49" s="57">
        <f>SUM($K$45:K49)</f>
        <v>19693.67551743783</v>
      </c>
      <c r="M49" s="34"/>
      <c r="N49" s="65">
        <f t="shared" si="16"/>
        <v>-4866612.4999999991</v>
      </c>
      <c r="O49" s="85">
        <f t="shared" si="17"/>
        <v>4894650</v>
      </c>
      <c r="Q49" s="79">
        <f t="shared" si="21"/>
        <v>28037.500000000931</v>
      </c>
    </row>
    <row r="50" spans="1:18" x14ac:dyDescent="0.4">
      <c r="B50" s="56">
        <v>44501</v>
      </c>
      <c r="C50" s="18">
        <f>'Data(Greeks)'!X11</f>
        <v>4.1000000000000003E-3</v>
      </c>
      <c r="D50" s="3">
        <f>'Data(Greeks)'!H11*('Data(Greeks)'!W11^2)*1/100*125000*$C$2</f>
        <v>3969203.3915242236</v>
      </c>
      <c r="E50" s="3">
        <f t="shared" si="18"/>
        <v>-3.1624150961460382E-3</v>
      </c>
      <c r="F50" s="3">
        <f t="shared" si="19"/>
        <v>3336.1154505761106</v>
      </c>
      <c r="G50" s="31"/>
      <c r="H50" s="12">
        <f>'Data(Greeks)'!J11*100*125000</f>
        <v>-2023.305924755249</v>
      </c>
      <c r="I50" s="75">
        <f t="shared" si="20"/>
        <v>3336.1154505761106</v>
      </c>
      <c r="J50" s="1"/>
      <c r="K50" s="20">
        <f t="shared" si="15"/>
        <v>1312.8095258208616</v>
      </c>
      <c r="L50" s="57">
        <f>SUM($K$45:K50)</f>
        <v>21006.485043258694</v>
      </c>
      <c r="M50" s="34"/>
      <c r="N50" s="65">
        <f t="shared" si="16"/>
        <v>-6321300</v>
      </c>
      <c r="O50" s="85">
        <f t="shared" si="17"/>
        <v>6346650</v>
      </c>
      <c r="Q50" s="79">
        <f t="shared" si="21"/>
        <v>25350</v>
      </c>
    </row>
    <row r="51" spans="1:18" x14ac:dyDescent="0.4">
      <c r="B51" s="56">
        <v>44502</v>
      </c>
      <c r="C51" s="18">
        <f>'Data(Greeks)'!X12</f>
        <v>-2.2000000000000001E-3</v>
      </c>
      <c r="D51" s="3">
        <f>'Data(Greeks)'!H12*('Data(Greeks)'!W12^2)*1/100*125000*$C$2</f>
        <v>3558805.3532330594</v>
      </c>
      <c r="E51" s="3">
        <f t="shared" si="18"/>
        <v>3.4714022008339174E-3</v>
      </c>
      <c r="F51" s="3">
        <f t="shared" si="19"/>
        <v>861.23089548240034</v>
      </c>
      <c r="G51" s="31"/>
      <c r="H51" s="12">
        <f>'Data(Greeks)'!J12*100*125000</f>
        <v>-2164.7805208803284</v>
      </c>
      <c r="I51" s="75">
        <f t="shared" si="20"/>
        <v>861.23089548240034</v>
      </c>
      <c r="J51" s="1"/>
      <c r="K51" s="20">
        <f t="shared" si="15"/>
        <v>-1303.5496253979281</v>
      </c>
      <c r="L51" s="57">
        <f>SUM($K$45:K51)</f>
        <v>19702.935417860765</v>
      </c>
      <c r="M51" s="34"/>
      <c r="N51" s="65">
        <f t="shared" si="16"/>
        <v>-5589362.5</v>
      </c>
      <c r="O51" s="85">
        <f t="shared" si="17"/>
        <v>5622212.5</v>
      </c>
      <c r="Q51" s="79">
        <f t="shared" si="21"/>
        <v>32850</v>
      </c>
    </row>
    <row r="52" spans="1:18" x14ac:dyDescent="0.4">
      <c r="B52" s="56">
        <v>44503</v>
      </c>
      <c r="C52" s="18">
        <f>'Data(Greeks)'!X13</f>
        <v>2.5000000000000001E-3</v>
      </c>
      <c r="D52" s="3">
        <f>'Data(Greeks)'!H13*('Data(Greeks)'!W13^2)*1/100*125000*$C$2</f>
        <v>4342187.919308736</v>
      </c>
      <c r="E52" s="3">
        <f t="shared" si="18"/>
        <v>-7.3465198397007275E-3</v>
      </c>
      <c r="F52" s="3">
        <f t="shared" si="19"/>
        <v>1356.9337247839801</v>
      </c>
      <c r="G52" s="31"/>
      <c r="H52" s="12">
        <f>'Data(Greeks)'!J13*100*125000</f>
        <v>-1983.5699272082825</v>
      </c>
      <c r="I52" s="75">
        <f t="shared" si="20"/>
        <v>1356.9337247839801</v>
      </c>
      <c r="J52" s="1"/>
      <c r="K52" s="20">
        <f t="shared" si="15"/>
        <v>-626.63620242430238</v>
      </c>
      <c r="L52" s="57">
        <f>SUM($K$45:K52)</f>
        <v>19076.299215436462</v>
      </c>
      <c r="M52" s="34"/>
      <c r="N52" s="65">
        <f t="shared" si="16"/>
        <v>-6328500</v>
      </c>
      <c r="O52" s="85">
        <f t="shared" si="17"/>
        <v>6348462.5</v>
      </c>
      <c r="Q52" s="79">
        <f t="shared" si="21"/>
        <v>19962.5</v>
      </c>
    </row>
    <row r="53" spans="1:18" x14ac:dyDescent="0.4">
      <c r="B53" s="56">
        <v>44504</v>
      </c>
      <c r="C53" s="18">
        <f>'Data(Greeks)'!X14</f>
        <v>-5.1000000000000004E-3</v>
      </c>
      <c r="D53" s="3">
        <f>'Data(Greeks)'!H14*('Data(Greeks)'!W14^2)*1/100*125000*$C$2</f>
        <v>3744451.706899642</v>
      </c>
      <c r="E53" s="3">
        <f t="shared" si="18"/>
        <v>-3.8942671621224111E-4</v>
      </c>
      <c r="F53" s="3">
        <f t="shared" si="19"/>
        <v>4869.6594448229853</v>
      </c>
      <c r="G53" s="31"/>
      <c r="H53" s="12">
        <f>'Data(Greeks)'!J14*100*125000</f>
        <v>-1778.5344155177052</v>
      </c>
      <c r="I53" s="75">
        <f t="shared" si="20"/>
        <v>4869.6594448229853</v>
      </c>
      <c r="J53" s="1"/>
      <c r="K53" s="20">
        <f t="shared" si="15"/>
        <v>3091.1250293052799</v>
      </c>
      <c r="L53" s="57">
        <f>SUM($K$45:K53)</f>
        <v>22167.424244741742</v>
      </c>
      <c r="M53" s="34"/>
      <c r="N53" s="65">
        <f t="shared" si="16"/>
        <v>-4299125</v>
      </c>
      <c r="O53" s="85">
        <f t="shared" si="17"/>
        <v>4325287.5</v>
      </c>
      <c r="Q53" s="79">
        <f t="shared" si="21"/>
        <v>26162.5</v>
      </c>
    </row>
    <row r="54" spans="1:18" x14ac:dyDescent="0.4">
      <c r="B54" s="56">
        <v>44505</v>
      </c>
      <c r="C54" s="18">
        <f>'Data(Greeks)'!X15</f>
        <v>-2.9999999999999997E-4</v>
      </c>
      <c r="D54" s="3">
        <f>'Data(Greeks)'!H15*('Data(Greeks)'!W15^2)*1/100*125000*$C$2</f>
        <v>3613903.2993963934</v>
      </c>
      <c r="E54" s="3">
        <f t="shared" si="18"/>
        <v>4.4130439124834154E-3</v>
      </c>
      <c r="F54" s="3">
        <f t="shared" si="19"/>
        <v>16.262564847283766</v>
      </c>
      <c r="G54" s="31"/>
      <c r="H54" s="12">
        <f>'Data(Greeks)'!J15*100*125000</f>
        <v>-1901.7863205246799</v>
      </c>
      <c r="I54" s="75">
        <f t="shared" si="20"/>
        <v>16.262564847283766</v>
      </c>
      <c r="J54" s="1"/>
      <c r="K54" s="20">
        <f t="shared" si="15"/>
        <v>-1885.5237556773961</v>
      </c>
      <c r="L54" s="57">
        <f>SUM($K$45:K54)</f>
        <v>20281.900489064345</v>
      </c>
      <c r="M54" s="34"/>
      <c r="N54" s="65">
        <f t="shared" si="16"/>
        <v>-4296750</v>
      </c>
      <c r="O54" s="85">
        <f t="shared" si="17"/>
        <v>4325287.5</v>
      </c>
      <c r="Q54" s="79">
        <f t="shared" si="21"/>
        <v>28537.5</v>
      </c>
    </row>
    <row r="55" spans="1:18" x14ac:dyDescent="0.4">
      <c r="B55" s="56">
        <v>44508</v>
      </c>
      <c r="C55" s="18">
        <f>'Data(Greeks)'!X16</f>
        <v>3.3999999999999998E-3</v>
      </c>
      <c r="D55" s="3">
        <f>'Data(Greeks)'!H16*('Data(Greeks)'!W16^2)*1/100*125000*$C$2</f>
        <v>4471100.0626317803</v>
      </c>
      <c r="E55" s="3">
        <f t="shared" si="18"/>
        <v>5.4815914949477723E-4</v>
      </c>
      <c r="F55" s="3">
        <f t="shared" si="19"/>
        <v>2584.2958362011691</v>
      </c>
      <c r="G55" s="31"/>
      <c r="H55" s="12">
        <f>'Data(Greeks)'!J16*100*125000</f>
        <v>-2076.3728032340364</v>
      </c>
      <c r="I55" s="75">
        <f t="shared" si="20"/>
        <v>2584.2958362011691</v>
      </c>
      <c r="J55" s="1"/>
      <c r="K55" s="20">
        <f t="shared" si="15"/>
        <v>507.92303296713271</v>
      </c>
      <c r="L55" s="57">
        <f>SUM($K$45:K55)</f>
        <v>20789.823522031478</v>
      </c>
      <c r="M55" s="34"/>
      <c r="N55" s="65">
        <f t="shared" si="16"/>
        <v>-5318612.4999999991</v>
      </c>
      <c r="O55" s="85">
        <f t="shared" si="17"/>
        <v>5340025</v>
      </c>
      <c r="Q55" s="79">
        <f t="shared" si="21"/>
        <v>21412.500000000931</v>
      </c>
    </row>
    <row r="56" spans="1:18" x14ac:dyDescent="0.4">
      <c r="B56" s="56">
        <v>44509</v>
      </c>
      <c r="C56" s="18">
        <f>'Data(Greeks)'!X17</f>
        <v>4.0000000000000002E-4</v>
      </c>
      <c r="D56" s="3">
        <f>'Data(Greeks)'!H17*('Data(Greeks)'!W17^2)*1/100*125000*$C$2</f>
        <v>4338290.8080122052</v>
      </c>
      <c r="E56" s="3">
        <f t="shared" si="18"/>
        <v>-1.3312383459168737E-2</v>
      </c>
      <c r="F56" s="3">
        <f t="shared" si="19"/>
        <v>34.706326464097643</v>
      </c>
      <c r="G56" s="31"/>
      <c r="H56" s="12">
        <f>'Data(Greeks)'!J17*100*125000</f>
        <v>-2279.476627104973</v>
      </c>
      <c r="I56" s="75">
        <f t="shared" si="20"/>
        <v>34.706326464097643</v>
      </c>
      <c r="J56" s="1"/>
      <c r="K56" s="20">
        <f t="shared" si="15"/>
        <v>-2244.7703006408751</v>
      </c>
      <c r="L56" s="57">
        <f>SUM($K$45:K56)</f>
        <v>18545.053221390604</v>
      </c>
      <c r="M56" s="34"/>
      <c r="N56" s="65">
        <f t="shared" si="16"/>
        <v>-5605731.25</v>
      </c>
      <c r="O56" s="85">
        <f t="shared" si="17"/>
        <v>5630062.5</v>
      </c>
      <c r="Q56" s="79">
        <f t="shared" si="21"/>
        <v>24331.25</v>
      </c>
    </row>
    <row r="57" spans="1:18" x14ac:dyDescent="0.4">
      <c r="B57" s="56">
        <v>44510</v>
      </c>
      <c r="C57" s="18">
        <f>'Data(Greeks)'!X18</f>
        <v>-9.5999999999999992E-3</v>
      </c>
      <c r="D57" s="3">
        <f>'Data(Greeks)'!H18*('Data(Greeks)'!W18^2)*1/100*125000*$C$2</f>
        <v>2610055.9935833253</v>
      </c>
      <c r="E57" s="3">
        <f t="shared" si="18"/>
        <v>-3.9684692475293317E-3</v>
      </c>
      <c r="F57" s="3">
        <f t="shared" si="19"/>
        <v>12027.138018431961</v>
      </c>
      <c r="G57" s="31"/>
      <c r="H57" s="12">
        <f>'Data(Greeks)'!J18*100*125000</f>
        <v>-1618.7724574665529</v>
      </c>
      <c r="I57" s="75">
        <f t="shared" si="20"/>
        <v>12027.138018431961</v>
      </c>
      <c r="J57" s="1"/>
      <c r="K57" s="20">
        <f t="shared" si="15"/>
        <v>10408.365560965407</v>
      </c>
      <c r="L57" s="57">
        <f>SUM($K$45:K57)</f>
        <v>28953.418782356013</v>
      </c>
      <c r="M57" s="34"/>
      <c r="N57" s="65">
        <f t="shared" si="16"/>
        <v>-2424231.2499999995</v>
      </c>
      <c r="O57" s="85">
        <f t="shared" si="17"/>
        <v>2470175</v>
      </c>
      <c r="Q57" s="79">
        <f t="shared" si="21"/>
        <v>45943.750000000466</v>
      </c>
    </row>
    <row r="58" spans="1:18" x14ac:dyDescent="0.4">
      <c r="B58" s="56">
        <v>44511</v>
      </c>
      <c r="C58" s="18">
        <f>'Data(Greeks)'!X19</f>
        <v>-3.3999999999999998E-3</v>
      </c>
      <c r="D58" s="3">
        <f>'Data(Greeks)'!H19*('Data(Greeks)'!W19^2)*1/100*125000*$C$2</f>
        <v>1922843.1561084709</v>
      </c>
      <c r="E58" s="3">
        <f t="shared" si="18"/>
        <v>-1.0996629800584763E-4</v>
      </c>
      <c r="F58" s="3">
        <f t="shared" si="19"/>
        <v>1111.4033442306961</v>
      </c>
      <c r="G58" s="31"/>
      <c r="H58" s="12">
        <f>'Data(Greeks)'!J19*100*125000</f>
        <v>-1109.9717416084743</v>
      </c>
      <c r="I58" s="75">
        <f t="shared" si="20"/>
        <v>1111.4033442306961</v>
      </c>
      <c r="J58" s="1"/>
      <c r="K58" s="20">
        <f t="shared" si="15"/>
        <v>1.431602622221817</v>
      </c>
      <c r="L58" s="57">
        <f>SUM($K$45:K58)</f>
        <v>28954.850384978236</v>
      </c>
      <c r="M58" s="34"/>
      <c r="N58" s="65">
        <f t="shared" si="16"/>
        <v>-1422687.5</v>
      </c>
      <c r="O58" s="85">
        <f t="shared" si="17"/>
        <v>1468168.75</v>
      </c>
      <c r="Q58" s="79">
        <f t="shared" si="21"/>
        <v>45481.25</v>
      </c>
    </row>
    <row r="59" spans="1:18" x14ac:dyDescent="0.4">
      <c r="B59" s="56">
        <v>44512</v>
      </c>
      <c r="C59" s="18">
        <f>'Data(Greeks)'!X20</f>
        <v>-1E-4</v>
      </c>
      <c r="D59" s="3">
        <f>'Data(Greeks)'!H20*('Data(Greeks)'!W20^2)*1/100*125000*$C$2</f>
        <v>1902919.5488003541</v>
      </c>
      <c r="E59" s="3">
        <f t="shared" si="18"/>
        <v>-1.0991425733558222E-4</v>
      </c>
      <c r="F59" s="3">
        <f t="shared" si="19"/>
        <v>0.95145977440017715</v>
      </c>
      <c r="G59" s="31"/>
      <c r="H59" s="12">
        <f>'Data(Greeks)'!J20*100*125000</f>
        <v>-1163.7428139549916</v>
      </c>
      <c r="I59" s="75">
        <f t="shared" si="20"/>
        <v>0.95145977440017715</v>
      </c>
      <c r="J59" s="1"/>
      <c r="K59" s="20">
        <f t="shared" si="15"/>
        <v>-1162.7913541805915</v>
      </c>
      <c r="L59" s="57">
        <f>SUM($K$45:K59)</f>
        <v>27792.059030797645</v>
      </c>
      <c r="M59" s="34"/>
      <c r="N59" s="65">
        <f t="shared" si="16"/>
        <v>-1422500</v>
      </c>
      <c r="O59" s="85">
        <f t="shared" si="17"/>
        <v>1468168.75</v>
      </c>
      <c r="P59" s="54"/>
      <c r="Q59" s="79">
        <f t="shared" si="21"/>
        <v>45668.75</v>
      </c>
      <c r="R59" s="54"/>
    </row>
    <row r="60" spans="1:18" ht="18" thickBot="1" x14ac:dyDescent="0.45">
      <c r="A60" s="95" t="s">
        <v>57</v>
      </c>
      <c r="B60" s="58">
        <v>44512</v>
      </c>
      <c r="C60" s="88">
        <f>C59</f>
        <v>-1E-4</v>
      </c>
      <c r="D60" s="50"/>
      <c r="E60" s="50"/>
      <c r="F60" s="50"/>
      <c r="G60" s="67"/>
      <c r="H60" s="89"/>
      <c r="I60" s="90"/>
      <c r="J60" s="50"/>
      <c r="K60" s="50"/>
      <c r="L60" s="91">
        <f>27792</f>
        <v>27792</v>
      </c>
      <c r="M60" s="35"/>
      <c r="N60" s="66">
        <f t="shared" si="16"/>
        <v>0</v>
      </c>
      <c r="O60" s="86">
        <f t="shared" si="17"/>
        <v>45668.75</v>
      </c>
      <c r="Q60" s="82">
        <f t="shared" si="21"/>
        <v>45668.75</v>
      </c>
    </row>
    <row r="61" spans="1:18" x14ac:dyDescent="0.4">
      <c r="O61" s="51"/>
    </row>
    <row r="63" spans="1:18" x14ac:dyDescent="0.4">
      <c r="O63" s="52"/>
    </row>
    <row r="64" spans="1:18" x14ac:dyDescent="0.4">
      <c r="O64" s="54"/>
    </row>
    <row r="65" spans="15:15" x14ac:dyDescent="0.4">
      <c r="O65" s="54"/>
    </row>
    <row r="66" spans="15:15" x14ac:dyDescent="0.4">
      <c r="O66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A96E-2F4B-4BC3-A5C3-2C6B6F3EE00F}">
  <sheetPr>
    <tabColor theme="7"/>
  </sheetPr>
  <dimension ref="A1:S66"/>
  <sheetViews>
    <sheetView showGridLines="0" topLeftCell="A34" zoomScale="85" zoomScaleNormal="85" workbookViewId="0">
      <selection activeCell="C26" sqref="C26:C41"/>
    </sheetView>
  </sheetViews>
  <sheetFormatPr defaultRowHeight="17.399999999999999" x14ac:dyDescent="0.4"/>
  <cols>
    <col min="2" max="2" width="16.5" bestFit="1" customWidth="1"/>
    <col min="3" max="3" width="17.59765625" bestFit="1" customWidth="1"/>
    <col min="4" max="4" width="20.59765625" bestFit="1" customWidth="1"/>
    <col min="5" max="5" width="15.3984375" bestFit="1" customWidth="1"/>
    <col min="6" max="6" width="14.19921875" bestFit="1" customWidth="1"/>
    <col min="7" max="7" width="9.59765625" bestFit="1" customWidth="1"/>
    <col min="8" max="8" width="11.19921875" bestFit="1" customWidth="1"/>
    <col min="9" max="9" width="14.3984375" bestFit="1" customWidth="1"/>
    <col min="10" max="10" width="12.8984375" customWidth="1"/>
    <col min="11" max="11" width="21.3984375" bestFit="1" customWidth="1"/>
    <col min="12" max="12" width="16.5" bestFit="1" customWidth="1"/>
    <col min="13" max="13" width="11.5" bestFit="1" customWidth="1"/>
    <col min="14" max="15" width="22.19921875" bestFit="1" customWidth="1"/>
    <col min="16" max="16" width="3.09765625" customWidth="1"/>
    <col min="17" max="18" width="16.5" customWidth="1"/>
    <col min="19" max="19" width="16.5" bestFit="1" customWidth="1"/>
  </cols>
  <sheetData>
    <row r="1" spans="2:12" ht="18" thickBot="1" x14ac:dyDescent="0.45"/>
    <row r="2" spans="2:12" x14ac:dyDescent="0.4">
      <c r="B2" s="97" t="s">
        <v>72</v>
      </c>
      <c r="C2" s="98">
        <v>100</v>
      </c>
    </row>
    <row r="3" spans="2:12" ht="18" thickBot="1" x14ac:dyDescent="0.45">
      <c r="B3" s="99"/>
      <c r="C3" s="100"/>
    </row>
    <row r="5" spans="2:12" ht="18" thickBot="1" x14ac:dyDescent="0.45">
      <c r="B5" s="96" t="s">
        <v>10</v>
      </c>
    </row>
    <row r="6" spans="2:12" ht="18" thickBot="1" x14ac:dyDescent="0.45">
      <c r="B6" s="4" t="s">
        <v>0</v>
      </c>
      <c r="C6" s="5" t="s">
        <v>2</v>
      </c>
      <c r="D6" s="5" t="s">
        <v>3</v>
      </c>
      <c r="E6" s="5" t="s">
        <v>8</v>
      </c>
      <c r="F6" s="5" t="s">
        <v>1</v>
      </c>
      <c r="G6" s="5" t="s">
        <v>4</v>
      </c>
      <c r="H6" s="5" t="s">
        <v>5</v>
      </c>
      <c r="I6" s="60" t="s">
        <v>7</v>
      </c>
      <c r="J6" s="4" t="s">
        <v>58</v>
      </c>
      <c r="K6" s="10" t="s">
        <v>59</v>
      </c>
      <c r="L6" s="6" t="s">
        <v>55</v>
      </c>
    </row>
    <row r="7" spans="2:12" ht="18" thickTop="1" x14ac:dyDescent="0.4">
      <c r="B7" s="7">
        <v>44494</v>
      </c>
      <c r="C7" s="1" t="s">
        <v>65</v>
      </c>
      <c r="D7" s="3" t="s">
        <v>13</v>
      </c>
      <c r="E7" s="3" t="s">
        <v>11</v>
      </c>
      <c r="F7" s="3" t="str">
        <f t="shared" ref="F7:F22" si="0">IF(G7&gt;0,"Buy",IF(G7&lt;0,"Sell",""))</f>
        <v>Buy</v>
      </c>
      <c r="G7" s="3">
        <f>C2</f>
        <v>100</v>
      </c>
      <c r="H7" s="3">
        <f>'Data(Greeks)'!M6</f>
        <v>8.9999999999999993E-3</v>
      </c>
      <c r="I7" s="61">
        <f>G7*H7*125000</f>
        <v>112499.99999999999</v>
      </c>
      <c r="J7" s="64">
        <f>G7</f>
        <v>100</v>
      </c>
      <c r="K7" s="3">
        <f>J7*H7*125000</f>
        <v>112499.99999999999</v>
      </c>
      <c r="L7" s="55">
        <f>-I7</f>
        <v>-112499.99999999999</v>
      </c>
    </row>
    <row r="8" spans="2:12" x14ac:dyDescent="0.4">
      <c r="B8" s="56">
        <v>44495</v>
      </c>
      <c r="C8" s="1" t="s">
        <v>65</v>
      </c>
      <c r="D8" s="1" t="s">
        <v>64</v>
      </c>
      <c r="E8" s="1" t="s">
        <v>11</v>
      </c>
      <c r="F8" s="1" t="str">
        <f t="shared" si="0"/>
        <v/>
      </c>
      <c r="G8" s="1">
        <v>0</v>
      </c>
      <c r="H8" s="3">
        <f>'Data(Greeks)'!M7</f>
        <v>8.8000000000000005E-3</v>
      </c>
      <c r="I8" s="62">
        <f t="shared" ref="I8:I21" si="1">G8*H8*125000</f>
        <v>0</v>
      </c>
      <c r="J8" s="65">
        <f t="shared" ref="J8:J22" si="2">G8+J7</f>
        <v>100</v>
      </c>
      <c r="K8" s="1">
        <f t="shared" ref="K8:K22" si="3">J8*H8*125000</f>
        <v>110000</v>
      </c>
      <c r="L8" s="57">
        <f t="shared" ref="L8:L22" si="4">-I8+L7</f>
        <v>-112499.99999999999</v>
      </c>
    </row>
    <row r="9" spans="2:12" x14ac:dyDescent="0.4">
      <c r="B9" s="56">
        <v>44496</v>
      </c>
      <c r="C9" s="1" t="s">
        <v>65</v>
      </c>
      <c r="D9" s="1" t="s">
        <v>64</v>
      </c>
      <c r="E9" s="1" t="s">
        <v>11</v>
      </c>
      <c r="F9" s="1" t="str">
        <f t="shared" si="0"/>
        <v/>
      </c>
      <c r="G9" s="1">
        <v>0</v>
      </c>
      <c r="H9" s="3">
        <f>'Data(Greeks)'!M8</f>
        <v>8.5000000000000006E-3</v>
      </c>
      <c r="I9" s="62">
        <f t="shared" si="1"/>
        <v>0</v>
      </c>
      <c r="J9" s="65">
        <f t="shared" si="2"/>
        <v>100</v>
      </c>
      <c r="K9" s="1">
        <f t="shared" si="3"/>
        <v>106250.00000000001</v>
      </c>
      <c r="L9" s="57">
        <f t="shared" si="4"/>
        <v>-112499.99999999999</v>
      </c>
    </row>
    <row r="10" spans="2:12" x14ac:dyDescent="0.4">
      <c r="B10" s="56">
        <v>44497</v>
      </c>
      <c r="C10" s="1" t="s">
        <v>65</v>
      </c>
      <c r="D10" s="1" t="s">
        <v>64</v>
      </c>
      <c r="E10" s="1" t="s">
        <v>11</v>
      </c>
      <c r="F10" s="1" t="str">
        <f t="shared" si="0"/>
        <v/>
      </c>
      <c r="G10" s="1">
        <v>0</v>
      </c>
      <c r="H10" s="3">
        <f>'Data(Greeks)'!M9</f>
        <v>5.4999999999999997E-3</v>
      </c>
      <c r="I10" s="62">
        <f t="shared" si="1"/>
        <v>0</v>
      </c>
      <c r="J10" s="65">
        <f t="shared" si="2"/>
        <v>100</v>
      </c>
      <c r="K10" s="1">
        <f t="shared" si="3"/>
        <v>68749.999999999985</v>
      </c>
      <c r="L10" s="57">
        <f t="shared" si="4"/>
        <v>-112499.99999999999</v>
      </c>
    </row>
    <row r="11" spans="2:12" x14ac:dyDescent="0.4">
      <c r="B11" s="56">
        <v>44498</v>
      </c>
      <c r="C11" s="1" t="s">
        <v>65</v>
      </c>
      <c r="D11" s="1" t="s">
        <v>64</v>
      </c>
      <c r="E11" s="1" t="s">
        <v>11</v>
      </c>
      <c r="F11" s="1" t="str">
        <f t="shared" si="0"/>
        <v/>
      </c>
      <c r="G11" s="1">
        <v>0</v>
      </c>
      <c r="H11" s="3">
        <f>'Data(Greeks)'!M10</f>
        <v>1.3599999999999999E-2</v>
      </c>
      <c r="I11" s="62">
        <f t="shared" si="1"/>
        <v>0</v>
      </c>
      <c r="J11" s="65">
        <f t="shared" si="2"/>
        <v>100</v>
      </c>
      <c r="K11" s="1">
        <f t="shared" si="3"/>
        <v>169999.99999999997</v>
      </c>
      <c r="L11" s="57">
        <f t="shared" si="4"/>
        <v>-112499.99999999999</v>
      </c>
    </row>
    <row r="12" spans="2:12" x14ac:dyDescent="0.4">
      <c r="B12" s="56">
        <v>44501</v>
      </c>
      <c r="C12" s="1" t="s">
        <v>65</v>
      </c>
      <c r="D12" s="1" t="s">
        <v>64</v>
      </c>
      <c r="E12" s="1" t="s">
        <v>11</v>
      </c>
      <c r="F12" s="1" t="str">
        <f t="shared" si="0"/>
        <v/>
      </c>
      <c r="G12" s="1">
        <v>0</v>
      </c>
      <c r="H12" s="3">
        <f>'Data(Greeks)'!M11</f>
        <v>9.9000000000000008E-3</v>
      </c>
      <c r="I12" s="62">
        <f t="shared" si="1"/>
        <v>0</v>
      </c>
      <c r="J12" s="65">
        <f t="shared" si="2"/>
        <v>100</v>
      </c>
      <c r="K12" s="1">
        <f t="shared" si="3"/>
        <v>123750.00000000001</v>
      </c>
      <c r="L12" s="57">
        <f t="shared" si="4"/>
        <v>-112499.99999999999</v>
      </c>
    </row>
    <row r="13" spans="2:12" x14ac:dyDescent="0.4">
      <c r="B13" s="56">
        <v>44502</v>
      </c>
      <c r="C13" s="1" t="s">
        <v>65</v>
      </c>
      <c r="D13" s="1" t="s">
        <v>64</v>
      </c>
      <c r="E13" s="1" t="s">
        <v>11</v>
      </c>
      <c r="F13" s="1" t="str">
        <f t="shared" si="0"/>
        <v/>
      </c>
      <c r="G13" s="1">
        <v>0</v>
      </c>
      <c r="H13" s="3">
        <f>'Data(Greeks)'!M12</f>
        <v>9.2999999999999992E-3</v>
      </c>
      <c r="I13" s="62">
        <f t="shared" si="1"/>
        <v>0</v>
      </c>
      <c r="J13" s="65">
        <f t="shared" si="2"/>
        <v>100</v>
      </c>
      <c r="K13" s="1">
        <f t="shared" si="3"/>
        <v>116249.99999999999</v>
      </c>
      <c r="L13" s="57">
        <f t="shared" si="4"/>
        <v>-112499.99999999999</v>
      </c>
    </row>
    <row r="14" spans="2:12" x14ac:dyDescent="0.4">
      <c r="B14" s="56">
        <v>44503</v>
      </c>
      <c r="C14" s="1" t="s">
        <v>65</v>
      </c>
      <c r="D14" s="1" t="s">
        <v>64</v>
      </c>
      <c r="E14" s="1" t="s">
        <v>11</v>
      </c>
      <c r="F14" s="1" t="str">
        <f t="shared" si="0"/>
        <v/>
      </c>
      <c r="G14" s="1">
        <v>0</v>
      </c>
      <c r="H14" s="3">
        <f>'Data(Greeks)'!M13</f>
        <v>1.12E-2</v>
      </c>
      <c r="I14" s="62">
        <f t="shared" si="1"/>
        <v>0</v>
      </c>
      <c r="J14" s="65">
        <f t="shared" si="2"/>
        <v>100</v>
      </c>
      <c r="K14" s="1">
        <f t="shared" si="3"/>
        <v>140000</v>
      </c>
      <c r="L14" s="57">
        <f t="shared" si="4"/>
        <v>-112499.99999999999</v>
      </c>
    </row>
    <row r="15" spans="2:12" x14ac:dyDescent="0.4">
      <c r="B15" s="56">
        <v>44504</v>
      </c>
      <c r="C15" s="1" t="s">
        <v>65</v>
      </c>
      <c r="D15" s="1" t="s">
        <v>64</v>
      </c>
      <c r="E15" s="1" t="s">
        <v>11</v>
      </c>
      <c r="F15" s="1" t="str">
        <f t="shared" si="0"/>
        <v/>
      </c>
      <c r="G15" s="1">
        <v>0</v>
      </c>
      <c r="H15" s="3">
        <f>'Data(Greeks)'!M14</f>
        <v>1.3299999999999999E-2</v>
      </c>
      <c r="I15" s="62">
        <f t="shared" si="1"/>
        <v>0</v>
      </c>
      <c r="J15" s="65">
        <f t="shared" si="2"/>
        <v>100</v>
      </c>
      <c r="K15" s="1">
        <f t="shared" si="3"/>
        <v>166249.99999999997</v>
      </c>
      <c r="L15" s="57">
        <f t="shared" si="4"/>
        <v>-112499.99999999999</v>
      </c>
    </row>
    <row r="16" spans="2:12" x14ac:dyDescent="0.4">
      <c r="B16" s="56">
        <v>44505</v>
      </c>
      <c r="C16" s="1" t="s">
        <v>65</v>
      </c>
      <c r="D16" s="1" t="s">
        <v>64</v>
      </c>
      <c r="E16" s="1" t="s">
        <v>11</v>
      </c>
      <c r="F16" s="1" t="str">
        <f t="shared" si="0"/>
        <v/>
      </c>
      <c r="G16" s="1">
        <v>0</v>
      </c>
      <c r="H16" s="3">
        <f>'Data(Greeks)'!M15</f>
        <v>1.41E-2</v>
      </c>
      <c r="I16" s="62">
        <f t="shared" si="1"/>
        <v>0</v>
      </c>
      <c r="J16" s="65">
        <f t="shared" si="2"/>
        <v>100</v>
      </c>
      <c r="K16" s="1">
        <f t="shared" si="3"/>
        <v>176250</v>
      </c>
      <c r="L16" s="57">
        <f t="shared" si="4"/>
        <v>-112499.99999999999</v>
      </c>
    </row>
    <row r="17" spans="1:19" x14ac:dyDescent="0.4">
      <c r="B17" s="56">
        <v>44508</v>
      </c>
      <c r="C17" s="1" t="s">
        <v>65</v>
      </c>
      <c r="D17" s="1" t="s">
        <v>64</v>
      </c>
      <c r="E17" s="1" t="s">
        <v>11</v>
      </c>
      <c r="F17" s="1" t="str">
        <f t="shared" si="0"/>
        <v/>
      </c>
      <c r="G17" s="1">
        <v>0</v>
      </c>
      <c r="H17" s="3">
        <f>'Data(Greeks)'!M16</f>
        <v>8.6E-3</v>
      </c>
      <c r="I17" s="62">
        <f t="shared" si="1"/>
        <v>0</v>
      </c>
      <c r="J17" s="65">
        <f t="shared" si="2"/>
        <v>100</v>
      </c>
      <c r="K17" s="1">
        <f t="shared" si="3"/>
        <v>107500</v>
      </c>
      <c r="L17" s="57">
        <f t="shared" si="4"/>
        <v>-112499.99999999999</v>
      </c>
    </row>
    <row r="18" spans="1:19" x14ac:dyDescent="0.4">
      <c r="B18" s="56">
        <v>44509</v>
      </c>
      <c r="C18" s="1" t="s">
        <v>65</v>
      </c>
      <c r="D18" s="1" t="s">
        <v>64</v>
      </c>
      <c r="E18" s="1" t="s">
        <v>11</v>
      </c>
      <c r="F18" s="1" t="str">
        <f t="shared" si="0"/>
        <v/>
      </c>
      <c r="G18" s="1">
        <v>0</v>
      </c>
      <c r="H18" s="3">
        <f>'Data(Greeks)'!M17</f>
        <v>8.6999999999999994E-3</v>
      </c>
      <c r="I18" s="62">
        <f t="shared" si="1"/>
        <v>0</v>
      </c>
      <c r="J18" s="65">
        <f t="shared" si="2"/>
        <v>100</v>
      </c>
      <c r="K18" s="1">
        <f t="shared" si="3"/>
        <v>108749.99999999999</v>
      </c>
      <c r="L18" s="57">
        <f t="shared" si="4"/>
        <v>-112499.99999999999</v>
      </c>
    </row>
    <row r="19" spans="1:19" x14ac:dyDescent="0.4">
      <c r="B19" s="56">
        <v>44510</v>
      </c>
      <c r="C19" s="1" t="s">
        <v>65</v>
      </c>
      <c r="D19" s="1" t="s">
        <v>64</v>
      </c>
      <c r="E19" s="1" t="s">
        <v>11</v>
      </c>
      <c r="F19" s="1" t="str">
        <f t="shared" si="0"/>
        <v/>
      </c>
      <c r="G19" s="1">
        <v>0</v>
      </c>
      <c r="H19" s="3">
        <f>'Data(Greeks)'!M18</f>
        <v>1.7299999999999999E-2</v>
      </c>
      <c r="I19" s="62">
        <f t="shared" si="1"/>
        <v>0</v>
      </c>
      <c r="J19" s="65">
        <f t="shared" si="2"/>
        <v>100</v>
      </c>
      <c r="K19" s="1">
        <f t="shared" si="3"/>
        <v>216250</v>
      </c>
      <c r="L19" s="57">
        <f t="shared" si="4"/>
        <v>-112499.99999999999</v>
      </c>
    </row>
    <row r="20" spans="1:19" x14ac:dyDescent="0.4">
      <c r="B20" s="56">
        <v>44511</v>
      </c>
      <c r="C20" s="1" t="s">
        <v>65</v>
      </c>
      <c r="D20" s="1" t="s">
        <v>64</v>
      </c>
      <c r="E20" s="1" t="s">
        <v>11</v>
      </c>
      <c r="F20" s="1" t="str">
        <f t="shared" si="0"/>
        <v/>
      </c>
      <c r="G20" s="1">
        <v>0</v>
      </c>
      <c r="H20" s="3">
        <f>'Data(Greeks)'!M19</f>
        <v>2.0500000000000001E-2</v>
      </c>
      <c r="I20" s="62">
        <f t="shared" si="1"/>
        <v>0</v>
      </c>
      <c r="J20" s="65">
        <f t="shared" si="2"/>
        <v>100</v>
      </c>
      <c r="K20" s="1">
        <f t="shared" si="3"/>
        <v>256250.00000000003</v>
      </c>
      <c r="L20" s="57">
        <f t="shared" si="4"/>
        <v>-112499.99999999999</v>
      </c>
    </row>
    <row r="21" spans="1:19" x14ac:dyDescent="0.4">
      <c r="B21" s="56">
        <v>44512</v>
      </c>
      <c r="C21" s="1" t="s">
        <v>65</v>
      </c>
      <c r="D21" s="1" t="s">
        <v>64</v>
      </c>
      <c r="E21" s="1" t="s">
        <v>11</v>
      </c>
      <c r="F21" s="1" t="str">
        <f t="shared" si="0"/>
        <v/>
      </c>
      <c r="G21" s="1">
        <v>0</v>
      </c>
      <c r="H21" s="3">
        <f>'Data(Greeks)'!M20</f>
        <v>2.1399999999999999E-2</v>
      </c>
      <c r="I21" s="62">
        <f t="shared" si="1"/>
        <v>0</v>
      </c>
      <c r="J21" s="65">
        <f t="shared" si="2"/>
        <v>100</v>
      </c>
      <c r="K21" s="1">
        <f t="shared" si="3"/>
        <v>267499.99999999994</v>
      </c>
      <c r="L21" s="57">
        <f t="shared" si="4"/>
        <v>-112499.99999999999</v>
      </c>
    </row>
    <row r="22" spans="1:19" ht="18" thickBot="1" x14ac:dyDescent="0.45">
      <c r="A22" s="95" t="s">
        <v>57</v>
      </c>
      <c r="B22" s="58">
        <v>44512</v>
      </c>
      <c r="C22" s="50" t="s">
        <v>65</v>
      </c>
      <c r="D22" s="50" t="s">
        <v>64</v>
      </c>
      <c r="E22" s="50" t="s">
        <v>11</v>
      </c>
      <c r="F22" s="50" t="str">
        <f t="shared" si="0"/>
        <v>Sell</v>
      </c>
      <c r="G22" s="50">
        <f>-G7</f>
        <v>-100</v>
      </c>
      <c r="H22" s="50">
        <f>H21</f>
        <v>2.1399999999999999E-2</v>
      </c>
      <c r="I22" s="63">
        <f>G22*H22*125000</f>
        <v>-267499.99999999994</v>
      </c>
      <c r="J22" s="66">
        <f t="shared" si="2"/>
        <v>0</v>
      </c>
      <c r="K22" s="50">
        <f t="shared" si="3"/>
        <v>0</v>
      </c>
      <c r="L22" s="59">
        <f t="shared" si="4"/>
        <v>154999.99999999994</v>
      </c>
    </row>
    <row r="23" spans="1:19" x14ac:dyDescent="0.4">
      <c r="N23" s="36"/>
    </row>
    <row r="24" spans="1:19" ht="18" thickBot="1" x14ac:dyDescent="0.45">
      <c r="B24" s="96" t="s">
        <v>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</row>
    <row r="25" spans="1:19" ht="18" thickBot="1" x14ac:dyDescent="0.45">
      <c r="B25" s="4" t="s">
        <v>0</v>
      </c>
      <c r="C25" s="5" t="s">
        <v>2</v>
      </c>
      <c r="D25" s="5" t="s">
        <v>3</v>
      </c>
      <c r="E25" s="5" t="s">
        <v>8</v>
      </c>
      <c r="F25" s="5" t="s">
        <v>43</v>
      </c>
      <c r="G25" s="5" t="s">
        <v>44</v>
      </c>
      <c r="H25" s="5" t="s">
        <v>45</v>
      </c>
      <c r="I25" s="5" t="s">
        <v>46</v>
      </c>
      <c r="J25" s="74" t="s">
        <v>48</v>
      </c>
      <c r="K25" s="10" t="s">
        <v>47</v>
      </c>
      <c r="L25" s="5" t="s">
        <v>1</v>
      </c>
      <c r="M25" s="5" t="s">
        <v>5</v>
      </c>
      <c r="N25" s="5" t="s">
        <v>6</v>
      </c>
      <c r="O25" s="6" t="s">
        <v>52</v>
      </c>
      <c r="Q25" s="4" t="s">
        <v>46</v>
      </c>
      <c r="R25" s="77" t="s">
        <v>60</v>
      </c>
      <c r="S25" s="6" t="s">
        <v>51</v>
      </c>
    </row>
    <row r="26" spans="1:19" ht="18" thickTop="1" x14ac:dyDescent="0.4">
      <c r="B26" s="7">
        <v>44494</v>
      </c>
      <c r="C26" s="3" t="s">
        <v>68</v>
      </c>
      <c r="D26" s="3" t="s">
        <v>49</v>
      </c>
      <c r="E26" s="3" t="s">
        <v>22</v>
      </c>
      <c r="F26" s="3">
        <f>'Data(Greeks)'!Q6</f>
        <v>-0.53443667488462898</v>
      </c>
      <c r="G26" s="3">
        <v>1</v>
      </c>
      <c r="H26" s="3">
        <f t="shared" ref="H26:H41" si="5">J7</f>
        <v>100</v>
      </c>
      <c r="I26" s="3">
        <v>0</v>
      </c>
      <c r="J26" s="72">
        <f t="shared" ref="J26:J41" si="6">F26*H26+G26*I26</f>
        <v>-53.4436674884629</v>
      </c>
      <c r="K26" s="53">
        <f t="shared" ref="K26:K41" si="7">-ROUND(J26,0)</f>
        <v>53</v>
      </c>
      <c r="L26" s="3" t="str">
        <f>IF(K26&gt;0,"Buy",IF(K26&lt;0,"Sell",""))</f>
        <v>Buy</v>
      </c>
      <c r="M26" s="12">
        <f>'Data(Greeks)'!W6</f>
        <v>1.16235</v>
      </c>
      <c r="N26" s="12">
        <f>K26*M26*125000</f>
        <v>7700568.75</v>
      </c>
      <c r="O26" s="68">
        <f t="shared" ref="O26:O41" si="8">-N26</f>
        <v>-7700568.75</v>
      </c>
      <c r="Q26" s="65">
        <f t="shared" ref="Q26:Q41" si="9">I26+K26</f>
        <v>53</v>
      </c>
      <c r="R26" s="78">
        <f>Q26*M26*125000</f>
        <v>7700568.75</v>
      </c>
      <c r="S26" s="55">
        <f>O26</f>
        <v>-7700568.75</v>
      </c>
    </row>
    <row r="27" spans="1:19" x14ac:dyDescent="0.4">
      <c r="B27" s="56">
        <v>44495</v>
      </c>
      <c r="C27" s="1" t="s">
        <v>68</v>
      </c>
      <c r="D27" s="1" t="s">
        <v>49</v>
      </c>
      <c r="E27" s="1" t="s">
        <v>22</v>
      </c>
      <c r="F27" s="3">
        <f>'Data(Greeks)'!Q7</f>
        <v>-0.57789420541432202</v>
      </c>
      <c r="G27" s="1">
        <v>1</v>
      </c>
      <c r="H27" s="1">
        <f t="shared" si="5"/>
        <v>100</v>
      </c>
      <c r="I27" s="1">
        <f t="shared" ref="I27:I40" si="10">Q26</f>
        <v>53</v>
      </c>
      <c r="J27" s="71">
        <f t="shared" si="6"/>
        <v>-4.7894205414322002</v>
      </c>
      <c r="K27" s="38">
        <f t="shared" si="7"/>
        <v>5</v>
      </c>
      <c r="L27" s="1" t="str">
        <f t="shared" ref="L27:L41" si="11">IF(K27&gt;0,"Buy",IF(K27&lt;0,"Sell",""))</f>
        <v>Buy</v>
      </c>
      <c r="M27" s="31">
        <f>'Data(Greeks)'!W7</f>
        <v>1.1607499999999999</v>
      </c>
      <c r="N27" s="31">
        <f t="shared" ref="N27:N41" si="12">K27*M27*125000</f>
        <v>725468.75</v>
      </c>
      <c r="O27" s="69">
        <f t="shared" si="8"/>
        <v>-725468.75</v>
      </c>
      <c r="Q27" s="65">
        <f t="shared" si="9"/>
        <v>58</v>
      </c>
      <c r="R27" s="78">
        <f t="shared" ref="R27:R41" si="13">Q27*M27*125000</f>
        <v>8415437.5</v>
      </c>
      <c r="S27" s="57">
        <f t="shared" ref="S27:S41" si="14">S26+O27</f>
        <v>-8426037.5</v>
      </c>
    </row>
    <row r="28" spans="1:19" x14ac:dyDescent="0.4">
      <c r="B28" s="56">
        <v>44496</v>
      </c>
      <c r="C28" s="1" t="s">
        <v>68</v>
      </c>
      <c r="D28" s="1" t="s">
        <v>49</v>
      </c>
      <c r="E28" s="1" t="s">
        <v>22</v>
      </c>
      <c r="F28" s="3">
        <f>'Data(Greeks)'!Q8</f>
        <v>-0.54788470104700804</v>
      </c>
      <c r="G28" s="1">
        <v>1</v>
      </c>
      <c r="H28" s="1">
        <f t="shared" si="5"/>
        <v>100</v>
      </c>
      <c r="I28" s="1">
        <f t="shared" si="10"/>
        <v>58</v>
      </c>
      <c r="J28" s="71">
        <f t="shared" si="6"/>
        <v>3.2115298952991935</v>
      </c>
      <c r="K28" s="38">
        <f t="shared" si="7"/>
        <v>-3</v>
      </c>
      <c r="L28" s="1" t="str">
        <f t="shared" si="11"/>
        <v>Sell</v>
      </c>
      <c r="M28" s="31">
        <f>'Data(Greeks)'!W8</f>
        <v>1.16195</v>
      </c>
      <c r="N28" s="31">
        <f t="shared" si="12"/>
        <v>-435731.25</v>
      </c>
      <c r="O28" s="69">
        <f t="shared" si="8"/>
        <v>435731.25</v>
      </c>
      <c r="Q28" s="65">
        <f t="shared" si="9"/>
        <v>55</v>
      </c>
      <c r="R28" s="78">
        <f t="shared" si="13"/>
        <v>7988406.2500000009</v>
      </c>
      <c r="S28" s="57">
        <f t="shared" si="14"/>
        <v>-7990306.25</v>
      </c>
    </row>
    <row r="29" spans="1:19" x14ac:dyDescent="0.4">
      <c r="B29" s="56">
        <v>44497</v>
      </c>
      <c r="C29" s="1" t="s">
        <v>68</v>
      </c>
      <c r="D29" s="1" t="s">
        <v>49</v>
      </c>
      <c r="E29" s="1" t="s">
        <v>22</v>
      </c>
      <c r="F29" s="3">
        <f>'Data(Greeks)'!Q9</f>
        <v>-0.393087932246797</v>
      </c>
      <c r="G29" s="1">
        <v>1</v>
      </c>
      <c r="H29" s="1">
        <f t="shared" si="5"/>
        <v>100</v>
      </c>
      <c r="I29" s="1">
        <f t="shared" si="10"/>
        <v>55</v>
      </c>
      <c r="J29" s="71">
        <f t="shared" si="6"/>
        <v>15.691206775320303</v>
      </c>
      <c r="K29" s="38">
        <f t="shared" si="7"/>
        <v>-16</v>
      </c>
      <c r="L29" s="1" t="str">
        <f t="shared" si="11"/>
        <v>Sell</v>
      </c>
      <c r="M29" s="31">
        <f>'Data(Greeks)'!W9</f>
        <v>1.1694500000000001</v>
      </c>
      <c r="N29" s="31">
        <f t="shared" si="12"/>
        <v>-2338900</v>
      </c>
      <c r="O29" s="69">
        <f t="shared" si="8"/>
        <v>2338900</v>
      </c>
      <c r="Q29" s="65">
        <f t="shared" si="9"/>
        <v>39</v>
      </c>
      <c r="R29" s="78">
        <f t="shared" si="13"/>
        <v>5701068.75</v>
      </c>
      <c r="S29" s="57">
        <f t="shared" si="14"/>
        <v>-5651406.25</v>
      </c>
    </row>
    <row r="30" spans="1:19" x14ac:dyDescent="0.4">
      <c r="B30" s="56">
        <v>44498</v>
      </c>
      <c r="C30" s="1" t="s">
        <v>68</v>
      </c>
      <c r="D30" s="1" t="s">
        <v>49</v>
      </c>
      <c r="E30" s="1" t="s">
        <v>22</v>
      </c>
      <c r="F30" s="3">
        <f>'Data(Greeks)'!Q10</f>
        <v>-0.62104369587849795</v>
      </c>
      <c r="G30" s="1">
        <v>1</v>
      </c>
      <c r="H30" s="1">
        <f t="shared" si="5"/>
        <v>100</v>
      </c>
      <c r="I30" s="1">
        <f t="shared" si="10"/>
        <v>39</v>
      </c>
      <c r="J30" s="71">
        <f t="shared" si="6"/>
        <v>-23.104369587849796</v>
      </c>
      <c r="K30" s="38">
        <f t="shared" si="7"/>
        <v>23</v>
      </c>
      <c r="L30" s="1" t="str">
        <f t="shared" si="11"/>
        <v>Buy</v>
      </c>
      <c r="M30" s="31">
        <f>'Data(Greeks)'!W10</f>
        <v>1.1568499999999999</v>
      </c>
      <c r="N30" s="31">
        <f t="shared" si="12"/>
        <v>3325943.75</v>
      </c>
      <c r="O30" s="69">
        <f t="shared" si="8"/>
        <v>-3325943.75</v>
      </c>
      <c r="Q30" s="65">
        <f t="shared" si="9"/>
        <v>62</v>
      </c>
      <c r="R30" s="78">
        <f t="shared" si="13"/>
        <v>8965587.5</v>
      </c>
      <c r="S30" s="57">
        <f t="shared" si="14"/>
        <v>-8977350</v>
      </c>
    </row>
    <row r="31" spans="1:19" x14ac:dyDescent="0.4">
      <c r="B31" s="56">
        <v>44501</v>
      </c>
      <c r="C31" s="1" t="s">
        <v>68</v>
      </c>
      <c r="D31" s="1" t="s">
        <v>49</v>
      </c>
      <c r="E31" s="1" t="s">
        <v>22</v>
      </c>
      <c r="F31" s="3">
        <f>'Data(Greeks)'!Q11</f>
        <v>-0.54877387283382095</v>
      </c>
      <c r="G31" s="1">
        <v>1</v>
      </c>
      <c r="H31" s="1">
        <f t="shared" si="5"/>
        <v>100</v>
      </c>
      <c r="I31" s="1">
        <f t="shared" si="10"/>
        <v>62</v>
      </c>
      <c r="J31" s="71">
        <f t="shared" si="6"/>
        <v>7.1226127166179083</v>
      </c>
      <c r="K31" s="38">
        <f t="shared" si="7"/>
        <v>-7</v>
      </c>
      <c r="L31" s="1" t="str">
        <f t="shared" si="11"/>
        <v>Sell</v>
      </c>
      <c r="M31" s="31">
        <f>'Data(Greeks)'!W11</f>
        <v>1.1616</v>
      </c>
      <c r="N31" s="31">
        <f t="shared" si="12"/>
        <v>-1016400</v>
      </c>
      <c r="O31" s="69">
        <f t="shared" si="8"/>
        <v>1016400</v>
      </c>
      <c r="Q31" s="65">
        <f t="shared" si="9"/>
        <v>55</v>
      </c>
      <c r="R31" s="78">
        <f t="shared" si="13"/>
        <v>7986000</v>
      </c>
      <c r="S31" s="57">
        <f t="shared" si="14"/>
        <v>-7960950</v>
      </c>
    </row>
    <row r="32" spans="1:19" x14ac:dyDescent="0.4">
      <c r="B32" s="56">
        <v>44502</v>
      </c>
      <c r="C32" s="1" t="s">
        <v>68</v>
      </c>
      <c r="D32" s="1" t="s">
        <v>49</v>
      </c>
      <c r="E32" s="1" t="s">
        <v>22</v>
      </c>
      <c r="F32" s="3">
        <f>'Data(Greeks)'!Q12</f>
        <v>-0.62869012398024404</v>
      </c>
      <c r="G32" s="1">
        <v>1</v>
      </c>
      <c r="H32" s="1">
        <f t="shared" si="5"/>
        <v>100</v>
      </c>
      <c r="I32" s="1">
        <f t="shared" si="10"/>
        <v>55</v>
      </c>
      <c r="J32" s="71">
        <f t="shared" si="6"/>
        <v>-7.8690123980244024</v>
      </c>
      <c r="K32" s="38">
        <f t="shared" si="7"/>
        <v>8</v>
      </c>
      <c r="L32" s="1" t="str">
        <f t="shared" si="11"/>
        <v>Buy</v>
      </c>
      <c r="M32" s="31">
        <f>'Data(Greeks)'!W12</f>
        <v>1.1591</v>
      </c>
      <c r="N32" s="31">
        <f t="shared" si="12"/>
        <v>1159100</v>
      </c>
      <c r="O32" s="69">
        <f t="shared" si="8"/>
        <v>-1159100</v>
      </c>
      <c r="Q32" s="65">
        <f t="shared" si="9"/>
        <v>63</v>
      </c>
      <c r="R32" s="78">
        <f t="shared" si="13"/>
        <v>9127912.5</v>
      </c>
      <c r="S32" s="57">
        <f t="shared" si="14"/>
        <v>-9120050</v>
      </c>
    </row>
    <row r="33" spans="1:19" x14ac:dyDescent="0.4">
      <c r="B33" s="56">
        <v>44503</v>
      </c>
      <c r="C33" s="1" t="s">
        <v>68</v>
      </c>
      <c r="D33" s="1" t="s">
        <v>49</v>
      </c>
      <c r="E33" s="1" t="s">
        <v>22</v>
      </c>
      <c r="F33" s="3">
        <f>'Data(Greeks)'!Q13</f>
        <v>-0.534478230331496</v>
      </c>
      <c r="G33" s="1">
        <v>1</v>
      </c>
      <c r="H33" s="1">
        <f t="shared" si="5"/>
        <v>100</v>
      </c>
      <c r="I33" s="1">
        <f t="shared" si="10"/>
        <v>63</v>
      </c>
      <c r="J33" s="71">
        <f t="shared" si="6"/>
        <v>9.5521769668504035</v>
      </c>
      <c r="K33" s="38">
        <f t="shared" si="7"/>
        <v>-10</v>
      </c>
      <c r="L33" s="1" t="str">
        <f t="shared" si="11"/>
        <v>Sell</v>
      </c>
      <c r="M33" s="31">
        <f>'Data(Greeks)'!W13</f>
        <v>1.1619999999999999</v>
      </c>
      <c r="N33" s="31">
        <f t="shared" si="12"/>
        <v>-1452500</v>
      </c>
      <c r="O33" s="69">
        <f t="shared" si="8"/>
        <v>1452500</v>
      </c>
      <c r="Q33" s="65">
        <f t="shared" si="9"/>
        <v>53</v>
      </c>
      <c r="R33" s="78">
        <f t="shared" si="13"/>
        <v>7698250</v>
      </c>
      <c r="S33" s="57">
        <f t="shared" si="14"/>
        <v>-7667550</v>
      </c>
    </row>
    <row r="34" spans="1:19" x14ac:dyDescent="0.4">
      <c r="B34" s="56">
        <v>44504</v>
      </c>
      <c r="C34" s="1" t="s">
        <v>68</v>
      </c>
      <c r="D34" s="1" t="s">
        <v>49</v>
      </c>
      <c r="E34" s="1" t="s">
        <v>22</v>
      </c>
      <c r="F34" s="3">
        <f>'Data(Greeks)'!Q14</f>
        <v>-0.64941515794064897</v>
      </c>
      <c r="G34" s="1">
        <v>1</v>
      </c>
      <c r="H34" s="1">
        <f t="shared" si="5"/>
        <v>100</v>
      </c>
      <c r="I34" s="1">
        <f t="shared" si="10"/>
        <v>53</v>
      </c>
      <c r="J34" s="71">
        <f t="shared" si="6"/>
        <v>-11.941515794064898</v>
      </c>
      <c r="K34" s="38">
        <f t="shared" si="7"/>
        <v>12</v>
      </c>
      <c r="L34" s="1" t="str">
        <f t="shared" si="11"/>
        <v>Buy</v>
      </c>
      <c r="M34" s="31">
        <f>'Data(Greeks)'!W14</f>
        <v>1.1560999999999999</v>
      </c>
      <c r="N34" s="31">
        <f t="shared" si="12"/>
        <v>1734149.9999999998</v>
      </c>
      <c r="O34" s="69">
        <f t="shared" si="8"/>
        <v>-1734149.9999999998</v>
      </c>
      <c r="Q34" s="65">
        <f t="shared" si="9"/>
        <v>65</v>
      </c>
      <c r="R34" s="78">
        <f t="shared" si="13"/>
        <v>9393312.4999999981</v>
      </c>
      <c r="S34" s="57">
        <f t="shared" si="14"/>
        <v>-9401700</v>
      </c>
    </row>
    <row r="35" spans="1:19" x14ac:dyDescent="0.4">
      <c r="B35" s="56">
        <v>44505</v>
      </c>
      <c r="C35" s="1" t="s">
        <v>68</v>
      </c>
      <c r="D35" s="1" t="s">
        <v>49</v>
      </c>
      <c r="E35" s="1" t="s">
        <v>22</v>
      </c>
      <c r="F35" s="3">
        <f>'Data(Greeks)'!Q15</f>
        <v>-0.64379382898349602</v>
      </c>
      <c r="G35" s="1">
        <v>1</v>
      </c>
      <c r="H35" s="1">
        <f t="shared" si="5"/>
        <v>100</v>
      </c>
      <c r="I35" s="1">
        <f t="shared" si="10"/>
        <v>65</v>
      </c>
      <c r="J35" s="71">
        <f t="shared" si="6"/>
        <v>0.62061710165039585</v>
      </c>
      <c r="K35" s="38">
        <f t="shared" si="7"/>
        <v>-1</v>
      </c>
      <c r="L35" s="1" t="str">
        <f t="shared" si="11"/>
        <v>Sell</v>
      </c>
      <c r="M35" s="31">
        <f>'Data(Greeks)'!W15</f>
        <v>1.1557999999999999</v>
      </c>
      <c r="N35" s="31">
        <f t="shared" si="12"/>
        <v>-144475</v>
      </c>
      <c r="O35" s="69">
        <f t="shared" si="8"/>
        <v>144475</v>
      </c>
      <c r="Q35" s="65">
        <f t="shared" si="9"/>
        <v>64</v>
      </c>
      <c r="R35" s="78">
        <f t="shared" si="13"/>
        <v>9246400</v>
      </c>
      <c r="S35" s="57">
        <f t="shared" si="14"/>
        <v>-9257225</v>
      </c>
    </row>
    <row r="36" spans="1:19" x14ac:dyDescent="0.4">
      <c r="B36" s="56">
        <v>44508</v>
      </c>
      <c r="C36" s="1" t="s">
        <v>68</v>
      </c>
      <c r="D36" s="1" t="s">
        <v>49</v>
      </c>
      <c r="E36" s="1" t="s">
        <v>22</v>
      </c>
      <c r="F36" s="3">
        <f>'Data(Greeks)'!Q16</f>
        <v>-0.62539429378998102</v>
      </c>
      <c r="G36" s="1">
        <v>1</v>
      </c>
      <c r="H36" s="1">
        <f t="shared" si="5"/>
        <v>100</v>
      </c>
      <c r="I36" s="1">
        <f t="shared" si="10"/>
        <v>64</v>
      </c>
      <c r="J36" s="71">
        <f t="shared" si="6"/>
        <v>1.4605706210018994</v>
      </c>
      <c r="K36" s="38">
        <f t="shared" si="7"/>
        <v>-1</v>
      </c>
      <c r="L36" s="1" t="str">
        <f t="shared" si="11"/>
        <v>Sell</v>
      </c>
      <c r="M36" s="31">
        <f>'Data(Greeks)'!W16</f>
        <v>1.1597</v>
      </c>
      <c r="N36" s="31">
        <f t="shared" si="12"/>
        <v>-144962.5</v>
      </c>
      <c r="O36" s="69">
        <f t="shared" si="8"/>
        <v>144962.5</v>
      </c>
      <c r="Q36" s="65">
        <f t="shared" si="9"/>
        <v>63</v>
      </c>
      <c r="R36" s="78">
        <f t="shared" si="13"/>
        <v>9132637.5</v>
      </c>
      <c r="S36" s="57">
        <f t="shared" si="14"/>
        <v>-9112262.5</v>
      </c>
    </row>
    <row r="37" spans="1:19" x14ac:dyDescent="0.4">
      <c r="B37" s="56">
        <v>44509</v>
      </c>
      <c r="C37" s="1" t="s">
        <v>68</v>
      </c>
      <c r="D37" s="1" t="s">
        <v>49</v>
      </c>
      <c r="E37" s="1" t="s">
        <v>22</v>
      </c>
      <c r="F37" s="3">
        <f>'Data(Greeks)'!Q17</f>
        <v>-0.60761053660400099</v>
      </c>
      <c r="G37" s="1">
        <v>1</v>
      </c>
      <c r="H37" s="1">
        <f t="shared" si="5"/>
        <v>100</v>
      </c>
      <c r="I37" s="1">
        <f t="shared" si="10"/>
        <v>63</v>
      </c>
      <c r="J37" s="71">
        <f t="shared" si="6"/>
        <v>2.2389463395998987</v>
      </c>
      <c r="K37" s="38">
        <f t="shared" si="7"/>
        <v>-2</v>
      </c>
      <c r="L37" s="1" t="str">
        <f t="shared" si="11"/>
        <v>Sell</v>
      </c>
      <c r="M37" s="31">
        <f>'Data(Greeks)'!W17</f>
        <v>1.16015</v>
      </c>
      <c r="N37" s="31">
        <f t="shared" si="12"/>
        <v>-290037.5</v>
      </c>
      <c r="O37" s="69">
        <f t="shared" si="8"/>
        <v>290037.5</v>
      </c>
      <c r="Q37" s="65">
        <f t="shared" si="9"/>
        <v>61</v>
      </c>
      <c r="R37" s="78">
        <f t="shared" si="13"/>
        <v>8846143.75</v>
      </c>
      <c r="S37" s="57">
        <f t="shared" si="14"/>
        <v>-8822225</v>
      </c>
    </row>
    <row r="38" spans="1:19" x14ac:dyDescent="0.4">
      <c r="B38" s="56">
        <v>44510</v>
      </c>
      <c r="C38" s="1" t="s">
        <v>68</v>
      </c>
      <c r="D38" s="1" t="s">
        <v>49</v>
      </c>
      <c r="E38" s="1" t="s">
        <v>22</v>
      </c>
      <c r="F38" s="3">
        <f>'Data(Greeks)'!Q18</f>
        <v>-0.81090697799935596</v>
      </c>
      <c r="G38" s="1">
        <v>1</v>
      </c>
      <c r="H38" s="1">
        <f t="shared" si="5"/>
        <v>100</v>
      </c>
      <c r="I38" s="1">
        <f t="shared" si="10"/>
        <v>61</v>
      </c>
      <c r="J38" s="71">
        <f t="shared" si="6"/>
        <v>-20.090697799935597</v>
      </c>
      <c r="K38" s="38">
        <f t="shared" si="7"/>
        <v>20</v>
      </c>
      <c r="L38" s="1" t="str">
        <f t="shared" si="11"/>
        <v>Buy</v>
      </c>
      <c r="M38" s="31">
        <f>'Data(Greeks)'!W18</f>
        <v>1.1490499999999999</v>
      </c>
      <c r="N38" s="31">
        <f t="shared" si="12"/>
        <v>2872624.9999999995</v>
      </c>
      <c r="O38" s="69">
        <f t="shared" si="8"/>
        <v>-2872624.9999999995</v>
      </c>
      <c r="Q38" s="65">
        <f t="shared" si="9"/>
        <v>81</v>
      </c>
      <c r="R38" s="78">
        <f t="shared" si="13"/>
        <v>11634131.25</v>
      </c>
      <c r="S38" s="57">
        <f t="shared" si="14"/>
        <v>-11694850</v>
      </c>
    </row>
    <row r="39" spans="1:19" x14ac:dyDescent="0.4">
      <c r="B39" s="56">
        <v>44511</v>
      </c>
      <c r="C39" s="1" t="s">
        <v>68</v>
      </c>
      <c r="D39" s="1" t="s">
        <v>49</v>
      </c>
      <c r="E39" s="1" t="s">
        <v>22</v>
      </c>
      <c r="F39" s="3">
        <f>'Data(Greeks)'!Q19</f>
        <v>-0.87211565991583295</v>
      </c>
      <c r="G39" s="1">
        <v>1</v>
      </c>
      <c r="H39" s="1">
        <f t="shared" si="5"/>
        <v>100</v>
      </c>
      <c r="I39" s="1">
        <f t="shared" si="10"/>
        <v>81</v>
      </c>
      <c r="J39" s="71">
        <f t="shared" si="6"/>
        <v>-6.2115659915832993</v>
      </c>
      <c r="K39" s="38">
        <f t="shared" si="7"/>
        <v>6</v>
      </c>
      <c r="L39" s="1" t="str">
        <f t="shared" si="11"/>
        <v>Buy</v>
      </c>
      <c r="M39" s="31">
        <f>'Data(Greeks)'!W19</f>
        <v>1.1451499999999999</v>
      </c>
      <c r="N39" s="31">
        <f t="shared" si="12"/>
        <v>858862.49999999988</v>
      </c>
      <c r="O39" s="69">
        <f t="shared" si="8"/>
        <v>-858862.49999999988</v>
      </c>
      <c r="Q39" s="65">
        <f t="shared" si="9"/>
        <v>87</v>
      </c>
      <c r="R39" s="78">
        <f t="shared" si="13"/>
        <v>12453506.249999998</v>
      </c>
      <c r="S39" s="57">
        <f t="shared" si="14"/>
        <v>-12553712.5</v>
      </c>
    </row>
    <row r="40" spans="1:19" x14ac:dyDescent="0.4">
      <c r="B40" s="56">
        <v>44512</v>
      </c>
      <c r="C40" s="1" t="s">
        <v>68</v>
      </c>
      <c r="D40" s="1" t="s">
        <v>49</v>
      </c>
      <c r="E40" s="1" t="s">
        <v>22</v>
      </c>
      <c r="F40" s="3">
        <f>'Data(Greeks)'!Q20</f>
        <v>-0.83098005329020197</v>
      </c>
      <c r="G40" s="1">
        <v>1</v>
      </c>
      <c r="H40" s="1">
        <f t="shared" si="5"/>
        <v>100</v>
      </c>
      <c r="I40" s="1">
        <f t="shared" si="10"/>
        <v>87</v>
      </c>
      <c r="J40" s="71">
        <f t="shared" si="6"/>
        <v>3.9019946709798035</v>
      </c>
      <c r="K40" s="38">
        <f t="shared" si="7"/>
        <v>-4</v>
      </c>
      <c r="L40" s="1" t="str">
        <f t="shared" si="11"/>
        <v>Sell</v>
      </c>
      <c r="M40" s="31">
        <f>'Data(Greeks)'!W20</f>
        <v>1.145</v>
      </c>
      <c r="N40" s="31">
        <f>K40*M40*125000</f>
        <v>-572500</v>
      </c>
      <c r="O40" s="69">
        <f t="shared" si="8"/>
        <v>572500</v>
      </c>
      <c r="Q40" s="65">
        <f t="shared" si="9"/>
        <v>83</v>
      </c>
      <c r="R40" s="78">
        <f t="shared" si="13"/>
        <v>11879375</v>
      </c>
      <c r="S40" s="57">
        <f t="shared" si="14"/>
        <v>-11981212.5</v>
      </c>
    </row>
    <row r="41" spans="1:19" ht="18" thickBot="1" x14ac:dyDescent="0.45">
      <c r="A41" s="95" t="s">
        <v>57</v>
      </c>
      <c r="B41" s="58">
        <v>44512</v>
      </c>
      <c r="C41" s="50" t="s">
        <v>68</v>
      </c>
      <c r="D41" s="50" t="s">
        <v>49</v>
      </c>
      <c r="E41" s="50" t="s">
        <v>22</v>
      </c>
      <c r="F41" s="50">
        <f>F40</f>
        <v>-0.83098005329020197</v>
      </c>
      <c r="G41" s="50">
        <v>1</v>
      </c>
      <c r="H41" s="50">
        <f t="shared" si="5"/>
        <v>0</v>
      </c>
      <c r="I41" s="50">
        <f>I40+K40</f>
        <v>83</v>
      </c>
      <c r="J41" s="73">
        <f t="shared" si="6"/>
        <v>83</v>
      </c>
      <c r="K41" s="50">
        <f t="shared" si="7"/>
        <v>-83</v>
      </c>
      <c r="L41" s="50" t="str">
        <f t="shared" si="11"/>
        <v>Sell</v>
      </c>
      <c r="M41" s="50">
        <v>1.145</v>
      </c>
      <c r="N41" s="67">
        <f t="shared" si="12"/>
        <v>-11879375</v>
      </c>
      <c r="O41" s="70">
        <f t="shared" si="8"/>
        <v>11879375</v>
      </c>
      <c r="Q41" s="66">
        <f t="shared" si="9"/>
        <v>0</v>
      </c>
      <c r="R41" s="50">
        <f t="shared" si="13"/>
        <v>0</v>
      </c>
      <c r="S41" s="59">
        <f t="shared" si="14"/>
        <v>-101837.5</v>
      </c>
    </row>
    <row r="42" spans="1:19" s="42" customFormat="1" x14ac:dyDescent="0.4">
      <c r="B42" s="39"/>
      <c r="C42" s="35"/>
      <c r="D42" s="35"/>
      <c r="F42" s="35"/>
      <c r="G42" s="35"/>
      <c r="H42" s="35"/>
      <c r="I42" s="35"/>
      <c r="J42" s="35"/>
      <c r="K42" s="35"/>
      <c r="L42" s="40"/>
      <c r="M42" s="40"/>
      <c r="N42" s="41"/>
      <c r="O42" s="35"/>
      <c r="P42" s="35"/>
      <c r="Q42" s="35"/>
      <c r="R42" s="35"/>
      <c r="S42" s="35"/>
    </row>
    <row r="43" spans="1:19" ht="18" thickBot="1" x14ac:dyDescent="0.45">
      <c r="B43" s="96" t="s">
        <v>23</v>
      </c>
      <c r="F43" s="34"/>
      <c r="G43" s="34"/>
      <c r="H43" s="34"/>
    </row>
    <row r="44" spans="1:19" ht="18" thickBot="1" x14ac:dyDescent="0.45">
      <c r="B44" s="4" t="s">
        <v>0</v>
      </c>
      <c r="C44" s="5" t="s">
        <v>24</v>
      </c>
      <c r="D44" s="5" t="s">
        <v>25</v>
      </c>
      <c r="E44" s="5" t="s">
        <v>26</v>
      </c>
      <c r="F44" s="5" t="s">
        <v>27</v>
      </c>
      <c r="G44" s="5" t="s">
        <v>28</v>
      </c>
      <c r="H44" s="10" t="s">
        <v>29</v>
      </c>
      <c r="I44" s="87" t="s">
        <v>30</v>
      </c>
      <c r="J44" s="10" t="s">
        <v>31</v>
      </c>
      <c r="K44" s="10" t="s">
        <v>32</v>
      </c>
      <c r="L44" s="11" t="s">
        <v>33</v>
      </c>
      <c r="M44" s="34"/>
      <c r="N44" s="83" t="s">
        <v>61</v>
      </c>
      <c r="O44" s="6" t="s">
        <v>56</v>
      </c>
      <c r="Q44" s="81" t="s">
        <v>62</v>
      </c>
    </row>
    <row r="45" spans="1:19" ht="18" thickTop="1" x14ac:dyDescent="0.4">
      <c r="B45" s="7">
        <v>44494</v>
      </c>
      <c r="C45" s="18">
        <f>'Data(Greeks)'!X6</f>
        <v>-2.0999999999999999E-3</v>
      </c>
      <c r="D45" s="3">
        <f>'Data(Greeks)'!H6*'Data(Greeks)'!C6/125000</f>
        <v>1.1098660093924081E-6</v>
      </c>
      <c r="E45" s="3">
        <f>$G$7*125000*'Data(Greeks)'!C6</f>
        <v>78750</v>
      </c>
      <c r="F45" s="3">
        <f>C45*(D45^2)*100/2*125000</f>
        <v>-1.6167408584310752E-8</v>
      </c>
      <c r="G45" s="12">
        <f t="shared" ref="G45:G59" si="15">J26+K26</f>
        <v>-0.44366748846289994</v>
      </c>
      <c r="H45" s="12">
        <f>'Data(Greeks)'!J6*125000*H26</f>
        <v>-1825.426415607079</v>
      </c>
      <c r="I45" s="76">
        <f>125000*('Data(Greeks)'!H6)*M26/H26</f>
        <v>31995.356052015515</v>
      </c>
      <c r="J45" s="3"/>
      <c r="K45" s="20">
        <f t="shared" ref="K45:K59" si="16">H45+I45</f>
        <v>30169.929636408437</v>
      </c>
      <c r="L45" s="55">
        <f>SUM(K45)</f>
        <v>30169.929636408437</v>
      </c>
      <c r="M45" s="34"/>
      <c r="N45" s="64">
        <f t="shared" ref="N45:N60" si="17">K7+R26</f>
        <v>7813068.75</v>
      </c>
      <c r="O45" s="84">
        <f t="shared" ref="O45:O60" si="18">L7+S26</f>
        <v>-7813068.75</v>
      </c>
      <c r="Q45" s="80">
        <f>O45+N45</f>
        <v>0</v>
      </c>
    </row>
    <row r="46" spans="1:19" x14ac:dyDescent="0.4">
      <c r="B46" s="56">
        <v>44495</v>
      </c>
      <c r="C46" s="18">
        <f>'Data(Greeks)'!X7</f>
        <v>-1.4E-3</v>
      </c>
      <c r="D46" s="1"/>
      <c r="E46" s="1"/>
      <c r="F46" s="19"/>
      <c r="G46" s="31">
        <f t="shared" si="15"/>
        <v>0.2105794585677998</v>
      </c>
      <c r="H46" s="12">
        <f>'Data(Greeks)'!J7*125000*H27</f>
        <v>-1786.6787182092519</v>
      </c>
      <c r="I46" s="75"/>
      <c r="J46" s="1"/>
      <c r="K46" s="20">
        <f t="shared" si="16"/>
        <v>-1786.6787182092519</v>
      </c>
      <c r="L46" s="57">
        <f>SUM($K$45:K46)</f>
        <v>28383.250918199185</v>
      </c>
      <c r="M46" s="34"/>
      <c r="N46" s="65">
        <f t="shared" si="17"/>
        <v>8525437.5</v>
      </c>
      <c r="O46" s="85">
        <f t="shared" si="18"/>
        <v>-8538537.5</v>
      </c>
      <c r="Q46" s="79">
        <f t="shared" ref="Q46:Q60" si="19">O46+N46</f>
        <v>-13100</v>
      </c>
    </row>
    <row r="47" spans="1:19" x14ac:dyDescent="0.4">
      <c r="B47" s="56">
        <v>44496</v>
      </c>
      <c r="C47" s="18">
        <f>'Data(Greeks)'!X8</f>
        <v>1E-3</v>
      </c>
      <c r="D47" s="1"/>
      <c r="E47" s="1"/>
      <c r="F47" s="1"/>
      <c r="G47" s="31">
        <f t="shared" si="15"/>
        <v>0.21152989529919353</v>
      </c>
      <c r="H47" s="12">
        <f>'Data(Greeks)'!J8*125000*H28</f>
        <v>-1907.8827222474756</v>
      </c>
      <c r="I47" s="75"/>
      <c r="J47" s="1"/>
      <c r="K47" s="20">
        <f t="shared" si="16"/>
        <v>-1907.8827222474756</v>
      </c>
      <c r="L47" s="57">
        <f>SUM($K$45:K47)</f>
        <v>26475.368195951709</v>
      </c>
      <c r="M47" s="34"/>
      <c r="N47" s="65">
        <f t="shared" si="17"/>
        <v>8094656.2500000009</v>
      </c>
      <c r="O47" s="85">
        <f t="shared" si="18"/>
        <v>-8102806.25</v>
      </c>
      <c r="Q47" s="79">
        <f t="shared" si="19"/>
        <v>-8149.9999999990687</v>
      </c>
    </row>
    <row r="48" spans="1:19" x14ac:dyDescent="0.4">
      <c r="B48" s="56">
        <v>44497</v>
      </c>
      <c r="C48" s="18">
        <f>'Data(Greeks)'!X9</f>
        <v>6.4999999999999997E-3</v>
      </c>
      <c r="D48" s="1"/>
      <c r="E48" s="1"/>
      <c r="F48" s="1"/>
      <c r="G48" s="31">
        <f t="shared" si="15"/>
        <v>-0.30879322467969672</v>
      </c>
      <c r="H48" s="12">
        <f>'Data(Greeks)'!J9*125000*H29</f>
        <v>-1991.1792351440972</v>
      </c>
      <c r="I48" s="75"/>
      <c r="J48" s="1"/>
      <c r="K48" s="20">
        <f t="shared" si="16"/>
        <v>-1991.1792351440972</v>
      </c>
      <c r="L48" s="57">
        <f>SUM($K$45:K48)</f>
        <v>24484.188960807613</v>
      </c>
      <c r="M48" s="34"/>
      <c r="N48" s="65">
        <f t="shared" si="17"/>
        <v>5769818.75</v>
      </c>
      <c r="O48" s="85">
        <f t="shared" si="18"/>
        <v>-5763906.25</v>
      </c>
      <c r="Q48" s="79">
        <f t="shared" si="19"/>
        <v>5912.5</v>
      </c>
    </row>
    <row r="49" spans="1:18" x14ac:dyDescent="0.4">
      <c r="B49" s="56">
        <v>44498</v>
      </c>
      <c r="C49" s="18">
        <f>'Data(Greeks)'!X10</f>
        <v>-1.0800000000000001E-2</v>
      </c>
      <c r="D49" s="1"/>
      <c r="E49" s="1"/>
      <c r="F49" s="1"/>
      <c r="G49" s="31">
        <f t="shared" si="15"/>
        <v>-0.10436958784979566</v>
      </c>
      <c r="H49" s="12">
        <f>'Data(Greeks)'!J10*125000*H30</f>
        <v>-1805.5315875527758</v>
      </c>
      <c r="I49" s="75"/>
      <c r="J49" s="1"/>
      <c r="K49" s="20">
        <f t="shared" si="16"/>
        <v>-1805.5315875527758</v>
      </c>
      <c r="L49" s="57">
        <f>SUM($K$45:K49)</f>
        <v>22678.657373254835</v>
      </c>
      <c r="M49" s="34"/>
      <c r="N49" s="65">
        <f t="shared" si="17"/>
        <v>9135587.5</v>
      </c>
      <c r="O49" s="85">
        <f t="shared" si="18"/>
        <v>-9089850</v>
      </c>
      <c r="Q49" s="79">
        <f t="shared" si="19"/>
        <v>45737.5</v>
      </c>
    </row>
    <row r="50" spans="1:18" x14ac:dyDescent="0.4">
      <c r="B50" s="56">
        <v>44501</v>
      </c>
      <c r="C50" s="18">
        <f>'Data(Greeks)'!X11</f>
        <v>4.1000000000000003E-3</v>
      </c>
      <c r="D50" s="1"/>
      <c r="E50" s="1"/>
      <c r="F50" s="1"/>
      <c r="G50" s="31">
        <f t="shared" si="15"/>
        <v>0.12261271661790829</v>
      </c>
      <c r="H50" s="12">
        <f>'Data(Greeks)'!J11*125000*H31</f>
        <v>-2023.305924755249</v>
      </c>
      <c r="I50" s="75"/>
      <c r="J50" s="1"/>
      <c r="K50" s="20">
        <f t="shared" si="16"/>
        <v>-2023.305924755249</v>
      </c>
      <c r="L50" s="57">
        <f>SUM($K$45:K50)</f>
        <v>20655.351448499587</v>
      </c>
      <c r="M50" s="34"/>
      <c r="N50" s="65">
        <f t="shared" si="17"/>
        <v>8109750</v>
      </c>
      <c r="O50" s="85">
        <f t="shared" si="18"/>
        <v>-8073450</v>
      </c>
      <c r="Q50" s="79">
        <f t="shared" si="19"/>
        <v>36300</v>
      </c>
    </row>
    <row r="51" spans="1:18" x14ac:dyDescent="0.4">
      <c r="B51" s="56">
        <v>44502</v>
      </c>
      <c r="C51" s="18">
        <f>'Data(Greeks)'!X12</f>
        <v>-2.2000000000000001E-3</v>
      </c>
      <c r="D51" s="1"/>
      <c r="E51" s="1"/>
      <c r="F51" s="1"/>
      <c r="G51" s="31">
        <f t="shared" si="15"/>
        <v>0.13098760197559756</v>
      </c>
      <c r="H51" s="12">
        <f>'Data(Greeks)'!J12*125000*H32</f>
        <v>-2164.7805208803279</v>
      </c>
      <c r="I51" s="75"/>
      <c r="J51" s="1"/>
      <c r="K51" s="20">
        <f t="shared" si="16"/>
        <v>-2164.7805208803279</v>
      </c>
      <c r="L51" s="57">
        <f>SUM($K$45:K51)</f>
        <v>18490.570927619257</v>
      </c>
      <c r="M51" s="34"/>
      <c r="N51" s="65">
        <f t="shared" si="17"/>
        <v>9244162.5</v>
      </c>
      <c r="O51" s="85">
        <f t="shared" si="18"/>
        <v>-9232550</v>
      </c>
      <c r="Q51" s="79">
        <f t="shared" si="19"/>
        <v>11612.5</v>
      </c>
    </row>
    <row r="52" spans="1:18" x14ac:dyDescent="0.4">
      <c r="B52" s="56">
        <v>44503</v>
      </c>
      <c r="C52" s="18">
        <f>'Data(Greeks)'!X13</f>
        <v>2.5000000000000001E-3</v>
      </c>
      <c r="D52" s="1"/>
      <c r="E52" s="1"/>
      <c r="F52" s="1"/>
      <c r="G52" s="31">
        <f t="shared" si="15"/>
        <v>-0.44782303314959648</v>
      </c>
      <c r="H52" s="12">
        <f>'Data(Greeks)'!J13*125000*H33</f>
        <v>-1983.5699272082825</v>
      </c>
      <c r="I52" s="75"/>
      <c r="J52" s="1"/>
      <c r="K52" s="20">
        <f t="shared" si="16"/>
        <v>-1983.5699272082825</v>
      </c>
      <c r="L52" s="57">
        <f>SUM($K$45:K52)</f>
        <v>16507.001000410975</v>
      </c>
      <c r="M52" s="34"/>
      <c r="N52" s="65">
        <f t="shared" si="17"/>
        <v>7838250</v>
      </c>
      <c r="O52" s="85">
        <f t="shared" si="18"/>
        <v>-7780050</v>
      </c>
      <c r="Q52" s="79">
        <f t="shared" si="19"/>
        <v>58200</v>
      </c>
    </row>
    <row r="53" spans="1:18" x14ac:dyDescent="0.4">
      <c r="B53" s="56">
        <v>44504</v>
      </c>
      <c r="C53" s="18">
        <f>'Data(Greeks)'!X14</f>
        <v>-5.1000000000000004E-3</v>
      </c>
      <c r="D53" s="1"/>
      <c r="E53" s="1"/>
      <c r="F53" s="1"/>
      <c r="G53" s="31">
        <f t="shared" si="15"/>
        <v>5.8484205935101841E-2</v>
      </c>
      <c r="H53" s="12">
        <f>'Data(Greeks)'!J14*125000*H34</f>
        <v>-1778.5344155177049</v>
      </c>
      <c r="I53" s="75"/>
      <c r="J53" s="1"/>
      <c r="K53" s="20">
        <f t="shared" si="16"/>
        <v>-1778.5344155177049</v>
      </c>
      <c r="L53" s="57">
        <f>SUM($K$45:K53)</f>
        <v>14728.466584893271</v>
      </c>
      <c r="M53" s="34"/>
      <c r="N53" s="65">
        <f t="shared" si="17"/>
        <v>9559562.4999999981</v>
      </c>
      <c r="O53" s="85">
        <f t="shared" si="18"/>
        <v>-9514200</v>
      </c>
      <c r="Q53" s="79">
        <f t="shared" si="19"/>
        <v>45362.499999998137</v>
      </c>
    </row>
    <row r="54" spans="1:18" x14ac:dyDescent="0.4">
      <c r="B54" s="56">
        <v>44505</v>
      </c>
      <c r="C54" s="18">
        <f>'Data(Greeks)'!X15</f>
        <v>-2.9999999999999997E-4</v>
      </c>
      <c r="D54" s="1"/>
      <c r="E54" s="1"/>
      <c r="F54" s="1"/>
      <c r="G54" s="31">
        <f t="shared" si="15"/>
        <v>-0.37938289834960415</v>
      </c>
      <c r="H54" s="12">
        <f>'Data(Greeks)'!J15*125000*H35</f>
        <v>-1901.7863205246797</v>
      </c>
      <c r="I54" s="75"/>
      <c r="J54" s="1"/>
      <c r="K54" s="20">
        <f t="shared" si="16"/>
        <v>-1901.7863205246797</v>
      </c>
      <c r="L54" s="57">
        <f>SUM($K$45:K54)</f>
        <v>12826.680264368591</v>
      </c>
      <c r="M54" s="34"/>
      <c r="N54" s="65">
        <f t="shared" si="17"/>
        <v>9422650</v>
      </c>
      <c r="O54" s="85">
        <f t="shared" si="18"/>
        <v>-9369725</v>
      </c>
      <c r="Q54" s="79">
        <f t="shared" si="19"/>
        <v>52925</v>
      </c>
    </row>
    <row r="55" spans="1:18" x14ac:dyDescent="0.4">
      <c r="B55" s="56">
        <v>44508</v>
      </c>
      <c r="C55" s="18">
        <f>'Data(Greeks)'!X16</f>
        <v>3.3999999999999998E-3</v>
      </c>
      <c r="D55" s="1"/>
      <c r="E55" s="1"/>
      <c r="F55" s="1"/>
      <c r="G55" s="31">
        <f t="shared" si="15"/>
        <v>0.46057062100189938</v>
      </c>
      <c r="H55" s="12">
        <f>'Data(Greeks)'!J16*125000*H36</f>
        <v>-2076.3728032340364</v>
      </c>
      <c r="I55" s="75"/>
      <c r="J55" s="1"/>
      <c r="K55" s="20">
        <f t="shared" si="16"/>
        <v>-2076.3728032340364</v>
      </c>
      <c r="L55" s="57">
        <f>SUM($K$45:K55)</f>
        <v>10750.307461134555</v>
      </c>
      <c r="M55" s="34"/>
      <c r="N55" s="65">
        <f t="shared" si="17"/>
        <v>9240137.5</v>
      </c>
      <c r="O55" s="85">
        <f t="shared" si="18"/>
        <v>-9224762.5</v>
      </c>
      <c r="Q55" s="79">
        <f t="shared" si="19"/>
        <v>15375</v>
      </c>
    </row>
    <row r="56" spans="1:18" x14ac:dyDescent="0.4">
      <c r="B56" s="56">
        <v>44509</v>
      </c>
      <c r="C56" s="18">
        <f>'Data(Greeks)'!X17</f>
        <v>4.0000000000000002E-4</v>
      </c>
      <c r="D56" s="1"/>
      <c r="E56" s="1"/>
      <c r="F56" s="1"/>
      <c r="G56" s="31">
        <f t="shared" si="15"/>
        <v>0.23894633959989875</v>
      </c>
      <c r="H56" s="12">
        <f>'Data(Greeks)'!J17*125000*H37</f>
        <v>-2279.476627104973</v>
      </c>
      <c r="I56" s="75"/>
      <c r="J56" s="1"/>
      <c r="K56" s="20">
        <f t="shared" si="16"/>
        <v>-2279.476627104973</v>
      </c>
      <c r="L56" s="57">
        <f>SUM($K$45:K56)</f>
        <v>8470.8308340295807</v>
      </c>
      <c r="M56" s="34"/>
      <c r="N56" s="65">
        <f t="shared" si="17"/>
        <v>8954893.75</v>
      </c>
      <c r="O56" s="85">
        <f t="shared" si="18"/>
        <v>-8934725</v>
      </c>
      <c r="Q56" s="79">
        <f t="shared" si="19"/>
        <v>20168.75</v>
      </c>
    </row>
    <row r="57" spans="1:18" x14ac:dyDescent="0.4">
      <c r="B57" s="56">
        <v>44510</v>
      </c>
      <c r="C57" s="18">
        <f>'Data(Greeks)'!X18</f>
        <v>-9.5999999999999992E-3</v>
      </c>
      <c r="D57" s="1"/>
      <c r="E57" s="1"/>
      <c r="F57" s="1"/>
      <c r="G57" s="31">
        <f t="shared" si="15"/>
        <v>-9.0697799935597345E-2</v>
      </c>
      <c r="H57" s="12">
        <f>'Data(Greeks)'!J18*125000*H38</f>
        <v>-1618.7724574665526</v>
      </c>
      <c r="I57" s="75"/>
      <c r="J57" s="1"/>
      <c r="K57" s="20">
        <f t="shared" si="16"/>
        <v>-1618.7724574665526</v>
      </c>
      <c r="L57" s="57">
        <f>SUM($K$45:K57)</f>
        <v>6852.0583765630281</v>
      </c>
      <c r="M57" s="34"/>
      <c r="N57" s="65">
        <f t="shared" si="17"/>
        <v>11850381.25</v>
      </c>
      <c r="O57" s="85">
        <f t="shared" si="18"/>
        <v>-11807350</v>
      </c>
      <c r="Q57" s="79">
        <f t="shared" si="19"/>
        <v>43031.25</v>
      </c>
    </row>
    <row r="58" spans="1:18" x14ac:dyDescent="0.4">
      <c r="B58" s="56">
        <v>44511</v>
      </c>
      <c r="C58" s="18">
        <f>'Data(Greeks)'!X19</f>
        <v>-3.3999999999999998E-3</v>
      </c>
      <c r="D58" s="1"/>
      <c r="E58" s="1"/>
      <c r="F58" s="1"/>
      <c r="G58" s="31">
        <f t="shared" si="15"/>
        <v>-0.21156599158329925</v>
      </c>
      <c r="H58" s="12">
        <f>'Data(Greeks)'!J19*125000*H39</f>
        <v>-1109.9717416084743</v>
      </c>
      <c r="I58" s="75"/>
      <c r="J58" s="1"/>
      <c r="K58" s="20">
        <f t="shared" si="16"/>
        <v>-1109.9717416084743</v>
      </c>
      <c r="L58" s="57">
        <f>SUM($K$45:K58)</f>
        <v>5742.086634954554</v>
      </c>
      <c r="M58" s="34"/>
      <c r="N58" s="65">
        <f t="shared" si="17"/>
        <v>12709756.249999998</v>
      </c>
      <c r="O58" s="85">
        <f t="shared" si="18"/>
        <v>-12666212.5</v>
      </c>
      <c r="Q58" s="79">
        <f t="shared" si="19"/>
        <v>43543.749999998137</v>
      </c>
    </row>
    <row r="59" spans="1:18" x14ac:dyDescent="0.4">
      <c r="B59" s="56">
        <v>44512</v>
      </c>
      <c r="C59" s="18">
        <f>'Data(Greeks)'!X20</f>
        <v>-1E-4</v>
      </c>
      <c r="D59" s="1"/>
      <c r="E59" s="1"/>
      <c r="F59" s="1"/>
      <c r="G59" s="31">
        <f t="shared" si="15"/>
        <v>-9.8005329020196541E-2</v>
      </c>
      <c r="H59" s="12">
        <f>'Data(Greeks)'!J20*125000*H40</f>
        <v>-1163.7428139549916</v>
      </c>
      <c r="I59" s="75"/>
      <c r="J59" s="1"/>
      <c r="K59" s="20">
        <f t="shared" si="16"/>
        <v>-1163.7428139549916</v>
      </c>
      <c r="L59" s="57">
        <f>SUM($K$45:K59)</f>
        <v>4578.343820999562</v>
      </c>
      <c r="M59" s="34"/>
      <c r="N59" s="65">
        <f t="shared" si="17"/>
        <v>12146875</v>
      </c>
      <c r="O59" s="85">
        <f t="shared" si="18"/>
        <v>-12093712.5</v>
      </c>
      <c r="P59" s="54"/>
      <c r="Q59" s="79">
        <f t="shared" si="19"/>
        <v>53162.5</v>
      </c>
      <c r="R59" s="54"/>
    </row>
    <row r="60" spans="1:18" ht="18" thickBot="1" x14ac:dyDescent="0.45">
      <c r="A60" s="95" t="s">
        <v>57</v>
      </c>
      <c r="B60" s="58">
        <v>44512</v>
      </c>
      <c r="C60" s="88">
        <f>C59</f>
        <v>-1E-4</v>
      </c>
      <c r="D60" s="50"/>
      <c r="E60" s="50"/>
      <c r="F60" s="50"/>
      <c r="G60" s="67"/>
      <c r="H60" s="89"/>
      <c r="I60" s="90" t="s">
        <v>63</v>
      </c>
      <c r="J60" s="50"/>
      <c r="K60" s="50"/>
      <c r="L60" s="91"/>
      <c r="M60" s="35"/>
      <c r="N60" s="66">
        <f t="shared" si="17"/>
        <v>0</v>
      </c>
      <c r="O60" s="86">
        <f t="shared" si="18"/>
        <v>53162.499999999942</v>
      </c>
      <c r="Q60" s="82">
        <f t="shared" si="19"/>
        <v>53162.499999999942</v>
      </c>
    </row>
    <row r="61" spans="1:18" x14ac:dyDescent="0.4">
      <c r="O61" s="51"/>
    </row>
    <row r="63" spans="1:18" x14ac:dyDescent="0.4">
      <c r="O63" s="52"/>
    </row>
    <row r="64" spans="1:18" x14ac:dyDescent="0.4">
      <c r="O64" s="54"/>
    </row>
    <row r="65" spans="15:15" x14ac:dyDescent="0.4">
      <c r="O65" s="54"/>
    </row>
    <row r="66" spans="15:15" x14ac:dyDescent="0.4">
      <c r="O66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93BB-CB9F-4F8A-A439-3EADC047C4A3}">
  <sheetPr>
    <tabColor theme="7"/>
  </sheetPr>
  <dimension ref="A1:S66"/>
  <sheetViews>
    <sheetView showGridLines="0" zoomScale="85" zoomScaleNormal="85" workbookViewId="0">
      <selection activeCell="B2" sqref="B2"/>
    </sheetView>
  </sheetViews>
  <sheetFormatPr defaultRowHeight="17.399999999999999" x14ac:dyDescent="0.4"/>
  <cols>
    <col min="2" max="2" width="16.5" bestFit="1" customWidth="1"/>
    <col min="3" max="3" width="17.59765625" bestFit="1" customWidth="1"/>
    <col min="4" max="4" width="20.59765625" bestFit="1" customWidth="1"/>
    <col min="5" max="5" width="15.3984375" bestFit="1" customWidth="1"/>
    <col min="6" max="6" width="14.19921875" bestFit="1" customWidth="1"/>
    <col min="7" max="7" width="9.59765625" bestFit="1" customWidth="1"/>
    <col min="8" max="8" width="11.19921875" bestFit="1" customWidth="1"/>
    <col min="9" max="9" width="14.3984375" bestFit="1" customWidth="1"/>
    <col min="10" max="10" width="12.8984375" customWidth="1"/>
    <col min="11" max="11" width="21.3984375" bestFit="1" customWidth="1"/>
    <col min="12" max="12" width="16.5" bestFit="1" customWidth="1"/>
    <col min="13" max="13" width="11.5" bestFit="1" customWidth="1"/>
    <col min="14" max="15" width="22.19921875" bestFit="1" customWidth="1"/>
    <col min="16" max="16" width="3.09765625" customWidth="1"/>
    <col min="17" max="18" width="16.5" customWidth="1"/>
    <col min="19" max="19" width="16.5" bestFit="1" customWidth="1"/>
  </cols>
  <sheetData>
    <row r="1" spans="2:12" ht="18" thickBot="1" x14ac:dyDescent="0.45"/>
    <row r="2" spans="2:12" x14ac:dyDescent="0.4">
      <c r="B2" s="97" t="s">
        <v>71</v>
      </c>
      <c r="C2" s="98">
        <v>-100</v>
      </c>
    </row>
    <row r="3" spans="2:12" ht="18" thickBot="1" x14ac:dyDescent="0.45">
      <c r="B3" s="99"/>
      <c r="C3" s="100"/>
    </row>
    <row r="5" spans="2:12" ht="18" thickBot="1" x14ac:dyDescent="0.45">
      <c r="B5" s="96" t="s">
        <v>10</v>
      </c>
    </row>
    <row r="6" spans="2:12" ht="18" thickBot="1" x14ac:dyDescent="0.45">
      <c r="B6" s="4" t="s">
        <v>0</v>
      </c>
      <c r="C6" s="5" t="s">
        <v>2</v>
      </c>
      <c r="D6" s="5" t="s">
        <v>3</v>
      </c>
      <c r="E6" s="5" t="s">
        <v>8</v>
      </c>
      <c r="F6" s="5" t="s">
        <v>1</v>
      </c>
      <c r="G6" s="5" t="s">
        <v>4</v>
      </c>
      <c r="H6" s="5" t="s">
        <v>5</v>
      </c>
      <c r="I6" s="60" t="s">
        <v>7</v>
      </c>
      <c r="J6" s="4" t="s">
        <v>58</v>
      </c>
      <c r="K6" s="10" t="s">
        <v>59</v>
      </c>
      <c r="L6" s="6" t="s">
        <v>55</v>
      </c>
    </row>
    <row r="7" spans="2:12" ht="18" thickTop="1" x14ac:dyDescent="0.4">
      <c r="B7" s="7">
        <v>44494</v>
      </c>
      <c r="C7" s="3" t="s">
        <v>67</v>
      </c>
      <c r="D7" s="3" t="s">
        <v>12</v>
      </c>
      <c r="E7" s="3" t="s">
        <v>11</v>
      </c>
      <c r="F7" s="3" t="str">
        <f t="shared" ref="F7:F22" si="0">IF(G7&gt;0,"Buy",IF(G7&lt;0,"Sell",""))</f>
        <v>Sell</v>
      </c>
      <c r="G7" s="3">
        <f>C2</f>
        <v>-100</v>
      </c>
      <c r="H7" s="3">
        <f>'Data(Greeks)'!C6</f>
        <v>6.3E-3</v>
      </c>
      <c r="I7" s="61">
        <f>G7*H7*125000</f>
        <v>-78750</v>
      </c>
      <c r="J7" s="64">
        <f>G7</f>
        <v>-100</v>
      </c>
      <c r="K7" s="3">
        <f>J7*H7*125000</f>
        <v>-78750</v>
      </c>
      <c r="L7" s="55">
        <f>-I7</f>
        <v>78750</v>
      </c>
    </row>
    <row r="8" spans="2:12" x14ac:dyDescent="0.4">
      <c r="B8" s="56">
        <v>44495</v>
      </c>
      <c r="C8" s="1" t="s">
        <v>66</v>
      </c>
      <c r="D8" s="1" t="s">
        <v>12</v>
      </c>
      <c r="E8" s="1" t="s">
        <v>11</v>
      </c>
      <c r="F8" s="1" t="str">
        <f t="shared" si="0"/>
        <v/>
      </c>
      <c r="G8" s="1">
        <v>0</v>
      </c>
      <c r="H8" s="1">
        <f>'Data(Greeks)'!C7</f>
        <v>5.4000000000000003E-3</v>
      </c>
      <c r="I8" s="62">
        <f t="shared" ref="I8:I22" si="1">G8*H8*125000</f>
        <v>0</v>
      </c>
      <c r="J8" s="65">
        <f t="shared" ref="J8:J22" si="2">G8+J7</f>
        <v>-100</v>
      </c>
      <c r="K8" s="1">
        <f t="shared" ref="K8:K22" si="3">J8*H8*125000</f>
        <v>-67500</v>
      </c>
      <c r="L8" s="57">
        <f t="shared" ref="L8:L22" si="4">-I8+L7</f>
        <v>78750</v>
      </c>
    </row>
    <row r="9" spans="2:12" x14ac:dyDescent="0.4">
      <c r="B9" s="56">
        <v>44496</v>
      </c>
      <c r="C9" s="1" t="s">
        <v>66</v>
      </c>
      <c r="D9" s="1" t="s">
        <v>12</v>
      </c>
      <c r="E9" s="1" t="s">
        <v>11</v>
      </c>
      <c r="F9" s="1" t="str">
        <f t="shared" si="0"/>
        <v/>
      </c>
      <c r="G9" s="1">
        <v>0</v>
      </c>
      <c r="H9" s="1">
        <f>'Data(Greeks)'!C8</f>
        <v>6.1000000000000004E-3</v>
      </c>
      <c r="I9" s="62">
        <f t="shared" si="1"/>
        <v>0</v>
      </c>
      <c r="J9" s="65">
        <f t="shared" si="2"/>
        <v>-100</v>
      </c>
      <c r="K9" s="1">
        <f t="shared" si="3"/>
        <v>-76250</v>
      </c>
      <c r="L9" s="57">
        <f t="shared" si="4"/>
        <v>78750</v>
      </c>
    </row>
    <row r="10" spans="2:12" x14ac:dyDescent="0.4">
      <c r="B10" s="56">
        <v>44497</v>
      </c>
      <c r="C10" s="1" t="s">
        <v>66</v>
      </c>
      <c r="D10" s="1" t="s">
        <v>12</v>
      </c>
      <c r="E10" s="1" t="s">
        <v>11</v>
      </c>
      <c r="F10" s="1" t="str">
        <f t="shared" si="0"/>
        <v/>
      </c>
      <c r="G10" s="1">
        <v>0</v>
      </c>
      <c r="H10" s="1">
        <f>'Data(Greeks)'!C9</f>
        <v>1.0200000000000001E-2</v>
      </c>
      <c r="I10" s="62">
        <f t="shared" si="1"/>
        <v>0</v>
      </c>
      <c r="J10" s="65">
        <f t="shared" si="2"/>
        <v>-100</v>
      </c>
      <c r="K10" s="1">
        <f t="shared" si="3"/>
        <v>-127500</v>
      </c>
      <c r="L10" s="57">
        <f t="shared" si="4"/>
        <v>78750</v>
      </c>
    </row>
    <row r="11" spans="2:12" x14ac:dyDescent="0.4">
      <c r="B11" s="56">
        <v>44498</v>
      </c>
      <c r="C11" s="1" t="s">
        <v>66</v>
      </c>
      <c r="D11" s="1" t="s">
        <v>12</v>
      </c>
      <c r="E11" s="1" t="s">
        <v>11</v>
      </c>
      <c r="F11" s="1" t="str">
        <f t="shared" si="0"/>
        <v/>
      </c>
      <c r="G11" s="1">
        <v>0</v>
      </c>
      <c r="H11" s="1">
        <f>'Data(Greeks)'!C10</f>
        <v>4.0000000000000001E-3</v>
      </c>
      <c r="I11" s="62">
        <f t="shared" si="1"/>
        <v>0</v>
      </c>
      <c r="J11" s="65">
        <f t="shared" si="2"/>
        <v>-100</v>
      </c>
      <c r="K11" s="1">
        <f t="shared" si="3"/>
        <v>-50000</v>
      </c>
      <c r="L11" s="57">
        <f t="shared" si="4"/>
        <v>78750</v>
      </c>
    </row>
    <row r="12" spans="2:12" x14ac:dyDescent="0.4">
      <c r="B12" s="56">
        <v>44501</v>
      </c>
      <c r="C12" s="1" t="s">
        <v>66</v>
      </c>
      <c r="D12" s="1" t="s">
        <v>12</v>
      </c>
      <c r="E12" s="1" t="s">
        <v>11</v>
      </c>
      <c r="F12" s="1" t="str">
        <f t="shared" si="0"/>
        <v/>
      </c>
      <c r="G12" s="1">
        <v>0</v>
      </c>
      <c r="H12" s="1">
        <f>'Data(Greeks)'!C11</f>
        <v>5.4000000000000003E-3</v>
      </c>
      <c r="I12" s="62">
        <f t="shared" si="1"/>
        <v>0</v>
      </c>
      <c r="J12" s="65">
        <f t="shared" si="2"/>
        <v>-100</v>
      </c>
      <c r="K12" s="1">
        <f t="shared" si="3"/>
        <v>-67500</v>
      </c>
      <c r="L12" s="57">
        <f t="shared" si="4"/>
        <v>78750</v>
      </c>
    </row>
    <row r="13" spans="2:12" x14ac:dyDescent="0.4">
      <c r="B13" s="56">
        <v>44502</v>
      </c>
      <c r="C13" s="1" t="s">
        <v>66</v>
      </c>
      <c r="D13" s="1" t="s">
        <v>12</v>
      </c>
      <c r="E13" s="1" t="s">
        <v>11</v>
      </c>
      <c r="F13" s="1" t="str">
        <f t="shared" si="0"/>
        <v/>
      </c>
      <c r="G13" s="1">
        <v>0</v>
      </c>
      <c r="H13" s="1">
        <f>'Data(Greeks)'!C12</f>
        <v>4.8999999999999998E-3</v>
      </c>
      <c r="I13" s="62">
        <f t="shared" si="1"/>
        <v>0</v>
      </c>
      <c r="J13" s="65">
        <f t="shared" si="2"/>
        <v>-100</v>
      </c>
      <c r="K13" s="1">
        <f t="shared" si="3"/>
        <v>-61250</v>
      </c>
      <c r="L13" s="57">
        <f t="shared" si="4"/>
        <v>78750</v>
      </c>
    </row>
    <row r="14" spans="2:12" x14ac:dyDescent="0.4">
      <c r="B14" s="56">
        <v>44503</v>
      </c>
      <c r="C14" s="1" t="s">
        <v>66</v>
      </c>
      <c r="D14" s="1" t="s">
        <v>12</v>
      </c>
      <c r="E14" s="1" t="s">
        <v>11</v>
      </c>
      <c r="F14" s="1" t="str">
        <f t="shared" si="0"/>
        <v/>
      </c>
      <c r="G14" s="1">
        <v>0</v>
      </c>
      <c r="H14" s="1">
        <f>'Data(Greeks)'!C13</f>
        <v>5.0000000000000001E-3</v>
      </c>
      <c r="I14" s="62">
        <f t="shared" si="1"/>
        <v>0</v>
      </c>
      <c r="J14" s="65">
        <f t="shared" si="2"/>
        <v>-100</v>
      </c>
      <c r="K14" s="1">
        <f t="shared" si="3"/>
        <v>-62500</v>
      </c>
      <c r="L14" s="57">
        <f t="shared" si="4"/>
        <v>78750</v>
      </c>
    </row>
    <row r="15" spans="2:12" x14ac:dyDescent="0.4">
      <c r="B15" s="56">
        <v>44504</v>
      </c>
      <c r="C15" s="1" t="s">
        <v>66</v>
      </c>
      <c r="D15" s="1" t="s">
        <v>12</v>
      </c>
      <c r="E15" s="1" t="s">
        <v>11</v>
      </c>
      <c r="F15" s="1" t="str">
        <f t="shared" si="0"/>
        <v/>
      </c>
      <c r="G15" s="1">
        <v>0</v>
      </c>
      <c r="H15" s="1">
        <f>'Data(Greeks)'!C14</f>
        <v>2.8999999999999998E-3</v>
      </c>
      <c r="I15" s="62">
        <f t="shared" si="1"/>
        <v>0</v>
      </c>
      <c r="J15" s="65">
        <f t="shared" si="2"/>
        <v>-100</v>
      </c>
      <c r="K15" s="1">
        <f t="shared" si="3"/>
        <v>-36250</v>
      </c>
      <c r="L15" s="57">
        <f t="shared" si="4"/>
        <v>78750</v>
      </c>
    </row>
    <row r="16" spans="2:12" x14ac:dyDescent="0.4">
      <c r="B16" s="56">
        <v>44505</v>
      </c>
      <c r="C16" s="1" t="s">
        <v>66</v>
      </c>
      <c r="D16" s="1" t="s">
        <v>12</v>
      </c>
      <c r="E16" s="1" t="s">
        <v>11</v>
      </c>
      <c r="F16" s="1" t="str">
        <f t="shared" si="0"/>
        <v/>
      </c>
      <c r="G16" s="1">
        <v>0</v>
      </c>
      <c r="H16" s="1">
        <f>'Data(Greeks)'!C15</f>
        <v>3.0000000000000001E-3</v>
      </c>
      <c r="I16" s="62">
        <f t="shared" si="1"/>
        <v>0</v>
      </c>
      <c r="J16" s="65">
        <f t="shared" si="2"/>
        <v>-100</v>
      </c>
      <c r="K16" s="1">
        <f t="shared" si="3"/>
        <v>-37500</v>
      </c>
      <c r="L16" s="57">
        <f t="shared" si="4"/>
        <v>78750</v>
      </c>
    </row>
    <row r="17" spans="1:19" x14ac:dyDescent="0.4">
      <c r="B17" s="56">
        <v>44508</v>
      </c>
      <c r="C17" s="1" t="s">
        <v>66</v>
      </c>
      <c r="D17" s="1" t="s">
        <v>12</v>
      </c>
      <c r="E17" s="1" t="s">
        <v>11</v>
      </c>
      <c r="F17" s="1" t="str">
        <f t="shared" si="0"/>
        <v/>
      </c>
      <c r="G17" s="1">
        <v>0</v>
      </c>
      <c r="H17" s="1">
        <f>'Data(Greeks)'!C16</f>
        <v>3.5999999999999999E-3</v>
      </c>
      <c r="I17" s="62">
        <f t="shared" si="1"/>
        <v>0</v>
      </c>
      <c r="J17" s="65">
        <f t="shared" si="2"/>
        <v>-100</v>
      </c>
      <c r="K17" s="1">
        <f t="shared" si="3"/>
        <v>-45000</v>
      </c>
      <c r="L17" s="57">
        <f t="shared" si="4"/>
        <v>78750</v>
      </c>
    </row>
    <row r="18" spans="1:19" x14ac:dyDescent="0.4">
      <c r="B18" s="56">
        <v>44509</v>
      </c>
      <c r="C18" s="1" t="s">
        <v>66</v>
      </c>
      <c r="D18" s="1" t="s">
        <v>12</v>
      </c>
      <c r="E18" s="1" t="s">
        <v>11</v>
      </c>
      <c r="F18" s="1" t="str">
        <f t="shared" si="0"/>
        <v/>
      </c>
      <c r="G18" s="1">
        <v>0</v>
      </c>
      <c r="H18" s="1">
        <f>'Data(Greeks)'!C17</f>
        <v>4.0000000000000001E-3</v>
      </c>
      <c r="I18" s="62">
        <f t="shared" si="1"/>
        <v>0</v>
      </c>
      <c r="J18" s="65">
        <f t="shared" si="2"/>
        <v>-100</v>
      </c>
      <c r="K18" s="1">
        <f t="shared" si="3"/>
        <v>-50000</v>
      </c>
      <c r="L18" s="57">
        <f t="shared" si="4"/>
        <v>78750</v>
      </c>
    </row>
    <row r="19" spans="1:19" x14ac:dyDescent="0.4">
      <c r="B19" s="56">
        <v>44510</v>
      </c>
      <c r="C19" s="1" t="s">
        <v>66</v>
      </c>
      <c r="D19" s="1" t="s">
        <v>12</v>
      </c>
      <c r="E19" s="1" t="s">
        <v>11</v>
      </c>
      <c r="F19" s="1" t="str">
        <f t="shared" si="0"/>
        <v/>
      </c>
      <c r="G19" s="1">
        <v>0</v>
      </c>
      <c r="H19" s="1">
        <f>'Data(Greeks)'!C18</f>
        <v>1.4E-3</v>
      </c>
      <c r="I19" s="62">
        <f t="shared" si="1"/>
        <v>0</v>
      </c>
      <c r="J19" s="65">
        <f t="shared" si="2"/>
        <v>-100</v>
      </c>
      <c r="K19" s="1">
        <f t="shared" si="3"/>
        <v>-17500</v>
      </c>
      <c r="L19" s="57">
        <f t="shared" si="4"/>
        <v>78750</v>
      </c>
    </row>
    <row r="20" spans="1:19" x14ac:dyDescent="0.4">
      <c r="B20" s="56">
        <v>44511</v>
      </c>
      <c r="C20" s="1" t="s">
        <v>66</v>
      </c>
      <c r="D20" s="1" t="s">
        <v>12</v>
      </c>
      <c r="E20" s="1" t="s">
        <v>11</v>
      </c>
      <c r="F20" s="1" t="str">
        <f t="shared" si="0"/>
        <v/>
      </c>
      <c r="G20" s="1">
        <v>0</v>
      </c>
      <c r="H20" s="1">
        <f>'Data(Greeks)'!C19</f>
        <v>6.9999999999999999E-4</v>
      </c>
      <c r="I20" s="62">
        <f t="shared" si="1"/>
        <v>0</v>
      </c>
      <c r="J20" s="65">
        <f t="shared" si="2"/>
        <v>-100</v>
      </c>
      <c r="K20" s="1">
        <f t="shared" si="3"/>
        <v>-8750</v>
      </c>
      <c r="L20" s="57">
        <f t="shared" si="4"/>
        <v>78750</v>
      </c>
    </row>
    <row r="21" spans="1:19" x14ac:dyDescent="0.4">
      <c r="B21" s="56">
        <v>44512</v>
      </c>
      <c r="C21" s="1" t="s">
        <v>66</v>
      </c>
      <c r="D21" s="1" t="s">
        <v>12</v>
      </c>
      <c r="E21" s="1" t="s">
        <v>11</v>
      </c>
      <c r="F21" s="1" t="str">
        <f t="shared" si="0"/>
        <v/>
      </c>
      <c r="G21" s="1">
        <v>0</v>
      </c>
      <c r="H21" s="1">
        <f>'Data(Greeks)'!C20</f>
        <v>6.9999999999999999E-4</v>
      </c>
      <c r="I21" s="62">
        <f t="shared" si="1"/>
        <v>0</v>
      </c>
      <c r="J21" s="65">
        <f t="shared" si="2"/>
        <v>-100</v>
      </c>
      <c r="K21" s="1">
        <f t="shared" si="3"/>
        <v>-8750</v>
      </c>
      <c r="L21" s="57">
        <f t="shared" si="4"/>
        <v>78750</v>
      </c>
    </row>
    <row r="22" spans="1:19" ht="18" thickBot="1" x14ac:dyDescent="0.45">
      <c r="A22" s="95" t="s">
        <v>57</v>
      </c>
      <c r="B22" s="58">
        <v>44512</v>
      </c>
      <c r="C22" s="50" t="s">
        <v>66</v>
      </c>
      <c r="D22" s="50" t="s">
        <v>50</v>
      </c>
      <c r="E22" s="50" t="s">
        <v>11</v>
      </c>
      <c r="F22" s="50" t="str">
        <f t="shared" si="0"/>
        <v>Buy</v>
      </c>
      <c r="G22" s="50">
        <f>-G7</f>
        <v>100</v>
      </c>
      <c r="H22" s="50">
        <f>H21</f>
        <v>6.9999999999999999E-4</v>
      </c>
      <c r="I22" s="63">
        <f t="shared" si="1"/>
        <v>8750</v>
      </c>
      <c r="J22" s="66">
        <f t="shared" si="2"/>
        <v>0</v>
      </c>
      <c r="K22" s="50">
        <f t="shared" si="3"/>
        <v>0</v>
      </c>
      <c r="L22" s="59">
        <f t="shared" si="4"/>
        <v>70000</v>
      </c>
    </row>
    <row r="23" spans="1:19" x14ac:dyDescent="0.4">
      <c r="N23" s="36"/>
    </row>
    <row r="24" spans="1:19" ht="18" thickBot="1" x14ac:dyDescent="0.45">
      <c r="B24" s="96" t="s">
        <v>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</row>
    <row r="25" spans="1:19" ht="18" thickBot="1" x14ac:dyDescent="0.45">
      <c r="B25" s="4" t="s">
        <v>0</v>
      </c>
      <c r="C25" s="5" t="s">
        <v>2</v>
      </c>
      <c r="D25" s="5" t="s">
        <v>3</v>
      </c>
      <c r="E25" s="5" t="s">
        <v>8</v>
      </c>
      <c r="F25" s="5" t="s">
        <v>43</v>
      </c>
      <c r="G25" s="5" t="s">
        <v>44</v>
      </c>
      <c r="H25" s="5" t="s">
        <v>45</v>
      </c>
      <c r="I25" s="5" t="s">
        <v>46</v>
      </c>
      <c r="J25" s="74" t="s">
        <v>48</v>
      </c>
      <c r="K25" s="10" t="s">
        <v>47</v>
      </c>
      <c r="L25" s="5" t="s">
        <v>1</v>
      </c>
      <c r="M25" s="5" t="s">
        <v>5</v>
      </c>
      <c r="N25" s="5" t="s">
        <v>6</v>
      </c>
      <c r="O25" s="6" t="s">
        <v>52</v>
      </c>
      <c r="Q25" s="4" t="s">
        <v>46</v>
      </c>
      <c r="R25" s="77" t="s">
        <v>60</v>
      </c>
      <c r="S25" s="6" t="s">
        <v>51</v>
      </c>
    </row>
    <row r="26" spans="1:19" ht="18" thickTop="1" x14ac:dyDescent="0.4">
      <c r="B26" s="7">
        <v>44494</v>
      </c>
      <c r="C26" s="3" t="s">
        <v>68</v>
      </c>
      <c r="D26" s="3" t="s">
        <v>49</v>
      </c>
      <c r="E26" s="3" t="s">
        <v>22</v>
      </c>
      <c r="F26" s="3">
        <f>'Data(Greeks)'!G6</f>
        <v>0.46159360063536298</v>
      </c>
      <c r="G26" s="3">
        <v>1</v>
      </c>
      <c r="H26" s="3">
        <f t="shared" ref="H26:H41" si="5">J7</f>
        <v>-100</v>
      </c>
      <c r="I26" s="3">
        <v>0</v>
      </c>
      <c r="J26" s="72">
        <f t="shared" ref="J26:J41" si="6">F26*H26+G26*I26</f>
        <v>-46.159360063536298</v>
      </c>
      <c r="K26" s="53">
        <f t="shared" ref="K26:K41" si="7">-ROUND(J26,0)</f>
        <v>46</v>
      </c>
      <c r="L26" s="3" t="str">
        <f>IF(K26&gt;0,"Buy",IF(K26&lt;0,"Sell",""))</f>
        <v>Buy</v>
      </c>
      <c r="M26" s="12">
        <f>'Data(Greeks)'!W6</f>
        <v>1.16235</v>
      </c>
      <c r="N26" s="12">
        <f>K26*M26*125000</f>
        <v>6683512.5</v>
      </c>
      <c r="O26" s="68">
        <f t="shared" ref="O26:O41" si="8">-N26</f>
        <v>-6683512.5</v>
      </c>
      <c r="Q26" s="65">
        <f t="shared" ref="Q26:Q41" si="9">I26+K26</f>
        <v>46</v>
      </c>
      <c r="R26" s="78">
        <f>Q26*M26*125000</f>
        <v>6683512.5</v>
      </c>
      <c r="S26" s="55">
        <f>O26</f>
        <v>-6683512.5</v>
      </c>
    </row>
    <row r="27" spans="1:19" x14ac:dyDescent="0.4">
      <c r="B27" s="56">
        <v>44495</v>
      </c>
      <c r="C27" s="1" t="s">
        <v>68</v>
      </c>
      <c r="D27" s="1" t="s">
        <v>49</v>
      </c>
      <c r="E27" s="1" t="s">
        <v>22</v>
      </c>
      <c r="F27" s="3">
        <f>'Data(Greeks)'!G7</f>
        <v>0.42403033159838999</v>
      </c>
      <c r="G27" s="1">
        <v>1</v>
      </c>
      <c r="H27" s="1">
        <f t="shared" si="5"/>
        <v>-100</v>
      </c>
      <c r="I27" s="1">
        <f t="shared" ref="I27:I40" si="10">Q26</f>
        <v>46</v>
      </c>
      <c r="J27" s="71">
        <f t="shared" si="6"/>
        <v>3.5969668401610022</v>
      </c>
      <c r="K27" s="38">
        <f t="shared" si="7"/>
        <v>-4</v>
      </c>
      <c r="L27" s="1" t="str">
        <f t="shared" ref="L27:L41" si="11">IF(K27&gt;0,"Buy",IF(K27&lt;0,"Sell",""))</f>
        <v>Sell</v>
      </c>
      <c r="M27" s="31">
        <f>'Data(Greeks)'!W7</f>
        <v>1.1607499999999999</v>
      </c>
      <c r="N27" s="31">
        <f t="shared" ref="N27:N41" si="12">K27*M27*125000</f>
        <v>-580375</v>
      </c>
      <c r="O27" s="69">
        <f t="shared" si="8"/>
        <v>580375</v>
      </c>
      <c r="Q27" s="65">
        <f t="shared" si="9"/>
        <v>42</v>
      </c>
      <c r="R27" s="78">
        <f t="shared" ref="R27:R41" si="13">Q27*M27*125000</f>
        <v>6093937.5</v>
      </c>
      <c r="S27" s="57">
        <f t="shared" ref="S27:S41" si="14">S26+O27</f>
        <v>-6103137.5</v>
      </c>
    </row>
    <row r="28" spans="1:19" x14ac:dyDescent="0.4">
      <c r="B28" s="56">
        <v>44496</v>
      </c>
      <c r="C28" s="1" t="s">
        <v>68</v>
      </c>
      <c r="D28" s="1" t="s">
        <v>49</v>
      </c>
      <c r="E28" s="1" t="s">
        <v>22</v>
      </c>
      <c r="F28" s="3">
        <f>'Data(Greeks)'!G8</f>
        <v>0.45210971774525699</v>
      </c>
      <c r="G28" s="1">
        <v>1</v>
      </c>
      <c r="H28" s="1">
        <f t="shared" si="5"/>
        <v>-100</v>
      </c>
      <c r="I28" s="1">
        <f t="shared" si="10"/>
        <v>42</v>
      </c>
      <c r="J28" s="71">
        <f t="shared" si="6"/>
        <v>-3.2109717745256958</v>
      </c>
      <c r="K28" s="38">
        <f t="shared" si="7"/>
        <v>3</v>
      </c>
      <c r="L28" s="1" t="str">
        <f t="shared" si="11"/>
        <v>Buy</v>
      </c>
      <c r="M28" s="31">
        <f>'Data(Greeks)'!W8</f>
        <v>1.16195</v>
      </c>
      <c r="N28" s="31">
        <f t="shared" si="12"/>
        <v>435731.25</v>
      </c>
      <c r="O28" s="69">
        <f t="shared" si="8"/>
        <v>-435731.25</v>
      </c>
      <c r="Q28" s="65">
        <f t="shared" si="9"/>
        <v>45</v>
      </c>
      <c r="R28" s="78">
        <f t="shared" si="13"/>
        <v>6535968.75</v>
      </c>
      <c r="S28" s="57">
        <f t="shared" si="14"/>
        <v>-6538868.75</v>
      </c>
    </row>
    <row r="29" spans="1:19" x14ac:dyDescent="0.4">
      <c r="B29" s="56">
        <v>44497</v>
      </c>
      <c r="C29" s="1" t="s">
        <v>68</v>
      </c>
      <c r="D29" s="1" t="s">
        <v>49</v>
      </c>
      <c r="E29" s="1" t="s">
        <v>22</v>
      </c>
      <c r="F29" s="3">
        <f>'Data(Greeks)'!G9</f>
        <v>0.61379963194035103</v>
      </c>
      <c r="G29" s="1">
        <v>1</v>
      </c>
      <c r="H29" s="1">
        <f t="shared" si="5"/>
        <v>-100</v>
      </c>
      <c r="I29" s="1">
        <f t="shared" si="10"/>
        <v>45</v>
      </c>
      <c r="J29" s="71">
        <f t="shared" si="6"/>
        <v>-16.379963194035106</v>
      </c>
      <c r="K29" s="38">
        <f t="shared" si="7"/>
        <v>16</v>
      </c>
      <c r="L29" s="1" t="str">
        <f t="shared" si="11"/>
        <v>Buy</v>
      </c>
      <c r="M29" s="31">
        <f>'Data(Greeks)'!W9</f>
        <v>1.1694500000000001</v>
      </c>
      <c r="N29" s="31">
        <f t="shared" si="12"/>
        <v>2338900</v>
      </c>
      <c r="O29" s="69">
        <f t="shared" si="8"/>
        <v>-2338900</v>
      </c>
      <c r="Q29" s="65">
        <f t="shared" si="9"/>
        <v>61</v>
      </c>
      <c r="R29" s="78">
        <f t="shared" si="13"/>
        <v>8917056.25</v>
      </c>
      <c r="S29" s="57">
        <f t="shared" si="14"/>
        <v>-8877768.75</v>
      </c>
    </row>
    <row r="30" spans="1:19" x14ac:dyDescent="0.4">
      <c r="B30" s="56">
        <v>44498</v>
      </c>
      <c r="C30" s="1" t="s">
        <v>68</v>
      </c>
      <c r="D30" s="1" t="s">
        <v>49</v>
      </c>
      <c r="E30" s="1" t="s">
        <v>22</v>
      </c>
      <c r="F30" s="3">
        <f>'Data(Greeks)'!G10</f>
        <v>0.34065800028011201</v>
      </c>
      <c r="G30" s="1">
        <v>1</v>
      </c>
      <c r="H30" s="1">
        <f t="shared" si="5"/>
        <v>-100</v>
      </c>
      <c r="I30" s="1">
        <f t="shared" si="10"/>
        <v>61</v>
      </c>
      <c r="J30" s="71">
        <f t="shared" si="6"/>
        <v>26.934199971988797</v>
      </c>
      <c r="K30" s="38">
        <f t="shared" si="7"/>
        <v>-27</v>
      </c>
      <c r="L30" s="1" t="str">
        <f t="shared" si="11"/>
        <v>Sell</v>
      </c>
      <c r="M30" s="31">
        <f>'Data(Greeks)'!W10</f>
        <v>1.1568499999999999</v>
      </c>
      <c r="N30" s="31">
        <f t="shared" si="12"/>
        <v>-3904368.7499999995</v>
      </c>
      <c r="O30" s="69">
        <f t="shared" si="8"/>
        <v>3904368.7499999995</v>
      </c>
      <c r="Q30" s="65">
        <f t="shared" si="9"/>
        <v>34</v>
      </c>
      <c r="R30" s="78">
        <f t="shared" si="13"/>
        <v>4916612.4999999991</v>
      </c>
      <c r="S30" s="57">
        <f t="shared" si="14"/>
        <v>-4973400</v>
      </c>
    </row>
    <row r="31" spans="1:19" x14ac:dyDescent="0.4">
      <c r="B31" s="56">
        <v>44501</v>
      </c>
      <c r="C31" s="1" t="s">
        <v>68</v>
      </c>
      <c r="D31" s="1" t="s">
        <v>49</v>
      </c>
      <c r="E31" s="1" t="s">
        <v>22</v>
      </c>
      <c r="F31" s="3">
        <f>'Data(Greeks)'!G11</f>
        <v>0.43746140733910799</v>
      </c>
      <c r="G31" s="1">
        <v>1</v>
      </c>
      <c r="H31" s="1">
        <f t="shared" si="5"/>
        <v>-100</v>
      </c>
      <c r="I31" s="1">
        <f t="shared" si="10"/>
        <v>34</v>
      </c>
      <c r="J31" s="71">
        <f t="shared" si="6"/>
        <v>-9.7461407339107993</v>
      </c>
      <c r="K31" s="38">
        <f t="shared" si="7"/>
        <v>10</v>
      </c>
      <c r="L31" s="1" t="str">
        <f t="shared" si="11"/>
        <v>Buy</v>
      </c>
      <c r="M31" s="31">
        <f>'Data(Greeks)'!W11</f>
        <v>1.1616</v>
      </c>
      <c r="N31" s="31">
        <f t="shared" si="12"/>
        <v>1452000</v>
      </c>
      <c r="O31" s="69">
        <f t="shared" si="8"/>
        <v>-1452000</v>
      </c>
      <c r="Q31" s="65">
        <f t="shared" si="9"/>
        <v>44</v>
      </c>
      <c r="R31" s="78">
        <f t="shared" si="13"/>
        <v>6388800</v>
      </c>
      <c r="S31" s="57">
        <f t="shared" si="14"/>
        <v>-6425400</v>
      </c>
    </row>
    <row r="32" spans="1:19" x14ac:dyDescent="0.4">
      <c r="B32" s="56">
        <v>44502</v>
      </c>
      <c r="C32" s="1" t="s">
        <v>68</v>
      </c>
      <c r="D32" s="1" t="s">
        <v>49</v>
      </c>
      <c r="E32" s="1" t="s">
        <v>22</v>
      </c>
      <c r="F32" s="3">
        <f>'Data(Greeks)'!G12</f>
        <v>0.388560880333567</v>
      </c>
      <c r="G32" s="1">
        <v>1</v>
      </c>
      <c r="H32" s="1">
        <f t="shared" si="5"/>
        <v>-100</v>
      </c>
      <c r="I32" s="1">
        <f t="shared" si="10"/>
        <v>44</v>
      </c>
      <c r="J32" s="71">
        <f t="shared" si="6"/>
        <v>5.1439119666433015</v>
      </c>
      <c r="K32" s="38">
        <f t="shared" si="7"/>
        <v>-5</v>
      </c>
      <c r="L32" s="1" t="str">
        <f t="shared" si="11"/>
        <v>Sell</v>
      </c>
      <c r="M32" s="31">
        <f>'Data(Greeks)'!W12</f>
        <v>1.1591</v>
      </c>
      <c r="N32" s="31">
        <f t="shared" si="12"/>
        <v>-724437.50000000012</v>
      </c>
      <c r="O32" s="69">
        <f t="shared" si="8"/>
        <v>724437.50000000012</v>
      </c>
      <c r="Q32" s="65">
        <f t="shared" si="9"/>
        <v>39</v>
      </c>
      <c r="R32" s="78">
        <f t="shared" si="13"/>
        <v>5650612.5</v>
      </c>
      <c r="S32" s="57">
        <f t="shared" si="14"/>
        <v>-5700962.5</v>
      </c>
    </row>
    <row r="33" spans="1:19" x14ac:dyDescent="0.4">
      <c r="B33" s="56">
        <v>44503</v>
      </c>
      <c r="C33" s="1" t="s">
        <v>68</v>
      </c>
      <c r="D33" s="1" t="s">
        <v>49</v>
      </c>
      <c r="E33" s="1" t="s">
        <v>22</v>
      </c>
      <c r="F33" s="3">
        <f>'Data(Greeks)'!G13</f>
        <v>0.44049408621582897</v>
      </c>
      <c r="G33" s="1">
        <v>1</v>
      </c>
      <c r="H33" s="1">
        <f t="shared" si="5"/>
        <v>-100</v>
      </c>
      <c r="I33" s="1">
        <f t="shared" si="10"/>
        <v>39</v>
      </c>
      <c r="J33" s="71">
        <f t="shared" si="6"/>
        <v>-5.0494086215828986</v>
      </c>
      <c r="K33" s="38">
        <f t="shared" si="7"/>
        <v>5</v>
      </c>
      <c r="L33" s="1" t="str">
        <f t="shared" si="11"/>
        <v>Buy</v>
      </c>
      <c r="M33" s="31">
        <f>'Data(Greeks)'!W13</f>
        <v>1.1619999999999999</v>
      </c>
      <c r="N33" s="31">
        <f t="shared" si="12"/>
        <v>726250</v>
      </c>
      <c r="O33" s="69">
        <f t="shared" si="8"/>
        <v>-726250</v>
      </c>
      <c r="Q33" s="65">
        <f t="shared" si="9"/>
        <v>44</v>
      </c>
      <c r="R33" s="78">
        <f t="shared" si="13"/>
        <v>6391000</v>
      </c>
      <c r="S33" s="57">
        <f t="shared" si="14"/>
        <v>-6427212.5</v>
      </c>
    </row>
    <row r="34" spans="1:19" x14ac:dyDescent="0.4">
      <c r="B34" s="56">
        <v>44504</v>
      </c>
      <c r="C34" s="1" t="s">
        <v>68</v>
      </c>
      <c r="D34" s="1" t="s">
        <v>49</v>
      </c>
      <c r="E34" s="1" t="s">
        <v>22</v>
      </c>
      <c r="F34" s="3">
        <f>'Data(Greeks)'!G14</f>
        <v>0.29808905404080399</v>
      </c>
      <c r="G34" s="1">
        <v>1</v>
      </c>
      <c r="H34" s="1">
        <f t="shared" si="5"/>
        <v>-100</v>
      </c>
      <c r="I34" s="1">
        <f t="shared" si="10"/>
        <v>44</v>
      </c>
      <c r="J34" s="71">
        <f t="shared" si="6"/>
        <v>14.191094595919601</v>
      </c>
      <c r="K34" s="38">
        <f t="shared" si="7"/>
        <v>-14</v>
      </c>
      <c r="L34" s="1" t="str">
        <f t="shared" si="11"/>
        <v>Sell</v>
      </c>
      <c r="M34" s="31">
        <f>'Data(Greeks)'!W14</f>
        <v>1.1560999999999999</v>
      </c>
      <c r="N34" s="31">
        <f t="shared" si="12"/>
        <v>-2023174.9999999998</v>
      </c>
      <c r="O34" s="69">
        <f t="shared" si="8"/>
        <v>2023174.9999999998</v>
      </c>
      <c r="Q34" s="65">
        <f t="shared" si="9"/>
        <v>30</v>
      </c>
      <c r="R34" s="78">
        <f t="shared" si="13"/>
        <v>4335375</v>
      </c>
      <c r="S34" s="57">
        <f t="shared" si="14"/>
        <v>-4404037.5</v>
      </c>
    </row>
    <row r="35" spans="1:19" x14ac:dyDescent="0.4">
      <c r="B35" s="56">
        <v>44505</v>
      </c>
      <c r="C35" s="1" t="s">
        <v>68</v>
      </c>
      <c r="D35" s="1" t="s">
        <v>49</v>
      </c>
      <c r="E35" s="1" t="s">
        <v>22</v>
      </c>
      <c r="F35" s="3">
        <f>'Data(Greeks)'!G15</f>
        <v>0.29795409190688699</v>
      </c>
      <c r="G35" s="1">
        <v>1</v>
      </c>
      <c r="H35" s="1">
        <f t="shared" si="5"/>
        <v>-100</v>
      </c>
      <c r="I35" s="1">
        <f t="shared" si="10"/>
        <v>30</v>
      </c>
      <c r="J35" s="71">
        <f t="shared" si="6"/>
        <v>0.20459080931130202</v>
      </c>
      <c r="K35" s="38">
        <f t="shared" si="7"/>
        <v>0</v>
      </c>
      <c r="L35" s="1" t="str">
        <f t="shared" si="11"/>
        <v/>
      </c>
      <c r="M35" s="31">
        <f>'Data(Greeks)'!W15</f>
        <v>1.1557999999999999</v>
      </c>
      <c r="N35" s="31">
        <f t="shared" si="12"/>
        <v>0</v>
      </c>
      <c r="O35" s="69">
        <f t="shared" si="8"/>
        <v>0</v>
      </c>
      <c r="Q35" s="65">
        <f t="shared" si="9"/>
        <v>30</v>
      </c>
      <c r="R35" s="78">
        <f t="shared" si="13"/>
        <v>4334250</v>
      </c>
      <c r="S35" s="57">
        <f t="shared" si="14"/>
        <v>-4404037.5</v>
      </c>
    </row>
    <row r="36" spans="1:19" x14ac:dyDescent="0.4">
      <c r="B36" s="56">
        <v>44508</v>
      </c>
      <c r="C36" s="1" t="s">
        <v>68</v>
      </c>
      <c r="D36" s="1" t="s">
        <v>49</v>
      </c>
      <c r="E36" s="1" t="s">
        <v>22</v>
      </c>
      <c r="F36" s="3">
        <f>'Data(Greeks)'!G16</f>
        <v>0.370397873736943</v>
      </c>
      <c r="G36" s="1">
        <v>1</v>
      </c>
      <c r="H36" s="1">
        <f t="shared" si="5"/>
        <v>-100</v>
      </c>
      <c r="I36" s="1">
        <f t="shared" si="10"/>
        <v>30</v>
      </c>
      <c r="J36" s="71">
        <f t="shared" si="6"/>
        <v>-7.0397873736943026</v>
      </c>
      <c r="K36" s="38">
        <f t="shared" si="7"/>
        <v>7</v>
      </c>
      <c r="L36" s="1" t="str">
        <f t="shared" si="11"/>
        <v>Buy</v>
      </c>
      <c r="M36" s="31">
        <f>'Data(Greeks)'!W16</f>
        <v>1.1597</v>
      </c>
      <c r="N36" s="31">
        <f t="shared" si="12"/>
        <v>1014737.4999999999</v>
      </c>
      <c r="O36" s="69">
        <f t="shared" si="8"/>
        <v>-1014737.4999999999</v>
      </c>
      <c r="Q36" s="65">
        <f t="shared" si="9"/>
        <v>37</v>
      </c>
      <c r="R36" s="78">
        <f t="shared" si="13"/>
        <v>5363612.4999999991</v>
      </c>
      <c r="S36" s="57">
        <f t="shared" si="14"/>
        <v>-5418775</v>
      </c>
    </row>
    <row r="37" spans="1:19" x14ac:dyDescent="0.4">
      <c r="B37" s="56">
        <v>44509</v>
      </c>
      <c r="C37" s="1" t="s">
        <v>68</v>
      </c>
      <c r="D37" s="1" t="s">
        <v>49</v>
      </c>
      <c r="E37" s="1" t="s">
        <v>22</v>
      </c>
      <c r="F37" s="3">
        <f>'Data(Greeks)'!G17</f>
        <v>0.38670661033007703</v>
      </c>
      <c r="G37" s="1">
        <v>1</v>
      </c>
      <c r="H37" s="1">
        <f t="shared" si="5"/>
        <v>-100</v>
      </c>
      <c r="I37" s="1">
        <f t="shared" si="10"/>
        <v>37</v>
      </c>
      <c r="J37" s="71">
        <f t="shared" si="6"/>
        <v>-1.6706610330077041</v>
      </c>
      <c r="K37" s="38">
        <f t="shared" si="7"/>
        <v>2</v>
      </c>
      <c r="L37" s="1" t="str">
        <f t="shared" si="11"/>
        <v>Buy</v>
      </c>
      <c r="M37" s="31">
        <f>'Data(Greeks)'!W17</f>
        <v>1.16015</v>
      </c>
      <c r="N37" s="31">
        <f t="shared" si="12"/>
        <v>290037.5</v>
      </c>
      <c r="O37" s="69">
        <f t="shared" si="8"/>
        <v>-290037.5</v>
      </c>
      <c r="Q37" s="65">
        <f t="shared" si="9"/>
        <v>39</v>
      </c>
      <c r="R37" s="78">
        <f t="shared" si="13"/>
        <v>5655731.25</v>
      </c>
      <c r="S37" s="57">
        <f t="shared" si="14"/>
        <v>-5708812.5</v>
      </c>
    </row>
    <row r="38" spans="1:19" x14ac:dyDescent="0.4">
      <c r="B38" s="56">
        <v>44510</v>
      </c>
      <c r="C38" s="1" t="s">
        <v>68</v>
      </c>
      <c r="D38" s="1" t="s">
        <v>49</v>
      </c>
      <c r="E38" s="1" t="s">
        <v>22</v>
      </c>
      <c r="F38" s="3">
        <f>'Data(Greeks)'!G18</f>
        <v>0.16719683750862699</v>
      </c>
      <c r="G38" s="1">
        <v>1</v>
      </c>
      <c r="H38" s="1">
        <f t="shared" si="5"/>
        <v>-100</v>
      </c>
      <c r="I38" s="1">
        <f t="shared" si="10"/>
        <v>39</v>
      </c>
      <c r="J38" s="71">
        <f t="shared" si="6"/>
        <v>22.2803162491373</v>
      </c>
      <c r="K38" s="38">
        <f t="shared" si="7"/>
        <v>-22</v>
      </c>
      <c r="L38" s="1" t="str">
        <f t="shared" si="11"/>
        <v>Sell</v>
      </c>
      <c r="M38" s="31">
        <f>'Data(Greeks)'!W18</f>
        <v>1.1490499999999999</v>
      </c>
      <c r="N38" s="31">
        <f t="shared" si="12"/>
        <v>-3159887.5</v>
      </c>
      <c r="O38" s="69">
        <f t="shared" si="8"/>
        <v>3159887.5</v>
      </c>
      <c r="Q38" s="65">
        <f t="shared" si="9"/>
        <v>17</v>
      </c>
      <c r="R38" s="78">
        <f t="shared" si="13"/>
        <v>2441731.2499999995</v>
      </c>
      <c r="S38" s="57">
        <f t="shared" si="14"/>
        <v>-2548925</v>
      </c>
    </row>
    <row r="39" spans="1:19" x14ac:dyDescent="0.4">
      <c r="B39" s="56">
        <v>44511</v>
      </c>
      <c r="C39" s="1" t="s">
        <v>68</v>
      </c>
      <c r="D39" s="1" t="s">
        <v>49</v>
      </c>
      <c r="E39" s="1" t="s">
        <v>22</v>
      </c>
      <c r="F39" s="3">
        <f>'Data(Greeks)'!G19</f>
        <v>9.9662980058476305E-2</v>
      </c>
      <c r="G39" s="1">
        <v>1</v>
      </c>
      <c r="H39" s="1">
        <f t="shared" si="5"/>
        <v>-100</v>
      </c>
      <c r="I39" s="1">
        <f t="shared" si="10"/>
        <v>17</v>
      </c>
      <c r="J39" s="71">
        <f t="shared" si="6"/>
        <v>7.03370199415237</v>
      </c>
      <c r="K39" s="38">
        <f t="shared" si="7"/>
        <v>-7</v>
      </c>
      <c r="L39" s="1" t="str">
        <f t="shared" si="11"/>
        <v>Sell</v>
      </c>
      <c r="M39" s="31">
        <f>'Data(Greeks)'!W19</f>
        <v>1.1451499999999999</v>
      </c>
      <c r="N39" s="31">
        <f t="shared" si="12"/>
        <v>-1002006.25</v>
      </c>
      <c r="O39" s="69">
        <f t="shared" si="8"/>
        <v>1002006.25</v>
      </c>
      <c r="Q39" s="65">
        <f t="shared" si="9"/>
        <v>10</v>
      </c>
      <c r="R39" s="78">
        <f t="shared" si="13"/>
        <v>1431437.5</v>
      </c>
      <c r="S39" s="57">
        <f t="shared" si="14"/>
        <v>-1546918.75</v>
      </c>
    </row>
    <row r="40" spans="1:19" x14ac:dyDescent="0.4">
      <c r="B40" s="56">
        <v>44512</v>
      </c>
      <c r="C40" s="1" t="s">
        <v>68</v>
      </c>
      <c r="D40" s="1" t="s">
        <v>49</v>
      </c>
      <c r="E40" s="1" t="s">
        <v>22</v>
      </c>
      <c r="F40" s="3">
        <f>'Data(Greeks)'!G20</f>
        <v>9.9142573355822203E-2</v>
      </c>
      <c r="G40" s="1">
        <v>1</v>
      </c>
      <c r="H40" s="1">
        <f t="shared" si="5"/>
        <v>-100</v>
      </c>
      <c r="I40" s="1">
        <f t="shared" si="10"/>
        <v>10</v>
      </c>
      <c r="J40" s="71">
        <f t="shared" si="6"/>
        <v>8.5742664417779224E-2</v>
      </c>
      <c r="K40" s="38">
        <f t="shared" si="7"/>
        <v>0</v>
      </c>
      <c r="L40" s="1" t="str">
        <f t="shared" si="11"/>
        <v/>
      </c>
      <c r="M40" s="31">
        <f>'Data(Greeks)'!W20</f>
        <v>1.145</v>
      </c>
      <c r="N40" s="31">
        <f>K40*M40*125000</f>
        <v>0</v>
      </c>
      <c r="O40" s="69">
        <f t="shared" si="8"/>
        <v>0</v>
      </c>
      <c r="Q40" s="65">
        <f t="shared" si="9"/>
        <v>10</v>
      </c>
      <c r="R40" s="78">
        <f t="shared" si="13"/>
        <v>1431250</v>
      </c>
      <c r="S40" s="57">
        <f t="shared" si="14"/>
        <v>-1546918.75</v>
      </c>
    </row>
    <row r="41" spans="1:19" ht="18" thickBot="1" x14ac:dyDescent="0.45">
      <c r="A41" s="95" t="s">
        <v>57</v>
      </c>
      <c r="B41" s="58">
        <v>44512</v>
      </c>
      <c r="C41" s="50" t="s">
        <v>68</v>
      </c>
      <c r="D41" s="50" t="s">
        <v>49</v>
      </c>
      <c r="E41" s="50" t="s">
        <v>22</v>
      </c>
      <c r="F41" s="50">
        <f>F40</f>
        <v>9.9142573355822203E-2</v>
      </c>
      <c r="G41" s="50">
        <v>1</v>
      </c>
      <c r="H41" s="50">
        <f t="shared" si="5"/>
        <v>0</v>
      </c>
      <c r="I41" s="50">
        <f>I40+K40</f>
        <v>10</v>
      </c>
      <c r="J41" s="73">
        <f t="shared" si="6"/>
        <v>10</v>
      </c>
      <c r="K41" s="50">
        <f t="shared" si="7"/>
        <v>-10</v>
      </c>
      <c r="L41" s="50" t="str">
        <f t="shared" si="11"/>
        <v>Sell</v>
      </c>
      <c r="M41" s="50">
        <v>1.145</v>
      </c>
      <c r="N41" s="67">
        <f t="shared" si="12"/>
        <v>-1431250</v>
      </c>
      <c r="O41" s="70">
        <f t="shared" si="8"/>
        <v>1431250</v>
      </c>
      <c r="Q41" s="66">
        <f t="shared" si="9"/>
        <v>0</v>
      </c>
      <c r="R41" s="50">
        <f t="shared" si="13"/>
        <v>0</v>
      </c>
      <c r="S41" s="59">
        <f t="shared" si="14"/>
        <v>-115668.75</v>
      </c>
    </row>
    <row r="42" spans="1:19" s="42" customFormat="1" x14ac:dyDescent="0.4">
      <c r="B42" s="39"/>
      <c r="C42" s="35"/>
      <c r="D42" s="35"/>
      <c r="F42" s="35"/>
      <c r="G42" s="35"/>
      <c r="H42" s="35"/>
      <c r="I42" s="35"/>
      <c r="J42" s="35"/>
      <c r="K42" s="35"/>
      <c r="L42" s="40"/>
      <c r="M42" s="40"/>
      <c r="N42" s="41"/>
      <c r="O42" s="35"/>
      <c r="P42" s="35"/>
      <c r="Q42" s="35"/>
      <c r="R42" s="35"/>
      <c r="S42" s="35"/>
    </row>
    <row r="43" spans="1:19" ht="18" thickBot="1" x14ac:dyDescent="0.45">
      <c r="B43" s="96" t="s">
        <v>23</v>
      </c>
      <c r="F43" s="34"/>
      <c r="G43" s="34"/>
      <c r="H43" s="34"/>
    </row>
    <row r="44" spans="1:19" ht="18" thickBot="1" x14ac:dyDescent="0.45">
      <c r="B44" s="4" t="s">
        <v>0</v>
      </c>
      <c r="C44" s="5" t="s">
        <v>24</v>
      </c>
      <c r="D44" s="5" t="s">
        <v>25</v>
      </c>
      <c r="E44" s="5" t="s">
        <v>26</v>
      </c>
      <c r="F44" s="5" t="s">
        <v>27</v>
      </c>
      <c r="G44" s="5" t="s">
        <v>28</v>
      </c>
      <c r="H44" s="10" t="s">
        <v>29</v>
      </c>
      <c r="I44" s="87" t="s">
        <v>30</v>
      </c>
      <c r="J44" s="10" t="s">
        <v>31</v>
      </c>
      <c r="K44" s="10" t="s">
        <v>32</v>
      </c>
      <c r="L44" s="11" t="s">
        <v>33</v>
      </c>
      <c r="M44" s="34"/>
      <c r="N44" s="83" t="s">
        <v>61</v>
      </c>
      <c r="O44" s="6" t="s">
        <v>56</v>
      </c>
      <c r="Q44" s="81" t="s">
        <v>62</v>
      </c>
    </row>
    <row r="45" spans="1:19" ht="18" thickTop="1" x14ac:dyDescent="0.4">
      <c r="B45" s="7">
        <v>44494</v>
      </c>
      <c r="C45" s="18">
        <f>'Data(Greeks)'!X6</f>
        <v>-2.0999999999999999E-3</v>
      </c>
      <c r="D45" s="3">
        <f>'Data(Greeks)'!H6*'Data(Greeks)'!C6/125000</f>
        <v>1.1098660093924081E-6</v>
      </c>
      <c r="E45" s="3">
        <f>$G$7*125000*'Data(Greeks)'!C6</f>
        <v>-78750</v>
      </c>
      <c r="F45" s="3">
        <f>C45*(D45^2)*100/2*125000</f>
        <v>-1.6167408584310752E-8</v>
      </c>
      <c r="G45" s="12">
        <f t="shared" ref="G45:G59" si="15">J26+K26</f>
        <v>-0.1593600635362975</v>
      </c>
      <c r="H45" s="12">
        <f>'Data(Greeks)'!J6*125000*H26</f>
        <v>1825.426415607079</v>
      </c>
      <c r="I45" s="76">
        <f>125000*('Data(Greeks)'!H6)*M26/H26</f>
        <v>-31995.356052015515</v>
      </c>
      <c r="J45" s="3"/>
      <c r="K45" s="20">
        <f t="shared" ref="K45:K59" si="16">H45+I45</f>
        <v>-30169.929636408437</v>
      </c>
      <c r="L45" s="55">
        <f>SUM(K45)</f>
        <v>-30169.929636408437</v>
      </c>
      <c r="M45" s="34"/>
      <c r="N45" s="64">
        <f t="shared" ref="N45:N60" si="17">K7+R26</f>
        <v>6604762.5</v>
      </c>
      <c r="O45" s="84">
        <f t="shared" ref="O45:O60" si="18">L7+S26</f>
        <v>-6604762.5</v>
      </c>
      <c r="Q45" s="80">
        <f>O45+N45</f>
        <v>0</v>
      </c>
    </row>
    <row r="46" spans="1:19" x14ac:dyDescent="0.4">
      <c r="B46" s="56">
        <v>44495</v>
      </c>
      <c r="C46" s="18">
        <f>'Data(Greeks)'!X7</f>
        <v>-1.4E-3</v>
      </c>
      <c r="D46" s="1"/>
      <c r="E46" s="1"/>
      <c r="F46" s="19"/>
      <c r="G46" s="31">
        <f t="shared" si="15"/>
        <v>-0.40303315983899779</v>
      </c>
      <c r="H46" s="12">
        <f>'Data(Greeks)'!J7*125000*H27</f>
        <v>1786.6787182092519</v>
      </c>
      <c r="I46" s="75"/>
      <c r="J46" s="1"/>
      <c r="K46" s="20">
        <f t="shared" si="16"/>
        <v>1786.6787182092519</v>
      </c>
      <c r="L46" s="57">
        <f>SUM($K$45:K46)</f>
        <v>-28383.250918199185</v>
      </c>
      <c r="M46" s="34"/>
      <c r="N46" s="65">
        <f t="shared" si="17"/>
        <v>6026437.5</v>
      </c>
      <c r="O46" s="85">
        <f t="shared" si="18"/>
        <v>-6024387.5</v>
      </c>
      <c r="Q46" s="79">
        <f t="shared" ref="Q46:Q60" si="19">O46+N46</f>
        <v>2050</v>
      </c>
    </row>
    <row r="47" spans="1:19" x14ac:dyDescent="0.4">
      <c r="B47" s="56">
        <v>44496</v>
      </c>
      <c r="C47" s="18">
        <f>'Data(Greeks)'!X8</f>
        <v>1E-3</v>
      </c>
      <c r="D47" s="1"/>
      <c r="E47" s="1"/>
      <c r="F47" s="1"/>
      <c r="G47" s="31">
        <f t="shared" si="15"/>
        <v>-0.21097177452569582</v>
      </c>
      <c r="H47" s="12">
        <f>'Data(Greeks)'!J8*125000*H28</f>
        <v>1907.8827222474756</v>
      </c>
      <c r="I47" s="75"/>
      <c r="J47" s="1"/>
      <c r="K47" s="20">
        <f t="shared" si="16"/>
        <v>1907.8827222474756</v>
      </c>
      <c r="L47" s="57">
        <f>SUM($K$45:K47)</f>
        <v>-26475.368195951709</v>
      </c>
      <c r="M47" s="34"/>
      <c r="N47" s="65">
        <f t="shared" si="17"/>
        <v>6459718.75</v>
      </c>
      <c r="O47" s="85">
        <f t="shared" si="18"/>
        <v>-6460118.75</v>
      </c>
      <c r="Q47" s="79">
        <f t="shared" si="19"/>
        <v>-400</v>
      </c>
    </row>
    <row r="48" spans="1:19" x14ac:dyDescent="0.4">
      <c r="B48" s="56">
        <v>44497</v>
      </c>
      <c r="C48" s="18">
        <f>'Data(Greeks)'!X9</f>
        <v>6.4999999999999997E-3</v>
      </c>
      <c r="D48" s="1"/>
      <c r="E48" s="1"/>
      <c r="F48" s="1"/>
      <c r="G48" s="31">
        <f t="shared" si="15"/>
        <v>-0.37996319403510626</v>
      </c>
      <c r="H48" s="12">
        <f>'Data(Greeks)'!J9*125000*H29</f>
        <v>1991.1792351440972</v>
      </c>
      <c r="I48" s="75"/>
      <c r="J48" s="1"/>
      <c r="K48" s="20">
        <f t="shared" si="16"/>
        <v>1991.1792351440972</v>
      </c>
      <c r="L48" s="57">
        <f>SUM($K$45:K48)</f>
        <v>-24484.188960807613</v>
      </c>
      <c r="M48" s="34"/>
      <c r="N48" s="65">
        <f t="shared" si="17"/>
        <v>8789556.25</v>
      </c>
      <c r="O48" s="85">
        <f t="shared" si="18"/>
        <v>-8799018.75</v>
      </c>
      <c r="Q48" s="79">
        <f t="shared" si="19"/>
        <v>-9462.5</v>
      </c>
    </row>
    <row r="49" spans="1:18" x14ac:dyDescent="0.4">
      <c r="B49" s="56">
        <v>44498</v>
      </c>
      <c r="C49" s="18">
        <f>'Data(Greeks)'!X10</f>
        <v>-1.0800000000000001E-2</v>
      </c>
      <c r="D49" s="1"/>
      <c r="E49" s="1"/>
      <c r="F49" s="1"/>
      <c r="G49" s="31">
        <f t="shared" si="15"/>
        <v>-6.5800028011203437E-2</v>
      </c>
      <c r="H49" s="12">
        <f>'Data(Greeks)'!J10*125000*H30</f>
        <v>1805.5315875527758</v>
      </c>
      <c r="I49" s="75"/>
      <c r="J49" s="1"/>
      <c r="K49" s="20">
        <f t="shared" si="16"/>
        <v>1805.5315875527758</v>
      </c>
      <c r="L49" s="57">
        <f>SUM($K$45:K49)</f>
        <v>-22678.657373254835</v>
      </c>
      <c r="M49" s="34"/>
      <c r="N49" s="65">
        <f t="shared" si="17"/>
        <v>4866612.4999999991</v>
      </c>
      <c r="O49" s="85">
        <f t="shared" si="18"/>
        <v>-4894650</v>
      </c>
      <c r="Q49" s="79">
        <f t="shared" si="19"/>
        <v>-28037.500000000931</v>
      </c>
    </row>
    <row r="50" spans="1:18" x14ac:dyDescent="0.4">
      <c r="B50" s="56">
        <v>44501</v>
      </c>
      <c r="C50" s="18">
        <f>'Data(Greeks)'!X11</f>
        <v>4.1000000000000003E-3</v>
      </c>
      <c r="D50" s="1"/>
      <c r="E50" s="1"/>
      <c r="F50" s="1"/>
      <c r="G50" s="31">
        <f t="shared" si="15"/>
        <v>0.25385926608920073</v>
      </c>
      <c r="H50" s="12">
        <f>'Data(Greeks)'!J11*125000*H31</f>
        <v>2023.305924755249</v>
      </c>
      <c r="I50" s="75"/>
      <c r="J50" s="1"/>
      <c r="K50" s="20">
        <f t="shared" si="16"/>
        <v>2023.305924755249</v>
      </c>
      <c r="L50" s="57">
        <f>SUM($K$45:K50)</f>
        <v>-20655.351448499587</v>
      </c>
      <c r="M50" s="34"/>
      <c r="N50" s="65">
        <f t="shared" si="17"/>
        <v>6321300</v>
      </c>
      <c r="O50" s="85">
        <f t="shared" si="18"/>
        <v>-6346650</v>
      </c>
      <c r="Q50" s="79">
        <f t="shared" si="19"/>
        <v>-25350</v>
      </c>
    </row>
    <row r="51" spans="1:18" x14ac:dyDescent="0.4">
      <c r="B51" s="56">
        <v>44502</v>
      </c>
      <c r="C51" s="18">
        <f>'Data(Greeks)'!X12</f>
        <v>-2.2000000000000001E-3</v>
      </c>
      <c r="D51" s="1"/>
      <c r="E51" s="1"/>
      <c r="F51" s="1"/>
      <c r="G51" s="31">
        <f t="shared" si="15"/>
        <v>0.14391196664330153</v>
      </c>
      <c r="H51" s="12">
        <f>'Data(Greeks)'!J12*125000*H32</f>
        <v>2164.7805208803279</v>
      </c>
      <c r="I51" s="75"/>
      <c r="J51" s="1"/>
      <c r="K51" s="20">
        <f t="shared" si="16"/>
        <v>2164.7805208803279</v>
      </c>
      <c r="L51" s="57">
        <f>SUM($K$45:K51)</f>
        <v>-18490.570927619257</v>
      </c>
      <c r="M51" s="34"/>
      <c r="N51" s="65">
        <f t="shared" si="17"/>
        <v>5589362.5</v>
      </c>
      <c r="O51" s="85">
        <f t="shared" si="18"/>
        <v>-5622212.5</v>
      </c>
      <c r="Q51" s="79">
        <f t="shared" si="19"/>
        <v>-32850</v>
      </c>
    </row>
    <row r="52" spans="1:18" x14ac:dyDescent="0.4">
      <c r="B52" s="56">
        <v>44503</v>
      </c>
      <c r="C52" s="18">
        <f>'Data(Greeks)'!X13</f>
        <v>2.5000000000000001E-3</v>
      </c>
      <c r="D52" s="1"/>
      <c r="E52" s="1"/>
      <c r="F52" s="1"/>
      <c r="G52" s="31">
        <f t="shared" si="15"/>
        <v>-4.9408621582898604E-2</v>
      </c>
      <c r="H52" s="12">
        <f>'Data(Greeks)'!J13*125000*H33</f>
        <v>1983.5699272082825</v>
      </c>
      <c r="I52" s="75"/>
      <c r="J52" s="1"/>
      <c r="K52" s="20">
        <f t="shared" si="16"/>
        <v>1983.5699272082825</v>
      </c>
      <c r="L52" s="57">
        <f>SUM($K$45:K52)</f>
        <v>-16507.001000410975</v>
      </c>
      <c r="M52" s="34"/>
      <c r="N52" s="65">
        <f t="shared" si="17"/>
        <v>6328500</v>
      </c>
      <c r="O52" s="85">
        <f t="shared" si="18"/>
        <v>-6348462.5</v>
      </c>
      <c r="Q52" s="79">
        <f t="shared" si="19"/>
        <v>-19962.5</v>
      </c>
    </row>
    <row r="53" spans="1:18" x14ac:dyDescent="0.4">
      <c r="B53" s="56">
        <v>44504</v>
      </c>
      <c r="C53" s="18">
        <f>'Data(Greeks)'!X14</f>
        <v>-5.1000000000000004E-3</v>
      </c>
      <c r="D53" s="1"/>
      <c r="E53" s="1"/>
      <c r="F53" s="1"/>
      <c r="G53" s="31">
        <f t="shared" si="15"/>
        <v>0.19109459591960132</v>
      </c>
      <c r="H53" s="12">
        <f>'Data(Greeks)'!J14*125000*H34</f>
        <v>1778.5344155177049</v>
      </c>
      <c r="I53" s="75"/>
      <c r="J53" s="1"/>
      <c r="K53" s="20">
        <f t="shared" si="16"/>
        <v>1778.5344155177049</v>
      </c>
      <c r="L53" s="57">
        <f>SUM($K$45:K53)</f>
        <v>-14728.466584893271</v>
      </c>
      <c r="M53" s="34"/>
      <c r="N53" s="65">
        <f t="shared" si="17"/>
        <v>4299125</v>
      </c>
      <c r="O53" s="85">
        <f t="shared" si="18"/>
        <v>-4325287.5</v>
      </c>
      <c r="Q53" s="79">
        <f t="shared" si="19"/>
        <v>-26162.5</v>
      </c>
    </row>
    <row r="54" spans="1:18" x14ac:dyDescent="0.4">
      <c r="B54" s="56">
        <v>44505</v>
      </c>
      <c r="C54" s="18">
        <f>'Data(Greeks)'!X15</f>
        <v>-2.9999999999999997E-4</v>
      </c>
      <c r="D54" s="1"/>
      <c r="E54" s="1"/>
      <c r="F54" s="1"/>
      <c r="G54" s="31">
        <f t="shared" si="15"/>
        <v>0.20459080931130202</v>
      </c>
      <c r="H54" s="12">
        <f>'Data(Greeks)'!J15*125000*H35</f>
        <v>1901.7863205246797</v>
      </c>
      <c r="I54" s="75"/>
      <c r="J54" s="1"/>
      <c r="K54" s="20">
        <f t="shared" si="16"/>
        <v>1901.7863205246797</v>
      </c>
      <c r="L54" s="57">
        <f>SUM($K$45:K54)</f>
        <v>-12826.680264368591</v>
      </c>
      <c r="M54" s="34"/>
      <c r="N54" s="65">
        <f t="shared" si="17"/>
        <v>4296750</v>
      </c>
      <c r="O54" s="85">
        <f t="shared" si="18"/>
        <v>-4325287.5</v>
      </c>
      <c r="Q54" s="79">
        <f t="shared" si="19"/>
        <v>-28537.5</v>
      </c>
    </row>
    <row r="55" spans="1:18" x14ac:dyDescent="0.4">
      <c r="B55" s="56">
        <v>44508</v>
      </c>
      <c r="C55" s="18">
        <f>'Data(Greeks)'!X16</f>
        <v>3.3999999999999998E-3</v>
      </c>
      <c r="D55" s="1"/>
      <c r="E55" s="1"/>
      <c r="F55" s="1"/>
      <c r="G55" s="31">
        <f t="shared" si="15"/>
        <v>-3.978737369430263E-2</v>
      </c>
      <c r="H55" s="12">
        <f>'Data(Greeks)'!J16*125000*H36</f>
        <v>2076.3728032340364</v>
      </c>
      <c r="I55" s="75"/>
      <c r="J55" s="1"/>
      <c r="K55" s="20">
        <f t="shared" si="16"/>
        <v>2076.3728032340364</v>
      </c>
      <c r="L55" s="57">
        <f>SUM($K$45:K55)</f>
        <v>-10750.307461134555</v>
      </c>
      <c r="M55" s="34"/>
      <c r="N55" s="65">
        <f t="shared" si="17"/>
        <v>5318612.4999999991</v>
      </c>
      <c r="O55" s="85">
        <f t="shared" si="18"/>
        <v>-5340025</v>
      </c>
      <c r="Q55" s="79">
        <f t="shared" si="19"/>
        <v>-21412.500000000931</v>
      </c>
    </row>
    <row r="56" spans="1:18" x14ac:dyDescent="0.4">
      <c r="B56" s="56">
        <v>44509</v>
      </c>
      <c r="C56" s="18">
        <f>'Data(Greeks)'!X17</f>
        <v>4.0000000000000002E-4</v>
      </c>
      <c r="D56" s="1"/>
      <c r="E56" s="1"/>
      <c r="F56" s="1"/>
      <c r="G56" s="31">
        <f t="shared" si="15"/>
        <v>0.32933896699229592</v>
      </c>
      <c r="H56" s="12">
        <f>'Data(Greeks)'!J17*125000*H37</f>
        <v>2279.476627104973</v>
      </c>
      <c r="I56" s="75"/>
      <c r="J56" s="1"/>
      <c r="K56" s="20">
        <f t="shared" si="16"/>
        <v>2279.476627104973</v>
      </c>
      <c r="L56" s="57">
        <f>SUM($K$45:K56)</f>
        <v>-8470.8308340295807</v>
      </c>
      <c r="M56" s="34"/>
      <c r="N56" s="65">
        <f t="shared" si="17"/>
        <v>5605731.25</v>
      </c>
      <c r="O56" s="85">
        <f t="shared" si="18"/>
        <v>-5630062.5</v>
      </c>
      <c r="Q56" s="79">
        <f t="shared" si="19"/>
        <v>-24331.25</v>
      </c>
    </row>
    <row r="57" spans="1:18" x14ac:dyDescent="0.4">
      <c r="B57" s="56">
        <v>44510</v>
      </c>
      <c r="C57" s="18">
        <f>'Data(Greeks)'!X18</f>
        <v>-9.5999999999999992E-3</v>
      </c>
      <c r="D57" s="1"/>
      <c r="E57" s="1"/>
      <c r="F57" s="1"/>
      <c r="G57" s="31">
        <f t="shared" si="15"/>
        <v>0.28031624913730013</v>
      </c>
      <c r="H57" s="12">
        <f>'Data(Greeks)'!J18*125000*H38</f>
        <v>1618.7724574665526</v>
      </c>
      <c r="I57" s="75"/>
      <c r="J57" s="1"/>
      <c r="K57" s="20">
        <f t="shared" si="16"/>
        <v>1618.7724574665526</v>
      </c>
      <c r="L57" s="57">
        <f>SUM($K$45:K57)</f>
        <v>-6852.0583765630281</v>
      </c>
      <c r="M57" s="34"/>
      <c r="N57" s="65">
        <f t="shared" si="17"/>
        <v>2424231.2499999995</v>
      </c>
      <c r="O57" s="85">
        <f t="shared" si="18"/>
        <v>-2470175</v>
      </c>
      <c r="Q57" s="79">
        <f t="shared" si="19"/>
        <v>-45943.750000000466</v>
      </c>
    </row>
    <row r="58" spans="1:18" x14ac:dyDescent="0.4">
      <c r="B58" s="56">
        <v>44511</v>
      </c>
      <c r="C58" s="18">
        <f>'Data(Greeks)'!X19</f>
        <v>-3.3999999999999998E-3</v>
      </c>
      <c r="D58" s="1"/>
      <c r="E58" s="1"/>
      <c r="F58" s="1"/>
      <c r="G58" s="31">
        <f t="shared" si="15"/>
        <v>3.3701994152369963E-2</v>
      </c>
      <c r="H58" s="12">
        <f>'Data(Greeks)'!J19*125000*H39</f>
        <v>1109.9717416084743</v>
      </c>
      <c r="I58" s="75"/>
      <c r="J58" s="1"/>
      <c r="K58" s="20">
        <f t="shared" si="16"/>
        <v>1109.9717416084743</v>
      </c>
      <c r="L58" s="57">
        <f>SUM($K$45:K58)</f>
        <v>-5742.086634954554</v>
      </c>
      <c r="M58" s="34"/>
      <c r="N58" s="65">
        <f t="shared" si="17"/>
        <v>1422687.5</v>
      </c>
      <c r="O58" s="85">
        <f t="shared" si="18"/>
        <v>-1468168.75</v>
      </c>
      <c r="Q58" s="79">
        <f t="shared" si="19"/>
        <v>-45481.25</v>
      </c>
    </row>
    <row r="59" spans="1:18" x14ac:dyDescent="0.4">
      <c r="B59" s="56">
        <v>44512</v>
      </c>
      <c r="C59" s="18">
        <f>'Data(Greeks)'!X20</f>
        <v>-1E-4</v>
      </c>
      <c r="D59" s="1"/>
      <c r="E59" s="1"/>
      <c r="F59" s="1"/>
      <c r="G59" s="31">
        <f t="shared" si="15"/>
        <v>8.5742664417779224E-2</v>
      </c>
      <c r="H59" s="12">
        <f>'Data(Greeks)'!J20*125000*H40</f>
        <v>1163.7428139549916</v>
      </c>
      <c r="I59" s="75"/>
      <c r="J59" s="1"/>
      <c r="K59" s="20">
        <f t="shared" si="16"/>
        <v>1163.7428139549916</v>
      </c>
      <c r="L59" s="57">
        <f>SUM($K$45:K59)</f>
        <v>-4578.343820999562</v>
      </c>
      <c r="M59" s="34"/>
      <c r="N59" s="65">
        <f t="shared" si="17"/>
        <v>1422500</v>
      </c>
      <c r="O59" s="85">
        <f t="shared" si="18"/>
        <v>-1468168.75</v>
      </c>
      <c r="P59" s="54"/>
      <c r="Q59" s="79">
        <f t="shared" si="19"/>
        <v>-45668.75</v>
      </c>
      <c r="R59" s="54"/>
    </row>
    <row r="60" spans="1:18" ht="18" thickBot="1" x14ac:dyDescent="0.45">
      <c r="A60" s="95" t="s">
        <v>57</v>
      </c>
      <c r="B60" s="58">
        <v>44512</v>
      </c>
      <c r="C60" s="88">
        <f>C59</f>
        <v>-1E-4</v>
      </c>
      <c r="D60" s="50"/>
      <c r="E60" s="50"/>
      <c r="F60" s="50"/>
      <c r="G60" s="67"/>
      <c r="H60" s="89"/>
      <c r="I60" s="90" t="s">
        <v>63</v>
      </c>
      <c r="J60" s="50"/>
      <c r="K60" s="50"/>
      <c r="L60" s="91"/>
      <c r="M60" s="35"/>
      <c r="N60" s="66">
        <f t="shared" si="17"/>
        <v>0</v>
      </c>
      <c r="O60" s="86">
        <f t="shared" si="18"/>
        <v>-45668.75</v>
      </c>
      <c r="Q60" s="82">
        <f t="shared" si="19"/>
        <v>-45668.75</v>
      </c>
    </row>
    <row r="61" spans="1:18" x14ac:dyDescent="0.4">
      <c r="O61" s="51"/>
    </row>
    <row r="63" spans="1:18" x14ac:dyDescent="0.4">
      <c r="O63" s="52"/>
    </row>
    <row r="64" spans="1:18" x14ac:dyDescent="0.4">
      <c r="O64" s="54"/>
    </row>
    <row r="65" spans="15:15" x14ac:dyDescent="0.4">
      <c r="O65" s="54"/>
    </row>
    <row r="66" spans="15:15" x14ac:dyDescent="0.4">
      <c r="O66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9C7E-F60D-4672-85AF-5531926C731F}">
  <sheetPr>
    <tabColor theme="7"/>
  </sheetPr>
  <dimension ref="A1:S66"/>
  <sheetViews>
    <sheetView showGridLines="0" zoomScale="85" zoomScaleNormal="85" workbookViewId="0">
      <selection activeCell="C26" sqref="C26"/>
    </sheetView>
  </sheetViews>
  <sheetFormatPr defaultRowHeight="17.399999999999999" x14ac:dyDescent="0.4"/>
  <cols>
    <col min="2" max="2" width="16.5" bestFit="1" customWidth="1"/>
    <col min="3" max="3" width="17.59765625" bestFit="1" customWidth="1"/>
    <col min="4" max="4" width="20.59765625" bestFit="1" customWidth="1"/>
    <col min="5" max="5" width="15.3984375" bestFit="1" customWidth="1"/>
    <col min="6" max="6" width="14.19921875" bestFit="1" customWidth="1"/>
    <col min="7" max="7" width="9.59765625" bestFit="1" customWidth="1"/>
    <col min="8" max="8" width="11.19921875" bestFit="1" customWidth="1"/>
    <col min="9" max="9" width="14.3984375" bestFit="1" customWidth="1"/>
    <col min="10" max="10" width="12.8984375" customWidth="1"/>
    <col min="11" max="11" width="21.3984375" bestFit="1" customWidth="1"/>
    <col min="12" max="12" width="16.5" bestFit="1" customWidth="1"/>
    <col min="13" max="13" width="11.5" bestFit="1" customWidth="1"/>
    <col min="14" max="15" width="22.19921875" bestFit="1" customWidth="1"/>
    <col min="16" max="16" width="3.09765625" customWidth="1"/>
    <col min="17" max="18" width="16.5" customWidth="1"/>
    <col min="19" max="19" width="16.5" bestFit="1" customWidth="1"/>
  </cols>
  <sheetData>
    <row r="1" spans="2:12" ht="18" thickBot="1" x14ac:dyDescent="0.45"/>
    <row r="2" spans="2:12" x14ac:dyDescent="0.4">
      <c r="B2" s="97" t="s">
        <v>72</v>
      </c>
      <c r="C2" s="98">
        <v>-100</v>
      </c>
    </row>
    <row r="3" spans="2:12" ht="18" thickBot="1" x14ac:dyDescent="0.45">
      <c r="B3" s="99"/>
      <c r="C3" s="100"/>
    </row>
    <row r="5" spans="2:12" ht="18" thickBot="1" x14ac:dyDescent="0.45">
      <c r="B5" s="96" t="s">
        <v>10</v>
      </c>
    </row>
    <row r="6" spans="2:12" ht="18" thickBot="1" x14ac:dyDescent="0.45">
      <c r="B6" s="4" t="s">
        <v>0</v>
      </c>
      <c r="C6" s="5" t="s">
        <v>2</v>
      </c>
      <c r="D6" s="5" t="s">
        <v>3</v>
      </c>
      <c r="E6" s="5" t="s">
        <v>8</v>
      </c>
      <c r="F6" s="5" t="s">
        <v>1</v>
      </c>
      <c r="G6" s="5" t="s">
        <v>4</v>
      </c>
      <c r="H6" s="5" t="s">
        <v>5</v>
      </c>
      <c r="I6" s="60" t="s">
        <v>7</v>
      </c>
      <c r="J6" s="4" t="s">
        <v>58</v>
      </c>
      <c r="K6" s="10" t="s">
        <v>59</v>
      </c>
      <c r="L6" s="6" t="s">
        <v>55</v>
      </c>
    </row>
    <row r="7" spans="2:12" ht="18" thickTop="1" x14ac:dyDescent="0.4">
      <c r="B7" s="7">
        <v>44494</v>
      </c>
      <c r="C7" s="1" t="s">
        <v>65</v>
      </c>
      <c r="D7" s="3" t="s">
        <v>13</v>
      </c>
      <c r="E7" s="3" t="s">
        <v>11</v>
      </c>
      <c r="F7" s="3" t="str">
        <f t="shared" ref="F7:F22" si="0">IF(G7&gt;0,"Buy",IF(G7&lt;0,"Sell",""))</f>
        <v>Sell</v>
      </c>
      <c r="G7" s="3">
        <f>C2</f>
        <v>-100</v>
      </c>
      <c r="H7" s="3">
        <f>'Data(Greeks)'!M6</f>
        <v>8.9999999999999993E-3</v>
      </c>
      <c r="I7" s="61">
        <f>G7*H7*125000</f>
        <v>-112499.99999999999</v>
      </c>
      <c r="J7" s="64">
        <f>G7</f>
        <v>-100</v>
      </c>
      <c r="K7" s="3">
        <f>J7*H7*125000</f>
        <v>-112499.99999999999</v>
      </c>
      <c r="L7" s="55">
        <f>-I7</f>
        <v>112499.99999999999</v>
      </c>
    </row>
    <row r="8" spans="2:12" x14ac:dyDescent="0.4">
      <c r="B8" s="56">
        <v>44495</v>
      </c>
      <c r="C8" s="1" t="s">
        <v>65</v>
      </c>
      <c r="D8" s="1" t="s">
        <v>64</v>
      </c>
      <c r="E8" s="1" t="s">
        <v>11</v>
      </c>
      <c r="F8" s="1" t="str">
        <f t="shared" si="0"/>
        <v/>
      </c>
      <c r="G8" s="1">
        <v>0</v>
      </c>
      <c r="H8" s="3">
        <f>'Data(Greeks)'!M7</f>
        <v>8.8000000000000005E-3</v>
      </c>
      <c r="I8" s="62">
        <f t="shared" ref="I8:I21" si="1">G8*H8*125000</f>
        <v>0</v>
      </c>
      <c r="J8" s="65">
        <f t="shared" ref="J8:J22" si="2">G8+J7</f>
        <v>-100</v>
      </c>
      <c r="K8" s="1">
        <f t="shared" ref="K8:K22" si="3">J8*H8*125000</f>
        <v>-110000</v>
      </c>
      <c r="L8" s="57">
        <f t="shared" ref="L8:L22" si="4">-I8+L7</f>
        <v>112499.99999999999</v>
      </c>
    </row>
    <row r="9" spans="2:12" x14ac:dyDescent="0.4">
      <c r="B9" s="56">
        <v>44496</v>
      </c>
      <c r="C9" s="1" t="s">
        <v>65</v>
      </c>
      <c r="D9" s="1" t="s">
        <v>64</v>
      </c>
      <c r="E9" s="1" t="s">
        <v>11</v>
      </c>
      <c r="F9" s="1" t="str">
        <f t="shared" si="0"/>
        <v/>
      </c>
      <c r="G9" s="1">
        <v>0</v>
      </c>
      <c r="H9" s="3">
        <f>'Data(Greeks)'!M8</f>
        <v>8.5000000000000006E-3</v>
      </c>
      <c r="I9" s="62">
        <f t="shared" si="1"/>
        <v>0</v>
      </c>
      <c r="J9" s="65">
        <f t="shared" si="2"/>
        <v>-100</v>
      </c>
      <c r="K9" s="1">
        <f t="shared" si="3"/>
        <v>-106250.00000000001</v>
      </c>
      <c r="L9" s="57">
        <f t="shared" si="4"/>
        <v>112499.99999999999</v>
      </c>
    </row>
    <row r="10" spans="2:12" x14ac:dyDescent="0.4">
      <c r="B10" s="56">
        <v>44497</v>
      </c>
      <c r="C10" s="1" t="s">
        <v>65</v>
      </c>
      <c r="D10" s="1" t="s">
        <v>64</v>
      </c>
      <c r="E10" s="1" t="s">
        <v>11</v>
      </c>
      <c r="F10" s="1" t="str">
        <f t="shared" si="0"/>
        <v/>
      </c>
      <c r="G10" s="1">
        <v>0</v>
      </c>
      <c r="H10" s="3">
        <f>'Data(Greeks)'!M9</f>
        <v>5.4999999999999997E-3</v>
      </c>
      <c r="I10" s="62">
        <f t="shared" si="1"/>
        <v>0</v>
      </c>
      <c r="J10" s="65">
        <f t="shared" si="2"/>
        <v>-100</v>
      </c>
      <c r="K10" s="1">
        <f t="shared" si="3"/>
        <v>-68749.999999999985</v>
      </c>
      <c r="L10" s="57">
        <f t="shared" si="4"/>
        <v>112499.99999999999</v>
      </c>
    </row>
    <row r="11" spans="2:12" x14ac:dyDescent="0.4">
      <c r="B11" s="56">
        <v>44498</v>
      </c>
      <c r="C11" s="1" t="s">
        <v>65</v>
      </c>
      <c r="D11" s="1" t="s">
        <v>64</v>
      </c>
      <c r="E11" s="1" t="s">
        <v>11</v>
      </c>
      <c r="F11" s="1" t="str">
        <f t="shared" si="0"/>
        <v/>
      </c>
      <c r="G11" s="1">
        <v>0</v>
      </c>
      <c r="H11" s="3">
        <f>'Data(Greeks)'!M10</f>
        <v>1.3599999999999999E-2</v>
      </c>
      <c r="I11" s="62">
        <f t="shared" si="1"/>
        <v>0</v>
      </c>
      <c r="J11" s="65">
        <f t="shared" si="2"/>
        <v>-100</v>
      </c>
      <c r="K11" s="1">
        <f t="shared" si="3"/>
        <v>-169999.99999999997</v>
      </c>
      <c r="L11" s="57">
        <f t="shared" si="4"/>
        <v>112499.99999999999</v>
      </c>
    </row>
    <row r="12" spans="2:12" x14ac:dyDescent="0.4">
      <c r="B12" s="56">
        <v>44501</v>
      </c>
      <c r="C12" s="1" t="s">
        <v>65</v>
      </c>
      <c r="D12" s="1" t="s">
        <v>64</v>
      </c>
      <c r="E12" s="1" t="s">
        <v>11</v>
      </c>
      <c r="F12" s="1" t="str">
        <f t="shared" si="0"/>
        <v/>
      </c>
      <c r="G12" s="1">
        <v>0</v>
      </c>
      <c r="H12" s="3">
        <f>'Data(Greeks)'!M11</f>
        <v>9.9000000000000008E-3</v>
      </c>
      <c r="I12" s="62">
        <f t="shared" si="1"/>
        <v>0</v>
      </c>
      <c r="J12" s="65">
        <f t="shared" si="2"/>
        <v>-100</v>
      </c>
      <c r="K12" s="1">
        <f t="shared" si="3"/>
        <v>-123750.00000000001</v>
      </c>
      <c r="L12" s="57">
        <f t="shared" si="4"/>
        <v>112499.99999999999</v>
      </c>
    </row>
    <row r="13" spans="2:12" x14ac:dyDescent="0.4">
      <c r="B13" s="56">
        <v>44502</v>
      </c>
      <c r="C13" s="1" t="s">
        <v>65</v>
      </c>
      <c r="D13" s="1" t="s">
        <v>64</v>
      </c>
      <c r="E13" s="1" t="s">
        <v>11</v>
      </c>
      <c r="F13" s="1" t="str">
        <f t="shared" si="0"/>
        <v/>
      </c>
      <c r="G13" s="1">
        <v>0</v>
      </c>
      <c r="H13" s="3">
        <f>'Data(Greeks)'!M12</f>
        <v>9.2999999999999992E-3</v>
      </c>
      <c r="I13" s="62">
        <f t="shared" si="1"/>
        <v>0</v>
      </c>
      <c r="J13" s="65">
        <f t="shared" si="2"/>
        <v>-100</v>
      </c>
      <c r="K13" s="1">
        <f t="shared" si="3"/>
        <v>-116249.99999999999</v>
      </c>
      <c r="L13" s="57">
        <f t="shared" si="4"/>
        <v>112499.99999999999</v>
      </c>
    </row>
    <row r="14" spans="2:12" x14ac:dyDescent="0.4">
      <c r="B14" s="56">
        <v>44503</v>
      </c>
      <c r="C14" s="1" t="s">
        <v>65</v>
      </c>
      <c r="D14" s="1" t="s">
        <v>64</v>
      </c>
      <c r="E14" s="1" t="s">
        <v>11</v>
      </c>
      <c r="F14" s="1" t="str">
        <f t="shared" si="0"/>
        <v/>
      </c>
      <c r="G14" s="1">
        <v>0</v>
      </c>
      <c r="H14" s="3">
        <f>'Data(Greeks)'!M13</f>
        <v>1.12E-2</v>
      </c>
      <c r="I14" s="62">
        <f t="shared" si="1"/>
        <v>0</v>
      </c>
      <c r="J14" s="65">
        <f t="shared" si="2"/>
        <v>-100</v>
      </c>
      <c r="K14" s="1">
        <f t="shared" si="3"/>
        <v>-140000</v>
      </c>
      <c r="L14" s="57">
        <f t="shared" si="4"/>
        <v>112499.99999999999</v>
      </c>
    </row>
    <row r="15" spans="2:12" x14ac:dyDescent="0.4">
      <c r="B15" s="56">
        <v>44504</v>
      </c>
      <c r="C15" s="1" t="s">
        <v>65</v>
      </c>
      <c r="D15" s="1" t="s">
        <v>64</v>
      </c>
      <c r="E15" s="1" t="s">
        <v>11</v>
      </c>
      <c r="F15" s="1" t="str">
        <f t="shared" si="0"/>
        <v/>
      </c>
      <c r="G15" s="1">
        <v>0</v>
      </c>
      <c r="H15" s="3">
        <f>'Data(Greeks)'!M14</f>
        <v>1.3299999999999999E-2</v>
      </c>
      <c r="I15" s="62">
        <f t="shared" si="1"/>
        <v>0</v>
      </c>
      <c r="J15" s="65">
        <f t="shared" si="2"/>
        <v>-100</v>
      </c>
      <c r="K15" s="1">
        <f t="shared" si="3"/>
        <v>-166249.99999999997</v>
      </c>
      <c r="L15" s="57">
        <f t="shared" si="4"/>
        <v>112499.99999999999</v>
      </c>
    </row>
    <row r="16" spans="2:12" x14ac:dyDescent="0.4">
      <c r="B16" s="56">
        <v>44505</v>
      </c>
      <c r="C16" s="1" t="s">
        <v>65</v>
      </c>
      <c r="D16" s="1" t="s">
        <v>64</v>
      </c>
      <c r="E16" s="1" t="s">
        <v>11</v>
      </c>
      <c r="F16" s="1" t="str">
        <f t="shared" si="0"/>
        <v/>
      </c>
      <c r="G16" s="1">
        <v>0</v>
      </c>
      <c r="H16" s="3">
        <f>'Data(Greeks)'!M15</f>
        <v>1.41E-2</v>
      </c>
      <c r="I16" s="62">
        <f t="shared" si="1"/>
        <v>0</v>
      </c>
      <c r="J16" s="65">
        <f t="shared" si="2"/>
        <v>-100</v>
      </c>
      <c r="K16" s="1">
        <f t="shared" si="3"/>
        <v>-176250</v>
      </c>
      <c r="L16" s="57">
        <f t="shared" si="4"/>
        <v>112499.99999999999</v>
      </c>
    </row>
    <row r="17" spans="1:19" x14ac:dyDescent="0.4">
      <c r="B17" s="56">
        <v>44508</v>
      </c>
      <c r="C17" s="1" t="s">
        <v>65</v>
      </c>
      <c r="D17" s="1" t="s">
        <v>64</v>
      </c>
      <c r="E17" s="1" t="s">
        <v>11</v>
      </c>
      <c r="F17" s="1" t="str">
        <f t="shared" si="0"/>
        <v/>
      </c>
      <c r="G17" s="1">
        <v>0</v>
      </c>
      <c r="H17" s="3">
        <f>'Data(Greeks)'!M16</f>
        <v>8.6E-3</v>
      </c>
      <c r="I17" s="62">
        <f t="shared" si="1"/>
        <v>0</v>
      </c>
      <c r="J17" s="65">
        <f t="shared" si="2"/>
        <v>-100</v>
      </c>
      <c r="K17" s="1">
        <f t="shared" si="3"/>
        <v>-107500</v>
      </c>
      <c r="L17" s="57">
        <f t="shared" si="4"/>
        <v>112499.99999999999</v>
      </c>
    </row>
    <row r="18" spans="1:19" x14ac:dyDescent="0.4">
      <c r="B18" s="56">
        <v>44509</v>
      </c>
      <c r="C18" s="1" t="s">
        <v>65</v>
      </c>
      <c r="D18" s="1" t="s">
        <v>64</v>
      </c>
      <c r="E18" s="1" t="s">
        <v>11</v>
      </c>
      <c r="F18" s="1" t="str">
        <f t="shared" si="0"/>
        <v/>
      </c>
      <c r="G18" s="1">
        <v>0</v>
      </c>
      <c r="H18" s="3">
        <f>'Data(Greeks)'!M17</f>
        <v>8.6999999999999994E-3</v>
      </c>
      <c r="I18" s="62">
        <f t="shared" si="1"/>
        <v>0</v>
      </c>
      <c r="J18" s="65">
        <f t="shared" si="2"/>
        <v>-100</v>
      </c>
      <c r="K18" s="1">
        <f t="shared" si="3"/>
        <v>-108749.99999999999</v>
      </c>
      <c r="L18" s="57">
        <f t="shared" si="4"/>
        <v>112499.99999999999</v>
      </c>
    </row>
    <row r="19" spans="1:19" x14ac:dyDescent="0.4">
      <c r="B19" s="56">
        <v>44510</v>
      </c>
      <c r="C19" s="1" t="s">
        <v>65</v>
      </c>
      <c r="D19" s="1" t="s">
        <v>64</v>
      </c>
      <c r="E19" s="1" t="s">
        <v>11</v>
      </c>
      <c r="F19" s="1" t="str">
        <f t="shared" si="0"/>
        <v/>
      </c>
      <c r="G19" s="1">
        <v>0</v>
      </c>
      <c r="H19" s="3">
        <f>'Data(Greeks)'!M18</f>
        <v>1.7299999999999999E-2</v>
      </c>
      <c r="I19" s="62">
        <f t="shared" si="1"/>
        <v>0</v>
      </c>
      <c r="J19" s="65">
        <f t="shared" si="2"/>
        <v>-100</v>
      </c>
      <c r="K19" s="1">
        <f t="shared" si="3"/>
        <v>-216250</v>
      </c>
      <c r="L19" s="57">
        <f t="shared" si="4"/>
        <v>112499.99999999999</v>
      </c>
    </row>
    <row r="20" spans="1:19" x14ac:dyDescent="0.4">
      <c r="B20" s="56">
        <v>44511</v>
      </c>
      <c r="C20" s="1" t="s">
        <v>65</v>
      </c>
      <c r="D20" s="1" t="s">
        <v>64</v>
      </c>
      <c r="E20" s="1" t="s">
        <v>11</v>
      </c>
      <c r="F20" s="1" t="str">
        <f t="shared" si="0"/>
        <v/>
      </c>
      <c r="G20" s="1">
        <v>0</v>
      </c>
      <c r="H20" s="3">
        <f>'Data(Greeks)'!M19</f>
        <v>2.0500000000000001E-2</v>
      </c>
      <c r="I20" s="62">
        <f t="shared" si="1"/>
        <v>0</v>
      </c>
      <c r="J20" s="65">
        <f t="shared" si="2"/>
        <v>-100</v>
      </c>
      <c r="K20" s="1">
        <f t="shared" si="3"/>
        <v>-256250.00000000003</v>
      </c>
      <c r="L20" s="57">
        <f t="shared" si="4"/>
        <v>112499.99999999999</v>
      </c>
    </row>
    <row r="21" spans="1:19" x14ac:dyDescent="0.4">
      <c r="B21" s="56">
        <v>44512</v>
      </c>
      <c r="C21" s="1" t="s">
        <v>65</v>
      </c>
      <c r="D21" s="1" t="s">
        <v>64</v>
      </c>
      <c r="E21" s="1" t="s">
        <v>11</v>
      </c>
      <c r="F21" s="1" t="str">
        <f t="shared" si="0"/>
        <v/>
      </c>
      <c r="G21" s="1">
        <v>0</v>
      </c>
      <c r="H21" s="3">
        <f>'Data(Greeks)'!M20</f>
        <v>2.1399999999999999E-2</v>
      </c>
      <c r="I21" s="62">
        <f t="shared" si="1"/>
        <v>0</v>
      </c>
      <c r="J21" s="65">
        <f t="shared" si="2"/>
        <v>-100</v>
      </c>
      <c r="K21" s="1">
        <f t="shared" si="3"/>
        <v>-267499.99999999994</v>
      </c>
      <c r="L21" s="57">
        <f t="shared" si="4"/>
        <v>112499.99999999999</v>
      </c>
    </row>
    <row r="22" spans="1:19" ht="18" thickBot="1" x14ac:dyDescent="0.45">
      <c r="A22" s="95" t="s">
        <v>57</v>
      </c>
      <c r="B22" s="58">
        <v>44512</v>
      </c>
      <c r="C22" s="50" t="s">
        <v>65</v>
      </c>
      <c r="D22" s="50" t="s">
        <v>64</v>
      </c>
      <c r="E22" s="50" t="s">
        <v>11</v>
      </c>
      <c r="F22" s="50" t="str">
        <f t="shared" si="0"/>
        <v>Buy</v>
      </c>
      <c r="G22" s="50">
        <f>-G7</f>
        <v>100</v>
      </c>
      <c r="H22" s="50">
        <f>H21</f>
        <v>2.1399999999999999E-2</v>
      </c>
      <c r="I22" s="63">
        <f>G22*H22*125000</f>
        <v>267499.99999999994</v>
      </c>
      <c r="J22" s="66">
        <f t="shared" si="2"/>
        <v>0</v>
      </c>
      <c r="K22" s="50">
        <f t="shared" si="3"/>
        <v>0</v>
      </c>
      <c r="L22" s="59">
        <f t="shared" si="4"/>
        <v>-154999.99999999994</v>
      </c>
    </row>
    <row r="23" spans="1:19" x14ac:dyDescent="0.4">
      <c r="N23" s="36"/>
    </row>
    <row r="24" spans="1:19" ht="18" thickBot="1" x14ac:dyDescent="0.45">
      <c r="B24" s="96" t="s">
        <v>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</row>
    <row r="25" spans="1:19" ht="18" thickBot="1" x14ac:dyDescent="0.45">
      <c r="B25" s="4" t="s">
        <v>0</v>
      </c>
      <c r="C25" s="5" t="s">
        <v>2</v>
      </c>
      <c r="D25" s="5" t="s">
        <v>3</v>
      </c>
      <c r="E25" s="5" t="s">
        <v>8</v>
      </c>
      <c r="F25" s="5" t="s">
        <v>43</v>
      </c>
      <c r="G25" s="5" t="s">
        <v>44</v>
      </c>
      <c r="H25" s="5" t="s">
        <v>45</v>
      </c>
      <c r="I25" s="5" t="s">
        <v>46</v>
      </c>
      <c r="J25" s="74" t="s">
        <v>48</v>
      </c>
      <c r="K25" s="10" t="s">
        <v>47</v>
      </c>
      <c r="L25" s="5" t="s">
        <v>1</v>
      </c>
      <c r="M25" s="5" t="s">
        <v>5</v>
      </c>
      <c r="N25" s="5" t="s">
        <v>6</v>
      </c>
      <c r="O25" s="6" t="s">
        <v>52</v>
      </c>
      <c r="Q25" s="4" t="s">
        <v>46</v>
      </c>
      <c r="R25" s="77" t="s">
        <v>60</v>
      </c>
      <c r="S25" s="6" t="s">
        <v>51</v>
      </c>
    </row>
    <row r="26" spans="1:19" ht="18" thickTop="1" x14ac:dyDescent="0.4">
      <c r="B26" s="7">
        <v>44494</v>
      </c>
      <c r="C26" s="3" t="s">
        <v>68</v>
      </c>
      <c r="D26" s="3" t="s">
        <v>49</v>
      </c>
      <c r="E26" s="3" t="s">
        <v>22</v>
      </c>
      <c r="F26" s="3">
        <f>'Data(Greeks)'!Q6</f>
        <v>-0.53443667488462898</v>
      </c>
      <c r="G26" s="3">
        <v>1</v>
      </c>
      <c r="H26" s="3">
        <f t="shared" ref="H26:H41" si="5">J7</f>
        <v>-100</v>
      </c>
      <c r="I26" s="3">
        <v>0</v>
      </c>
      <c r="J26" s="72">
        <f t="shared" ref="J26:J41" si="6">F26*H26+G26*I26</f>
        <v>53.4436674884629</v>
      </c>
      <c r="K26" s="53">
        <f t="shared" ref="K26:K41" si="7">-ROUND(J26,0)</f>
        <v>-53</v>
      </c>
      <c r="L26" s="3" t="str">
        <f>IF(K26&gt;0,"Buy",IF(K26&lt;0,"Sell",""))</f>
        <v>Sell</v>
      </c>
      <c r="M26" s="12">
        <f>'Data(Greeks)'!W6</f>
        <v>1.16235</v>
      </c>
      <c r="N26" s="12">
        <f>K26*M26*125000</f>
        <v>-7700568.75</v>
      </c>
      <c r="O26" s="68">
        <f t="shared" ref="O26:O41" si="8">-N26</f>
        <v>7700568.75</v>
      </c>
      <c r="Q26" s="65">
        <f t="shared" ref="Q26:Q41" si="9">I26+K26</f>
        <v>-53</v>
      </c>
      <c r="R26" s="78">
        <f>Q26*M26*125000</f>
        <v>-7700568.75</v>
      </c>
      <c r="S26" s="55">
        <f>O26</f>
        <v>7700568.75</v>
      </c>
    </row>
    <row r="27" spans="1:19" x14ac:dyDescent="0.4">
      <c r="B27" s="56">
        <v>44495</v>
      </c>
      <c r="C27" s="1" t="s">
        <v>68</v>
      </c>
      <c r="D27" s="1" t="s">
        <v>49</v>
      </c>
      <c r="E27" s="1" t="s">
        <v>22</v>
      </c>
      <c r="F27" s="3">
        <f>'Data(Greeks)'!Q7</f>
        <v>-0.57789420541432202</v>
      </c>
      <c r="G27" s="1">
        <v>1</v>
      </c>
      <c r="H27" s="1">
        <f t="shared" si="5"/>
        <v>-100</v>
      </c>
      <c r="I27" s="1">
        <f t="shared" ref="I27:I40" si="10">Q26</f>
        <v>-53</v>
      </c>
      <c r="J27" s="71">
        <f t="shared" si="6"/>
        <v>4.7894205414322002</v>
      </c>
      <c r="K27" s="38">
        <f t="shared" si="7"/>
        <v>-5</v>
      </c>
      <c r="L27" s="1" t="str">
        <f t="shared" ref="L27:L41" si="11">IF(K27&gt;0,"Buy",IF(K27&lt;0,"Sell",""))</f>
        <v>Sell</v>
      </c>
      <c r="M27" s="31">
        <f>'Data(Greeks)'!W7</f>
        <v>1.1607499999999999</v>
      </c>
      <c r="N27" s="31">
        <f t="shared" ref="N27:N41" si="12">K27*M27*125000</f>
        <v>-725468.75</v>
      </c>
      <c r="O27" s="69">
        <f t="shared" si="8"/>
        <v>725468.75</v>
      </c>
      <c r="Q27" s="65">
        <f t="shared" si="9"/>
        <v>-58</v>
      </c>
      <c r="R27" s="78">
        <f t="shared" ref="R27:R41" si="13">Q27*M27*125000</f>
        <v>-8415437.5</v>
      </c>
      <c r="S27" s="57">
        <f t="shared" ref="S27:S41" si="14">S26+O27</f>
        <v>8426037.5</v>
      </c>
    </row>
    <row r="28" spans="1:19" x14ac:dyDescent="0.4">
      <c r="B28" s="56">
        <v>44496</v>
      </c>
      <c r="C28" s="1" t="s">
        <v>68</v>
      </c>
      <c r="D28" s="1" t="s">
        <v>49</v>
      </c>
      <c r="E28" s="1" t="s">
        <v>22</v>
      </c>
      <c r="F28" s="3">
        <f>'Data(Greeks)'!Q8</f>
        <v>-0.54788470104700804</v>
      </c>
      <c r="G28" s="1">
        <v>1</v>
      </c>
      <c r="H28" s="1">
        <f t="shared" si="5"/>
        <v>-100</v>
      </c>
      <c r="I28" s="1">
        <f t="shared" si="10"/>
        <v>-58</v>
      </c>
      <c r="J28" s="71">
        <f t="shared" si="6"/>
        <v>-3.2115298952991935</v>
      </c>
      <c r="K28" s="38">
        <f t="shared" si="7"/>
        <v>3</v>
      </c>
      <c r="L28" s="1" t="str">
        <f t="shared" si="11"/>
        <v>Buy</v>
      </c>
      <c r="M28" s="31">
        <f>'Data(Greeks)'!W8</f>
        <v>1.16195</v>
      </c>
      <c r="N28" s="31">
        <f t="shared" si="12"/>
        <v>435731.25</v>
      </c>
      <c r="O28" s="69">
        <f t="shared" si="8"/>
        <v>-435731.25</v>
      </c>
      <c r="Q28" s="65">
        <f t="shared" si="9"/>
        <v>-55</v>
      </c>
      <c r="R28" s="78">
        <f t="shared" si="13"/>
        <v>-7988406.2500000009</v>
      </c>
      <c r="S28" s="57">
        <f t="shared" si="14"/>
        <v>7990306.25</v>
      </c>
    </row>
    <row r="29" spans="1:19" x14ac:dyDescent="0.4">
      <c r="B29" s="56">
        <v>44497</v>
      </c>
      <c r="C29" s="1" t="s">
        <v>68</v>
      </c>
      <c r="D29" s="1" t="s">
        <v>49</v>
      </c>
      <c r="E29" s="1" t="s">
        <v>22</v>
      </c>
      <c r="F29" s="3">
        <f>'Data(Greeks)'!Q9</f>
        <v>-0.393087932246797</v>
      </c>
      <c r="G29" s="1">
        <v>1</v>
      </c>
      <c r="H29" s="1">
        <f t="shared" si="5"/>
        <v>-100</v>
      </c>
      <c r="I29" s="1">
        <f t="shared" si="10"/>
        <v>-55</v>
      </c>
      <c r="J29" s="71">
        <f t="shared" si="6"/>
        <v>-15.691206775320303</v>
      </c>
      <c r="K29" s="38">
        <f t="shared" si="7"/>
        <v>16</v>
      </c>
      <c r="L29" s="1" t="str">
        <f t="shared" si="11"/>
        <v>Buy</v>
      </c>
      <c r="M29" s="31">
        <f>'Data(Greeks)'!W9</f>
        <v>1.1694500000000001</v>
      </c>
      <c r="N29" s="31">
        <f t="shared" si="12"/>
        <v>2338900</v>
      </c>
      <c r="O29" s="69">
        <f t="shared" si="8"/>
        <v>-2338900</v>
      </c>
      <c r="Q29" s="65">
        <f t="shared" si="9"/>
        <v>-39</v>
      </c>
      <c r="R29" s="78">
        <f t="shared" si="13"/>
        <v>-5701068.75</v>
      </c>
      <c r="S29" s="57">
        <f t="shared" si="14"/>
        <v>5651406.25</v>
      </c>
    </row>
    <row r="30" spans="1:19" x14ac:dyDescent="0.4">
      <c r="B30" s="56">
        <v>44498</v>
      </c>
      <c r="C30" s="1" t="s">
        <v>68</v>
      </c>
      <c r="D30" s="1" t="s">
        <v>49</v>
      </c>
      <c r="E30" s="1" t="s">
        <v>22</v>
      </c>
      <c r="F30" s="3">
        <f>'Data(Greeks)'!Q10</f>
        <v>-0.62104369587849795</v>
      </c>
      <c r="G30" s="1">
        <v>1</v>
      </c>
      <c r="H30" s="1">
        <f t="shared" si="5"/>
        <v>-100</v>
      </c>
      <c r="I30" s="1">
        <f t="shared" si="10"/>
        <v>-39</v>
      </c>
      <c r="J30" s="71">
        <f t="shared" si="6"/>
        <v>23.104369587849796</v>
      </c>
      <c r="K30" s="38">
        <f t="shared" si="7"/>
        <v>-23</v>
      </c>
      <c r="L30" s="1" t="str">
        <f t="shared" si="11"/>
        <v>Sell</v>
      </c>
      <c r="M30" s="31">
        <f>'Data(Greeks)'!W10</f>
        <v>1.1568499999999999</v>
      </c>
      <c r="N30" s="31">
        <f t="shared" si="12"/>
        <v>-3325943.75</v>
      </c>
      <c r="O30" s="69">
        <f t="shared" si="8"/>
        <v>3325943.75</v>
      </c>
      <c r="Q30" s="65">
        <f t="shared" si="9"/>
        <v>-62</v>
      </c>
      <c r="R30" s="78">
        <f t="shared" si="13"/>
        <v>-8965587.5</v>
      </c>
      <c r="S30" s="57">
        <f t="shared" si="14"/>
        <v>8977350</v>
      </c>
    </row>
    <row r="31" spans="1:19" x14ac:dyDescent="0.4">
      <c r="B31" s="56">
        <v>44501</v>
      </c>
      <c r="C31" s="1" t="s">
        <v>68</v>
      </c>
      <c r="D31" s="1" t="s">
        <v>49</v>
      </c>
      <c r="E31" s="1" t="s">
        <v>22</v>
      </c>
      <c r="F31" s="3">
        <f>'Data(Greeks)'!Q11</f>
        <v>-0.54877387283382095</v>
      </c>
      <c r="G31" s="1">
        <v>1</v>
      </c>
      <c r="H31" s="1">
        <f t="shared" si="5"/>
        <v>-100</v>
      </c>
      <c r="I31" s="1">
        <f t="shared" si="10"/>
        <v>-62</v>
      </c>
      <c r="J31" s="71">
        <f t="shared" si="6"/>
        <v>-7.1226127166179083</v>
      </c>
      <c r="K31" s="38">
        <f t="shared" si="7"/>
        <v>7</v>
      </c>
      <c r="L31" s="1" t="str">
        <f t="shared" si="11"/>
        <v>Buy</v>
      </c>
      <c r="M31" s="31">
        <f>'Data(Greeks)'!W11</f>
        <v>1.1616</v>
      </c>
      <c r="N31" s="31">
        <f t="shared" si="12"/>
        <v>1016400</v>
      </c>
      <c r="O31" s="69">
        <f t="shared" si="8"/>
        <v>-1016400</v>
      </c>
      <c r="Q31" s="65">
        <f t="shared" si="9"/>
        <v>-55</v>
      </c>
      <c r="R31" s="78">
        <f t="shared" si="13"/>
        <v>-7986000</v>
      </c>
      <c r="S31" s="57">
        <f t="shared" si="14"/>
        <v>7960950</v>
      </c>
    </row>
    <row r="32" spans="1:19" x14ac:dyDescent="0.4">
      <c r="B32" s="56">
        <v>44502</v>
      </c>
      <c r="C32" s="1" t="s">
        <v>68</v>
      </c>
      <c r="D32" s="1" t="s">
        <v>49</v>
      </c>
      <c r="E32" s="1" t="s">
        <v>22</v>
      </c>
      <c r="F32" s="3">
        <f>'Data(Greeks)'!Q12</f>
        <v>-0.62869012398024404</v>
      </c>
      <c r="G32" s="1">
        <v>1</v>
      </c>
      <c r="H32" s="1">
        <f t="shared" si="5"/>
        <v>-100</v>
      </c>
      <c r="I32" s="1">
        <f t="shared" si="10"/>
        <v>-55</v>
      </c>
      <c r="J32" s="71">
        <f t="shared" si="6"/>
        <v>7.8690123980244024</v>
      </c>
      <c r="K32" s="38">
        <f t="shared" si="7"/>
        <v>-8</v>
      </c>
      <c r="L32" s="1" t="str">
        <f t="shared" si="11"/>
        <v>Sell</v>
      </c>
      <c r="M32" s="31">
        <f>'Data(Greeks)'!W12</f>
        <v>1.1591</v>
      </c>
      <c r="N32" s="31">
        <f t="shared" si="12"/>
        <v>-1159100</v>
      </c>
      <c r="O32" s="69">
        <f t="shared" si="8"/>
        <v>1159100</v>
      </c>
      <c r="Q32" s="65">
        <f t="shared" si="9"/>
        <v>-63</v>
      </c>
      <c r="R32" s="78">
        <f t="shared" si="13"/>
        <v>-9127912.5</v>
      </c>
      <c r="S32" s="57">
        <f t="shared" si="14"/>
        <v>9120050</v>
      </c>
    </row>
    <row r="33" spans="1:19" x14ac:dyDescent="0.4">
      <c r="B33" s="56">
        <v>44503</v>
      </c>
      <c r="C33" s="1" t="s">
        <v>68</v>
      </c>
      <c r="D33" s="1" t="s">
        <v>49</v>
      </c>
      <c r="E33" s="1" t="s">
        <v>22</v>
      </c>
      <c r="F33" s="3">
        <f>'Data(Greeks)'!Q13</f>
        <v>-0.534478230331496</v>
      </c>
      <c r="G33" s="1">
        <v>1</v>
      </c>
      <c r="H33" s="1">
        <f t="shared" si="5"/>
        <v>-100</v>
      </c>
      <c r="I33" s="1">
        <f t="shared" si="10"/>
        <v>-63</v>
      </c>
      <c r="J33" s="71">
        <f t="shared" si="6"/>
        <v>-9.5521769668504035</v>
      </c>
      <c r="K33" s="38">
        <f t="shared" si="7"/>
        <v>10</v>
      </c>
      <c r="L33" s="1" t="str">
        <f t="shared" si="11"/>
        <v>Buy</v>
      </c>
      <c r="M33" s="31">
        <f>'Data(Greeks)'!W13</f>
        <v>1.1619999999999999</v>
      </c>
      <c r="N33" s="31">
        <f t="shared" si="12"/>
        <v>1452500</v>
      </c>
      <c r="O33" s="69">
        <f t="shared" si="8"/>
        <v>-1452500</v>
      </c>
      <c r="Q33" s="65">
        <f t="shared" si="9"/>
        <v>-53</v>
      </c>
      <c r="R33" s="78">
        <f t="shared" si="13"/>
        <v>-7698250</v>
      </c>
      <c r="S33" s="57">
        <f t="shared" si="14"/>
        <v>7667550</v>
      </c>
    </row>
    <row r="34" spans="1:19" x14ac:dyDescent="0.4">
      <c r="B34" s="56">
        <v>44504</v>
      </c>
      <c r="C34" s="1" t="s">
        <v>68</v>
      </c>
      <c r="D34" s="1" t="s">
        <v>49</v>
      </c>
      <c r="E34" s="1" t="s">
        <v>22</v>
      </c>
      <c r="F34" s="3">
        <f>'Data(Greeks)'!Q14</f>
        <v>-0.64941515794064897</v>
      </c>
      <c r="G34" s="1">
        <v>1</v>
      </c>
      <c r="H34" s="1">
        <f t="shared" si="5"/>
        <v>-100</v>
      </c>
      <c r="I34" s="1">
        <f t="shared" si="10"/>
        <v>-53</v>
      </c>
      <c r="J34" s="71">
        <f t="shared" si="6"/>
        <v>11.941515794064898</v>
      </c>
      <c r="K34" s="38">
        <f t="shared" si="7"/>
        <v>-12</v>
      </c>
      <c r="L34" s="1" t="str">
        <f t="shared" si="11"/>
        <v>Sell</v>
      </c>
      <c r="M34" s="31">
        <f>'Data(Greeks)'!W14</f>
        <v>1.1560999999999999</v>
      </c>
      <c r="N34" s="31">
        <f t="shared" si="12"/>
        <v>-1734149.9999999998</v>
      </c>
      <c r="O34" s="69">
        <f t="shared" si="8"/>
        <v>1734149.9999999998</v>
      </c>
      <c r="Q34" s="65">
        <f t="shared" si="9"/>
        <v>-65</v>
      </c>
      <c r="R34" s="78">
        <f t="shared" si="13"/>
        <v>-9393312.4999999981</v>
      </c>
      <c r="S34" s="57">
        <f t="shared" si="14"/>
        <v>9401700</v>
      </c>
    </row>
    <row r="35" spans="1:19" x14ac:dyDescent="0.4">
      <c r="B35" s="56">
        <v>44505</v>
      </c>
      <c r="C35" s="1" t="s">
        <v>68</v>
      </c>
      <c r="D35" s="1" t="s">
        <v>49</v>
      </c>
      <c r="E35" s="1" t="s">
        <v>22</v>
      </c>
      <c r="F35" s="3">
        <f>'Data(Greeks)'!Q15</f>
        <v>-0.64379382898349602</v>
      </c>
      <c r="G35" s="1">
        <v>1</v>
      </c>
      <c r="H35" s="1">
        <f t="shared" si="5"/>
        <v>-100</v>
      </c>
      <c r="I35" s="1">
        <f t="shared" si="10"/>
        <v>-65</v>
      </c>
      <c r="J35" s="71">
        <f t="shared" si="6"/>
        <v>-0.62061710165039585</v>
      </c>
      <c r="K35" s="38">
        <f t="shared" si="7"/>
        <v>1</v>
      </c>
      <c r="L35" s="1" t="str">
        <f t="shared" si="11"/>
        <v>Buy</v>
      </c>
      <c r="M35" s="31">
        <f>'Data(Greeks)'!W15</f>
        <v>1.1557999999999999</v>
      </c>
      <c r="N35" s="31">
        <f t="shared" si="12"/>
        <v>144475</v>
      </c>
      <c r="O35" s="69">
        <f t="shared" si="8"/>
        <v>-144475</v>
      </c>
      <c r="Q35" s="65">
        <f t="shared" si="9"/>
        <v>-64</v>
      </c>
      <c r="R35" s="78">
        <f t="shared" si="13"/>
        <v>-9246400</v>
      </c>
      <c r="S35" s="57">
        <f t="shared" si="14"/>
        <v>9257225</v>
      </c>
    </row>
    <row r="36" spans="1:19" x14ac:dyDescent="0.4">
      <c r="B36" s="56">
        <v>44508</v>
      </c>
      <c r="C36" s="1" t="s">
        <v>68</v>
      </c>
      <c r="D36" s="1" t="s">
        <v>49</v>
      </c>
      <c r="E36" s="1" t="s">
        <v>22</v>
      </c>
      <c r="F36" s="3">
        <f>'Data(Greeks)'!Q16</f>
        <v>-0.62539429378998102</v>
      </c>
      <c r="G36" s="1">
        <v>1</v>
      </c>
      <c r="H36" s="1">
        <f t="shared" si="5"/>
        <v>-100</v>
      </c>
      <c r="I36" s="1">
        <f t="shared" si="10"/>
        <v>-64</v>
      </c>
      <c r="J36" s="71">
        <f t="shared" si="6"/>
        <v>-1.4605706210018994</v>
      </c>
      <c r="K36" s="38">
        <f t="shared" si="7"/>
        <v>1</v>
      </c>
      <c r="L36" s="1" t="str">
        <f t="shared" si="11"/>
        <v>Buy</v>
      </c>
      <c r="M36" s="31">
        <f>'Data(Greeks)'!W16</f>
        <v>1.1597</v>
      </c>
      <c r="N36" s="31">
        <f t="shared" si="12"/>
        <v>144962.5</v>
      </c>
      <c r="O36" s="69">
        <f t="shared" si="8"/>
        <v>-144962.5</v>
      </c>
      <c r="Q36" s="65">
        <f t="shared" si="9"/>
        <v>-63</v>
      </c>
      <c r="R36" s="78">
        <f t="shared" si="13"/>
        <v>-9132637.5</v>
      </c>
      <c r="S36" s="57">
        <f t="shared" si="14"/>
        <v>9112262.5</v>
      </c>
    </row>
    <row r="37" spans="1:19" x14ac:dyDescent="0.4">
      <c r="B37" s="56">
        <v>44509</v>
      </c>
      <c r="C37" s="1" t="s">
        <v>68</v>
      </c>
      <c r="D37" s="1" t="s">
        <v>49</v>
      </c>
      <c r="E37" s="1" t="s">
        <v>22</v>
      </c>
      <c r="F37" s="3">
        <f>'Data(Greeks)'!Q17</f>
        <v>-0.60761053660400099</v>
      </c>
      <c r="G37" s="1">
        <v>1</v>
      </c>
      <c r="H37" s="1">
        <f t="shared" si="5"/>
        <v>-100</v>
      </c>
      <c r="I37" s="1">
        <f t="shared" si="10"/>
        <v>-63</v>
      </c>
      <c r="J37" s="71">
        <f t="shared" si="6"/>
        <v>-2.2389463395998987</v>
      </c>
      <c r="K37" s="38">
        <f t="shared" si="7"/>
        <v>2</v>
      </c>
      <c r="L37" s="1" t="str">
        <f t="shared" si="11"/>
        <v>Buy</v>
      </c>
      <c r="M37" s="31">
        <f>'Data(Greeks)'!W17</f>
        <v>1.16015</v>
      </c>
      <c r="N37" s="31">
        <f t="shared" si="12"/>
        <v>290037.5</v>
      </c>
      <c r="O37" s="69">
        <f t="shared" si="8"/>
        <v>-290037.5</v>
      </c>
      <c r="Q37" s="65">
        <f t="shared" si="9"/>
        <v>-61</v>
      </c>
      <c r="R37" s="78">
        <f t="shared" si="13"/>
        <v>-8846143.75</v>
      </c>
      <c r="S37" s="57">
        <f t="shared" si="14"/>
        <v>8822225</v>
      </c>
    </row>
    <row r="38" spans="1:19" x14ac:dyDescent="0.4">
      <c r="B38" s="56">
        <v>44510</v>
      </c>
      <c r="C38" s="1" t="s">
        <v>68</v>
      </c>
      <c r="D38" s="1" t="s">
        <v>49</v>
      </c>
      <c r="E38" s="1" t="s">
        <v>22</v>
      </c>
      <c r="F38" s="3">
        <f>'Data(Greeks)'!Q18</f>
        <v>-0.81090697799935596</v>
      </c>
      <c r="G38" s="1">
        <v>1</v>
      </c>
      <c r="H38" s="1">
        <f t="shared" si="5"/>
        <v>-100</v>
      </c>
      <c r="I38" s="1">
        <f t="shared" si="10"/>
        <v>-61</v>
      </c>
      <c r="J38" s="71">
        <f t="shared" si="6"/>
        <v>20.090697799935597</v>
      </c>
      <c r="K38" s="38">
        <f t="shared" si="7"/>
        <v>-20</v>
      </c>
      <c r="L38" s="1" t="str">
        <f t="shared" si="11"/>
        <v>Sell</v>
      </c>
      <c r="M38" s="31">
        <f>'Data(Greeks)'!W18</f>
        <v>1.1490499999999999</v>
      </c>
      <c r="N38" s="31">
        <f t="shared" si="12"/>
        <v>-2872624.9999999995</v>
      </c>
      <c r="O38" s="69">
        <f t="shared" si="8"/>
        <v>2872624.9999999995</v>
      </c>
      <c r="Q38" s="65">
        <f t="shared" si="9"/>
        <v>-81</v>
      </c>
      <c r="R38" s="78">
        <f t="shared" si="13"/>
        <v>-11634131.25</v>
      </c>
      <c r="S38" s="57">
        <f t="shared" si="14"/>
        <v>11694850</v>
      </c>
    </row>
    <row r="39" spans="1:19" x14ac:dyDescent="0.4">
      <c r="B39" s="56">
        <v>44511</v>
      </c>
      <c r="C39" s="1" t="s">
        <v>68</v>
      </c>
      <c r="D39" s="1" t="s">
        <v>49</v>
      </c>
      <c r="E39" s="1" t="s">
        <v>22</v>
      </c>
      <c r="F39" s="3">
        <f>'Data(Greeks)'!Q19</f>
        <v>-0.87211565991583295</v>
      </c>
      <c r="G39" s="1">
        <v>1</v>
      </c>
      <c r="H39" s="1">
        <f t="shared" si="5"/>
        <v>-100</v>
      </c>
      <c r="I39" s="1">
        <f t="shared" si="10"/>
        <v>-81</v>
      </c>
      <c r="J39" s="71">
        <f t="shared" si="6"/>
        <v>6.2115659915832993</v>
      </c>
      <c r="K39" s="38">
        <f t="shared" si="7"/>
        <v>-6</v>
      </c>
      <c r="L39" s="1" t="str">
        <f t="shared" si="11"/>
        <v>Sell</v>
      </c>
      <c r="M39" s="31">
        <f>'Data(Greeks)'!W19</f>
        <v>1.1451499999999999</v>
      </c>
      <c r="N39" s="31">
        <f t="shared" si="12"/>
        <v>-858862.49999999988</v>
      </c>
      <c r="O39" s="69">
        <f t="shared" si="8"/>
        <v>858862.49999999988</v>
      </c>
      <c r="Q39" s="65">
        <f t="shared" si="9"/>
        <v>-87</v>
      </c>
      <c r="R39" s="78">
        <f t="shared" si="13"/>
        <v>-12453506.249999998</v>
      </c>
      <c r="S39" s="57">
        <f t="shared" si="14"/>
        <v>12553712.5</v>
      </c>
    </row>
    <row r="40" spans="1:19" x14ac:dyDescent="0.4">
      <c r="B40" s="56">
        <v>44512</v>
      </c>
      <c r="C40" s="1" t="s">
        <v>68</v>
      </c>
      <c r="D40" s="1" t="s">
        <v>49</v>
      </c>
      <c r="E40" s="1" t="s">
        <v>22</v>
      </c>
      <c r="F40" s="3">
        <f>'Data(Greeks)'!Q20</f>
        <v>-0.83098005329020197</v>
      </c>
      <c r="G40" s="1">
        <v>1</v>
      </c>
      <c r="H40" s="1">
        <f t="shared" si="5"/>
        <v>-100</v>
      </c>
      <c r="I40" s="1">
        <f t="shared" si="10"/>
        <v>-87</v>
      </c>
      <c r="J40" s="71">
        <f t="shared" si="6"/>
        <v>-3.9019946709798035</v>
      </c>
      <c r="K40" s="38">
        <f t="shared" si="7"/>
        <v>4</v>
      </c>
      <c r="L40" s="1" t="str">
        <f t="shared" si="11"/>
        <v>Buy</v>
      </c>
      <c r="M40" s="31">
        <f>'Data(Greeks)'!W20</f>
        <v>1.145</v>
      </c>
      <c r="N40" s="31">
        <f>K40*M40*125000</f>
        <v>572500</v>
      </c>
      <c r="O40" s="69">
        <f t="shared" si="8"/>
        <v>-572500</v>
      </c>
      <c r="Q40" s="65">
        <f t="shared" si="9"/>
        <v>-83</v>
      </c>
      <c r="R40" s="78">
        <f t="shared" si="13"/>
        <v>-11879375</v>
      </c>
      <c r="S40" s="57">
        <f t="shared" si="14"/>
        <v>11981212.5</v>
      </c>
    </row>
    <row r="41" spans="1:19" ht="18" thickBot="1" x14ac:dyDescent="0.45">
      <c r="A41" s="95" t="s">
        <v>57</v>
      </c>
      <c r="B41" s="58">
        <v>44512</v>
      </c>
      <c r="C41" s="50" t="s">
        <v>68</v>
      </c>
      <c r="D41" s="50" t="s">
        <v>49</v>
      </c>
      <c r="E41" s="50" t="s">
        <v>22</v>
      </c>
      <c r="F41" s="50">
        <f>F40</f>
        <v>-0.83098005329020197</v>
      </c>
      <c r="G41" s="50">
        <v>1</v>
      </c>
      <c r="H41" s="50">
        <f t="shared" si="5"/>
        <v>0</v>
      </c>
      <c r="I41" s="50">
        <f>I40+K40</f>
        <v>-83</v>
      </c>
      <c r="J41" s="73">
        <f t="shared" si="6"/>
        <v>-83</v>
      </c>
      <c r="K41" s="50">
        <f t="shared" si="7"/>
        <v>83</v>
      </c>
      <c r="L41" s="50" t="str">
        <f t="shared" si="11"/>
        <v>Buy</v>
      </c>
      <c r="M41" s="50">
        <v>1.145</v>
      </c>
      <c r="N41" s="67">
        <f t="shared" si="12"/>
        <v>11879375</v>
      </c>
      <c r="O41" s="70">
        <f t="shared" si="8"/>
        <v>-11879375</v>
      </c>
      <c r="Q41" s="66">
        <f t="shared" si="9"/>
        <v>0</v>
      </c>
      <c r="R41" s="50">
        <f t="shared" si="13"/>
        <v>0</v>
      </c>
      <c r="S41" s="59">
        <f t="shared" si="14"/>
        <v>101837.5</v>
      </c>
    </row>
    <row r="42" spans="1:19" s="42" customFormat="1" x14ac:dyDescent="0.4">
      <c r="B42" s="39"/>
      <c r="C42" s="35"/>
      <c r="D42" s="35"/>
      <c r="F42" s="35"/>
      <c r="G42" s="35"/>
      <c r="H42" s="35"/>
      <c r="I42" s="35"/>
      <c r="J42" s="35"/>
      <c r="K42" s="35"/>
      <c r="L42" s="40"/>
      <c r="M42" s="40"/>
      <c r="N42" s="41"/>
      <c r="O42" s="35"/>
      <c r="P42" s="35"/>
      <c r="Q42" s="35"/>
      <c r="R42" s="35"/>
      <c r="S42" s="35"/>
    </row>
    <row r="43" spans="1:19" ht="18" thickBot="1" x14ac:dyDescent="0.45">
      <c r="B43" s="96" t="s">
        <v>23</v>
      </c>
      <c r="F43" s="34"/>
      <c r="G43" s="34"/>
      <c r="H43" s="34"/>
    </row>
    <row r="44" spans="1:19" ht="18" thickBot="1" x14ac:dyDescent="0.45">
      <c r="B44" s="4" t="s">
        <v>0</v>
      </c>
      <c r="C44" s="5" t="s">
        <v>24</v>
      </c>
      <c r="D44" s="5" t="s">
        <v>25</v>
      </c>
      <c r="E44" s="5" t="s">
        <v>26</v>
      </c>
      <c r="F44" s="5" t="s">
        <v>27</v>
      </c>
      <c r="G44" s="5" t="s">
        <v>28</v>
      </c>
      <c r="H44" s="10" t="s">
        <v>29</v>
      </c>
      <c r="I44" s="87" t="s">
        <v>30</v>
      </c>
      <c r="J44" s="10" t="s">
        <v>31</v>
      </c>
      <c r="K44" s="10" t="s">
        <v>32</v>
      </c>
      <c r="L44" s="11" t="s">
        <v>33</v>
      </c>
      <c r="M44" s="34"/>
      <c r="N44" s="83" t="s">
        <v>61</v>
      </c>
      <c r="O44" s="6" t="s">
        <v>56</v>
      </c>
      <c r="Q44" s="81" t="s">
        <v>62</v>
      </c>
    </row>
    <row r="45" spans="1:19" ht="18" thickTop="1" x14ac:dyDescent="0.4">
      <c r="B45" s="7">
        <v>44494</v>
      </c>
      <c r="C45" s="18">
        <f>'Data(Greeks)'!X6</f>
        <v>-2.0999999999999999E-3</v>
      </c>
      <c r="D45" s="3">
        <f>'Data(Greeks)'!H6*'Data(Greeks)'!C6/125000</f>
        <v>1.1098660093924081E-6</v>
      </c>
      <c r="E45" s="3">
        <f>$G$7*125000*'Data(Greeks)'!C6</f>
        <v>-78750</v>
      </c>
      <c r="F45" s="3">
        <f>C45*(D45^2)*100/2*125000</f>
        <v>-1.6167408584310752E-8</v>
      </c>
      <c r="G45" s="12">
        <f t="shared" ref="G45:G59" si="15">J26+K26</f>
        <v>0.44366748846289994</v>
      </c>
      <c r="H45" s="12">
        <f>'Data(Greeks)'!J6*125000*H26</f>
        <v>1825.426415607079</v>
      </c>
      <c r="I45" s="76">
        <f>125000*('Data(Greeks)'!H6)*M26/H26</f>
        <v>-31995.356052015515</v>
      </c>
      <c r="J45" s="3"/>
      <c r="K45" s="20">
        <f t="shared" ref="K45:K59" si="16">H45+I45</f>
        <v>-30169.929636408437</v>
      </c>
      <c r="L45" s="55">
        <f>SUM(K45)</f>
        <v>-30169.929636408437</v>
      </c>
      <c r="M45" s="34"/>
      <c r="N45" s="64">
        <f t="shared" ref="N45:N60" si="17">K7+R26</f>
        <v>-7813068.75</v>
      </c>
      <c r="O45" s="84">
        <f t="shared" ref="O45:O60" si="18">L7+S26</f>
        <v>7813068.75</v>
      </c>
      <c r="Q45" s="80">
        <f>O45+N45</f>
        <v>0</v>
      </c>
    </row>
    <row r="46" spans="1:19" x14ac:dyDescent="0.4">
      <c r="B46" s="56">
        <v>44495</v>
      </c>
      <c r="C46" s="18">
        <f>'Data(Greeks)'!X7</f>
        <v>-1.4E-3</v>
      </c>
      <c r="D46" s="1"/>
      <c r="E46" s="1"/>
      <c r="F46" s="19"/>
      <c r="G46" s="31">
        <f t="shared" si="15"/>
        <v>-0.2105794585677998</v>
      </c>
      <c r="H46" s="12">
        <f>'Data(Greeks)'!J7*125000*H27</f>
        <v>1786.6787182092519</v>
      </c>
      <c r="I46" s="75"/>
      <c r="J46" s="1"/>
      <c r="K46" s="20">
        <f t="shared" si="16"/>
        <v>1786.6787182092519</v>
      </c>
      <c r="L46" s="57">
        <f>SUM($K$45:K46)</f>
        <v>-28383.250918199185</v>
      </c>
      <c r="M46" s="34"/>
      <c r="N46" s="65">
        <f t="shared" si="17"/>
        <v>-8525437.5</v>
      </c>
      <c r="O46" s="85">
        <f t="shared" si="18"/>
        <v>8538537.5</v>
      </c>
      <c r="Q46" s="79">
        <f t="shared" ref="Q46:Q60" si="19">O46+N46</f>
        <v>13100</v>
      </c>
    </row>
    <row r="47" spans="1:19" x14ac:dyDescent="0.4">
      <c r="B47" s="56">
        <v>44496</v>
      </c>
      <c r="C47" s="18">
        <f>'Data(Greeks)'!X8</f>
        <v>1E-3</v>
      </c>
      <c r="D47" s="1"/>
      <c r="E47" s="1"/>
      <c r="F47" s="1"/>
      <c r="G47" s="31">
        <f t="shared" si="15"/>
        <v>-0.21152989529919353</v>
      </c>
      <c r="H47" s="12">
        <f>'Data(Greeks)'!J8*125000*H28</f>
        <v>1907.8827222474756</v>
      </c>
      <c r="I47" s="75"/>
      <c r="J47" s="1"/>
      <c r="K47" s="20">
        <f t="shared" si="16"/>
        <v>1907.8827222474756</v>
      </c>
      <c r="L47" s="57">
        <f>SUM($K$45:K47)</f>
        <v>-26475.368195951709</v>
      </c>
      <c r="M47" s="34"/>
      <c r="N47" s="65">
        <f t="shared" si="17"/>
        <v>-8094656.2500000009</v>
      </c>
      <c r="O47" s="85">
        <f t="shared" si="18"/>
        <v>8102806.25</v>
      </c>
      <c r="Q47" s="79">
        <f t="shared" si="19"/>
        <v>8149.9999999990687</v>
      </c>
    </row>
    <row r="48" spans="1:19" x14ac:dyDescent="0.4">
      <c r="B48" s="56">
        <v>44497</v>
      </c>
      <c r="C48" s="18">
        <f>'Data(Greeks)'!X9</f>
        <v>6.4999999999999997E-3</v>
      </c>
      <c r="D48" s="1"/>
      <c r="E48" s="1"/>
      <c r="F48" s="1"/>
      <c r="G48" s="31">
        <f t="shared" si="15"/>
        <v>0.30879322467969672</v>
      </c>
      <c r="H48" s="12">
        <f>'Data(Greeks)'!J9*125000*H29</f>
        <v>1991.1792351440972</v>
      </c>
      <c r="I48" s="75"/>
      <c r="J48" s="1"/>
      <c r="K48" s="20">
        <f t="shared" si="16"/>
        <v>1991.1792351440972</v>
      </c>
      <c r="L48" s="57">
        <f>SUM($K$45:K48)</f>
        <v>-24484.188960807613</v>
      </c>
      <c r="M48" s="34"/>
      <c r="N48" s="65">
        <f t="shared" si="17"/>
        <v>-5769818.75</v>
      </c>
      <c r="O48" s="85">
        <f t="shared" si="18"/>
        <v>5763906.25</v>
      </c>
      <c r="Q48" s="79">
        <f t="shared" si="19"/>
        <v>-5912.5</v>
      </c>
    </row>
    <row r="49" spans="1:18" x14ac:dyDescent="0.4">
      <c r="B49" s="56">
        <v>44498</v>
      </c>
      <c r="C49" s="18">
        <f>'Data(Greeks)'!X10</f>
        <v>-1.0800000000000001E-2</v>
      </c>
      <c r="D49" s="1"/>
      <c r="E49" s="1"/>
      <c r="F49" s="1"/>
      <c r="G49" s="31">
        <f t="shared" si="15"/>
        <v>0.10436958784979566</v>
      </c>
      <c r="H49" s="12">
        <f>'Data(Greeks)'!J10*125000*H30</f>
        <v>1805.5315875527758</v>
      </c>
      <c r="I49" s="75"/>
      <c r="J49" s="1"/>
      <c r="K49" s="20">
        <f t="shared" si="16"/>
        <v>1805.5315875527758</v>
      </c>
      <c r="L49" s="57">
        <f>SUM($K$45:K49)</f>
        <v>-22678.657373254835</v>
      </c>
      <c r="M49" s="34"/>
      <c r="N49" s="65">
        <f t="shared" si="17"/>
        <v>-9135587.5</v>
      </c>
      <c r="O49" s="85">
        <f t="shared" si="18"/>
        <v>9089850</v>
      </c>
      <c r="Q49" s="79">
        <f t="shared" si="19"/>
        <v>-45737.5</v>
      </c>
    </row>
    <row r="50" spans="1:18" x14ac:dyDescent="0.4">
      <c r="B50" s="56">
        <v>44501</v>
      </c>
      <c r="C50" s="18">
        <f>'Data(Greeks)'!X11</f>
        <v>4.1000000000000003E-3</v>
      </c>
      <c r="D50" s="1"/>
      <c r="E50" s="1"/>
      <c r="F50" s="1"/>
      <c r="G50" s="31">
        <f t="shared" si="15"/>
        <v>-0.12261271661790829</v>
      </c>
      <c r="H50" s="12">
        <f>'Data(Greeks)'!J11*125000*H31</f>
        <v>2023.305924755249</v>
      </c>
      <c r="I50" s="75"/>
      <c r="J50" s="1"/>
      <c r="K50" s="20">
        <f t="shared" si="16"/>
        <v>2023.305924755249</v>
      </c>
      <c r="L50" s="57">
        <f>SUM($K$45:K50)</f>
        <v>-20655.351448499587</v>
      </c>
      <c r="M50" s="34"/>
      <c r="N50" s="65">
        <f t="shared" si="17"/>
        <v>-8109750</v>
      </c>
      <c r="O50" s="85">
        <f t="shared" si="18"/>
        <v>8073450</v>
      </c>
      <c r="Q50" s="79">
        <f t="shared" si="19"/>
        <v>-36300</v>
      </c>
    </row>
    <row r="51" spans="1:18" x14ac:dyDescent="0.4">
      <c r="B51" s="56">
        <v>44502</v>
      </c>
      <c r="C51" s="18">
        <f>'Data(Greeks)'!X12</f>
        <v>-2.2000000000000001E-3</v>
      </c>
      <c r="D51" s="1"/>
      <c r="E51" s="1"/>
      <c r="F51" s="1"/>
      <c r="G51" s="31">
        <f t="shared" si="15"/>
        <v>-0.13098760197559756</v>
      </c>
      <c r="H51" s="12">
        <f>'Data(Greeks)'!J12*125000*H32</f>
        <v>2164.7805208803279</v>
      </c>
      <c r="I51" s="75"/>
      <c r="J51" s="1"/>
      <c r="K51" s="20">
        <f t="shared" si="16"/>
        <v>2164.7805208803279</v>
      </c>
      <c r="L51" s="57">
        <f>SUM($K$45:K51)</f>
        <v>-18490.570927619257</v>
      </c>
      <c r="M51" s="34"/>
      <c r="N51" s="65">
        <f t="shared" si="17"/>
        <v>-9244162.5</v>
      </c>
      <c r="O51" s="85">
        <f t="shared" si="18"/>
        <v>9232550</v>
      </c>
      <c r="Q51" s="79">
        <f t="shared" si="19"/>
        <v>-11612.5</v>
      </c>
    </row>
    <row r="52" spans="1:18" x14ac:dyDescent="0.4">
      <c r="B52" s="56">
        <v>44503</v>
      </c>
      <c r="C52" s="18">
        <f>'Data(Greeks)'!X13</f>
        <v>2.5000000000000001E-3</v>
      </c>
      <c r="D52" s="1"/>
      <c r="E52" s="1"/>
      <c r="F52" s="1"/>
      <c r="G52" s="31">
        <f t="shared" si="15"/>
        <v>0.44782303314959648</v>
      </c>
      <c r="H52" s="12">
        <f>'Data(Greeks)'!J13*125000*H33</f>
        <v>1983.5699272082825</v>
      </c>
      <c r="I52" s="75"/>
      <c r="J52" s="1"/>
      <c r="K52" s="20">
        <f t="shared" si="16"/>
        <v>1983.5699272082825</v>
      </c>
      <c r="L52" s="57">
        <f>SUM($K$45:K52)</f>
        <v>-16507.001000410975</v>
      </c>
      <c r="M52" s="34"/>
      <c r="N52" s="65">
        <f t="shared" si="17"/>
        <v>-7838250</v>
      </c>
      <c r="O52" s="85">
        <f t="shared" si="18"/>
        <v>7780050</v>
      </c>
      <c r="Q52" s="79">
        <f t="shared" si="19"/>
        <v>-58200</v>
      </c>
    </row>
    <row r="53" spans="1:18" x14ac:dyDescent="0.4">
      <c r="B53" s="56">
        <v>44504</v>
      </c>
      <c r="C53" s="18">
        <f>'Data(Greeks)'!X14</f>
        <v>-5.1000000000000004E-3</v>
      </c>
      <c r="D53" s="1"/>
      <c r="E53" s="1"/>
      <c r="F53" s="1"/>
      <c r="G53" s="31">
        <f t="shared" si="15"/>
        <v>-5.8484205935101841E-2</v>
      </c>
      <c r="H53" s="12">
        <f>'Data(Greeks)'!J14*125000*H34</f>
        <v>1778.5344155177049</v>
      </c>
      <c r="I53" s="75"/>
      <c r="J53" s="1"/>
      <c r="K53" s="20">
        <f t="shared" si="16"/>
        <v>1778.5344155177049</v>
      </c>
      <c r="L53" s="57">
        <f>SUM($K$45:K53)</f>
        <v>-14728.466584893271</v>
      </c>
      <c r="M53" s="34"/>
      <c r="N53" s="65">
        <f t="shared" si="17"/>
        <v>-9559562.4999999981</v>
      </c>
      <c r="O53" s="85">
        <f t="shared" si="18"/>
        <v>9514200</v>
      </c>
      <c r="Q53" s="79">
        <f t="shared" si="19"/>
        <v>-45362.499999998137</v>
      </c>
    </row>
    <row r="54" spans="1:18" x14ac:dyDescent="0.4">
      <c r="B54" s="56">
        <v>44505</v>
      </c>
      <c r="C54" s="18">
        <f>'Data(Greeks)'!X15</f>
        <v>-2.9999999999999997E-4</v>
      </c>
      <c r="D54" s="1"/>
      <c r="E54" s="1"/>
      <c r="F54" s="1"/>
      <c r="G54" s="31">
        <f t="shared" si="15"/>
        <v>0.37938289834960415</v>
      </c>
      <c r="H54" s="12">
        <f>'Data(Greeks)'!J15*125000*H35</f>
        <v>1901.7863205246797</v>
      </c>
      <c r="I54" s="75"/>
      <c r="J54" s="1"/>
      <c r="K54" s="20">
        <f t="shared" si="16"/>
        <v>1901.7863205246797</v>
      </c>
      <c r="L54" s="57">
        <f>SUM($K$45:K54)</f>
        <v>-12826.680264368591</v>
      </c>
      <c r="M54" s="34"/>
      <c r="N54" s="65">
        <f t="shared" si="17"/>
        <v>-9422650</v>
      </c>
      <c r="O54" s="85">
        <f t="shared" si="18"/>
        <v>9369725</v>
      </c>
      <c r="Q54" s="79">
        <f t="shared" si="19"/>
        <v>-52925</v>
      </c>
    </row>
    <row r="55" spans="1:18" x14ac:dyDescent="0.4">
      <c r="B55" s="56">
        <v>44508</v>
      </c>
      <c r="C55" s="18">
        <f>'Data(Greeks)'!X16</f>
        <v>3.3999999999999998E-3</v>
      </c>
      <c r="D55" s="1"/>
      <c r="E55" s="1"/>
      <c r="F55" s="1"/>
      <c r="G55" s="31">
        <f t="shared" si="15"/>
        <v>-0.46057062100189938</v>
      </c>
      <c r="H55" s="12">
        <f>'Data(Greeks)'!J16*125000*H36</f>
        <v>2076.3728032340364</v>
      </c>
      <c r="I55" s="75"/>
      <c r="J55" s="1"/>
      <c r="K55" s="20">
        <f t="shared" si="16"/>
        <v>2076.3728032340364</v>
      </c>
      <c r="L55" s="57">
        <f>SUM($K$45:K55)</f>
        <v>-10750.307461134555</v>
      </c>
      <c r="M55" s="34"/>
      <c r="N55" s="65">
        <f t="shared" si="17"/>
        <v>-9240137.5</v>
      </c>
      <c r="O55" s="85">
        <f t="shared" si="18"/>
        <v>9224762.5</v>
      </c>
      <c r="Q55" s="79">
        <f t="shared" si="19"/>
        <v>-15375</v>
      </c>
    </row>
    <row r="56" spans="1:18" x14ac:dyDescent="0.4">
      <c r="B56" s="56">
        <v>44509</v>
      </c>
      <c r="C56" s="18">
        <f>'Data(Greeks)'!X17</f>
        <v>4.0000000000000002E-4</v>
      </c>
      <c r="D56" s="1"/>
      <c r="E56" s="1"/>
      <c r="F56" s="1"/>
      <c r="G56" s="31">
        <f t="shared" si="15"/>
        <v>-0.23894633959989875</v>
      </c>
      <c r="H56" s="12">
        <f>'Data(Greeks)'!J17*125000*H37</f>
        <v>2279.476627104973</v>
      </c>
      <c r="I56" s="75"/>
      <c r="J56" s="1"/>
      <c r="K56" s="20">
        <f t="shared" si="16"/>
        <v>2279.476627104973</v>
      </c>
      <c r="L56" s="57">
        <f>SUM($K$45:K56)</f>
        <v>-8470.8308340295807</v>
      </c>
      <c r="M56" s="34"/>
      <c r="N56" s="65">
        <f t="shared" si="17"/>
        <v>-8954893.75</v>
      </c>
      <c r="O56" s="85">
        <f t="shared" si="18"/>
        <v>8934725</v>
      </c>
      <c r="Q56" s="79">
        <f t="shared" si="19"/>
        <v>-20168.75</v>
      </c>
    </row>
    <row r="57" spans="1:18" x14ac:dyDescent="0.4">
      <c r="B57" s="56">
        <v>44510</v>
      </c>
      <c r="C57" s="18">
        <f>'Data(Greeks)'!X18</f>
        <v>-9.5999999999999992E-3</v>
      </c>
      <c r="D57" s="1"/>
      <c r="E57" s="1"/>
      <c r="F57" s="1"/>
      <c r="G57" s="31">
        <f t="shared" si="15"/>
        <v>9.0697799935597345E-2</v>
      </c>
      <c r="H57" s="12">
        <f>'Data(Greeks)'!J18*125000*H38</f>
        <v>1618.7724574665526</v>
      </c>
      <c r="I57" s="75"/>
      <c r="J57" s="1"/>
      <c r="K57" s="20">
        <f t="shared" si="16"/>
        <v>1618.7724574665526</v>
      </c>
      <c r="L57" s="57">
        <f>SUM($K$45:K57)</f>
        <v>-6852.0583765630281</v>
      </c>
      <c r="M57" s="34"/>
      <c r="N57" s="65">
        <f t="shared" si="17"/>
        <v>-11850381.25</v>
      </c>
      <c r="O57" s="85">
        <f t="shared" si="18"/>
        <v>11807350</v>
      </c>
      <c r="Q57" s="79">
        <f t="shared" si="19"/>
        <v>-43031.25</v>
      </c>
    </row>
    <row r="58" spans="1:18" x14ac:dyDescent="0.4">
      <c r="B58" s="56">
        <v>44511</v>
      </c>
      <c r="C58" s="18">
        <f>'Data(Greeks)'!X19</f>
        <v>-3.3999999999999998E-3</v>
      </c>
      <c r="D58" s="1"/>
      <c r="E58" s="1"/>
      <c r="F58" s="1"/>
      <c r="G58" s="31">
        <f t="shared" si="15"/>
        <v>0.21156599158329925</v>
      </c>
      <c r="H58" s="12">
        <f>'Data(Greeks)'!J19*125000*H39</f>
        <v>1109.9717416084743</v>
      </c>
      <c r="I58" s="75"/>
      <c r="J58" s="1"/>
      <c r="K58" s="20">
        <f t="shared" si="16"/>
        <v>1109.9717416084743</v>
      </c>
      <c r="L58" s="57">
        <f>SUM($K$45:K58)</f>
        <v>-5742.086634954554</v>
      </c>
      <c r="M58" s="34"/>
      <c r="N58" s="65">
        <f t="shared" si="17"/>
        <v>-12709756.249999998</v>
      </c>
      <c r="O58" s="85">
        <f t="shared" si="18"/>
        <v>12666212.5</v>
      </c>
      <c r="Q58" s="79">
        <f t="shared" si="19"/>
        <v>-43543.749999998137</v>
      </c>
    </row>
    <row r="59" spans="1:18" x14ac:dyDescent="0.4">
      <c r="B59" s="56">
        <v>44512</v>
      </c>
      <c r="C59" s="18">
        <f>'Data(Greeks)'!X20</f>
        <v>-1E-4</v>
      </c>
      <c r="D59" s="1"/>
      <c r="E59" s="1"/>
      <c r="F59" s="1"/>
      <c r="G59" s="31">
        <f t="shared" si="15"/>
        <v>9.8005329020196541E-2</v>
      </c>
      <c r="H59" s="12">
        <f>'Data(Greeks)'!J20*125000*H40</f>
        <v>1163.7428139549916</v>
      </c>
      <c r="I59" s="75"/>
      <c r="J59" s="1"/>
      <c r="K59" s="20">
        <f t="shared" si="16"/>
        <v>1163.7428139549916</v>
      </c>
      <c r="L59" s="57">
        <f>SUM($K$45:K59)</f>
        <v>-4578.343820999562</v>
      </c>
      <c r="M59" s="34"/>
      <c r="N59" s="65">
        <f t="shared" si="17"/>
        <v>-12146875</v>
      </c>
      <c r="O59" s="85">
        <f t="shared" si="18"/>
        <v>12093712.5</v>
      </c>
      <c r="P59" s="54"/>
      <c r="Q59" s="79">
        <f t="shared" si="19"/>
        <v>-53162.5</v>
      </c>
      <c r="R59" s="54"/>
    </row>
    <row r="60" spans="1:18" ht="18" thickBot="1" x14ac:dyDescent="0.45">
      <c r="A60" s="95" t="s">
        <v>57</v>
      </c>
      <c r="B60" s="58">
        <v>44512</v>
      </c>
      <c r="C60" s="88">
        <f>C59</f>
        <v>-1E-4</v>
      </c>
      <c r="D60" s="50"/>
      <c r="E60" s="50"/>
      <c r="F60" s="50"/>
      <c r="G60" s="67"/>
      <c r="H60" s="89"/>
      <c r="I60" s="90" t="s">
        <v>63</v>
      </c>
      <c r="J60" s="50"/>
      <c r="K60" s="50"/>
      <c r="L60" s="91"/>
      <c r="M60" s="35"/>
      <c r="N60" s="66">
        <f t="shared" si="17"/>
        <v>0</v>
      </c>
      <c r="O60" s="86">
        <f t="shared" si="18"/>
        <v>-53162.499999999942</v>
      </c>
      <c r="Q60" s="82">
        <f t="shared" si="19"/>
        <v>-53162.499999999942</v>
      </c>
    </row>
    <row r="61" spans="1:18" x14ac:dyDescent="0.4">
      <c r="O61" s="51"/>
    </row>
    <row r="63" spans="1:18" x14ac:dyDescent="0.4">
      <c r="O63" s="52"/>
    </row>
    <row r="64" spans="1:18" x14ac:dyDescent="0.4">
      <c r="O64" s="54"/>
    </row>
    <row r="65" spans="15:15" x14ac:dyDescent="0.4">
      <c r="O65" s="54"/>
    </row>
    <row r="66" spans="15:15" x14ac:dyDescent="0.4">
      <c r="O66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5749-89B8-4E75-B53C-7653B347658D}">
  <sheetPr>
    <tabColor theme="7"/>
  </sheetPr>
  <dimension ref="A1:S82"/>
  <sheetViews>
    <sheetView showGridLines="0" zoomScale="85" zoomScaleNormal="85" workbookViewId="0">
      <selection activeCell="L77" sqref="L77"/>
    </sheetView>
  </sheetViews>
  <sheetFormatPr defaultRowHeight="17.399999999999999" x14ac:dyDescent="0.4"/>
  <cols>
    <col min="2" max="2" width="14.3984375" bestFit="1" customWidth="1"/>
    <col min="3" max="3" width="17.59765625" bestFit="1" customWidth="1"/>
    <col min="4" max="4" width="20.59765625" bestFit="1" customWidth="1"/>
    <col min="5" max="5" width="15.3984375" bestFit="1" customWidth="1"/>
    <col min="6" max="6" width="14.19921875" bestFit="1" customWidth="1"/>
    <col min="7" max="7" width="9.59765625" bestFit="1" customWidth="1"/>
    <col min="8" max="8" width="11.19921875" bestFit="1" customWidth="1"/>
    <col min="9" max="9" width="14.3984375" bestFit="1" customWidth="1"/>
    <col min="10" max="10" width="12.8984375" customWidth="1"/>
    <col min="11" max="11" width="21.3984375" bestFit="1" customWidth="1"/>
    <col min="12" max="12" width="16.5" bestFit="1" customWidth="1"/>
    <col min="13" max="13" width="11.5" bestFit="1" customWidth="1"/>
    <col min="14" max="15" width="22.19921875" bestFit="1" customWidth="1"/>
    <col min="16" max="16" width="3.09765625" customWidth="1"/>
    <col min="17" max="18" width="16.5" customWidth="1"/>
    <col min="19" max="19" width="16.5" bestFit="1" customWidth="1"/>
  </cols>
  <sheetData>
    <row r="1" spans="2:15" ht="18" thickBot="1" x14ac:dyDescent="0.45"/>
    <row r="2" spans="2:15" x14ac:dyDescent="0.4">
      <c r="B2" s="97" t="s">
        <v>71</v>
      </c>
      <c r="C2" s="98">
        <v>-50</v>
      </c>
    </row>
    <row r="3" spans="2:15" ht="18" thickBot="1" x14ac:dyDescent="0.45">
      <c r="B3" s="99" t="s">
        <v>72</v>
      </c>
      <c r="C3" s="100">
        <v>-50</v>
      </c>
    </row>
    <row r="5" spans="2:15" ht="18" thickBot="1" x14ac:dyDescent="0.45">
      <c r="B5" s="96" t="s">
        <v>10</v>
      </c>
    </row>
    <row r="6" spans="2:15" ht="18" thickBot="1" x14ac:dyDescent="0.45">
      <c r="B6" s="4" t="s">
        <v>0</v>
      </c>
      <c r="C6" s="5" t="s">
        <v>2</v>
      </c>
      <c r="D6" s="5" t="s">
        <v>3</v>
      </c>
      <c r="E6" s="5" t="s">
        <v>8</v>
      </c>
      <c r="F6" s="5" t="s">
        <v>1</v>
      </c>
      <c r="G6" s="5" t="s">
        <v>4</v>
      </c>
      <c r="H6" s="5" t="s">
        <v>5</v>
      </c>
      <c r="I6" s="60" t="s">
        <v>7</v>
      </c>
      <c r="J6" s="4" t="s">
        <v>58</v>
      </c>
      <c r="K6" s="10" t="s">
        <v>59</v>
      </c>
      <c r="L6" s="6" t="s">
        <v>55</v>
      </c>
      <c r="N6" s="4" t="s">
        <v>70</v>
      </c>
      <c r="O6" s="6" t="s">
        <v>102</v>
      </c>
    </row>
    <row r="7" spans="2:15" ht="18" thickTop="1" x14ac:dyDescent="0.4">
      <c r="B7" s="7">
        <v>44494</v>
      </c>
      <c r="C7" s="3" t="s">
        <v>67</v>
      </c>
      <c r="D7" s="3" t="s">
        <v>12</v>
      </c>
      <c r="E7" s="3" t="s">
        <v>11</v>
      </c>
      <c r="F7" s="3" t="str">
        <f t="shared" ref="F7:F38" si="0">IF(G7&gt;0,"Buy",IF(G7&lt;0,"Sell",""))</f>
        <v>Sell</v>
      </c>
      <c r="G7" s="3">
        <f>C2</f>
        <v>-50</v>
      </c>
      <c r="H7" s="3">
        <f>'Data(Greeks)'!C6</f>
        <v>6.3E-3</v>
      </c>
      <c r="I7" s="61">
        <f>G7*H7*125000</f>
        <v>-39375</v>
      </c>
      <c r="J7" s="64">
        <f>G7</f>
        <v>-50</v>
      </c>
      <c r="K7" s="3">
        <f>J7*H7*125000</f>
        <v>-39375</v>
      </c>
      <c r="L7" s="55">
        <f>-I7</f>
        <v>39375</v>
      </c>
      <c r="N7" s="137">
        <f>('Data(Greeks)'!F6+'Data(Greeks)'!P6)/2</f>
        <v>5.0151371232403402E-2</v>
      </c>
      <c r="O7" s="139">
        <f>'Data(Greeks)'!X6</f>
        <v>-2.0999999999999999E-3</v>
      </c>
    </row>
    <row r="8" spans="2:15" x14ac:dyDescent="0.4">
      <c r="B8" s="56">
        <v>44495</v>
      </c>
      <c r="C8" s="1" t="s">
        <v>66</v>
      </c>
      <c r="D8" s="1" t="s">
        <v>12</v>
      </c>
      <c r="E8" s="1" t="s">
        <v>11</v>
      </c>
      <c r="F8" s="1" t="str">
        <f t="shared" si="0"/>
        <v/>
      </c>
      <c r="G8" s="1">
        <v>0</v>
      </c>
      <c r="H8" s="1">
        <f>'Data(Greeks)'!C7</f>
        <v>5.4000000000000003E-3</v>
      </c>
      <c r="I8" s="62">
        <f t="shared" ref="I8:I22" si="1">G8*H8*125000</f>
        <v>0</v>
      </c>
      <c r="J8" s="65">
        <f t="shared" ref="J8:J22" si="2">G8+J7</f>
        <v>-50</v>
      </c>
      <c r="K8" s="1">
        <f t="shared" ref="K8:K22" si="3">J8*H8*125000</f>
        <v>-33750</v>
      </c>
      <c r="L8" s="57">
        <f t="shared" ref="L8:L22" si="4">-I8+L7</f>
        <v>39375</v>
      </c>
      <c r="N8" s="137">
        <f>('Data(Greeks)'!F7+'Data(Greeks)'!P7)/2</f>
        <v>4.6463290492623099E-2</v>
      </c>
      <c r="O8" s="140">
        <f>'Data(Greeks)'!X7</f>
        <v>-1.4E-3</v>
      </c>
    </row>
    <row r="9" spans="2:15" x14ac:dyDescent="0.4">
      <c r="B9" s="56">
        <v>44496</v>
      </c>
      <c r="C9" s="1" t="s">
        <v>66</v>
      </c>
      <c r="D9" s="1" t="s">
        <v>12</v>
      </c>
      <c r="E9" s="1" t="s">
        <v>11</v>
      </c>
      <c r="F9" s="1" t="str">
        <f t="shared" si="0"/>
        <v/>
      </c>
      <c r="G9" s="1">
        <v>0</v>
      </c>
      <c r="H9" s="1">
        <f>'Data(Greeks)'!C8</f>
        <v>6.1000000000000004E-3</v>
      </c>
      <c r="I9" s="62">
        <f t="shared" si="1"/>
        <v>0</v>
      </c>
      <c r="J9" s="65">
        <f t="shared" si="2"/>
        <v>-50</v>
      </c>
      <c r="K9" s="1">
        <f t="shared" si="3"/>
        <v>-38125</v>
      </c>
      <c r="L9" s="57">
        <f t="shared" si="4"/>
        <v>39375</v>
      </c>
      <c r="N9" s="137">
        <f>('Data(Greeks)'!F8+'Data(Greeks)'!P8)/2</f>
        <v>4.8982628855075851E-2</v>
      </c>
      <c r="O9" s="140">
        <f>'Data(Greeks)'!X8</f>
        <v>1E-3</v>
      </c>
    </row>
    <row r="10" spans="2:15" x14ac:dyDescent="0.4">
      <c r="B10" s="56">
        <v>44497</v>
      </c>
      <c r="C10" s="1" t="s">
        <v>66</v>
      </c>
      <c r="D10" s="1" t="s">
        <v>12</v>
      </c>
      <c r="E10" s="1" t="s">
        <v>11</v>
      </c>
      <c r="F10" s="1" t="str">
        <f t="shared" si="0"/>
        <v/>
      </c>
      <c r="G10" s="1">
        <v>0</v>
      </c>
      <c r="H10" s="1">
        <f>'Data(Greeks)'!C9</f>
        <v>1.0200000000000001E-2</v>
      </c>
      <c r="I10" s="62">
        <f t="shared" si="1"/>
        <v>0</v>
      </c>
      <c r="J10" s="65">
        <f t="shared" si="2"/>
        <v>-50</v>
      </c>
      <c r="K10" s="1">
        <f t="shared" si="3"/>
        <v>-63750</v>
      </c>
      <c r="L10" s="57">
        <f t="shared" si="4"/>
        <v>39375</v>
      </c>
      <c r="N10" s="137">
        <f>('Data(Greeks)'!F9+'Data(Greeks)'!P9)/2</f>
        <v>5.1764619548346151E-2</v>
      </c>
      <c r="O10" s="140">
        <f>'Data(Greeks)'!X9</f>
        <v>6.4999999999999997E-3</v>
      </c>
    </row>
    <row r="11" spans="2:15" x14ac:dyDescent="0.4">
      <c r="B11" s="56">
        <v>44498</v>
      </c>
      <c r="C11" s="1" t="s">
        <v>66</v>
      </c>
      <c r="D11" s="1" t="s">
        <v>12</v>
      </c>
      <c r="E11" s="1" t="s">
        <v>11</v>
      </c>
      <c r="F11" s="1" t="str">
        <f t="shared" si="0"/>
        <v/>
      </c>
      <c r="G11" s="1">
        <v>0</v>
      </c>
      <c r="H11" s="1">
        <f>'Data(Greeks)'!C10</f>
        <v>4.0000000000000001E-3</v>
      </c>
      <c r="I11" s="62">
        <f t="shared" si="1"/>
        <v>0</v>
      </c>
      <c r="J11" s="65">
        <f t="shared" si="2"/>
        <v>-50</v>
      </c>
      <c r="K11" s="1">
        <f t="shared" si="3"/>
        <v>-25000</v>
      </c>
      <c r="L11" s="57">
        <f t="shared" si="4"/>
        <v>39375</v>
      </c>
      <c r="N11" s="137">
        <f>('Data(Greeks)'!F10+'Data(Greeks)'!P10)/2</f>
        <v>5.7554136822082658E-2</v>
      </c>
      <c r="O11" s="140">
        <f>'Data(Greeks)'!X10</f>
        <v>-1.0800000000000001E-2</v>
      </c>
    </row>
    <row r="12" spans="2:15" x14ac:dyDescent="0.4">
      <c r="B12" s="56">
        <v>44501</v>
      </c>
      <c r="C12" s="1" t="s">
        <v>66</v>
      </c>
      <c r="D12" s="1" t="s">
        <v>12</v>
      </c>
      <c r="E12" s="1" t="s">
        <v>11</v>
      </c>
      <c r="F12" s="1" t="str">
        <f t="shared" si="0"/>
        <v/>
      </c>
      <c r="G12" s="1">
        <v>0</v>
      </c>
      <c r="H12" s="1">
        <f>'Data(Greeks)'!C11</f>
        <v>5.4000000000000003E-3</v>
      </c>
      <c r="I12" s="62">
        <f t="shared" si="1"/>
        <v>0</v>
      </c>
      <c r="J12" s="65">
        <f t="shared" si="2"/>
        <v>-50</v>
      </c>
      <c r="K12" s="1">
        <f t="shared" si="3"/>
        <v>-33750</v>
      </c>
      <c r="L12" s="57">
        <f t="shared" si="4"/>
        <v>39375</v>
      </c>
      <c r="N12" s="137">
        <f>('Data(Greeks)'!F11+'Data(Greeks)'!P11)/2</f>
        <v>5.5060667157017601E-2</v>
      </c>
      <c r="O12" s="140">
        <f>'Data(Greeks)'!X11</f>
        <v>4.1000000000000003E-3</v>
      </c>
    </row>
    <row r="13" spans="2:15" x14ac:dyDescent="0.4">
      <c r="B13" s="56">
        <v>44502</v>
      </c>
      <c r="C13" s="1" t="s">
        <v>66</v>
      </c>
      <c r="D13" s="1" t="s">
        <v>12</v>
      </c>
      <c r="E13" s="1" t="s">
        <v>11</v>
      </c>
      <c r="F13" s="1" t="str">
        <f t="shared" si="0"/>
        <v/>
      </c>
      <c r="G13" s="1">
        <v>0</v>
      </c>
      <c r="H13" s="1">
        <f>'Data(Greeks)'!C12</f>
        <v>4.8999999999999998E-3</v>
      </c>
      <c r="I13" s="62">
        <f t="shared" si="1"/>
        <v>0</v>
      </c>
      <c r="J13" s="65">
        <f t="shared" si="2"/>
        <v>-50</v>
      </c>
      <c r="K13" s="1">
        <f t="shared" si="3"/>
        <v>-30625</v>
      </c>
      <c r="L13" s="57">
        <f t="shared" si="4"/>
        <v>39375</v>
      </c>
      <c r="N13" s="137">
        <f>('Data(Greeks)'!F12+'Data(Greeks)'!P12)/2</f>
        <v>5.0116970760366655E-2</v>
      </c>
      <c r="O13" s="140">
        <f>'Data(Greeks)'!X12</f>
        <v>-2.2000000000000001E-3</v>
      </c>
    </row>
    <row r="14" spans="2:15" x14ac:dyDescent="0.4">
      <c r="B14" s="56">
        <v>44503</v>
      </c>
      <c r="C14" s="1" t="s">
        <v>66</v>
      </c>
      <c r="D14" s="1" t="s">
        <v>12</v>
      </c>
      <c r="E14" s="1" t="s">
        <v>11</v>
      </c>
      <c r="F14" s="1" t="str">
        <f t="shared" si="0"/>
        <v/>
      </c>
      <c r="G14" s="1">
        <v>0</v>
      </c>
      <c r="H14" s="1">
        <f>'Data(Greeks)'!C13</f>
        <v>5.0000000000000001E-3</v>
      </c>
      <c r="I14" s="62">
        <f t="shared" si="1"/>
        <v>0</v>
      </c>
      <c r="J14" s="65">
        <f t="shared" si="2"/>
        <v>-50</v>
      </c>
      <c r="K14" s="1">
        <f t="shared" si="3"/>
        <v>-31250</v>
      </c>
      <c r="L14" s="57">
        <f t="shared" si="4"/>
        <v>39375</v>
      </c>
      <c r="N14" s="137">
        <f>('Data(Greeks)'!F13+'Data(Greeks)'!P13)/2</f>
        <v>6.039728665877115E-2</v>
      </c>
      <c r="O14" s="140">
        <f>'Data(Greeks)'!X13</f>
        <v>2.5000000000000001E-3</v>
      </c>
    </row>
    <row r="15" spans="2:15" x14ac:dyDescent="0.4">
      <c r="B15" s="56">
        <v>44504</v>
      </c>
      <c r="C15" s="1" t="s">
        <v>66</v>
      </c>
      <c r="D15" s="1" t="s">
        <v>12</v>
      </c>
      <c r="E15" s="1" t="s">
        <v>11</v>
      </c>
      <c r="F15" s="1" t="str">
        <f t="shared" si="0"/>
        <v/>
      </c>
      <c r="G15" s="1">
        <v>0</v>
      </c>
      <c r="H15" s="1">
        <f>'Data(Greeks)'!C14</f>
        <v>2.8999999999999998E-3</v>
      </c>
      <c r="I15" s="62">
        <f t="shared" si="1"/>
        <v>0</v>
      </c>
      <c r="J15" s="65">
        <f t="shared" si="2"/>
        <v>-50</v>
      </c>
      <c r="K15" s="1">
        <f t="shared" si="3"/>
        <v>-18125</v>
      </c>
      <c r="L15" s="57">
        <f t="shared" si="4"/>
        <v>39375</v>
      </c>
      <c r="N15" s="137">
        <f>('Data(Greeks)'!F14+'Data(Greeks)'!P14)/2</f>
        <v>5.6250146296915451E-2</v>
      </c>
      <c r="O15" s="140">
        <f>'Data(Greeks)'!X14</f>
        <v>-5.1000000000000004E-3</v>
      </c>
    </row>
    <row r="16" spans="2:15" x14ac:dyDescent="0.4">
      <c r="B16" s="56">
        <v>44505</v>
      </c>
      <c r="C16" s="1" t="s">
        <v>66</v>
      </c>
      <c r="D16" s="1" t="s">
        <v>12</v>
      </c>
      <c r="E16" s="1" t="s">
        <v>11</v>
      </c>
      <c r="F16" s="1" t="str">
        <f t="shared" si="0"/>
        <v/>
      </c>
      <c r="G16" s="1">
        <v>0</v>
      </c>
      <c r="H16" s="1">
        <f>'Data(Greeks)'!C15</f>
        <v>3.0000000000000001E-3</v>
      </c>
      <c r="I16" s="62">
        <f t="shared" si="1"/>
        <v>0</v>
      </c>
      <c r="J16" s="65">
        <f t="shared" si="2"/>
        <v>-50</v>
      </c>
      <c r="K16" s="1">
        <f t="shared" si="3"/>
        <v>-18750</v>
      </c>
      <c r="L16" s="57">
        <f t="shared" si="4"/>
        <v>39375</v>
      </c>
      <c r="N16" s="137">
        <f>('Data(Greeks)'!F15+'Data(Greeks)'!P15)/2</f>
        <v>6.0632279676775896E-2</v>
      </c>
      <c r="O16" s="140">
        <f>'Data(Greeks)'!X15</f>
        <v>-2.9999999999999997E-4</v>
      </c>
    </row>
    <row r="17" spans="1:15" x14ac:dyDescent="0.4">
      <c r="B17" s="56">
        <v>44508</v>
      </c>
      <c r="C17" s="1" t="s">
        <v>66</v>
      </c>
      <c r="D17" s="1" t="s">
        <v>12</v>
      </c>
      <c r="E17" s="1" t="s">
        <v>11</v>
      </c>
      <c r="F17" s="1" t="str">
        <f t="shared" si="0"/>
        <v/>
      </c>
      <c r="G17" s="1">
        <v>0</v>
      </c>
      <c r="H17" s="1">
        <f>'Data(Greeks)'!C16</f>
        <v>3.5999999999999999E-3</v>
      </c>
      <c r="I17" s="62">
        <f t="shared" si="1"/>
        <v>0</v>
      </c>
      <c r="J17" s="65">
        <f t="shared" si="2"/>
        <v>-50</v>
      </c>
      <c r="K17" s="1">
        <f t="shared" si="3"/>
        <v>-22500</v>
      </c>
      <c r="L17" s="57">
        <f t="shared" si="4"/>
        <v>39375</v>
      </c>
      <c r="N17" s="137">
        <f>('Data(Greeks)'!F16+'Data(Greeks)'!P16)/2</f>
        <v>4.7660431100367599E-2</v>
      </c>
      <c r="O17" s="140">
        <f>'Data(Greeks)'!X16</f>
        <v>3.3999999999999998E-3</v>
      </c>
    </row>
    <row r="18" spans="1:15" x14ac:dyDescent="0.4">
      <c r="B18" s="56">
        <v>44509</v>
      </c>
      <c r="C18" s="1" t="s">
        <v>66</v>
      </c>
      <c r="D18" s="1" t="s">
        <v>12</v>
      </c>
      <c r="E18" s="1" t="s">
        <v>11</v>
      </c>
      <c r="F18" s="1" t="str">
        <f t="shared" si="0"/>
        <v/>
      </c>
      <c r="G18" s="1">
        <v>0</v>
      </c>
      <c r="H18" s="1">
        <f>'Data(Greeks)'!C17</f>
        <v>4.0000000000000001E-3</v>
      </c>
      <c r="I18" s="62">
        <f t="shared" si="1"/>
        <v>0</v>
      </c>
      <c r="J18" s="65">
        <f t="shared" si="2"/>
        <v>-50</v>
      </c>
      <c r="K18" s="1">
        <f t="shared" si="3"/>
        <v>-25000</v>
      </c>
      <c r="L18" s="57">
        <f t="shared" si="4"/>
        <v>39375</v>
      </c>
      <c r="N18" s="137">
        <f>('Data(Greeks)'!F17+'Data(Greeks)'!P17)/2</f>
        <v>5.128713553382605E-2</v>
      </c>
      <c r="O18" s="140">
        <f>'Data(Greeks)'!X17</f>
        <v>4.0000000000000002E-4</v>
      </c>
    </row>
    <row r="19" spans="1:15" x14ac:dyDescent="0.4">
      <c r="B19" s="56">
        <v>44510</v>
      </c>
      <c r="C19" s="1" t="s">
        <v>66</v>
      </c>
      <c r="D19" s="1" t="s">
        <v>12</v>
      </c>
      <c r="E19" s="1" t="s">
        <v>11</v>
      </c>
      <c r="F19" s="1" t="str">
        <f t="shared" si="0"/>
        <v/>
      </c>
      <c r="G19" s="1">
        <v>0</v>
      </c>
      <c r="H19" s="1">
        <f>'Data(Greeks)'!C18</f>
        <v>1.4E-3</v>
      </c>
      <c r="I19" s="62">
        <f t="shared" si="1"/>
        <v>0</v>
      </c>
      <c r="J19" s="65">
        <f t="shared" si="2"/>
        <v>-50</v>
      </c>
      <c r="K19" s="1">
        <f t="shared" si="3"/>
        <v>-8750</v>
      </c>
      <c r="L19" s="57">
        <f t="shared" si="4"/>
        <v>39375</v>
      </c>
      <c r="N19" s="137">
        <f>('Data(Greeks)'!F18+'Data(Greeks)'!P18)/2</f>
        <v>5.7510422326567695E-2</v>
      </c>
      <c r="O19" s="140">
        <f>'Data(Greeks)'!X18</f>
        <v>-9.5999999999999992E-3</v>
      </c>
    </row>
    <row r="20" spans="1:15" x14ac:dyDescent="0.4">
      <c r="B20" s="56">
        <v>44511</v>
      </c>
      <c r="C20" s="1" t="s">
        <v>66</v>
      </c>
      <c r="D20" s="1" t="s">
        <v>12</v>
      </c>
      <c r="E20" s="1" t="s">
        <v>11</v>
      </c>
      <c r="F20" s="1" t="str">
        <f t="shared" si="0"/>
        <v/>
      </c>
      <c r="G20" s="1">
        <v>0</v>
      </c>
      <c r="H20" s="1">
        <f>'Data(Greeks)'!C19</f>
        <v>6.9999999999999999E-4</v>
      </c>
      <c r="I20" s="62">
        <f t="shared" si="1"/>
        <v>0</v>
      </c>
      <c r="J20" s="65">
        <f t="shared" si="2"/>
        <v>-50</v>
      </c>
      <c r="K20" s="1">
        <f t="shared" si="3"/>
        <v>-4375</v>
      </c>
      <c r="L20" s="57">
        <f t="shared" si="4"/>
        <v>39375</v>
      </c>
      <c r="N20" s="137">
        <f>('Data(Greeks)'!F19+'Data(Greeks)'!P19)/2</f>
        <v>5.652310545575355E-2</v>
      </c>
      <c r="O20" s="140">
        <f>'Data(Greeks)'!X19</f>
        <v>-3.3999999999999998E-3</v>
      </c>
    </row>
    <row r="21" spans="1:15" x14ac:dyDescent="0.4">
      <c r="B21" s="56">
        <v>44512</v>
      </c>
      <c r="C21" s="1" t="s">
        <v>66</v>
      </c>
      <c r="D21" s="1" t="s">
        <v>12</v>
      </c>
      <c r="E21" s="1" t="s">
        <v>11</v>
      </c>
      <c r="F21" s="1" t="str">
        <f t="shared" si="0"/>
        <v/>
      </c>
      <c r="G21" s="1">
        <v>0</v>
      </c>
      <c r="H21" s="1">
        <f>'Data(Greeks)'!C20</f>
        <v>6.9999999999999999E-4</v>
      </c>
      <c r="I21" s="62">
        <f t="shared" si="1"/>
        <v>0</v>
      </c>
      <c r="J21" s="65">
        <f t="shared" si="2"/>
        <v>-50</v>
      </c>
      <c r="K21" s="1">
        <f t="shared" si="3"/>
        <v>-4375</v>
      </c>
      <c r="L21" s="57">
        <f t="shared" si="4"/>
        <v>39375</v>
      </c>
      <c r="N21" s="137">
        <f>('Data(Greeks)'!F20+'Data(Greeks)'!P20)/2</f>
        <v>6.3961291598955999E-2</v>
      </c>
      <c r="O21" s="140">
        <f>'Data(Greeks)'!X20</f>
        <v>-1E-4</v>
      </c>
    </row>
    <row r="22" spans="1:15" ht="18" thickBot="1" x14ac:dyDescent="0.45">
      <c r="A22" s="95" t="s">
        <v>57</v>
      </c>
      <c r="B22" s="58">
        <v>44512</v>
      </c>
      <c r="C22" s="50" t="s">
        <v>66</v>
      </c>
      <c r="D22" s="50" t="s">
        <v>50</v>
      </c>
      <c r="E22" s="50" t="s">
        <v>11</v>
      </c>
      <c r="F22" s="50" t="str">
        <f t="shared" si="0"/>
        <v>Buy</v>
      </c>
      <c r="G22" s="50">
        <f>-G7</f>
        <v>50</v>
      </c>
      <c r="H22" s="50">
        <f>H21</f>
        <v>6.9999999999999999E-4</v>
      </c>
      <c r="I22" s="63">
        <f t="shared" si="1"/>
        <v>4375</v>
      </c>
      <c r="J22" s="66">
        <f t="shared" si="2"/>
        <v>0</v>
      </c>
      <c r="K22" s="50">
        <f t="shared" si="3"/>
        <v>0</v>
      </c>
      <c r="L22" s="59">
        <f t="shared" si="4"/>
        <v>35000</v>
      </c>
      <c r="N22" s="138">
        <f>N7</f>
        <v>5.0151371232403402E-2</v>
      </c>
      <c r="O22" s="141">
        <f>STDEV(O7:O21)*SQRT(252)</f>
        <v>7.5444602192602225E-2</v>
      </c>
    </row>
    <row r="23" spans="1:15" x14ac:dyDescent="0.4">
      <c r="B23" s="7">
        <v>44494</v>
      </c>
      <c r="C23" s="3" t="s">
        <v>65</v>
      </c>
      <c r="D23" s="3" t="s">
        <v>13</v>
      </c>
      <c r="E23" s="3" t="s">
        <v>11</v>
      </c>
      <c r="F23" s="3" t="str">
        <f t="shared" si="0"/>
        <v>Sell</v>
      </c>
      <c r="G23" s="3">
        <f>C3</f>
        <v>-50</v>
      </c>
      <c r="H23" s="3">
        <f>'Data(Greeks)'!M6</f>
        <v>8.9999999999999993E-3</v>
      </c>
      <c r="I23" s="61">
        <f>G23*H23*125000</f>
        <v>-56249.999999999993</v>
      </c>
      <c r="J23" s="64">
        <f>G23</f>
        <v>-50</v>
      </c>
      <c r="K23" s="3">
        <f>J23*H23*125000</f>
        <v>-56249.999999999993</v>
      </c>
      <c r="L23" s="55">
        <f>-I23</f>
        <v>56249.999999999993</v>
      </c>
    </row>
    <row r="24" spans="1:15" x14ac:dyDescent="0.4">
      <c r="B24" s="56">
        <v>44495</v>
      </c>
      <c r="C24" s="1" t="s">
        <v>65</v>
      </c>
      <c r="D24" s="3" t="s">
        <v>13</v>
      </c>
      <c r="E24" s="1" t="s">
        <v>11</v>
      </c>
      <c r="F24" s="1" t="str">
        <f t="shared" si="0"/>
        <v/>
      </c>
      <c r="G24" s="1">
        <v>0</v>
      </c>
      <c r="H24" s="3">
        <f>'Data(Greeks)'!M7</f>
        <v>8.8000000000000005E-3</v>
      </c>
      <c r="I24" s="62">
        <f t="shared" ref="I24:I38" si="5">G24*H24*125000</f>
        <v>0</v>
      </c>
      <c r="J24" s="65">
        <f t="shared" ref="J24:J38" si="6">G24+J23</f>
        <v>-50</v>
      </c>
      <c r="K24" s="1">
        <f t="shared" ref="K24:K38" si="7">J24*H24*125000</f>
        <v>-55000</v>
      </c>
      <c r="L24" s="57">
        <f t="shared" ref="L24:L38" si="8">-I24+L23</f>
        <v>56249.999999999993</v>
      </c>
    </row>
    <row r="25" spans="1:15" x14ac:dyDescent="0.4">
      <c r="B25" s="56">
        <v>44496</v>
      </c>
      <c r="C25" s="1" t="s">
        <v>65</v>
      </c>
      <c r="D25" s="3" t="s">
        <v>13</v>
      </c>
      <c r="E25" s="1" t="s">
        <v>11</v>
      </c>
      <c r="F25" s="1" t="str">
        <f t="shared" si="0"/>
        <v/>
      </c>
      <c r="G25" s="1">
        <v>0</v>
      </c>
      <c r="H25" s="3">
        <f>'Data(Greeks)'!M8</f>
        <v>8.5000000000000006E-3</v>
      </c>
      <c r="I25" s="62">
        <f t="shared" si="5"/>
        <v>0</v>
      </c>
      <c r="J25" s="65">
        <f t="shared" si="6"/>
        <v>-50</v>
      </c>
      <c r="K25" s="1">
        <f t="shared" si="7"/>
        <v>-53125.000000000007</v>
      </c>
      <c r="L25" s="57">
        <f t="shared" si="8"/>
        <v>56249.999999999993</v>
      </c>
    </row>
    <row r="26" spans="1:15" x14ac:dyDescent="0.4">
      <c r="B26" s="56">
        <v>44497</v>
      </c>
      <c r="C26" s="1" t="s">
        <v>65</v>
      </c>
      <c r="D26" s="3" t="s">
        <v>13</v>
      </c>
      <c r="E26" s="1" t="s">
        <v>11</v>
      </c>
      <c r="F26" s="1" t="str">
        <f t="shared" si="0"/>
        <v/>
      </c>
      <c r="G26" s="1">
        <v>0</v>
      </c>
      <c r="H26" s="3">
        <f>'Data(Greeks)'!M9</f>
        <v>5.4999999999999997E-3</v>
      </c>
      <c r="I26" s="62">
        <f t="shared" si="5"/>
        <v>0</v>
      </c>
      <c r="J26" s="65">
        <f t="shared" si="6"/>
        <v>-50</v>
      </c>
      <c r="K26" s="1">
        <f t="shared" si="7"/>
        <v>-34374.999999999993</v>
      </c>
      <c r="L26" s="57">
        <f t="shared" si="8"/>
        <v>56249.999999999993</v>
      </c>
    </row>
    <row r="27" spans="1:15" x14ac:dyDescent="0.4">
      <c r="B27" s="56">
        <v>44498</v>
      </c>
      <c r="C27" s="1" t="s">
        <v>65</v>
      </c>
      <c r="D27" s="3" t="s">
        <v>13</v>
      </c>
      <c r="E27" s="1" t="s">
        <v>11</v>
      </c>
      <c r="F27" s="1" t="str">
        <f t="shared" si="0"/>
        <v/>
      </c>
      <c r="G27" s="1">
        <v>0</v>
      </c>
      <c r="H27" s="3">
        <f>'Data(Greeks)'!M10</f>
        <v>1.3599999999999999E-2</v>
      </c>
      <c r="I27" s="62">
        <f t="shared" si="5"/>
        <v>0</v>
      </c>
      <c r="J27" s="65">
        <f t="shared" si="6"/>
        <v>-50</v>
      </c>
      <c r="K27" s="1">
        <f t="shared" si="7"/>
        <v>-84999.999999999985</v>
      </c>
      <c r="L27" s="57">
        <f t="shared" si="8"/>
        <v>56249.999999999993</v>
      </c>
    </row>
    <row r="28" spans="1:15" x14ac:dyDescent="0.4">
      <c r="B28" s="56">
        <v>44501</v>
      </c>
      <c r="C28" s="1" t="s">
        <v>65</v>
      </c>
      <c r="D28" s="3" t="s">
        <v>13</v>
      </c>
      <c r="E28" s="1" t="s">
        <v>11</v>
      </c>
      <c r="F28" s="1" t="str">
        <f t="shared" si="0"/>
        <v/>
      </c>
      <c r="G28" s="1">
        <v>0</v>
      </c>
      <c r="H28" s="3">
        <f>'Data(Greeks)'!M11</f>
        <v>9.9000000000000008E-3</v>
      </c>
      <c r="I28" s="62">
        <f t="shared" si="5"/>
        <v>0</v>
      </c>
      <c r="J28" s="65">
        <f t="shared" si="6"/>
        <v>-50</v>
      </c>
      <c r="K28" s="1">
        <f t="shared" si="7"/>
        <v>-61875.000000000007</v>
      </c>
      <c r="L28" s="57">
        <f t="shared" si="8"/>
        <v>56249.999999999993</v>
      </c>
    </row>
    <row r="29" spans="1:15" x14ac:dyDescent="0.4">
      <c r="B29" s="56">
        <v>44502</v>
      </c>
      <c r="C29" s="1" t="s">
        <v>65</v>
      </c>
      <c r="D29" s="3" t="s">
        <v>13</v>
      </c>
      <c r="E29" s="1" t="s">
        <v>11</v>
      </c>
      <c r="F29" s="1" t="str">
        <f t="shared" si="0"/>
        <v/>
      </c>
      <c r="G29" s="1">
        <v>0</v>
      </c>
      <c r="H29" s="3">
        <f>'Data(Greeks)'!M12</f>
        <v>9.2999999999999992E-3</v>
      </c>
      <c r="I29" s="62">
        <f t="shared" si="5"/>
        <v>0</v>
      </c>
      <c r="J29" s="65">
        <f t="shared" si="6"/>
        <v>-50</v>
      </c>
      <c r="K29" s="1">
        <f t="shared" si="7"/>
        <v>-58124.999999999993</v>
      </c>
      <c r="L29" s="57">
        <f t="shared" si="8"/>
        <v>56249.999999999993</v>
      </c>
    </row>
    <row r="30" spans="1:15" x14ac:dyDescent="0.4">
      <c r="B30" s="56">
        <v>44503</v>
      </c>
      <c r="C30" s="1" t="s">
        <v>65</v>
      </c>
      <c r="D30" s="3" t="s">
        <v>13</v>
      </c>
      <c r="E30" s="1" t="s">
        <v>11</v>
      </c>
      <c r="F30" s="1" t="str">
        <f t="shared" si="0"/>
        <v/>
      </c>
      <c r="G30" s="1">
        <v>0</v>
      </c>
      <c r="H30" s="3">
        <f>'Data(Greeks)'!M13</f>
        <v>1.12E-2</v>
      </c>
      <c r="I30" s="62">
        <f t="shared" si="5"/>
        <v>0</v>
      </c>
      <c r="J30" s="65">
        <f t="shared" si="6"/>
        <v>-50</v>
      </c>
      <c r="K30" s="1">
        <f t="shared" si="7"/>
        <v>-70000</v>
      </c>
      <c r="L30" s="57">
        <f t="shared" si="8"/>
        <v>56249.999999999993</v>
      </c>
    </row>
    <row r="31" spans="1:15" x14ac:dyDescent="0.4">
      <c r="B31" s="56">
        <v>44504</v>
      </c>
      <c r="C31" s="1" t="s">
        <v>65</v>
      </c>
      <c r="D31" s="3" t="s">
        <v>13</v>
      </c>
      <c r="E31" s="1" t="s">
        <v>11</v>
      </c>
      <c r="F31" s="1" t="str">
        <f t="shared" si="0"/>
        <v/>
      </c>
      <c r="G31" s="1">
        <v>0</v>
      </c>
      <c r="H31" s="3">
        <f>'Data(Greeks)'!M14</f>
        <v>1.3299999999999999E-2</v>
      </c>
      <c r="I31" s="62">
        <f t="shared" si="5"/>
        <v>0</v>
      </c>
      <c r="J31" s="65">
        <f t="shared" si="6"/>
        <v>-50</v>
      </c>
      <c r="K31" s="1">
        <f t="shared" si="7"/>
        <v>-83124.999999999985</v>
      </c>
      <c r="L31" s="57">
        <f t="shared" si="8"/>
        <v>56249.999999999993</v>
      </c>
    </row>
    <row r="32" spans="1:15" x14ac:dyDescent="0.4">
      <c r="B32" s="56">
        <v>44505</v>
      </c>
      <c r="C32" s="1" t="s">
        <v>65</v>
      </c>
      <c r="D32" s="3" t="s">
        <v>13</v>
      </c>
      <c r="E32" s="1" t="s">
        <v>11</v>
      </c>
      <c r="F32" s="1" t="str">
        <f t="shared" si="0"/>
        <v/>
      </c>
      <c r="G32" s="1">
        <v>0</v>
      </c>
      <c r="H32" s="3">
        <f>'Data(Greeks)'!M15</f>
        <v>1.41E-2</v>
      </c>
      <c r="I32" s="62">
        <f t="shared" si="5"/>
        <v>0</v>
      </c>
      <c r="J32" s="65">
        <f t="shared" si="6"/>
        <v>-50</v>
      </c>
      <c r="K32" s="1">
        <f t="shared" si="7"/>
        <v>-88125</v>
      </c>
      <c r="L32" s="57">
        <f t="shared" si="8"/>
        <v>56249.999999999993</v>
      </c>
    </row>
    <row r="33" spans="1:19" x14ac:dyDescent="0.4">
      <c r="B33" s="56">
        <v>44508</v>
      </c>
      <c r="C33" s="1" t="s">
        <v>65</v>
      </c>
      <c r="D33" s="3" t="s">
        <v>13</v>
      </c>
      <c r="E33" s="1" t="s">
        <v>11</v>
      </c>
      <c r="F33" s="1" t="str">
        <f t="shared" si="0"/>
        <v/>
      </c>
      <c r="G33" s="1">
        <v>0</v>
      </c>
      <c r="H33" s="3">
        <f>'Data(Greeks)'!M16</f>
        <v>8.6E-3</v>
      </c>
      <c r="I33" s="62">
        <f t="shared" si="5"/>
        <v>0</v>
      </c>
      <c r="J33" s="65">
        <f t="shared" si="6"/>
        <v>-50</v>
      </c>
      <c r="K33" s="1">
        <f t="shared" si="7"/>
        <v>-53750</v>
      </c>
      <c r="L33" s="57">
        <f t="shared" si="8"/>
        <v>56249.999999999993</v>
      </c>
    </row>
    <row r="34" spans="1:19" x14ac:dyDescent="0.4">
      <c r="B34" s="56">
        <v>44509</v>
      </c>
      <c r="C34" s="1" t="s">
        <v>65</v>
      </c>
      <c r="D34" s="3" t="s">
        <v>13</v>
      </c>
      <c r="E34" s="1" t="s">
        <v>11</v>
      </c>
      <c r="F34" s="1" t="str">
        <f t="shared" si="0"/>
        <v/>
      </c>
      <c r="G34" s="1">
        <v>0</v>
      </c>
      <c r="H34" s="3">
        <f>'Data(Greeks)'!M17</f>
        <v>8.6999999999999994E-3</v>
      </c>
      <c r="I34" s="62">
        <f t="shared" si="5"/>
        <v>0</v>
      </c>
      <c r="J34" s="65">
        <f t="shared" si="6"/>
        <v>-50</v>
      </c>
      <c r="K34" s="1">
        <f t="shared" si="7"/>
        <v>-54374.999999999993</v>
      </c>
      <c r="L34" s="57">
        <f t="shared" si="8"/>
        <v>56249.999999999993</v>
      </c>
    </row>
    <row r="35" spans="1:19" x14ac:dyDescent="0.4">
      <c r="B35" s="56">
        <v>44510</v>
      </c>
      <c r="C35" s="1" t="s">
        <v>65</v>
      </c>
      <c r="D35" s="3" t="s">
        <v>13</v>
      </c>
      <c r="E35" s="1" t="s">
        <v>11</v>
      </c>
      <c r="F35" s="1" t="str">
        <f t="shared" si="0"/>
        <v/>
      </c>
      <c r="G35" s="1">
        <v>0</v>
      </c>
      <c r="H35" s="3">
        <f>'Data(Greeks)'!M18</f>
        <v>1.7299999999999999E-2</v>
      </c>
      <c r="I35" s="62">
        <f t="shared" si="5"/>
        <v>0</v>
      </c>
      <c r="J35" s="65">
        <f t="shared" si="6"/>
        <v>-50</v>
      </c>
      <c r="K35" s="1">
        <f t="shared" si="7"/>
        <v>-108125</v>
      </c>
      <c r="L35" s="57">
        <f t="shared" si="8"/>
        <v>56249.999999999993</v>
      </c>
    </row>
    <row r="36" spans="1:19" x14ac:dyDescent="0.4">
      <c r="B36" s="56">
        <v>44511</v>
      </c>
      <c r="C36" s="1" t="s">
        <v>65</v>
      </c>
      <c r="D36" s="3" t="s">
        <v>13</v>
      </c>
      <c r="E36" s="1" t="s">
        <v>11</v>
      </c>
      <c r="F36" s="1" t="str">
        <f t="shared" si="0"/>
        <v/>
      </c>
      <c r="G36" s="1">
        <v>0</v>
      </c>
      <c r="H36" s="3">
        <f>'Data(Greeks)'!M19</f>
        <v>2.0500000000000001E-2</v>
      </c>
      <c r="I36" s="62">
        <f t="shared" si="5"/>
        <v>0</v>
      </c>
      <c r="J36" s="65">
        <f t="shared" si="6"/>
        <v>-50</v>
      </c>
      <c r="K36" s="1">
        <f t="shared" si="7"/>
        <v>-128125.00000000001</v>
      </c>
      <c r="L36" s="57">
        <f t="shared" si="8"/>
        <v>56249.999999999993</v>
      </c>
    </row>
    <row r="37" spans="1:19" x14ac:dyDescent="0.4">
      <c r="B37" s="56">
        <v>44512</v>
      </c>
      <c r="C37" s="1" t="s">
        <v>65</v>
      </c>
      <c r="D37" s="3" t="s">
        <v>13</v>
      </c>
      <c r="E37" s="1" t="s">
        <v>11</v>
      </c>
      <c r="F37" s="1" t="str">
        <f t="shared" si="0"/>
        <v/>
      </c>
      <c r="G37" s="1">
        <v>0</v>
      </c>
      <c r="H37" s="3">
        <f>'Data(Greeks)'!M20</f>
        <v>2.1399999999999999E-2</v>
      </c>
      <c r="I37" s="62">
        <f t="shared" si="5"/>
        <v>0</v>
      </c>
      <c r="J37" s="65">
        <f t="shared" si="6"/>
        <v>-50</v>
      </c>
      <c r="K37" s="1">
        <f t="shared" si="7"/>
        <v>-133749.99999999997</v>
      </c>
      <c r="L37" s="57">
        <f t="shared" si="8"/>
        <v>56249.999999999993</v>
      </c>
    </row>
    <row r="38" spans="1:19" ht="18" thickBot="1" x14ac:dyDescent="0.45">
      <c r="A38" s="95" t="s">
        <v>57</v>
      </c>
      <c r="B38" s="58">
        <v>44512</v>
      </c>
      <c r="C38" s="50" t="s">
        <v>65</v>
      </c>
      <c r="D38" s="50" t="s">
        <v>13</v>
      </c>
      <c r="E38" s="50" t="s">
        <v>11</v>
      </c>
      <c r="F38" s="50" t="str">
        <f t="shared" si="0"/>
        <v>Buy</v>
      </c>
      <c r="G38" s="50">
        <f>-G23</f>
        <v>50</v>
      </c>
      <c r="H38" s="50">
        <f>H37</f>
        <v>2.1399999999999999E-2</v>
      </c>
      <c r="I38" s="63">
        <f t="shared" si="5"/>
        <v>133749.99999999997</v>
      </c>
      <c r="J38" s="66">
        <f t="shared" si="6"/>
        <v>0</v>
      </c>
      <c r="K38" s="50">
        <f t="shared" si="7"/>
        <v>0</v>
      </c>
      <c r="L38" s="59">
        <f t="shared" si="8"/>
        <v>-77499.999999999971</v>
      </c>
    </row>
    <row r="39" spans="1:19" x14ac:dyDescent="0.4">
      <c r="B39" s="39"/>
      <c r="C39" s="35"/>
      <c r="D39" s="35"/>
      <c r="E39" s="35"/>
      <c r="F39" s="35"/>
      <c r="G39" s="35"/>
      <c r="H39" s="35"/>
      <c r="I39" s="35"/>
      <c r="J39" s="35"/>
      <c r="K39" s="35"/>
      <c r="L39" s="41"/>
    </row>
    <row r="40" spans="1:19" ht="18" thickBot="1" x14ac:dyDescent="0.45">
      <c r="B40" s="96" t="s">
        <v>9</v>
      </c>
      <c r="C40" s="33"/>
      <c r="D40" s="34"/>
      <c r="E40" s="34"/>
      <c r="F40" s="34"/>
      <c r="G40" s="34"/>
      <c r="H40" s="34"/>
      <c r="I40" s="34"/>
      <c r="J40" s="34"/>
      <c r="K40" s="34"/>
      <c r="L40" s="34"/>
    </row>
    <row r="41" spans="1:19" ht="18" thickBot="1" x14ac:dyDescent="0.45">
      <c r="B41" s="4" t="s">
        <v>0</v>
      </c>
      <c r="C41" s="5" t="s">
        <v>2</v>
      </c>
      <c r="D41" s="5" t="s">
        <v>3</v>
      </c>
      <c r="E41" s="5" t="s">
        <v>8</v>
      </c>
      <c r="F41" s="5" t="s">
        <v>43</v>
      </c>
      <c r="G41" s="5" t="s">
        <v>44</v>
      </c>
      <c r="H41" s="5" t="s">
        <v>45</v>
      </c>
      <c r="I41" s="5" t="s">
        <v>46</v>
      </c>
      <c r="J41" s="74" t="s">
        <v>48</v>
      </c>
      <c r="K41" s="10" t="s">
        <v>47</v>
      </c>
      <c r="L41" s="5" t="s">
        <v>1</v>
      </c>
      <c r="M41" s="5" t="s">
        <v>5</v>
      </c>
      <c r="N41" s="5" t="s">
        <v>6</v>
      </c>
      <c r="O41" s="6" t="s">
        <v>52</v>
      </c>
      <c r="Q41" s="4" t="s">
        <v>46</v>
      </c>
      <c r="R41" s="77" t="s">
        <v>60</v>
      </c>
      <c r="S41" s="6" t="s">
        <v>51</v>
      </c>
    </row>
    <row r="42" spans="1:19" ht="18" thickTop="1" x14ac:dyDescent="0.4">
      <c r="B42" s="7">
        <v>44494</v>
      </c>
      <c r="C42" s="3" t="s">
        <v>68</v>
      </c>
      <c r="D42" s="3" t="s">
        <v>49</v>
      </c>
      <c r="E42" s="3" t="s">
        <v>22</v>
      </c>
      <c r="F42" s="3">
        <f>'Data(Greeks)'!G6+'Data(Greeks)'!Q6</f>
        <v>-7.2843074249266004E-2</v>
      </c>
      <c r="G42" s="3">
        <v>1</v>
      </c>
      <c r="H42" s="3">
        <f>J7*2</f>
        <v>-100</v>
      </c>
      <c r="I42" s="3">
        <v>0</v>
      </c>
      <c r="J42" s="72">
        <f t="shared" ref="J42:J57" si="9">F42*H42+G42*I42</f>
        <v>7.2843074249266007</v>
      </c>
      <c r="K42" s="53">
        <f>-ROUND(J42,0)</f>
        <v>-7</v>
      </c>
      <c r="L42" s="3" t="str">
        <f>IF(K42&gt;0,"Buy",IF(K42&lt;0,"Sell",""))</f>
        <v>Sell</v>
      </c>
      <c r="M42" s="12">
        <f>'Data(Greeks)'!W6</f>
        <v>1.16235</v>
      </c>
      <c r="N42" s="12">
        <f>K42*M42*125000</f>
        <v>-1017056.25</v>
      </c>
      <c r="O42" s="68">
        <f t="shared" ref="O42:O57" si="10">-N42</f>
        <v>1017056.25</v>
      </c>
      <c r="Q42" s="65">
        <f t="shared" ref="Q42:Q57" si="11">I42+K42</f>
        <v>-7</v>
      </c>
      <c r="R42" s="78">
        <f>Q42*M42*125000</f>
        <v>-1017056.25</v>
      </c>
      <c r="S42" s="55">
        <f>O42</f>
        <v>1017056.25</v>
      </c>
    </row>
    <row r="43" spans="1:19" x14ac:dyDescent="0.4">
      <c r="B43" s="56">
        <v>44495</v>
      </c>
      <c r="C43" s="3" t="s">
        <v>68</v>
      </c>
      <c r="D43" s="1" t="s">
        <v>49</v>
      </c>
      <c r="E43" s="1" t="s">
        <v>22</v>
      </c>
      <c r="F43" s="3">
        <f>'Data(Greeks)'!G7+'Data(Greeks)'!Q7</f>
        <v>-0.15386387381593203</v>
      </c>
      <c r="G43" s="1">
        <v>1</v>
      </c>
      <c r="H43" s="3">
        <f t="shared" ref="H43:H57" si="12">J8*2</f>
        <v>-100</v>
      </c>
      <c r="I43" s="1">
        <f t="shared" ref="I43:I56" si="13">Q42</f>
        <v>-7</v>
      </c>
      <c r="J43" s="71">
        <f t="shared" si="9"/>
        <v>8.3863873815932024</v>
      </c>
      <c r="K43" s="38">
        <f t="shared" ref="K43:K57" si="14">-ROUND(J43,0)</f>
        <v>-8</v>
      </c>
      <c r="L43" s="1" t="str">
        <f t="shared" ref="L43:L57" si="15">IF(K43&gt;0,"Buy",IF(K43&lt;0,"Sell",""))</f>
        <v>Sell</v>
      </c>
      <c r="M43" s="31">
        <f>'Data(Greeks)'!W7</f>
        <v>1.1607499999999999</v>
      </c>
      <c r="N43" s="31">
        <f t="shared" ref="N43:N57" si="16">K43*M43*125000</f>
        <v>-1160750</v>
      </c>
      <c r="O43" s="69">
        <f t="shared" si="10"/>
        <v>1160750</v>
      </c>
      <c r="Q43" s="65">
        <f t="shared" si="11"/>
        <v>-15</v>
      </c>
      <c r="R43" s="78">
        <f t="shared" ref="R43:R57" si="17">Q43*M43*125000</f>
        <v>-2176406.25</v>
      </c>
      <c r="S43" s="57">
        <f t="shared" ref="S43:S57" si="18">S42+O43</f>
        <v>2177806.25</v>
      </c>
    </row>
    <row r="44" spans="1:19" x14ac:dyDescent="0.4">
      <c r="B44" s="56">
        <v>44496</v>
      </c>
      <c r="C44" s="3" t="s">
        <v>68</v>
      </c>
      <c r="D44" s="1" t="s">
        <v>49</v>
      </c>
      <c r="E44" s="1" t="s">
        <v>22</v>
      </c>
      <c r="F44" s="3">
        <f>'Data(Greeks)'!G8+'Data(Greeks)'!Q8</f>
        <v>-9.5774983301751049E-2</v>
      </c>
      <c r="G44" s="1">
        <v>1</v>
      </c>
      <c r="H44" s="3">
        <f t="shared" si="12"/>
        <v>-100</v>
      </c>
      <c r="I44" s="1">
        <f t="shared" si="13"/>
        <v>-15</v>
      </c>
      <c r="J44" s="71">
        <f t="shared" si="9"/>
        <v>-5.4225016698248947</v>
      </c>
      <c r="K44" s="38">
        <f t="shared" si="14"/>
        <v>5</v>
      </c>
      <c r="L44" s="1" t="str">
        <f t="shared" si="15"/>
        <v>Buy</v>
      </c>
      <c r="M44" s="31">
        <f>'Data(Greeks)'!W8</f>
        <v>1.16195</v>
      </c>
      <c r="N44" s="31">
        <f t="shared" si="16"/>
        <v>726218.75</v>
      </c>
      <c r="O44" s="69">
        <f t="shared" si="10"/>
        <v>-726218.75</v>
      </c>
      <c r="Q44" s="65">
        <f t="shared" si="11"/>
        <v>-10</v>
      </c>
      <c r="R44" s="78">
        <f t="shared" si="17"/>
        <v>-1452437.5</v>
      </c>
      <c r="S44" s="57">
        <f t="shared" si="18"/>
        <v>1451587.5</v>
      </c>
    </row>
    <row r="45" spans="1:19" x14ac:dyDescent="0.4">
      <c r="B45" s="56">
        <v>44497</v>
      </c>
      <c r="C45" s="3" t="s">
        <v>68</v>
      </c>
      <c r="D45" s="1" t="s">
        <v>49</v>
      </c>
      <c r="E45" s="1" t="s">
        <v>22</v>
      </c>
      <c r="F45" s="3">
        <f>'Data(Greeks)'!G9+'Data(Greeks)'!Q9</f>
        <v>0.22071169969355403</v>
      </c>
      <c r="G45" s="1">
        <v>1</v>
      </c>
      <c r="H45" s="3">
        <f t="shared" si="12"/>
        <v>-100</v>
      </c>
      <c r="I45" s="1">
        <f t="shared" si="13"/>
        <v>-10</v>
      </c>
      <c r="J45" s="71">
        <f t="shared" si="9"/>
        <v>-32.071169969355402</v>
      </c>
      <c r="K45" s="38">
        <f t="shared" si="14"/>
        <v>32</v>
      </c>
      <c r="L45" s="1" t="str">
        <f t="shared" si="15"/>
        <v>Buy</v>
      </c>
      <c r="M45" s="31">
        <f>'Data(Greeks)'!W9</f>
        <v>1.1694500000000001</v>
      </c>
      <c r="N45" s="31">
        <f t="shared" si="16"/>
        <v>4677800</v>
      </c>
      <c r="O45" s="69">
        <f t="shared" si="10"/>
        <v>-4677800</v>
      </c>
      <c r="Q45" s="65">
        <f t="shared" si="11"/>
        <v>22</v>
      </c>
      <c r="R45" s="78">
        <f t="shared" si="17"/>
        <v>3215987.5</v>
      </c>
      <c r="S45" s="57">
        <f t="shared" si="18"/>
        <v>-3226212.5</v>
      </c>
    </row>
    <row r="46" spans="1:19" x14ac:dyDescent="0.4">
      <c r="B46" s="56">
        <v>44498</v>
      </c>
      <c r="C46" s="3" t="s">
        <v>68</v>
      </c>
      <c r="D46" s="1" t="s">
        <v>49</v>
      </c>
      <c r="E46" s="1" t="s">
        <v>22</v>
      </c>
      <c r="F46" s="3">
        <f>'Data(Greeks)'!G10+'Data(Greeks)'!Q10</f>
        <v>-0.28038569559838594</v>
      </c>
      <c r="G46" s="1">
        <v>1</v>
      </c>
      <c r="H46" s="3">
        <f t="shared" si="12"/>
        <v>-100</v>
      </c>
      <c r="I46" s="1">
        <f t="shared" si="13"/>
        <v>22</v>
      </c>
      <c r="J46" s="71">
        <f t="shared" si="9"/>
        <v>50.038569559838592</v>
      </c>
      <c r="K46" s="38">
        <f t="shared" si="14"/>
        <v>-50</v>
      </c>
      <c r="L46" s="1" t="str">
        <f t="shared" si="15"/>
        <v>Sell</v>
      </c>
      <c r="M46" s="31">
        <f>'Data(Greeks)'!W10</f>
        <v>1.1568499999999999</v>
      </c>
      <c r="N46" s="31">
        <f t="shared" si="16"/>
        <v>-7230312.4999999991</v>
      </c>
      <c r="O46" s="69">
        <f t="shared" si="10"/>
        <v>7230312.4999999991</v>
      </c>
      <c r="Q46" s="65">
        <f t="shared" si="11"/>
        <v>-28</v>
      </c>
      <c r="R46" s="78">
        <f t="shared" si="17"/>
        <v>-4048974.9999999995</v>
      </c>
      <c r="S46" s="57">
        <f t="shared" si="18"/>
        <v>4004099.9999999991</v>
      </c>
    </row>
    <row r="47" spans="1:19" x14ac:dyDescent="0.4">
      <c r="B47" s="56">
        <v>44501</v>
      </c>
      <c r="C47" s="3" t="s">
        <v>68</v>
      </c>
      <c r="D47" s="1" t="s">
        <v>49</v>
      </c>
      <c r="E47" s="1" t="s">
        <v>22</v>
      </c>
      <c r="F47" s="3">
        <f>'Data(Greeks)'!G11+'Data(Greeks)'!Q11</f>
        <v>-0.11131246549471296</v>
      </c>
      <c r="G47" s="1">
        <v>1</v>
      </c>
      <c r="H47" s="3">
        <f t="shared" si="12"/>
        <v>-100</v>
      </c>
      <c r="I47" s="1">
        <f t="shared" si="13"/>
        <v>-28</v>
      </c>
      <c r="J47" s="71">
        <f t="shared" si="9"/>
        <v>-16.868753450528704</v>
      </c>
      <c r="K47" s="38">
        <f t="shared" si="14"/>
        <v>17</v>
      </c>
      <c r="L47" s="1" t="str">
        <f t="shared" si="15"/>
        <v>Buy</v>
      </c>
      <c r="M47" s="31">
        <f>'Data(Greeks)'!W11</f>
        <v>1.1616</v>
      </c>
      <c r="N47" s="31">
        <f t="shared" si="16"/>
        <v>2468400</v>
      </c>
      <c r="O47" s="69">
        <f t="shared" si="10"/>
        <v>-2468400</v>
      </c>
      <c r="Q47" s="65">
        <f t="shared" si="11"/>
        <v>-11</v>
      </c>
      <c r="R47" s="78">
        <f t="shared" si="17"/>
        <v>-1597200</v>
      </c>
      <c r="S47" s="57">
        <f t="shared" si="18"/>
        <v>1535699.9999999991</v>
      </c>
    </row>
    <row r="48" spans="1:19" x14ac:dyDescent="0.4">
      <c r="B48" s="56">
        <v>44502</v>
      </c>
      <c r="C48" s="3" t="s">
        <v>68</v>
      </c>
      <c r="D48" s="1" t="s">
        <v>49</v>
      </c>
      <c r="E48" s="1" t="s">
        <v>22</v>
      </c>
      <c r="F48" s="3">
        <f>'Data(Greeks)'!G12+'Data(Greeks)'!Q12</f>
        <v>-0.24012924364667704</v>
      </c>
      <c r="G48" s="1">
        <v>1</v>
      </c>
      <c r="H48" s="3">
        <f t="shared" si="12"/>
        <v>-100</v>
      </c>
      <c r="I48" s="1">
        <f t="shared" si="13"/>
        <v>-11</v>
      </c>
      <c r="J48" s="71">
        <f t="shared" si="9"/>
        <v>13.012924364667704</v>
      </c>
      <c r="K48" s="38">
        <f t="shared" si="14"/>
        <v>-13</v>
      </c>
      <c r="L48" s="1" t="str">
        <f t="shared" si="15"/>
        <v>Sell</v>
      </c>
      <c r="M48" s="31">
        <f>'Data(Greeks)'!W12</f>
        <v>1.1591</v>
      </c>
      <c r="N48" s="31">
        <f t="shared" si="16"/>
        <v>-1883537.5</v>
      </c>
      <c r="O48" s="69">
        <f t="shared" si="10"/>
        <v>1883537.5</v>
      </c>
      <c r="Q48" s="65">
        <f t="shared" si="11"/>
        <v>-24</v>
      </c>
      <c r="R48" s="78">
        <f t="shared" si="17"/>
        <v>-3477300</v>
      </c>
      <c r="S48" s="57">
        <f t="shared" si="18"/>
        <v>3419237.4999999991</v>
      </c>
    </row>
    <row r="49" spans="1:19" x14ac:dyDescent="0.4">
      <c r="B49" s="56">
        <v>44503</v>
      </c>
      <c r="C49" s="3" t="s">
        <v>68</v>
      </c>
      <c r="D49" s="1" t="s">
        <v>49</v>
      </c>
      <c r="E49" s="1" t="s">
        <v>22</v>
      </c>
      <c r="F49" s="3">
        <f>'Data(Greeks)'!G13+'Data(Greeks)'!Q13</f>
        <v>-9.3984144115667023E-2</v>
      </c>
      <c r="G49" s="1">
        <v>1</v>
      </c>
      <c r="H49" s="3">
        <f t="shared" si="12"/>
        <v>-100</v>
      </c>
      <c r="I49" s="1">
        <f t="shared" si="13"/>
        <v>-24</v>
      </c>
      <c r="J49" s="71">
        <f t="shared" si="9"/>
        <v>-14.601585588433299</v>
      </c>
      <c r="K49" s="38">
        <f t="shared" si="14"/>
        <v>15</v>
      </c>
      <c r="L49" s="1" t="str">
        <f t="shared" si="15"/>
        <v>Buy</v>
      </c>
      <c r="M49" s="31">
        <f>'Data(Greeks)'!W13</f>
        <v>1.1619999999999999</v>
      </c>
      <c r="N49" s="31">
        <f t="shared" si="16"/>
        <v>2178750</v>
      </c>
      <c r="O49" s="69">
        <f t="shared" si="10"/>
        <v>-2178750</v>
      </c>
      <c r="Q49" s="65">
        <f t="shared" si="11"/>
        <v>-9</v>
      </c>
      <c r="R49" s="78">
        <f t="shared" si="17"/>
        <v>-1307249.9999999998</v>
      </c>
      <c r="S49" s="57">
        <f t="shared" si="18"/>
        <v>1240487.4999999991</v>
      </c>
    </row>
    <row r="50" spans="1:19" x14ac:dyDescent="0.4">
      <c r="B50" s="56">
        <v>44504</v>
      </c>
      <c r="C50" s="3" t="s">
        <v>68</v>
      </c>
      <c r="D50" s="1" t="s">
        <v>49</v>
      </c>
      <c r="E50" s="1" t="s">
        <v>22</v>
      </c>
      <c r="F50" s="3">
        <f>'Data(Greeks)'!G14+'Data(Greeks)'!Q14</f>
        <v>-0.35132610389984498</v>
      </c>
      <c r="G50" s="1">
        <v>1</v>
      </c>
      <c r="H50" s="3">
        <f t="shared" si="12"/>
        <v>-100</v>
      </c>
      <c r="I50" s="1">
        <f t="shared" si="13"/>
        <v>-9</v>
      </c>
      <c r="J50" s="71">
        <f t="shared" si="9"/>
        <v>26.132610389984499</v>
      </c>
      <c r="K50" s="38">
        <f t="shared" si="14"/>
        <v>-26</v>
      </c>
      <c r="L50" s="1" t="str">
        <f t="shared" si="15"/>
        <v>Sell</v>
      </c>
      <c r="M50" s="31">
        <f>'Data(Greeks)'!W14</f>
        <v>1.1560999999999999</v>
      </c>
      <c r="N50" s="31">
        <f t="shared" si="16"/>
        <v>-3757325</v>
      </c>
      <c r="O50" s="69">
        <f t="shared" si="10"/>
        <v>3757325</v>
      </c>
      <c r="Q50" s="65">
        <f t="shared" si="11"/>
        <v>-35</v>
      </c>
      <c r="R50" s="78">
        <f t="shared" si="17"/>
        <v>-5057937.4999999991</v>
      </c>
      <c r="S50" s="57">
        <f t="shared" si="18"/>
        <v>4997812.4999999991</v>
      </c>
    </row>
    <row r="51" spans="1:19" x14ac:dyDescent="0.4">
      <c r="B51" s="56">
        <v>44505</v>
      </c>
      <c r="C51" s="3" t="s">
        <v>68</v>
      </c>
      <c r="D51" s="1" t="s">
        <v>49</v>
      </c>
      <c r="E51" s="1" t="s">
        <v>22</v>
      </c>
      <c r="F51" s="3">
        <f>'Data(Greeks)'!G15+'Data(Greeks)'!Q15</f>
        <v>-0.34583973707660903</v>
      </c>
      <c r="G51" s="1">
        <v>1</v>
      </c>
      <c r="H51" s="3">
        <f t="shared" si="12"/>
        <v>-100</v>
      </c>
      <c r="I51" s="1">
        <f t="shared" si="13"/>
        <v>-35</v>
      </c>
      <c r="J51" s="71">
        <f t="shared" si="9"/>
        <v>-0.41602629233909738</v>
      </c>
      <c r="K51" s="38">
        <f t="shared" si="14"/>
        <v>0</v>
      </c>
      <c r="L51" s="1" t="str">
        <f t="shared" si="15"/>
        <v/>
      </c>
      <c r="M51" s="31">
        <f>'Data(Greeks)'!W15</f>
        <v>1.1557999999999999</v>
      </c>
      <c r="N51" s="31">
        <f t="shared" si="16"/>
        <v>0</v>
      </c>
      <c r="O51" s="69">
        <f t="shared" si="10"/>
        <v>0</v>
      </c>
      <c r="Q51" s="65">
        <f t="shared" si="11"/>
        <v>-35</v>
      </c>
      <c r="R51" s="78">
        <f t="shared" si="17"/>
        <v>-5056624.9999999991</v>
      </c>
      <c r="S51" s="57">
        <f t="shared" si="18"/>
        <v>4997812.4999999991</v>
      </c>
    </row>
    <row r="52" spans="1:19" x14ac:dyDescent="0.4">
      <c r="B52" s="56">
        <v>44508</v>
      </c>
      <c r="C52" s="3" t="s">
        <v>68</v>
      </c>
      <c r="D52" s="1" t="s">
        <v>49</v>
      </c>
      <c r="E52" s="1" t="s">
        <v>22</v>
      </c>
      <c r="F52" s="3">
        <f>'Data(Greeks)'!G16+'Data(Greeks)'!Q16</f>
        <v>-0.25499642005303802</v>
      </c>
      <c r="G52" s="1">
        <v>1</v>
      </c>
      <c r="H52" s="3">
        <f t="shared" si="12"/>
        <v>-100</v>
      </c>
      <c r="I52" s="1">
        <f t="shared" si="13"/>
        <v>-35</v>
      </c>
      <c r="J52" s="71">
        <f t="shared" si="9"/>
        <v>-9.5003579946961985</v>
      </c>
      <c r="K52" s="38">
        <f t="shared" si="14"/>
        <v>10</v>
      </c>
      <c r="L52" s="1" t="str">
        <f t="shared" si="15"/>
        <v>Buy</v>
      </c>
      <c r="M52" s="31">
        <f>'Data(Greeks)'!W16</f>
        <v>1.1597</v>
      </c>
      <c r="N52" s="31">
        <f t="shared" si="16"/>
        <v>1449625</v>
      </c>
      <c r="O52" s="69">
        <f t="shared" si="10"/>
        <v>-1449625</v>
      </c>
      <c r="Q52" s="65">
        <f t="shared" si="11"/>
        <v>-25</v>
      </c>
      <c r="R52" s="78">
        <f t="shared" si="17"/>
        <v>-3624062.5</v>
      </c>
      <c r="S52" s="57">
        <f t="shared" si="18"/>
        <v>3548187.4999999991</v>
      </c>
    </row>
    <row r="53" spans="1:19" x14ac:dyDescent="0.4">
      <c r="B53" s="56">
        <v>44509</v>
      </c>
      <c r="C53" s="3" t="s">
        <v>68</v>
      </c>
      <c r="D53" s="1" t="s">
        <v>49</v>
      </c>
      <c r="E53" s="1" t="s">
        <v>22</v>
      </c>
      <c r="F53" s="3">
        <f>'Data(Greeks)'!G17+'Data(Greeks)'!Q17</f>
        <v>-0.22090392627392397</v>
      </c>
      <c r="G53" s="1">
        <v>1</v>
      </c>
      <c r="H53" s="3">
        <f t="shared" si="12"/>
        <v>-100</v>
      </c>
      <c r="I53" s="1">
        <f t="shared" si="13"/>
        <v>-25</v>
      </c>
      <c r="J53" s="71">
        <f t="shared" si="9"/>
        <v>-2.9096073726076028</v>
      </c>
      <c r="K53" s="38">
        <f t="shared" si="14"/>
        <v>3</v>
      </c>
      <c r="L53" s="1" t="str">
        <f t="shared" si="15"/>
        <v>Buy</v>
      </c>
      <c r="M53" s="31">
        <f>'Data(Greeks)'!W17</f>
        <v>1.16015</v>
      </c>
      <c r="N53" s="31">
        <f t="shared" si="16"/>
        <v>435056.25000000006</v>
      </c>
      <c r="O53" s="69">
        <f t="shared" si="10"/>
        <v>-435056.25000000006</v>
      </c>
      <c r="Q53" s="65">
        <f t="shared" si="11"/>
        <v>-22</v>
      </c>
      <c r="R53" s="78">
        <f t="shared" si="17"/>
        <v>-3190412.5</v>
      </c>
      <c r="S53" s="57">
        <f t="shared" si="18"/>
        <v>3113131.2499999991</v>
      </c>
    </row>
    <row r="54" spans="1:19" x14ac:dyDescent="0.4">
      <c r="B54" s="56">
        <v>44510</v>
      </c>
      <c r="C54" s="3" t="s">
        <v>68</v>
      </c>
      <c r="D54" s="1" t="s">
        <v>49</v>
      </c>
      <c r="E54" s="1" t="s">
        <v>22</v>
      </c>
      <c r="F54" s="3">
        <f>'Data(Greeks)'!G18+'Data(Greeks)'!Q18</f>
        <v>-0.64371014049072894</v>
      </c>
      <c r="G54" s="1">
        <v>1</v>
      </c>
      <c r="H54" s="3">
        <f t="shared" si="12"/>
        <v>-100</v>
      </c>
      <c r="I54" s="1">
        <f t="shared" si="13"/>
        <v>-22</v>
      </c>
      <c r="J54" s="71">
        <f t="shared" si="9"/>
        <v>42.371014049072897</v>
      </c>
      <c r="K54" s="38">
        <f t="shared" si="14"/>
        <v>-42</v>
      </c>
      <c r="L54" s="1" t="str">
        <f t="shared" si="15"/>
        <v>Sell</v>
      </c>
      <c r="M54" s="31">
        <f>'Data(Greeks)'!W18</f>
        <v>1.1490499999999999</v>
      </c>
      <c r="N54" s="31">
        <f t="shared" si="16"/>
        <v>-6032512.4999999991</v>
      </c>
      <c r="O54" s="69">
        <f t="shared" si="10"/>
        <v>6032512.4999999991</v>
      </c>
      <c r="Q54" s="65">
        <f t="shared" si="11"/>
        <v>-64</v>
      </c>
      <c r="R54" s="78">
        <f t="shared" si="17"/>
        <v>-9192400</v>
      </c>
      <c r="S54" s="57">
        <f t="shared" si="18"/>
        <v>9145643.7499999981</v>
      </c>
    </row>
    <row r="55" spans="1:19" x14ac:dyDescent="0.4">
      <c r="B55" s="56">
        <v>44511</v>
      </c>
      <c r="C55" s="3" t="s">
        <v>68</v>
      </c>
      <c r="D55" s="1" t="s">
        <v>49</v>
      </c>
      <c r="E55" s="1" t="s">
        <v>22</v>
      </c>
      <c r="F55" s="3">
        <f>'Data(Greeks)'!G19+'Data(Greeks)'!Q19</f>
        <v>-0.77245267985735666</v>
      </c>
      <c r="G55" s="1">
        <v>1</v>
      </c>
      <c r="H55" s="3">
        <f t="shared" si="12"/>
        <v>-100</v>
      </c>
      <c r="I55" s="1">
        <f t="shared" si="13"/>
        <v>-64</v>
      </c>
      <c r="J55" s="71">
        <f t="shared" si="9"/>
        <v>13.245267985735666</v>
      </c>
      <c r="K55" s="38">
        <f t="shared" si="14"/>
        <v>-13</v>
      </c>
      <c r="L55" s="1" t="str">
        <f t="shared" si="15"/>
        <v>Sell</v>
      </c>
      <c r="M55" s="31">
        <f>'Data(Greeks)'!W19</f>
        <v>1.1451499999999999</v>
      </c>
      <c r="N55" s="31">
        <f t="shared" si="16"/>
        <v>-1860868.7499999998</v>
      </c>
      <c r="O55" s="69">
        <f t="shared" si="10"/>
        <v>1860868.7499999998</v>
      </c>
      <c r="Q55" s="65">
        <f t="shared" si="11"/>
        <v>-77</v>
      </c>
      <c r="R55" s="78">
        <f t="shared" si="17"/>
        <v>-11022068.749999998</v>
      </c>
      <c r="S55" s="57">
        <f t="shared" si="18"/>
        <v>11006512.499999998</v>
      </c>
    </row>
    <row r="56" spans="1:19" x14ac:dyDescent="0.4">
      <c r="B56" s="56">
        <v>44512</v>
      </c>
      <c r="C56" s="3" t="s">
        <v>68</v>
      </c>
      <c r="D56" s="1" t="s">
        <v>49</v>
      </c>
      <c r="E56" s="1" t="s">
        <v>22</v>
      </c>
      <c r="F56" s="3">
        <f>'Data(Greeks)'!G20+'Data(Greeks)'!Q20</f>
        <v>-0.73183747993437975</v>
      </c>
      <c r="G56" s="1">
        <v>1</v>
      </c>
      <c r="H56" s="3">
        <f t="shared" si="12"/>
        <v>-100</v>
      </c>
      <c r="I56" s="1">
        <f t="shared" si="13"/>
        <v>-77</v>
      </c>
      <c r="J56" s="71">
        <f t="shared" si="9"/>
        <v>-3.8162520065620242</v>
      </c>
      <c r="K56" s="38">
        <f t="shared" si="14"/>
        <v>4</v>
      </c>
      <c r="L56" s="1" t="str">
        <f t="shared" si="15"/>
        <v>Buy</v>
      </c>
      <c r="M56" s="31">
        <f>'Data(Greeks)'!W20</f>
        <v>1.145</v>
      </c>
      <c r="N56" s="31">
        <f>K56*M56*125000</f>
        <v>572500</v>
      </c>
      <c r="O56" s="69">
        <f t="shared" si="10"/>
        <v>-572500</v>
      </c>
      <c r="Q56" s="65">
        <f t="shared" si="11"/>
        <v>-73</v>
      </c>
      <c r="R56" s="78">
        <f t="shared" si="17"/>
        <v>-10448125.000000002</v>
      </c>
      <c r="S56" s="57">
        <f t="shared" si="18"/>
        <v>10434012.499999998</v>
      </c>
    </row>
    <row r="57" spans="1:19" ht="18" thickBot="1" x14ac:dyDescent="0.45">
      <c r="A57" s="95" t="s">
        <v>57</v>
      </c>
      <c r="B57" s="58">
        <v>44512</v>
      </c>
      <c r="C57" s="50" t="s">
        <v>68</v>
      </c>
      <c r="D57" s="50" t="s">
        <v>49</v>
      </c>
      <c r="E57" s="50" t="s">
        <v>22</v>
      </c>
      <c r="F57" s="50">
        <f>F56</f>
        <v>-0.73183747993437975</v>
      </c>
      <c r="G57" s="50">
        <v>1</v>
      </c>
      <c r="H57" s="50">
        <f t="shared" si="12"/>
        <v>0</v>
      </c>
      <c r="I57" s="50">
        <f>I56+K56</f>
        <v>-73</v>
      </c>
      <c r="J57" s="73">
        <f t="shared" si="9"/>
        <v>-73</v>
      </c>
      <c r="K57" s="50">
        <f t="shared" si="14"/>
        <v>73</v>
      </c>
      <c r="L57" s="50" t="str">
        <f t="shared" si="15"/>
        <v>Buy</v>
      </c>
      <c r="M57" s="50">
        <v>1.145</v>
      </c>
      <c r="N57" s="67">
        <f t="shared" si="16"/>
        <v>10448125.000000002</v>
      </c>
      <c r="O57" s="70">
        <f t="shared" si="10"/>
        <v>-10448125.000000002</v>
      </c>
      <c r="Q57" s="66">
        <f t="shared" si="11"/>
        <v>0</v>
      </c>
      <c r="R57" s="50">
        <f t="shared" si="17"/>
        <v>0</v>
      </c>
      <c r="S57" s="59">
        <f t="shared" si="18"/>
        <v>-14112.500000003725</v>
      </c>
    </row>
    <row r="58" spans="1:19" s="42" customFormat="1" x14ac:dyDescent="0.4">
      <c r="B58" s="39"/>
      <c r="C58" s="35"/>
      <c r="D58" s="35"/>
      <c r="F58" s="35"/>
      <c r="G58" s="35"/>
      <c r="H58" s="35"/>
      <c r="I58" s="35"/>
      <c r="J58" s="35"/>
      <c r="K58" s="35"/>
      <c r="L58" s="40"/>
      <c r="M58" s="40"/>
      <c r="N58" s="41"/>
      <c r="O58" s="35"/>
      <c r="P58" s="35"/>
      <c r="Q58" s="35"/>
      <c r="R58" s="35"/>
      <c r="S58" s="35"/>
    </row>
    <row r="59" spans="1:19" ht="18" thickBot="1" x14ac:dyDescent="0.45">
      <c r="B59" s="96" t="s">
        <v>23</v>
      </c>
      <c r="F59" s="34"/>
      <c r="G59" s="34"/>
      <c r="H59" s="34"/>
    </row>
    <row r="60" spans="1:19" ht="18" thickBot="1" x14ac:dyDescent="0.45">
      <c r="B60" s="4" t="s">
        <v>0</v>
      </c>
      <c r="C60" s="5" t="s">
        <v>24</v>
      </c>
      <c r="D60" s="5" t="s">
        <v>25</v>
      </c>
      <c r="E60" s="5" t="s">
        <v>26</v>
      </c>
      <c r="F60" s="5" t="s">
        <v>27</v>
      </c>
      <c r="G60" s="5" t="s">
        <v>28</v>
      </c>
      <c r="H60" s="10" t="s">
        <v>29</v>
      </c>
      <c r="I60" s="151" t="s">
        <v>30</v>
      </c>
      <c r="J60" s="10" t="s">
        <v>31</v>
      </c>
      <c r="K60" s="10" t="s">
        <v>32</v>
      </c>
      <c r="L60" s="11" t="s">
        <v>33</v>
      </c>
      <c r="M60" s="34"/>
      <c r="N60" s="83" t="s">
        <v>61</v>
      </c>
      <c r="O60" s="6" t="s">
        <v>56</v>
      </c>
      <c r="Q60" s="81" t="s">
        <v>62</v>
      </c>
    </row>
    <row r="61" spans="1:19" ht="18" thickTop="1" x14ac:dyDescent="0.4">
      <c r="B61" s="7">
        <v>44494</v>
      </c>
      <c r="C61" s="18">
        <f>'Data(Greeks)'!X6</f>
        <v>-2.0999999999999999E-3</v>
      </c>
      <c r="D61" s="3">
        <f>'Data(Greeks)'!H6*('Data(Greeks)'!W6^2)*1/100*125000*50+'Data(Greeks)'!R6*('Data(Greeks)'!W6^2)*1/100*125000*50</f>
        <v>3532971.7451603012</v>
      </c>
      <c r="E61" s="3">
        <f>(F42+G42)*C62</f>
        <v>-1.2980196960510274E-3</v>
      </c>
      <c r="F61" s="3">
        <f>D61*(C61^2)*100/2</f>
        <v>779.02026980784638</v>
      </c>
      <c r="G61" s="12"/>
      <c r="H61" s="12">
        <f>-('Data(Greeks)'!J6*50*125000+'Data(Greeks)'!T6*50*125000)</f>
        <v>1745.2111549802385</v>
      </c>
      <c r="I61" s="75">
        <f>-F61</f>
        <v>-779.02026980784638</v>
      </c>
      <c r="J61" s="3"/>
      <c r="K61" s="20">
        <f t="shared" ref="K61:K75" si="19">H61+I61</f>
        <v>966.19088517239209</v>
      </c>
      <c r="L61" s="55">
        <f>SUM(K61)</f>
        <v>966.19088517239209</v>
      </c>
      <c r="M61" s="34"/>
      <c r="N61" s="64">
        <f t="shared" ref="N61:N76" si="20">K7+K23+R42</f>
        <v>-1112681.25</v>
      </c>
      <c r="O61" s="84">
        <f t="shared" ref="O61:O76" si="21">L7+L23+S42</f>
        <v>1112681.25</v>
      </c>
      <c r="Q61" s="80">
        <f>O61+N61</f>
        <v>0</v>
      </c>
    </row>
    <row r="62" spans="1:19" x14ac:dyDescent="0.4">
      <c r="B62" s="56">
        <v>44495</v>
      </c>
      <c r="C62" s="18">
        <f>'Data(Greeks)'!X7</f>
        <v>-1.4E-3</v>
      </c>
      <c r="D62" s="3">
        <f>'Data(Greeks)'!H7*('Data(Greeks)'!W7^2)*1/100*125000*50+'Data(Greeks)'!R7*('Data(Greeks)'!W7^2)*1/100*125000*50</f>
        <v>3791512.8934372049</v>
      </c>
      <c r="E62" s="3">
        <f t="shared" ref="E62:E75" si="22">(F43+G43)*C63</f>
        <v>8.4613612618406801E-4</v>
      </c>
      <c r="F62" s="3">
        <f t="shared" ref="F62:F75" si="23">D62*(C62^2)*100/2</f>
        <v>371.56826355684609</v>
      </c>
      <c r="G62" s="31"/>
      <c r="H62" s="12">
        <f>-('Data(Greeks)'!J7*50*125000+'Data(Greeks)'!T7*50*125000)</f>
        <v>1596.726494932293</v>
      </c>
      <c r="I62" s="75">
        <f t="shared" ref="I62:I75" si="24">-F62</f>
        <v>-371.56826355684609</v>
      </c>
      <c r="J62" s="1"/>
      <c r="K62" s="20">
        <f t="shared" si="19"/>
        <v>1225.158231375447</v>
      </c>
      <c r="L62" s="57">
        <f>SUM($K$61:K62)</f>
        <v>2191.349116547839</v>
      </c>
      <c r="M62" s="34"/>
      <c r="N62" s="64">
        <f t="shared" si="20"/>
        <v>-2265156.25</v>
      </c>
      <c r="O62" s="84">
        <f t="shared" si="21"/>
        <v>2273431.25</v>
      </c>
      <c r="Q62" s="79">
        <f t="shared" ref="Q62:Q76" si="25">O62+N62</f>
        <v>8275</v>
      </c>
    </row>
    <row r="63" spans="1:19" x14ac:dyDescent="0.4">
      <c r="B63" s="56">
        <v>44496</v>
      </c>
      <c r="C63" s="18">
        <f>'Data(Greeks)'!X8</f>
        <v>1E-3</v>
      </c>
      <c r="D63" s="3">
        <f>'Data(Greeks)'!H8*('Data(Greeks)'!W8^2)*1/100*125000*50+'Data(Greeks)'!R8*('Data(Greeks)'!W8^2)*1/100*125000*50</f>
        <v>3690857.1875956724</v>
      </c>
      <c r="E63" s="3">
        <f t="shared" si="22"/>
        <v>5.8774626085386179E-3</v>
      </c>
      <c r="F63" s="3">
        <f t="shared" si="23"/>
        <v>184.54285937978361</v>
      </c>
      <c r="G63" s="31"/>
      <c r="H63" s="12">
        <f>-('Data(Greeks)'!J8*50*125000+'Data(Greeks)'!T8*50*125000)</f>
        <v>1739.7701409272936</v>
      </c>
      <c r="I63" s="75">
        <f t="shared" si="24"/>
        <v>-184.54285937978361</v>
      </c>
      <c r="J63" s="1"/>
      <c r="K63" s="20">
        <f t="shared" si="19"/>
        <v>1555.2272815475101</v>
      </c>
      <c r="L63" s="57">
        <f>SUM($K$61:K63)</f>
        <v>3746.5763980953488</v>
      </c>
      <c r="M63" s="34"/>
      <c r="N63" s="64">
        <f t="shared" si="20"/>
        <v>-1543687.5</v>
      </c>
      <c r="O63" s="84">
        <f t="shared" si="21"/>
        <v>1547212.5</v>
      </c>
      <c r="Q63" s="79">
        <f t="shared" si="25"/>
        <v>3525</v>
      </c>
    </row>
    <row r="64" spans="1:19" x14ac:dyDescent="0.4">
      <c r="B64" s="56">
        <v>44497</v>
      </c>
      <c r="C64" s="18">
        <f>'Data(Greeks)'!X9</f>
        <v>6.4999999999999997E-3</v>
      </c>
      <c r="D64" s="3">
        <f>'Data(Greeks)'!H9*('Data(Greeks)'!W9^2)*1/100*125000*50+'Data(Greeks)'!R9*('Data(Greeks)'!W9^2)*1/100*125000*50</f>
        <v>3454182.567953499</v>
      </c>
      <c r="E64" s="3">
        <f t="shared" si="22"/>
        <v>-1.3183686356690386E-2</v>
      </c>
      <c r="F64" s="3">
        <f t="shared" si="23"/>
        <v>7296.9606748017668</v>
      </c>
      <c r="G64" s="31"/>
      <c r="H64" s="12">
        <f>-('Data(Greeks)'!J9*50*125000+'Data(Greeks)'!T9*50*125000)</f>
        <v>1873.9302709203939</v>
      </c>
      <c r="I64" s="75">
        <f t="shared" si="24"/>
        <v>-7296.9606748017668</v>
      </c>
      <c r="J64" s="1"/>
      <c r="K64" s="20">
        <f t="shared" si="19"/>
        <v>-5423.0304038813729</v>
      </c>
      <c r="L64" s="57">
        <f>SUM($K$61:K64)</f>
        <v>-1676.454005786024</v>
      </c>
      <c r="M64" s="34"/>
      <c r="N64" s="64">
        <f t="shared" si="20"/>
        <v>3117862.5</v>
      </c>
      <c r="O64" s="84">
        <f t="shared" si="21"/>
        <v>-3130587.5</v>
      </c>
      <c r="Q64" s="79">
        <f t="shared" si="25"/>
        <v>-12725</v>
      </c>
    </row>
    <row r="65" spans="1:18" x14ac:dyDescent="0.4">
      <c r="B65" s="56">
        <v>44498</v>
      </c>
      <c r="C65" s="18">
        <f>'Data(Greeks)'!X10</f>
        <v>-1.0800000000000001E-2</v>
      </c>
      <c r="D65" s="3">
        <f>'Data(Greeks)'!H10*('Data(Greeks)'!W10^2)*1/100*125000*50+'Data(Greeks)'!R10*('Data(Greeks)'!W10^2)*1/100*125000*50</f>
        <v>3083343.4614180494</v>
      </c>
      <c r="E65" s="3">
        <f t="shared" si="22"/>
        <v>2.9504186480466183E-3</v>
      </c>
      <c r="F65" s="3">
        <f t="shared" si="23"/>
        <v>17982.059066990067</v>
      </c>
      <c r="G65" s="31"/>
      <c r="H65" s="12">
        <f>-('Data(Greeks)'!J10*50*125000+'Data(Greeks)'!T10*50*125000)</f>
        <v>1949.1911257289034</v>
      </c>
      <c r="I65" s="75">
        <f t="shared" si="24"/>
        <v>-17982.059066990067</v>
      </c>
      <c r="J65" s="1"/>
      <c r="K65" s="20">
        <f t="shared" si="19"/>
        <v>-16032.867941261164</v>
      </c>
      <c r="L65" s="57">
        <f>SUM($K$61:K65)</f>
        <v>-17709.321947047189</v>
      </c>
      <c r="M65" s="34"/>
      <c r="N65" s="64">
        <f t="shared" si="20"/>
        <v>-4158974.9999999995</v>
      </c>
      <c r="O65" s="84">
        <f t="shared" si="21"/>
        <v>4099724.9999999991</v>
      </c>
      <c r="Q65" s="79">
        <f t="shared" si="25"/>
        <v>-59250.000000000466</v>
      </c>
    </row>
    <row r="66" spans="1:18" x14ac:dyDescent="0.4">
      <c r="B66" s="56">
        <v>44501</v>
      </c>
      <c r="C66" s="18">
        <f>'Data(Greeks)'!X11</f>
        <v>4.1000000000000003E-3</v>
      </c>
      <c r="D66" s="3">
        <f>'Data(Greeks)'!H11*('Data(Greeks)'!W11^2)*1/100*125000*50+'Data(Greeks)'!R11*('Data(Greeks)'!W11^2)*1/100*125000*50</f>
        <v>3566214.2062333818</v>
      </c>
      <c r="E66" s="3">
        <f t="shared" si="22"/>
        <v>-1.9551125759116315E-3</v>
      </c>
      <c r="F66" s="3">
        <f t="shared" si="23"/>
        <v>2997.403040339158</v>
      </c>
      <c r="G66" s="31"/>
      <c r="H66" s="12">
        <f>-('Data(Greeks)'!J11*50*125000+'Data(Greeks)'!T11*50*125000)</f>
        <v>2097.8054524520289</v>
      </c>
      <c r="I66" s="75">
        <f t="shared" si="24"/>
        <v>-2997.403040339158</v>
      </c>
      <c r="J66" s="1"/>
      <c r="K66" s="20">
        <f t="shared" si="19"/>
        <v>-899.59758788712907</v>
      </c>
      <c r="L66" s="57">
        <f>SUM($K$61:K66)</f>
        <v>-18608.919534934317</v>
      </c>
      <c r="M66" s="34"/>
      <c r="N66" s="64">
        <f t="shared" si="20"/>
        <v>-1692825</v>
      </c>
      <c r="O66" s="84">
        <f t="shared" si="21"/>
        <v>1631324.9999999991</v>
      </c>
      <c r="Q66" s="79">
        <f t="shared" si="25"/>
        <v>-61500.000000000931</v>
      </c>
    </row>
    <row r="67" spans="1:18" x14ac:dyDescent="0.4">
      <c r="B67" s="56">
        <v>44502</v>
      </c>
      <c r="C67" s="18">
        <f>'Data(Greeks)'!X12</f>
        <v>-2.2000000000000001E-3</v>
      </c>
      <c r="D67" s="3">
        <f>'Data(Greeks)'!H12*('Data(Greeks)'!W12^2)*1/100*125000*50+'Data(Greeks)'!R12*('Data(Greeks)'!W12^2)*1/100*125000*50</f>
        <v>3794177.0904178275</v>
      </c>
      <c r="E67" s="3">
        <f t="shared" si="22"/>
        <v>1.8996768908833073E-3</v>
      </c>
      <c r="F67" s="3">
        <f t="shared" si="23"/>
        <v>918.19085588111432</v>
      </c>
      <c r="G67" s="31"/>
      <c r="H67" s="12">
        <f>-('Data(Greeks)'!J12*50*125000+'Data(Greeks)'!T12*50*125000)</f>
        <v>1840.4739169816687</v>
      </c>
      <c r="I67" s="75">
        <f t="shared" si="24"/>
        <v>-918.19085588111432</v>
      </c>
      <c r="J67" s="1"/>
      <c r="K67" s="20">
        <f t="shared" si="19"/>
        <v>922.28306110055439</v>
      </c>
      <c r="L67" s="57">
        <f>SUM($K$61:K67)</f>
        <v>-17686.636473833762</v>
      </c>
      <c r="M67" s="34"/>
      <c r="N67" s="64">
        <f t="shared" si="20"/>
        <v>-3566050</v>
      </c>
      <c r="O67" s="84">
        <f t="shared" si="21"/>
        <v>3514862.4999999991</v>
      </c>
      <c r="Q67" s="79">
        <f t="shared" si="25"/>
        <v>-51187.500000000931</v>
      </c>
    </row>
    <row r="68" spans="1:18" x14ac:dyDescent="0.4">
      <c r="B68" s="56">
        <v>44503</v>
      </c>
      <c r="C68" s="18">
        <f>'Data(Greeks)'!X13</f>
        <v>2.5000000000000001E-3</v>
      </c>
      <c r="D68" s="3">
        <f>'Data(Greeks)'!H13*('Data(Greeks)'!W13^2)*1/100*125000*50+'Data(Greeks)'!R13*('Data(Greeks)'!W13^2)*1/100*125000*50</f>
        <v>3518775.7705845619</v>
      </c>
      <c r="E68" s="3">
        <f t="shared" si="22"/>
        <v>-4.6206808650100985E-3</v>
      </c>
      <c r="F68" s="3">
        <f t="shared" si="23"/>
        <v>1099.6174283076757</v>
      </c>
      <c r="G68" s="31"/>
      <c r="H68" s="12">
        <f>-('Data(Greeks)'!J13*50*125000+'Data(Greeks)'!T13*50*125000)</f>
        <v>2390.4399678384907</v>
      </c>
      <c r="I68" s="75">
        <f t="shared" si="24"/>
        <v>-1099.6174283076757</v>
      </c>
      <c r="J68" s="1"/>
      <c r="K68" s="20">
        <f t="shared" si="19"/>
        <v>1290.822539530815</v>
      </c>
      <c r="L68" s="57">
        <f>SUM($K$61:K68)</f>
        <v>-16395.813934302947</v>
      </c>
      <c r="M68" s="34"/>
      <c r="N68" s="64">
        <f t="shared" si="20"/>
        <v>-1408499.9999999998</v>
      </c>
      <c r="O68" s="84">
        <f t="shared" si="21"/>
        <v>1336112.4999999991</v>
      </c>
      <c r="Q68" s="79">
        <f t="shared" si="25"/>
        <v>-72387.500000000698</v>
      </c>
    </row>
    <row r="69" spans="1:18" x14ac:dyDescent="0.4">
      <c r="B69" s="56">
        <v>44504</v>
      </c>
      <c r="C69" s="18">
        <f>'Data(Greeks)'!X14</f>
        <v>-5.1000000000000004E-3</v>
      </c>
      <c r="D69" s="3">
        <f>'Data(Greeks)'!H14*('Data(Greeks)'!W14^2)*1/100*125000*50+'Data(Greeks)'!R14*('Data(Greeks)'!W14^2)*1/100*125000*50</f>
        <v>3334508.2983637135</v>
      </c>
      <c r="E69" s="3">
        <f t="shared" si="22"/>
        <v>-1.9460216883004648E-4</v>
      </c>
      <c r="F69" s="3">
        <f t="shared" si="23"/>
        <v>4336.5280420220106</v>
      </c>
      <c r="G69" s="31"/>
      <c r="H69" s="12">
        <f>-('Data(Greeks)'!J14*50*125000+'Data(Greeks)'!T14*50*125000)</f>
        <v>2002.7123395733083</v>
      </c>
      <c r="I69" s="75">
        <f t="shared" si="24"/>
        <v>-4336.5280420220106</v>
      </c>
      <c r="J69" s="1"/>
      <c r="K69" s="20">
        <f t="shared" si="19"/>
        <v>-2333.8157024487023</v>
      </c>
      <c r="L69" s="57">
        <f>SUM($K$61:K69)</f>
        <v>-18729.629636751648</v>
      </c>
      <c r="M69" s="34"/>
      <c r="N69" s="64">
        <f t="shared" si="20"/>
        <v>-5159187.4999999991</v>
      </c>
      <c r="O69" s="84">
        <f t="shared" si="21"/>
        <v>5093437.4999999991</v>
      </c>
      <c r="Q69" s="79">
        <f t="shared" si="25"/>
        <v>-65750</v>
      </c>
    </row>
    <row r="70" spans="1:18" x14ac:dyDescent="0.4">
      <c r="B70" s="56">
        <v>44505</v>
      </c>
      <c r="C70" s="18">
        <f>'Data(Greeks)'!X15</f>
        <v>-2.9999999999999997E-4</v>
      </c>
      <c r="D70" s="3">
        <f>'Data(Greeks)'!H15*('Data(Greeks)'!W15^2)*1/100*125000*50+'Data(Greeks)'!R15*('Data(Greeks)'!W15^2)*1/100*125000*50</f>
        <v>3172878.2213537758</v>
      </c>
      <c r="E70" s="3">
        <f t="shared" si="22"/>
        <v>2.2241448939395291E-3</v>
      </c>
      <c r="F70" s="3">
        <f t="shared" si="23"/>
        <v>14.277951996091989</v>
      </c>
      <c r="G70" s="31"/>
      <c r="H70" s="12">
        <f>-('Data(Greeks)'!J15*50*125000+'Data(Greeks)'!T15*50*125000)</f>
        <v>2210.7129491770729</v>
      </c>
      <c r="I70" s="75">
        <f t="shared" si="24"/>
        <v>-14.277951996091989</v>
      </c>
      <c r="J70" s="1"/>
      <c r="K70" s="20">
        <f t="shared" si="19"/>
        <v>2196.4349971809811</v>
      </c>
      <c r="L70" s="57">
        <f>SUM($K$61:K70)</f>
        <v>-16533.194639570665</v>
      </c>
      <c r="M70" s="34"/>
      <c r="N70" s="64">
        <f t="shared" si="20"/>
        <v>-5163499.9999999991</v>
      </c>
      <c r="O70" s="84">
        <f t="shared" si="21"/>
        <v>5093437.4999999991</v>
      </c>
      <c r="Q70" s="79">
        <f t="shared" si="25"/>
        <v>-70062.5</v>
      </c>
    </row>
    <row r="71" spans="1:18" x14ac:dyDescent="0.4">
      <c r="B71" s="56">
        <v>44508</v>
      </c>
      <c r="C71" s="18">
        <f>'Data(Greeks)'!X16</f>
        <v>3.3999999999999998E-3</v>
      </c>
      <c r="D71" s="3">
        <f>'Data(Greeks)'!H16*('Data(Greeks)'!W16^2)*1/100*125000*50+'Data(Greeks)'!R16*('Data(Greeks)'!W16^2)*1/100*125000*50</f>
        <v>4400665.5938057397</v>
      </c>
      <c r="E71" s="3">
        <f t="shared" si="22"/>
        <v>2.9800143197878482E-4</v>
      </c>
      <c r="F71" s="3">
        <f t="shared" si="23"/>
        <v>2543.5847132197173</v>
      </c>
      <c r="G71" s="31"/>
      <c r="H71" s="12">
        <f>-('Data(Greeks)'!J16*50*125000+'Data(Greeks)'!T16*50*125000)</f>
        <v>1936.848774084528</v>
      </c>
      <c r="I71" s="75">
        <f t="shared" si="24"/>
        <v>-2543.5847132197173</v>
      </c>
      <c r="J71" s="1"/>
      <c r="K71" s="20">
        <f t="shared" si="19"/>
        <v>-606.73593913518926</v>
      </c>
      <c r="L71" s="57">
        <f>SUM($K$61:K71)</f>
        <v>-17139.930578705855</v>
      </c>
      <c r="M71" s="34"/>
      <c r="N71" s="64">
        <f t="shared" si="20"/>
        <v>-3700312.5</v>
      </c>
      <c r="O71" s="84">
        <f t="shared" si="21"/>
        <v>3643812.4999999991</v>
      </c>
      <c r="Q71" s="79">
        <f t="shared" si="25"/>
        <v>-56500.000000000931</v>
      </c>
    </row>
    <row r="72" spans="1:18" x14ac:dyDescent="0.4">
      <c r="B72" s="56">
        <v>44509</v>
      </c>
      <c r="C72" s="18">
        <f>'Data(Greeks)'!X17</f>
        <v>4.0000000000000002E-4</v>
      </c>
      <c r="D72" s="3">
        <f>'Data(Greeks)'!H17*('Data(Greeks)'!W17^2)*1/100*125000*50+'Data(Greeks)'!R17*('Data(Greeks)'!W17^2)*1/100*125000*50</f>
        <v>4233816.7233235845</v>
      </c>
      <c r="E72" s="3">
        <f t="shared" si="22"/>
        <v>-7.4793223077703292E-3</v>
      </c>
      <c r="F72" s="3">
        <f t="shared" si="23"/>
        <v>33.870533786588673</v>
      </c>
      <c r="G72" s="31"/>
      <c r="H72" s="12">
        <f>-('Data(Greeks)'!J17*50*125000+'Data(Greeks)'!T17*50*125000)</f>
        <v>2169.454278606383</v>
      </c>
      <c r="I72" s="75">
        <f t="shared" si="24"/>
        <v>-33.870533786588673</v>
      </c>
      <c r="J72" s="1"/>
      <c r="K72" s="20">
        <f t="shared" si="19"/>
        <v>2135.5837448197944</v>
      </c>
      <c r="L72" s="57">
        <f>SUM($K$61:K72)</f>
        <v>-15004.34683388606</v>
      </c>
      <c r="M72" s="34"/>
      <c r="N72" s="64">
        <f t="shared" si="20"/>
        <v>-3269787.5</v>
      </c>
      <c r="O72" s="84">
        <f t="shared" si="21"/>
        <v>3208756.2499999991</v>
      </c>
      <c r="Q72" s="79">
        <f t="shared" si="25"/>
        <v>-61031.250000000931</v>
      </c>
    </row>
    <row r="73" spans="1:18" x14ac:dyDescent="0.4">
      <c r="B73" s="56">
        <v>44510</v>
      </c>
      <c r="C73" s="18">
        <f>'Data(Greeks)'!X18</f>
        <v>-9.5999999999999992E-3</v>
      </c>
      <c r="D73" s="3">
        <f>'Data(Greeks)'!H18*('Data(Greeks)'!W18^2)*1/100*125000*50+'Data(Greeks)'!R18*('Data(Greeks)'!W18^2)*1/100*125000*50</f>
        <v>2594027.9190409658</v>
      </c>
      <c r="E73" s="3">
        <f t="shared" si="22"/>
        <v>-1.2113855223315215E-3</v>
      </c>
      <c r="F73" s="3">
        <f t="shared" si="23"/>
        <v>11953.280650940769</v>
      </c>
      <c r="G73" s="31"/>
      <c r="H73" s="12">
        <f>-('Data(Greeks)'!J18*50*125000+'Data(Greeks)'!T18*50*125000)</f>
        <v>1592.1915841703656</v>
      </c>
      <c r="I73" s="75">
        <f t="shared" si="24"/>
        <v>-11953.280650940769</v>
      </c>
      <c r="J73" s="1"/>
      <c r="K73" s="20">
        <f t="shared" si="19"/>
        <v>-10361.089066770404</v>
      </c>
      <c r="L73" s="57">
        <f>SUM($K$61:K73)</f>
        <v>-25365.435900656463</v>
      </c>
      <c r="M73" s="34"/>
      <c r="N73" s="64">
        <f t="shared" si="20"/>
        <v>-9309275</v>
      </c>
      <c r="O73" s="84">
        <f t="shared" si="21"/>
        <v>9241268.7499999981</v>
      </c>
      <c r="Q73" s="79">
        <f>O73+N73</f>
        <v>-68006.250000001863</v>
      </c>
    </row>
    <row r="74" spans="1:18" x14ac:dyDescent="0.4">
      <c r="B74" s="56">
        <v>44511</v>
      </c>
      <c r="C74" s="18">
        <f>'Data(Greeks)'!X19</f>
        <v>-3.3999999999999998E-3</v>
      </c>
      <c r="D74" s="3">
        <f>'Data(Greeks)'!H19*('Data(Greeks)'!W19^2)*1/100*125000*50+'Data(Greeks)'!R19*('Data(Greeks)'!W19^2)*1/100*125000*50</f>
        <v>1980346.6792165611</v>
      </c>
      <c r="E74" s="3">
        <f t="shared" si="22"/>
        <v>-2.2754732014264335E-5</v>
      </c>
      <c r="F74" s="3">
        <f t="shared" si="23"/>
        <v>1144.6403805871723</v>
      </c>
      <c r="G74" s="31"/>
      <c r="H74" s="12">
        <f>-('Data(Greeks)'!J19*50*125000+'Data(Greeks)'!T19*50*125000)</f>
        <v>1129.6586011112399</v>
      </c>
      <c r="I74" s="75">
        <f t="shared" si="24"/>
        <v>-1144.6403805871723</v>
      </c>
      <c r="J74" s="1"/>
      <c r="K74" s="20">
        <f t="shared" si="19"/>
        <v>-14.981779475932399</v>
      </c>
      <c r="L74" s="57">
        <f>SUM($K$61:K74)</f>
        <v>-25380.417680132396</v>
      </c>
      <c r="M74" s="34"/>
      <c r="N74" s="64">
        <f t="shared" si="20"/>
        <v>-11154568.749999998</v>
      </c>
      <c r="O74" s="84">
        <f t="shared" si="21"/>
        <v>11102137.499999998</v>
      </c>
      <c r="Q74" s="79">
        <f t="shared" si="25"/>
        <v>-52431.25</v>
      </c>
    </row>
    <row r="75" spans="1:18" x14ac:dyDescent="0.4">
      <c r="B75" s="56">
        <v>44512</v>
      </c>
      <c r="C75" s="18">
        <f>'Data(Greeks)'!X20</f>
        <v>-1E-4</v>
      </c>
      <c r="D75" s="3">
        <f>'Data(Greeks)'!H20*('Data(Greeks)'!W20^2)*1/100*125000*50+'Data(Greeks)'!R20*('Data(Greeks)'!W20^2)*1/100*125000*50</f>
        <v>1979958.5046255179</v>
      </c>
      <c r="E75" s="3">
        <f t="shared" si="22"/>
        <v>-2.6816252006562027E-5</v>
      </c>
      <c r="F75" s="3">
        <f t="shared" si="23"/>
        <v>0.98997925231275896</v>
      </c>
      <c r="G75" s="31"/>
      <c r="H75" s="12">
        <f>-('Data(Greeks)'!J20*50*125000+'Data(Greeks)'!T20*50*125000)</f>
        <v>1531.5946503551863</v>
      </c>
      <c r="I75" s="75">
        <f t="shared" si="24"/>
        <v>-0.98997925231275896</v>
      </c>
      <c r="J75" s="1"/>
      <c r="K75" s="20">
        <f t="shared" si="19"/>
        <v>1530.6046711028737</v>
      </c>
      <c r="L75" s="57">
        <f>SUM($K$61:K75)</f>
        <v>-23849.813009029524</v>
      </c>
      <c r="M75" s="34"/>
      <c r="N75" s="64">
        <f t="shared" si="20"/>
        <v>-10586250.000000002</v>
      </c>
      <c r="O75" s="84">
        <f t="shared" si="21"/>
        <v>10529637.499999998</v>
      </c>
      <c r="P75" s="54"/>
      <c r="Q75" s="79">
        <f t="shared" si="25"/>
        <v>-56612.500000003725</v>
      </c>
      <c r="R75" s="54"/>
    </row>
    <row r="76" spans="1:18" ht="18" thickBot="1" x14ac:dyDescent="0.45">
      <c r="A76" s="95" t="s">
        <v>57</v>
      </c>
      <c r="B76" s="58">
        <v>44512</v>
      </c>
      <c r="C76" s="88">
        <f>C75</f>
        <v>-1E-4</v>
      </c>
      <c r="D76" s="50"/>
      <c r="E76" s="50"/>
      <c r="F76" s="50"/>
      <c r="G76" s="67"/>
      <c r="H76" s="89"/>
      <c r="I76" s="90"/>
      <c r="J76" s="50"/>
      <c r="K76" s="50"/>
      <c r="L76" s="91">
        <f>L75</f>
        <v>-23849.813009029524</v>
      </c>
      <c r="M76" s="35"/>
      <c r="N76" s="66">
        <f t="shared" si="20"/>
        <v>0</v>
      </c>
      <c r="O76" s="86">
        <f t="shared" si="21"/>
        <v>-56612.500000003696</v>
      </c>
      <c r="Q76" s="82">
        <f t="shared" si="25"/>
        <v>-56612.500000003696</v>
      </c>
    </row>
    <row r="77" spans="1:18" x14ac:dyDescent="0.4">
      <c r="O77" s="51"/>
    </row>
    <row r="79" spans="1:18" x14ac:dyDescent="0.4">
      <c r="O79" s="52"/>
    </row>
    <row r="80" spans="1:18" x14ac:dyDescent="0.4">
      <c r="O80" s="54"/>
    </row>
    <row r="81" spans="15:15" x14ac:dyDescent="0.4">
      <c r="O81" s="54"/>
    </row>
    <row r="82" spans="15:15" x14ac:dyDescent="0.4">
      <c r="O82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B446-FF18-49AD-814F-01D4B4206323}">
  <dimension ref="B3:AD32"/>
  <sheetViews>
    <sheetView workbookViewId="0">
      <selection activeCell="D6" sqref="D6"/>
    </sheetView>
  </sheetViews>
  <sheetFormatPr defaultRowHeight="17.399999999999999" x14ac:dyDescent="0.4"/>
  <cols>
    <col min="2" max="2" width="9.8984375" bestFit="1" customWidth="1"/>
    <col min="3" max="3" width="9.5" bestFit="1" customWidth="1"/>
    <col min="4" max="4" width="15.3984375" bestFit="1" customWidth="1"/>
    <col min="5" max="5" width="13.5" bestFit="1" customWidth="1"/>
    <col min="6" max="6" width="10.5" customWidth="1"/>
    <col min="7" max="7" width="10.5" bestFit="1" customWidth="1"/>
    <col min="8" max="9" width="12.69921875" customWidth="1"/>
    <col min="10" max="10" width="11.19921875" customWidth="1"/>
    <col min="11" max="12" width="10.5" customWidth="1"/>
    <col min="13" max="13" width="10.59765625" bestFit="1" customWidth="1"/>
    <col min="14" max="14" width="15.3984375" bestFit="1" customWidth="1"/>
    <col min="15" max="15" width="13.5" bestFit="1" customWidth="1"/>
    <col min="16" max="16" width="10.5" customWidth="1"/>
    <col min="17" max="17" width="11.19921875" bestFit="1" customWidth="1"/>
    <col min="18" max="18" width="12.69921875" customWidth="1"/>
    <col min="19" max="19" width="12.796875" customWidth="1"/>
    <col min="20" max="21" width="10.5" customWidth="1"/>
    <col min="22" max="22" width="11.19921875" customWidth="1"/>
    <col min="24" max="24" width="9" customWidth="1"/>
    <col min="25" max="25" width="17.59765625" bestFit="1" customWidth="1"/>
    <col min="26" max="26" width="7.3984375" customWidth="1"/>
    <col min="27" max="27" width="7" customWidth="1"/>
    <col min="28" max="28" width="9.09765625" bestFit="1" customWidth="1"/>
    <col min="29" max="29" width="9.19921875" bestFit="1" customWidth="1"/>
  </cols>
  <sheetData>
    <row r="3" spans="2:30" ht="18" thickBot="1" x14ac:dyDescent="0.45"/>
    <row r="4" spans="2:30" x14ac:dyDescent="0.4">
      <c r="B4" s="16"/>
      <c r="C4" s="145" t="s">
        <v>12</v>
      </c>
      <c r="D4" s="146"/>
      <c r="E4" s="146"/>
      <c r="F4" s="146"/>
      <c r="G4" s="146"/>
      <c r="H4" s="146"/>
      <c r="I4" s="146"/>
      <c r="J4" s="146"/>
      <c r="K4" s="146"/>
      <c r="L4" s="147"/>
      <c r="M4" s="145" t="s">
        <v>13</v>
      </c>
      <c r="N4" s="146"/>
      <c r="O4" s="146"/>
      <c r="P4" s="146"/>
      <c r="Q4" s="146"/>
      <c r="R4" s="146"/>
      <c r="S4" s="146"/>
      <c r="T4" s="146"/>
      <c r="U4" s="146"/>
      <c r="V4" s="147"/>
      <c r="W4" s="146" t="s">
        <v>14</v>
      </c>
      <c r="X4" s="146"/>
      <c r="Y4" s="146"/>
      <c r="Z4" s="143" t="s">
        <v>11</v>
      </c>
      <c r="AA4" s="144"/>
      <c r="AB4" s="148" t="s">
        <v>38</v>
      </c>
      <c r="AC4" s="149"/>
    </row>
    <row r="5" spans="2:30" ht="18" thickBot="1" x14ac:dyDescent="0.45">
      <c r="B5" s="17">
        <v>11650</v>
      </c>
      <c r="C5" s="44" t="s">
        <v>21</v>
      </c>
      <c r="D5" s="45" t="s">
        <v>41</v>
      </c>
      <c r="E5" s="46" t="s">
        <v>42</v>
      </c>
      <c r="F5" s="46" t="s">
        <v>69</v>
      </c>
      <c r="G5" s="8" t="s">
        <v>15</v>
      </c>
      <c r="H5" s="8" t="s">
        <v>16</v>
      </c>
      <c r="I5" s="8" t="s">
        <v>53</v>
      </c>
      <c r="J5" s="8" t="s">
        <v>54</v>
      </c>
      <c r="K5" s="8" t="s">
        <v>17</v>
      </c>
      <c r="L5" s="9" t="s">
        <v>18</v>
      </c>
      <c r="M5" s="13" t="s">
        <v>21</v>
      </c>
      <c r="N5" s="15" t="s">
        <v>41</v>
      </c>
      <c r="O5" s="8" t="s">
        <v>42</v>
      </c>
      <c r="P5" s="8" t="s">
        <v>70</v>
      </c>
      <c r="Q5" s="8" t="s">
        <v>15</v>
      </c>
      <c r="R5" s="8" t="s">
        <v>16</v>
      </c>
      <c r="S5" s="8" t="s">
        <v>53</v>
      </c>
      <c r="T5" s="8" t="s">
        <v>54</v>
      </c>
      <c r="U5" s="8" t="s">
        <v>17</v>
      </c>
      <c r="V5" s="9" t="s">
        <v>18</v>
      </c>
      <c r="W5" s="15" t="s">
        <v>19</v>
      </c>
      <c r="X5" s="92" t="s">
        <v>34</v>
      </c>
      <c r="Y5" s="92" t="s">
        <v>37</v>
      </c>
      <c r="Z5" s="13" t="s">
        <v>20</v>
      </c>
      <c r="AA5" s="14" t="s">
        <v>34</v>
      </c>
      <c r="AB5" s="113" t="s">
        <v>39</v>
      </c>
      <c r="AC5" s="14" t="s">
        <v>40</v>
      </c>
      <c r="AD5" s="35" t="s">
        <v>105</v>
      </c>
    </row>
    <row r="6" spans="2:30" ht="19.8" thickTop="1" x14ac:dyDescent="0.4">
      <c r="B6" s="28">
        <v>44494</v>
      </c>
      <c r="C6" s="47">
        <v>6.3E-3</v>
      </c>
      <c r="D6" s="48">
        <v>5.2616224064959702E-3</v>
      </c>
      <c r="E6" s="48">
        <v>6.2999279913986198E-3</v>
      </c>
      <c r="F6" s="48">
        <v>4.7484753913353897E-2</v>
      </c>
      <c r="G6" s="3">
        <v>0.46159360063536298</v>
      </c>
      <c r="H6" s="3">
        <v>22.021150980008098</v>
      </c>
      <c r="I6" s="153">
        <v>-1.00823552160654E-4</v>
      </c>
      <c r="J6" s="153">
        <f>I6*365/252</f>
        <v>-1.460341132485663E-4</v>
      </c>
      <c r="K6" s="3">
        <v>1.50952318782386E-3</v>
      </c>
      <c r="L6" s="101">
        <v>5.6655074944048198E-4</v>
      </c>
      <c r="M6" s="109">
        <v>8.9999999999999993E-3</v>
      </c>
      <c r="N6" s="3">
        <v>7.1561421028526803E-3</v>
      </c>
      <c r="O6" s="3">
        <v>8.99995608568715E-3</v>
      </c>
      <c r="P6" s="3">
        <v>5.28179885514529E-2</v>
      </c>
      <c r="Q6" s="3">
        <v>-0.53443667488462898</v>
      </c>
      <c r="R6" s="3">
        <v>19.818331781588999</v>
      </c>
      <c r="S6" s="153">
        <v>-9.19625129593548E-5</v>
      </c>
      <c r="T6" s="153">
        <f>S6*365/252</f>
        <v>-1.3319967154827185E-4</v>
      </c>
      <c r="U6" s="3">
        <v>1.5111046266756899E-3</v>
      </c>
      <c r="V6" s="101">
        <v>-6.7336697480479797E-4</v>
      </c>
      <c r="W6" s="105">
        <v>1.16235</v>
      </c>
      <c r="X6" s="93">
        <v>-2.0999999999999999E-3</v>
      </c>
      <c r="Y6" s="61">
        <v>4.0599999999999997E-2</v>
      </c>
      <c r="Z6" s="117">
        <v>1.1606000000000001</v>
      </c>
      <c r="AA6" s="118">
        <v>-3.5000000000000001E-3</v>
      </c>
      <c r="AB6" s="114">
        <v>5.9999999999999995E-4</v>
      </c>
      <c r="AC6" s="26">
        <v>-5.4799999999999996E-3</v>
      </c>
      <c r="AD6">
        <f>G6+Q6</f>
        <v>-7.2843074249266004E-2</v>
      </c>
    </row>
    <row r="7" spans="2:30" ht="19.2" x14ac:dyDescent="0.4">
      <c r="B7" s="29">
        <v>44495</v>
      </c>
      <c r="C7" s="43">
        <v>5.4000000000000003E-3</v>
      </c>
      <c r="D7" s="37">
        <v>4.42514271701684E-3</v>
      </c>
      <c r="E7" s="37">
        <v>5.3974750733847901E-3</v>
      </c>
      <c r="F7" s="37">
        <v>4.68469889159049E-2</v>
      </c>
      <c r="G7" s="1">
        <v>0.42403033159838999</v>
      </c>
      <c r="H7" s="1">
        <v>22.334194797180199</v>
      </c>
      <c r="I7" s="154">
        <v>-9.8683405367393194E-5</v>
      </c>
      <c r="J7" s="153">
        <f t="shared" ref="J7:J20" si="0">I7*365/252</f>
        <v>-1.4293429745674014E-4</v>
      </c>
      <c r="K7" s="1">
        <v>1.4676418878979401E-3</v>
      </c>
      <c r="L7" s="102">
        <v>5.0680103639778396E-4</v>
      </c>
      <c r="M7" s="110">
        <v>8.8000000000000005E-3</v>
      </c>
      <c r="N7" s="1">
        <v>7.93753343085183E-3</v>
      </c>
      <c r="O7" s="1">
        <v>8.7972767779800308E-3</v>
      </c>
      <c r="P7" s="1">
        <v>4.6079592069341299E-2</v>
      </c>
      <c r="Q7" s="1">
        <v>-0.57789420541432202</v>
      </c>
      <c r="R7" s="1">
        <v>22.690951764452599</v>
      </c>
      <c r="S7" s="154">
        <v>-7.7700189908415197E-5</v>
      </c>
      <c r="T7" s="153">
        <f t="shared" ref="T7:T20" si="1">S7*365/252</f>
        <v>-1.1254194173242677E-4</v>
      </c>
      <c r="U7" s="1">
        <v>1.46666002526618E-3</v>
      </c>
      <c r="V7" s="102">
        <v>-7.07516248687142E-4</v>
      </c>
      <c r="W7" s="106">
        <v>1.1607499999999999</v>
      </c>
      <c r="X7" s="94">
        <v>-1.4E-3</v>
      </c>
      <c r="Y7" s="62">
        <v>4.02E-2</v>
      </c>
      <c r="Z7" s="119">
        <v>1.1595</v>
      </c>
      <c r="AA7" s="120">
        <v>-8.9999999999999998E-4</v>
      </c>
      <c r="AB7" s="115">
        <v>5.9999999999999995E-4</v>
      </c>
      <c r="AC7" s="22">
        <v>-5.4999999999999997E-3</v>
      </c>
      <c r="AD7">
        <f t="shared" ref="AD7:AD20" si="2">G7+Q7</f>
        <v>-0.15386387381593203</v>
      </c>
    </row>
    <row r="8" spans="2:30" ht="19.2" x14ac:dyDescent="0.4">
      <c r="B8" s="29">
        <v>44496</v>
      </c>
      <c r="C8" s="43">
        <v>6.1000000000000004E-3</v>
      </c>
      <c r="D8" s="37">
        <v>4.8378364187794702E-3</v>
      </c>
      <c r="E8" s="37">
        <v>6.0997713605834203E-3</v>
      </c>
      <c r="F8" s="37">
        <v>4.8723621453282399E-2</v>
      </c>
      <c r="G8" s="1">
        <v>0.45210971774525699</v>
      </c>
      <c r="H8" s="1">
        <v>21.983427861634201</v>
      </c>
      <c r="I8" s="154">
        <v>-1.05377851179477E-4</v>
      </c>
      <c r="J8" s="153">
        <f t="shared" si="0"/>
        <v>-1.5263061777979806E-4</v>
      </c>
      <c r="K8" s="1">
        <v>1.4659484991296E-3</v>
      </c>
      <c r="L8" s="102">
        <v>5.2634184277864098E-4</v>
      </c>
      <c r="M8" s="110">
        <v>8.5000000000000006E-3</v>
      </c>
      <c r="N8" s="1">
        <v>7.1619023295634203E-3</v>
      </c>
      <c r="O8" s="1">
        <v>8.4997821691447199E-3</v>
      </c>
      <c r="P8" s="1">
        <v>4.9241636256869302E-2</v>
      </c>
      <c r="Q8" s="1">
        <v>-0.54788470104700804</v>
      </c>
      <c r="R8" s="1">
        <v>21.755923992451301</v>
      </c>
      <c r="S8" s="154">
        <v>-8.6807168223779102E-5</v>
      </c>
      <c r="T8" s="153">
        <f t="shared" si="1"/>
        <v>-1.2573260476856892E-4</v>
      </c>
      <c r="U8" s="1">
        <v>1.4662018014828201E-3</v>
      </c>
      <c r="V8" s="102">
        <v>-6.5395159425689104E-4</v>
      </c>
      <c r="W8" s="106">
        <v>1.16195</v>
      </c>
      <c r="X8" s="94">
        <v>1E-3</v>
      </c>
      <c r="Y8" s="62">
        <v>4.0099999999999997E-2</v>
      </c>
      <c r="Z8" s="119">
        <v>1.1604000000000001</v>
      </c>
      <c r="AA8" s="120">
        <v>8.0000000000000004E-4</v>
      </c>
      <c r="AB8" s="115">
        <v>5.9999999999999995E-4</v>
      </c>
      <c r="AC8" s="21">
        <v>-5.5599999999999998E-3</v>
      </c>
      <c r="AD8">
        <f t="shared" si="2"/>
        <v>-9.5774983301751049E-2</v>
      </c>
    </row>
    <row r="9" spans="2:30" ht="19.2" x14ac:dyDescent="0.4">
      <c r="B9" s="29">
        <v>44497</v>
      </c>
      <c r="C9" s="43">
        <v>1.0200000000000001E-2</v>
      </c>
      <c r="D9" s="37">
        <v>9.0080518516618604E-3</v>
      </c>
      <c r="E9" s="37">
        <v>1.0199895370269101E-2</v>
      </c>
      <c r="F9" s="37">
        <v>5.0143637992321001E-2</v>
      </c>
      <c r="G9" s="1">
        <v>0.61379963194035103</v>
      </c>
      <c r="H9" s="1">
        <v>20.791620224142999</v>
      </c>
      <c r="I9" s="154">
        <v>-1.09978557206863E-4</v>
      </c>
      <c r="J9" s="153">
        <f t="shared" si="0"/>
        <v>-1.5929433881152778E-4</v>
      </c>
      <c r="K9" s="1">
        <v>1.40629724520058E-3</v>
      </c>
      <c r="L9" s="102">
        <v>6.9791482277494301E-4</v>
      </c>
      <c r="M9" s="110">
        <v>5.4999999999999997E-3</v>
      </c>
      <c r="N9" s="1">
        <v>3.8510905797223402E-3</v>
      </c>
      <c r="O9" s="1">
        <v>5.4999403471897501E-3</v>
      </c>
      <c r="P9" s="1">
        <v>5.3385601104371301E-2</v>
      </c>
      <c r="Q9" s="1">
        <v>-0.393087932246797</v>
      </c>
      <c r="R9" s="1">
        <v>19.619599077561599</v>
      </c>
      <c r="S9" s="154">
        <v>-9.7026562035630901E-5</v>
      </c>
      <c r="T9" s="153">
        <f t="shared" si="1"/>
        <v>-1.4053450453573523E-4</v>
      </c>
      <c r="U9" s="1">
        <v>1.4128212494725701E-3</v>
      </c>
      <c r="V9" s="102">
        <v>-4.58824066237675E-4</v>
      </c>
      <c r="W9" s="106">
        <v>1.1694500000000001</v>
      </c>
      <c r="X9" s="94">
        <v>6.4999999999999997E-3</v>
      </c>
      <c r="Y9" s="62">
        <v>4.1599999999999998E-2</v>
      </c>
      <c r="Z9" s="119">
        <v>1.1678999999999999</v>
      </c>
      <c r="AA9" s="120">
        <v>6.4999999999999997E-3</v>
      </c>
      <c r="AB9" s="115">
        <v>5.9999999999999995E-4</v>
      </c>
      <c r="AC9" s="23">
        <v>-5.5300000000000002E-3</v>
      </c>
      <c r="AD9">
        <f t="shared" si="2"/>
        <v>0.22071169969355403</v>
      </c>
    </row>
    <row r="10" spans="2:30" ht="19.2" x14ac:dyDescent="0.4">
      <c r="B10" s="29">
        <v>44498</v>
      </c>
      <c r="C10" s="43">
        <v>4.0000000000000001E-3</v>
      </c>
      <c r="D10" s="37">
        <v>3.4203908747979699E-3</v>
      </c>
      <c r="E10" s="37">
        <v>3.9977056765707099E-3</v>
      </c>
      <c r="F10" s="37">
        <v>4.9631427839415203E-2</v>
      </c>
      <c r="G10" s="1">
        <v>0.34065800028011201</v>
      </c>
      <c r="H10" s="1">
        <v>20.630551855637101</v>
      </c>
      <c r="I10" s="154">
        <v>-9.9724703575517694E-5</v>
      </c>
      <c r="J10" s="153">
        <f t="shared" si="0"/>
        <v>-1.4444252700422205E-4</v>
      </c>
      <c r="K10" s="1">
        <v>1.3140046331017901E-3</v>
      </c>
      <c r="L10" s="102">
        <v>3.7406130323730698E-4</v>
      </c>
      <c r="M10" s="110">
        <v>1.3599999999999999E-2</v>
      </c>
      <c r="N10" s="1">
        <v>1.08953764314795E-2</v>
      </c>
      <c r="O10" s="1">
        <v>1.3599555556645101E-2</v>
      </c>
      <c r="P10" s="1">
        <v>6.5476845804750106E-2</v>
      </c>
      <c r="Q10" s="1">
        <v>-0.62104369587849795</v>
      </c>
      <c r="R10" s="1">
        <v>16.2322027689187</v>
      </c>
      <c r="S10" s="154">
        <v>-1.15594162696782E-4</v>
      </c>
      <c r="T10" s="153">
        <f t="shared" si="1"/>
        <v>-1.6742805311240248E-4</v>
      </c>
      <c r="U10" s="1">
        <v>1.36393756595509E-3</v>
      </c>
      <c r="V10" s="102">
        <v>-7.0196954601859805E-4</v>
      </c>
      <c r="W10" s="106">
        <v>1.1568499999999999</v>
      </c>
      <c r="X10" s="94">
        <v>-1.0800000000000001E-2</v>
      </c>
      <c r="Y10" s="62">
        <v>4.5199999999999997E-2</v>
      </c>
      <c r="Z10" s="119">
        <v>1.1560999999999999</v>
      </c>
      <c r="AA10" s="120">
        <v>-1.01E-2</v>
      </c>
      <c r="AB10" s="115">
        <v>5.0000000000000001E-4</v>
      </c>
      <c r="AC10" s="24">
        <v>-5.5799999999999999E-3</v>
      </c>
      <c r="AD10">
        <f t="shared" si="2"/>
        <v>-0.28038569559838594</v>
      </c>
    </row>
    <row r="11" spans="2:30" ht="19.2" x14ac:dyDescent="0.4">
      <c r="B11" s="29">
        <v>44501</v>
      </c>
      <c r="C11" s="43">
        <v>5.4000000000000003E-3</v>
      </c>
      <c r="D11" s="37">
        <v>5.0060876104855703E-3</v>
      </c>
      <c r="E11" s="37">
        <v>5.3991340439890597E-3</v>
      </c>
      <c r="F11" s="37">
        <v>4.8701519400377501E-2</v>
      </c>
      <c r="G11" s="1">
        <v>0.43746140733910799</v>
      </c>
      <c r="H11" s="1">
        <v>23.533153849754498</v>
      </c>
      <c r="I11" s="154">
        <v>-1.11753006693331E-4</v>
      </c>
      <c r="J11" s="153">
        <f t="shared" si="0"/>
        <v>-1.6186447398041992E-4</v>
      </c>
      <c r="K11" s="1">
        <v>1.3557916824643401E-3</v>
      </c>
      <c r="L11" s="102">
        <v>4.4077241575549798E-4</v>
      </c>
      <c r="M11" s="110">
        <v>9.9000000000000008E-3</v>
      </c>
      <c r="N11" s="1">
        <v>7.7774501083513999E-3</v>
      </c>
      <c r="O11" s="1">
        <v>9.8996989480694703E-3</v>
      </c>
      <c r="P11" s="1">
        <v>6.1419814913657701E-2</v>
      </c>
      <c r="Q11" s="1">
        <v>-0.54877387283382095</v>
      </c>
      <c r="R11" s="1">
        <v>18.754559476139001</v>
      </c>
      <c r="S11" s="154">
        <v>-1.1998265315013699E-4</v>
      </c>
      <c r="T11" s="153">
        <f t="shared" si="1"/>
        <v>-1.7378439841190475E-4</v>
      </c>
      <c r="U11" s="1">
        <v>1.36265430139821E-3</v>
      </c>
      <c r="V11" s="102">
        <v>-5.67544486252566E-4</v>
      </c>
      <c r="W11" s="106">
        <v>1.1616</v>
      </c>
      <c r="X11" s="94">
        <v>4.1000000000000003E-3</v>
      </c>
      <c r="Y11" s="62">
        <v>4.58E-2</v>
      </c>
      <c r="Z11" s="119">
        <v>1.1606000000000001</v>
      </c>
      <c r="AA11" s="120">
        <v>3.8999999999999998E-3</v>
      </c>
      <c r="AB11" s="115">
        <v>5.0000000000000001E-4</v>
      </c>
      <c r="AC11" s="24">
        <v>-5.6699999999999997E-3</v>
      </c>
      <c r="AD11">
        <f t="shared" si="2"/>
        <v>-0.11131246549471296</v>
      </c>
    </row>
    <row r="12" spans="2:30" ht="19.2" x14ac:dyDescent="0.4">
      <c r="B12" s="29">
        <v>44502</v>
      </c>
      <c r="C12" s="43">
        <v>4.8999999999999998E-3</v>
      </c>
      <c r="D12" s="37">
        <v>3.9145640288778E-3</v>
      </c>
      <c r="E12" s="37">
        <v>4.8998472237728402E-3</v>
      </c>
      <c r="F12" s="37">
        <v>5.3561539943455402E-2</v>
      </c>
      <c r="G12" s="1">
        <v>0.388560880333567</v>
      </c>
      <c r="H12" s="1">
        <v>21.191046794607399</v>
      </c>
      <c r="I12" s="154">
        <v>-1.19567055619034E-4</v>
      </c>
      <c r="J12" s="153">
        <f t="shared" si="0"/>
        <v>-1.7318244167042625E-4</v>
      </c>
      <c r="K12" s="1">
        <v>1.29513818025719E-3</v>
      </c>
      <c r="L12" s="102">
        <v>3.7835378477525601E-4</v>
      </c>
      <c r="M12" s="110">
        <v>9.2999999999999992E-3</v>
      </c>
      <c r="N12" s="1">
        <v>9.2008704483091501E-3</v>
      </c>
      <c r="O12" s="1">
        <v>9.2994780068642504E-3</v>
      </c>
      <c r="P12" s="1">
        <v>4.6672401577277901E-2</v>
      </c>
      <c r="Q12" s="1">
        <v>-0.62869012398024404</v>
      </c>
      <c r="R12" s="1">
        <v>23.994107373506001</v>
      </c>
      <c r="S12" s="154">
        <v>-8.3742282278776605E-5</v>
      </c>
      <c r="T12" s="153">
        <f t="shared" si="1"/>
        <v>-1.2129338504664072E-4</v>
      </c>
      <c r="U12" s="1">
        <v>1.27783678964836E-3</v>
      </c>
      <c r="V12" s="102">
        <v>-6.2680658142694298E-4</v>
      </c>
      <c r="W12" s="106">
        <v>1.1591</v>
      </c>
      <c r="X12" s="94">
        <v>-2.2000000000000001E-3</v>
      </c>
      <c r="Y12" s="62">
        <v>4.5900000000000003E-2</v>
      </c>
      <c r="Z12" s="119">
        <v>1.1577</v>
      </c>
      <c r="AA12" s="120">
        <v>-2.5000000000000001E-3</v>
      </c>
      <c r="AB12" s="115">
        <v>5.0000000000000001E-4</v>
      </c>
      <c r="AC12" s="24">
        <v>-5.7299999999999999E-3</v>
      </c>
      <c r="AD12">
        <f t="shared" si="2"/>
        <v>-0.24012924364667704</v>
      </c>
    </row>
    <row r="13" spans="2:30" ht="19.2" x14ac:dyDescent="0.4">
      <c r="B13" s="29">
        <v>44503</v>
      </c>
      <c r="C13" s="43">
        <v>5.0000000000000001E-3</v>
      </c>
      <c r="D13" s="37">
        <v>5.0063153268182503E-3</v>
      </c>
      <c r="E13" s="37">
        <v>4.9993958553116299E-3</v>
      </c>
      <c r="F13" s="37">
        <v>4.6047369800355398E-2</v>
      </c>
      <c r="G13" s="1">
        <v>0.44049408621582897</v>
      </c>
      <c r="H13" s="1">
        <v>25.726834079225601</v>
      </c>
      <c r="I13" s="154">
        <v>-1.09558273239778E-4</v>
      </c>
      <c r="J13" s="153">
        <f t="shared" si="0"/>
        <v>-1.5868559417666259E-4</v>
      </c>
      <c r="K13" s="1">
        <v>1.3147156133460501E-3</v>
      </c>
      <c r="L13" s="102">
        <v>4.1659293068012598E-4</v>
      </c>
      <c r="M13" s="110">
        <v>1.12E-2</v>
      </c>
      <c r="N13" s="1">
        <v>7.4158340464748097E-3</v>
      </c>
      <c r="O13" s="1">
        <v>1.11999335899005E-2</v>
      </c>
      <c r="P13" s="1">
        <v>7.4747203517186903E-2</v>
      </c>
      <c r="Q13" s="1">
        <v>-0.534478230331496</v>
      </c>
      <c r="R13" s="1">
        <v>15.9696388022336</v>
      </c>
      <c r="S13" s="154">
        <v>-1.5450347882391499E-4</v>
      </c>
      <c r="T13" s="153">
        <f t="shared" si="1"/>
        <v>-2.2378480067749591E-4</v>
      </c>
      <c r="U13" s="1">
        <v>1.3247401196450699E-3</v>
      </c>
      <c r="V13" s="102">
        <v>-5.1966874293295695E-4</v>
      </c>
      <c r="W13" s="106">
        <v>1.1619999999999999</v>
      </c>
      <c r="X13" s="94">
        <v>2.5000000000000001E-3</v>
      </c>
      <c r="Y13" s="62">
        <v>4.6100000000000002E-2</v>
      </c>
      <c r="Z13" s="119">
        <v>1.161</v>
      </c>
      <c r="AA13" s="120">
        <v>2.8999999999999998E-3</v>
      </c>
      <c r="AB13" s="115">
        <v>5.0000000000000001E-4</v>
      </c>
      <c r="AC13" s="24">
        <v>-5.6800000000000002E-3</v>
      </c>
      <c r="AD13">
        <f t="shared" si="2"/>
        <v>-9.3984144115667023E-2</v>
      </c>
    </row>
    <row r="14" spans="2:30" ht="19.2" x14ac:dyDescent="0.4">
      <c r="B14" s="29">
        <v>44504</v>
      </c>
      <c r="C14" s="43">
        <v>2.8999999999999998E-3</v>
      </c>
      <c r="D14" s="37">
        <v>2.7551663804746599E-3</v>
      </c>
      <c r="E14" s="37">
        <v>2.8991820604960601E-3</v>
      </c>
      <c r="F14" s="37">
        <v>4.7479536444440203E-2</v>
      </c>
      <c r="G14" s="1">
        <v>0.29808905404080399</v>
      </c>
      <c r="H14" s="1">
        <v>22.4123511568095</v>
      </c>
      <c r="I14" s="154">
        <v>-9.8233572100923106E-5</v>
      </c>
      <c r="J14" s="153">
        <f t="shared" si="0"/>
        <v>-1.422827532414164E-4</v>
      </c>
      <c r="K14" s="1">
        <v>1.1300296125333501E-3</v>
      </c>
      <c r="L14" s="102">
        <v>2.7150481167579E-4</v>
      </c>
      <c r="M14" s="110">
        <v>1.3299999999999999E-2</v>
      </c>
      <c r="N14" s="1">
        <v>1.1097209850321799E-2</v>
      </c>
      <c r="O14" s="1">
        <v>1.33024127092903E-2</v>
      </c>
      <c r="P14" s="1">
        <v>6.5020756149390693E-2</v>
      </c>
      <c r="Q14" s="1">
        <v>-0.64941515794064897</v>
      </c>
      <c r="R14" s="1">
        <v>17.5049327438029</v>
      </c>
      <c r="S14" s="154">
        <v>-1.2299755538290101E-4</v>
      </c>
      <c r="T14" s="153">
        <f t="shared" si="1"/>
        <v>-1.7815122109031295E-4</v>
      </c>
      <c r="U14" s="1">
        <v>1.20867182373529E-3</v>
      </c>
      <c r="V14" s="102">
        <v>-6.0708621992684405E-4</v>
      </c>
      <c r="W14" s="106">
        <v>1.1560999999999999</v>
      </c>
      <c r="X14" s="94">
        <v>-5.1000000000000004E-3</v>
      </c>
      <c r="Y14" s="62">
        <v>4.6199999999999998E-2</v>
      </c>
      <c r="Z14" s="119">
        <v>1.1552</v>
      </c>
      <c r="AA14" s="120">
        <v>-5.0000000000000001E-3</v>
      </c>
      <c r="AB14" s="115">
        <v>4.0000000000000002E-4</v>
      </c>
      <c r="AC14" s="24">
        <v>-5.6699999999999997E-3</v>
      </c>
      <c r="AD14">
        <f t="shared" si="2"/>
        <v>-0.35132610389984498</v>
      </c>
    </row>
    <row r="15" spans="2:30" ht="19.2" x14ac:dyDescent="0.4">
      <c r="B15" s="29">
        <v>44505</v>
      </c>
      <c r="C15" s="43">
        <v>3.0000000000000001E-3</v>
      </c>
      <c r="D15" s="37">
        <v>2.5778351238837502E-3</v>
      </c>
      <c r="E15" s="37">
        <v>2.9991374872769699E-3</v>
      </c>
      <c r="F15" s="37">
        <v>5.00418099979522E-2</v>
      </c>
      <c r="G15" s="1">
        <v>0.29795409190688699</v>
      </c>
      <c r="H15" s="1">
        <v>21.6421864534816</v>
      </c>
      <c r="I15" s="154">
        <v>-1.05041129374733E-4</v>
      </c>
      <c r="J15" s="153">
        <f t="shared" si="0"/>
        <v>-1.5214290564197439E-4</v>
      </c>
      <c r="K15" s="1">
        <v>1.10985103413968E-3</v>
      </c>
      <c r="L15" s="102">
        <v>2.6187763436393902E-4</v>
      </c>
      <c r="M15" s="110">
        <v>1.41E-2</v>
      </c>
      <c r="N15" s="1">
        <v>1.1225881056980601E-2</v>
      </c>
      <c r="O15" s="1">
        <v>1.41016794363858E-2</v>
      </c>
      <c r="P15" s="1">
        <v>7.1222749355599593E-2</v>
      </c>
      <c r="Q15" s="1">
        <v>-0.64379382898349602</v>
      </c>
      <c r="R15" s="1">
        <v>16.359949393484001</v>
      </c>
      <c r="S15" s="154">
        <v>-1.3916694216175901E-4</v>
      </c>
      <c r="T15" s="153">
        <f t="shared" si="1"/>
        <v>-2.015711662263573E-4</v>
      </c>
      <c r="U15" s="1">
        <v>1.19407398743365E-3</v>
      </c>
      <c r="V15" s="102">
        <v>-5.8163179274834005E-4</v>
      </c>
      <c r="W15" s="106">
        <v>1.1557999999999999</v>
      </c>
      <c r="X15" s="94">
        <v>-2.9999999999999997E-4</v>
      </c>
      <c r="Y15" s="62">
        <v>4.6199999999999998E-2</v>
      </c>
      <c r="Z15" s="65">
        <v>1.1566000000000001</v>
      </c>
      <c r="AA15" s="120">
        <v>1.1999999999999999E-3</v>
      </c>
      <c r="AB15" s="115">
        <v>5.0000000000000001E-4</v>
      </c>
      <c r="AC15" s="24">
        <v>-5.7200000000000003E-3</v>
      </c>
      <c r="AD15">
        <f t="shared" si="2"/>
        <v>-0.34583973707660903</v>
      </c>
    </row>
    <row r="16" spans="2:30" ht="19.2" x14ac:dyDescent="0.4">
      <c r="B16" s="29">
        <v>44508</v>
      </c>
      <c r="C16" s="43">
        <v>3.5999999999999999E-3</v>
      </c>
      <c r="D16" s="37">
        <v>3.5761371931327299E-3</v>
      </c>
      <c r="E16" s="37">
        <v>3.5994764911370502E-3</v>
      </c>
      <c r="F16" s="37">
        <v>4.6803593994719901E-2</v>
      </c>
      <c r="G16" s="1">
        <v>0.370397873736943</v>
      </c>
      <c r="H16" s="1">
        <v>26.5958002262111</v>
      </c>
      <c r="I16" s="154">
        <v>-1.1468404304985801E-4</v>
      </c>
      <c r="J16" s="153">
        <f t="shared" si="0"/>
        <v>-1.6610982425872291E-4</v>
      </c>
      <c r="K16" s="1">
        <v>1.14664960022567E-3</v>
      </c>
      <c r="L16" s="102">
        <v>2.9174721759012698E-4</v>
      </c>
      <c r="M16" s="110">
        <v>8.6E-3</v>
      </c>
      <c r="N16" s="1">
        <v>8.3793866022505992E-3</v>
      </c>
      <c r="O16" s="1">
        <v>8.5996194966705495E-3</v>
      </c>
      <c r="P16" s="1">
        <v>4.8517268206015297E-2</v>
      </c>
      <c r="Q16" s="1">
        <v>-0.62539429378998102</v>
      </c>
      <c r="R16" s="1">
        <v>25.757858316749999</v>
      </c>
      <c r="S16" s="154">
        <v>-9.92714160490137E-5</v>
      </c>
      <c r="T16" s="153">
        <f t="shared" si="1"/>
        <v>-1.4378597959480158E-4</v>
      </c>
      <c r="U16" s="1">
        <v>1.1511834788201401E-3</v>
      </c>
      <c r="V16" s="102">
        <v>-5.0265026164720498E-4</v>
      </c>
      <c r="W16" s="106">
        <v>1.1597</v>
      </c>
      <c r="X16" s="94">
        <v>3.3999999999999998E-3</v>
      </c>
      <c r="Y16" s="62">
        <v>4.6600000000000003E-2</v>
      </c>
      <c r="Z16" s="65">
        <v>1.1586000000000001</v>
      </c>
      <c r="AA16" s="120">
        <v>1.6999999999999999E-3</v>
      </c>
      <c r="AB16" s="115">
        <v>5.9999999999999995E-4</v>
      </c>
      <c r="AC16" s="24">
        <v>-5.6499999999999996E-3</v>
      </c>
      <c r="AD16">
        <f t="shared" si="2"/>
        <v>-0.25499642005303802</v>
      </c>
    </row>
    <row r="17" spans="2:30" ht="19.2" x14ac:dyDescent="0.4">
      <c r="B17" s="29">
        <v>44509</v>
      </c>
      <c r="C17" s="43">
        <v>4.0000000000000001E-3</v>
      </c>
      <c r="D17" s="37">
        <v>3.62423825802325E-3</v>
      </c>
      <c r="E17" s="37">
        <v>3.9998547551388904E-3</v>
      </c>
      <c r="F17" s="37">
        <v>4.9908138243008597E-2</v>
      </c>
      <c r="G17" s="1">
        <v>0.38670661033007703</v>
      </c>
      <c r="H17" s="1">
        <v>25.785785100106001</v>
      </c>
      <c r="I17" s="154">
        <v>-1.25902051513524E-4</v>
      </c>
      <c r="J17" s="153">
        <f t="shared" si="0"/>
        <v>-1.8235813016839785E-4</v>
      </c>
      <c r="K17" s="1">
        <v>1.13893357090006E-3</v>
      </c>
      <c r="L17" s="102">
        <v>2.9236459345926403E-4</v>
      </c>
      <c r="M17" s="110">
        <v>8.6999999999999994E-3</v>
      </c>
      <c r="N17" s="1">
        <v>8.0094613322764397E-3</v>
      </c>
      <c r="O17" s="1">
        <v>8.6999100547120994E-3</v>
      </c>
      <c r="P17" s="1">
        <v>5.2666132824643497E-2</v>
      </c>
      <c r="Q17" s="1">
        <v>-0.60761053660400099</v>
      </c>
      <c r="R17" s="1">
        <v>24.543846089776999</v>
      </c>
      <c r="S17" s="154">
        <v>-1.13748349893077E-4</v>
      </c>
      <c r="T17" s="153">
        <f t="shared" si="1"/>
        <v>-1.6475455440862342E-4</v>
      </c>
      <c r="U17" s="1">
        <v>1.1439860140790099E-3</v>
      </c>
      <c r="V17" s="102">
        <v>-4.6922911173424999E-4</v>
      </c>
      <c r="W17" s="107">
        <v>1.16015</v>
      </c>
      <c r="X17" s="94">
        <v>4.0000000000000002E-4</v>
      </c>
      <c r="Y17" s="62">
        <v>4.6600000000000003E-2</v>
      </c>
      <c r="Z17" s="65">
        <v>1.1591</v>
      </c>
      <c r="AA17" s="120">
        <v>4.0000000000000002E-4</v>
      </c>
      <c r="AB17" s="115">
        <v>4.0000000000000002E-4</v>
      </c>
      <c r="AC17" s="24">
        <v>-5.6899999999999997E-3</v>
      </c>
      <c r="AD17">
        <f t="shared" si="2"/>
        <v>-0.22090392627392397</v>
      </c>
    </row>
    <row r="18" spans="2:30" ht="19.2" x14ac:dyDescent="0.4">
      <c r="B18" s="29">
        <v>44510</v>
      </c>
      <c r="C18" s="43">
        <v>1.4E-3</v>
      </c>
      <c r="D18" s="37">
        <v>1.0038402289154499E-3</v>
      </c>
      <c r="E18" s="37">
        <v>1.3996823257596701E-3</v>
      </c>
      <c r="F18" s="37">
        <v>5.4891740624269998E-2</v>
      </c>
      <c r="G18" s="1">
        <v>0.16719683750862699</v>
      </c>
      <c r="H18" s="1">
        <v>15.814736389321499</v>
      </c>
      <c r="I18" s="154">
        <v>-8.9409459568563594E-5</v>
      </c>
      <c r="J18" s="153">
        <f t="shared" si="0"/>
        <v>-1.2950179659732423E-4</v>
      </c>
      <c r="K18" s="1">
        <v>7.2224041252288301E-4</v>
      </c>
      <c r="L18" s="102">
        <v>1.20178367334551E-4</v>
      </c>
      <c r="M18" s="110">
        <v>1.7299999999999999E-2</v>
      </c>
      <c r="N18" s="1">
        <v>1.6509417846578299E-2</v>
      </c>
      <c r="O18" s="1">
        <v>1.72995272805898E-2</v>
      </c>
      <c r="P18" s="1">
        <v>6.0129104028865399E-2</v>
      </c>
      <c r="Q18" s="1">
        <v>-0.81090697799935596</v>
      </c>
      <c r="R18" s="1">
        <v>15.620503181804899</v>
      </c>
      <c r="S18" s="154">
        <v>-8.6473183373214898E-5</v>
      </c>
      <c r="T18" s="153">
        <f t="shared" si="1"/>
        <v>-1.2524885686993428E-4</v>
      </c>
      <c r="U18" s="1">
        <v>7.8143449407867198E-4</v>
      </c>
      <c r="V18" s="102">
        <v>-5.9804548981005901E-4</v>
      </c>
      <c r="W18" s="107">
        <v>1.1490499999999999</v>
      </c>
      <c r="X18" s="94">
        <v>-9.5999999999999992E-3</v>
      </c>
      <c r="Y18" s="62">
        <v>4.9099999999999998E-2</v>
      </c>
      <c r="Z18" s="65">
        <v>1.1477999999999999</v>
      </c>
      <c r="AA18" s="120">
        <v>-9.7000000000000003E-3</v>
      </c>
      <c r="AB18" s="115">
        <v>5.0000000000000001E-4</v>
      </c>
      <c r="AC18" s="24">
        <v>-5.6299999999999996E-3</v>
      </c>
      <c r="AD18">
        <f t="shared" si="2"/>
        <v>-0.64371014049072894</v>
      </c>
    </row>
    <row r="19" spans="2:30" ht="19.2" x14ac:dyDescent="0.4">
      <c r="B19" s="29">
        <v>44511</v>
      </c>
      <c r="C19" s="43">
        <v>6.9999999999999999E-4</v>
      </c>
      <c r="D19" s="37">
        <v>5.1625566418072699E-4</v>
      </c>
      <c r="E19" s="37">
        <v>6.9992456151033399E-4</v>
      </c>
      <c r="F19" s="37">
        <v>5.3089100520592597E-2</v>
      </c>
      <c r="G19" s="1">
        <v>9.9662980058476305E-2</v>
      </c>
      <c r="H19" s="1">
        <v>11.730299290349</v>
      </c>
      <c r="I19" s="154">
        <v>-6.1306932358429705E-5</v>
      </c>
      <c r="J19" s="153">
        <f t="shared" si="0"/>
        <v>-8.8797739328677947E-5</v>
      </c>
      <c r="K19" s="1">
        <v>4.9223107927659797E-4</v>
      </c>
      <c r="L19" s="103">
        <v>6.8368246990519298E-5</v>
      </c>
      <c r="M19" s="110">
        <v>2.0500000000000001E-2</v>
      </c>
      <c r="N19" s="1">
        <v>1.9942482638161198E-2</v>
      </c>
      <c r="O19" s="1">
        <v>2.0498529800909999E-2</v>
      </c>
      <c r="P19" s="1">
        <v>5.9957110390914503E-2</v>
      </c>
      <c r="Q19" s="1">
        <v>-0.87211565991583295</v>
      </c>
      <c r="R19" s="1">
        <v>12.4318994537992</v>
      </c>
      <c r="S19" s="154">
        <v>-6.3481656125968103E-5</v>
      </c>
      <c r="T19" s="153">
        <f t="shared" si="1"/>
        <v>-9.1947636849120469E-5</v>
      </c>
      <c r="U19" s="1">
        <v>5.8915932271788704E-4</v>
      </c>
      <c r="V19" s="102">
        <v>-6.14313400289796E-4</v>
      </c>
      <c r="W19" s="107">
        <v>1.1451499999999999</v>
      </c>
      <c r="X19" s="94">
        <v>-3.3999999999999998E-3</v>
      </c>
      <c r="Y19" s="62">
        <v>4.9099999999999998E-2</v>
      </c>
      <c r="Z19" s="119">
        <v>1.145</v>
      </c>
      <c r="AA19" s="120">
        <v>-2.3999999999999998E-3</v>
      </c>
      <c r="AB19" s="115">
        <v>5.0000000000000001E-4</v>
      </c>
      <c r="AC19" s="24">
        <v>-5.6299999999999996E-3</v>
      </c>
      <c r="AD19">
        <f t="shared" si="2"/>
        <v>-0.77245267985735666</v>
      </c>
    </row>
    <row r="20" spans="2:30" ht="19.8" thickBot="1" x14ac:dyDescent="0.45">
      <c r="B20" s="30">
        <v>44512</v>
      </c>
      <c r="C20" s="49">
        <v>6.9999999999999999E-4</v>
      </c>
      <c r="D20" s="50">
        <v>4.4051701278273301E-4</v>
      </c>
      <c r="E20" s="50">
        <v>6.9992226948822802E-4</v>
      </c>
      <c r="F20" s="50">
        <v>5.46902085425457E-2</v>
      </c>
      <c r="G20" s="2">
        <v>9.9142573355822203E-2</v>
      </c>
      <c r="H20" s="2">
        <v>11.6117971742742</v>
      </c>
      <c r="I20" s="155">
        <v>-6.4276863368034596E-5</v>
      </c>
      <c r="J20" s="156">
        <f t="shared" si="0"/>
        <v>-9.3099425116399315E-5</v>
      </c>
      <c r="K20" s="2">
        <v>4.7901203424334098E-4</v>
      </c>
      <c r="L20" s="104">
        <v>6.4909172840588397E-5</v>
      </c>
      <c r="M20" s="111">
        <v>2.1399999999999999E-2</v>
      </c>
      <c r="N20" s="2">
        <v>2.0036716811379199E-2</v>
      </c>
      <c r="O20" s="2">
        <v>2.13998074931597E-2</v>
      </c>
      <c r="P20" s="2">
        <v>7.3232374655366306E-2</v>
      </c>
      <c r="Q20" s="2">
        <v>-0.83098005329020197</v>
      </c>
      <c r="R20" s="2">
        <v>12.5519953346469</v>
      </c>
      <c r="S20" s="155">
        <v>-1.04911893624626E-4</v>
      </c>
      <c r="T20" s="153">
        <f t="shared" si="1"/>
        <v>-1.519557189404305E-4</v>
      </c>
      <c r="U20" s="2">
        <v>6.9335122903367596E-4</v>
      </c>
      <c r="V20" s="104">
        <v>-5.5973455722518504E-4</v>
      </c>
      <c r="W20" s="108">
        <v>1.145</v>
      </c>
      <c r="X20" s="32">
        <v>-1E-4</v>
      </c>
      <c r="Y20" s="112">
        <v>4.87E-2</v>
      </c>
      <c r="Z20" s="99">
        <v>1.1440999999999999</v>
      </c>
      <c r="AA20" s="121">
        <v>-8.0000000000000004E-4</v>
      </c>
      <c r="AB20" s="116">
        <v>5.0000000000000001E-4</v>
      </c>
      <c r="AC20" s="25">
        <v>-5.62E-3</v>
      </c>
      <c r="AD20">
        <f t="shared" si="2"/>
        <v>-0.73183747993437975</v>
      </c>
    </row>
    <row r="23" spans="2:30" x14ac:dyDescent="0.4">
      <c r="B23" t="s">
        <v>35</v>
      </c>
    </row>
    <row r="24" spans="2:30" x14ac:dyDescent="0.4">
      <c r="C24" t="s">
        <v>36</v>
      </c>
    </row>
    <row r="30" spans="2:30" x14ac:dyDescent="0.4">
      <c r="O30" s="27"/>
      <c r="P30" s="27"/>
    </row>
    <row r="32" spans="2:30" x14ac:dyDescent="0.4">
      <c r="O32" s="27"/>
      <c r="P32" s="27"/>
    </row>
  </sheetData>
  <mergeCells count="5">
    <mergeCell ref="Z4:AA4"/>
    <mergeCell ref="M4:V4"/>
    <mergeCell ref="C4:L4"/>
    <mergeCell ref="W4:Y4"/>
    <mergeCell ref="AB4:AC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08C-1486-45EC-B669-233C3A032BE3}">
  <dimension ref="B2:D20"/>
  <sheetViews>
    <sheetView workbookViewId="0">
      <selection activeCell="G19" sqref="G19"/>
    </sheetView>
  </sheetViews>
  <sheetFormatPr defaultRowHeight="17.399999999999999" x14ac:dyDescent="0.4"/>
  <cols>
    <col min="2" max="2" width="13.69921875" bestFit="1" customWidth="1"/>
    <col min="3" max="3" width="13.296875" bestFit="1" customWidth="1"/>
    <col min="4" max="4" width="9.796875" bestFit="1" customWidth="1"/>
  </cols>
  <sheetData>
    <row r="2" spans="2:4" x14ac:dyDescent="0.4">
      <c r="B2" s="122" t="s">
        <v>73</v>
      </c>
      <c r="C2" s="122"/>
      <c r="D2" s="122"/>
    </row>
    <row r="3" spans="2:4" ht="18" thickBot="1" x14ac:dyDescent="0.45">
      <c r="B3" s="122"/>
      <c r="C3" s="122"/>
      <c r="D3" s="122"/>
    </row>
    <row r="4" spans="2:4" ht="18" thickBot="1" x14ac:dyDescent="0.45">
      <c r="B4" s="123" t="s">
        <v>74</v>
      </c>
      <c r="C4" s="124" t="s">
        <v>75</v>
      </c>
      <c r="D4" s="125" t="s">
        <v>76</v>
      </c>
    </row>
    <row r="5" spans="2:4" x14ac:dyDescent="0.4">
      <c r="B5" s="134" t="s">
        <v>11</v>
      </c>
      <c r="C5" s="135" t="s">
        <v>77</v>
      </c>
      <c r="D5" s="136">
        <v>2021</v>
      </c>
    </row>
    <row r="6" spans="2:4" ht="18" thickBot="1" x14ac:dyDescent="0.45">
      <c r="B6" s="126" t="s">
        <v>101</v>
      </c>
      <c r="C6" s="127" t="s">
        <v>78</v>
      </c>
      <c r="D6" s="128">
        <v>21</v>
      </c>
    </row>
    <row r="7" spans="2:4" x14ac:dyDescent="0.4">
      <c r="B7" s="122"/>
      <c r="C7" s="122"/>
      <c r="D7" s="122"/>
    </row>
    <row r="8" spans="2:4" ht="18" thickBot="1" x14ac:dyDescent="0.45">
      <c r="B8" s="122"/>
      <c r="C8" s="122"/>
      <c r="D8" s="122"/>
    </row>
    <row r="9" spans="2:4" x14ac:dyDescent="0.4">
      <c r="B9" s="122"/>
      <c r="C9" s="131" t="s">
        <v>90</v>
      </c>
      <c r="D9" s="129" t="s">
        <v>79</v>
      </c>
    </row>
    <row r="10" spans="2:4" x14ac:dyDescent="0.4">
      <c r="B10" s="122"/>
      <c r="C10" s="132" t="s">
        <v>91</v>
      </c>
      <c r="D10" s="130" t="s">
        <v>80</v>
      </c>
    </row>
    <row r="11" spans="2:4" x14ac:dyDescent="0.4">
      <c r="B11" s="122"/>
      <c r="C11" s="132" t="s">
        <v>92</v>
      </c>
      <c r="D11" s="130" t="s">
        <v>81</v>
      </c>
    </row>
    <row r="12" spans="2:4" x14ac:dyDescent="0.4">
      <c r="B12" s="122"/>
      <c r="C12" s="132" t="s">
        <v>93</v>
      </c>
      <c r="D12" s="130" t="s">
        <v>82</v>
      </c>
    </row>
    <row r="13" spans="2:4" x14ac:dyDescent="0.4">
      <c r="B13" s="122"/>
      <c r="C13" s="132" t="s">
        <v>94</v>
      </c>
      <c r="D13" s="130" t="s">
        <v>83</v>
      </c>
    </row>
    <row r="14" spans="2:4" x14ac:dyDescent="0.4">
      <c r="B14" s="122"/>
      <c r="C14" s="132" t="s">
        <v>95</v>
      </c>
      <c r="D14" s="130" t="s">
        <v>84</v>
      </c>
    </row>
    <row r="15" spans="2:4" x14ac:dyDescent="0.4">
      <c r="B15" s="122"/>
      <c r="C15" s="132" t="s">
        <v>96</v>
      </c>
      <c r="D15" s="130" t="s">
        <v>85</v>
      </c>
    </row>
    <row r="16" spans="2:4" x14ac:dyDescent="0.4">
      <c r="B16" s="122"/>
      <c r="C16" s="132" t="s">
        <v>97</v>
      </c>
      <c r="D16" s="130" t="s">
        <v>86</v>
      </c>
    </row>
    <row r="17" spans="2:4" x14ac:dyDescent="0.4">
      <c r="B17" s="122"/>
      <c r="C17" s="132" t="s">
        <v>98</v>
      </c>
      <c r="D17" s="130" t="s">
        <v>87</v>
      </c>
    </row>
    <row r="18" spans="2:4" x14ac:dyDescent="0.4">
      <c r="B18" s="122"/>
      <c r="C18" s="132" t="s">
        <v>99</v>
      </c>
      <c r="D18" s="130" t="s">
        <v>88</v>
      </c>
    </row>
    <row r="19" spans="2:4" x14ac:dyDescent="0.4">
      <c r="B19" s="122"/>
      <c r="C19" s="132" t="s">
        <v>100</v>
      </c>
      <c r="D19" s="130" t="s">
        <v>89</v>
      </c>
    </row>
    <row r="20" spans="2:4" ht="18" thickBot="1" x14ac:dyDescent="0.45">
      <c r="B20" s="122"/>
      <c r="C20" s="133" t="s">
        <v>77</v>
      </c>
      <c r="D20" s="128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Long Call</vt:lpstr>
      <vt:lpstr>Long Put</vt:lpstr>
      <vt:lpstr>Short Call</vt:lpstr>
      <vt:lpstr>Short Put</vt:lpstr>
      <vt:lpstr>Short Straddle</vt:lpstr>
      <vt:lpstr>Data(Greeks)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나종진</dc:creator>
  <cp:lastModifiedBy>이수현</cp:lastModifiedBy>
  <dcterms:created xsi:type="dcterms:W3CDTF">2021-11-08T06:35:06Z</dcterms:created>
  <dcterms:modified xsi:type="dcterms:W3CDTF">2021-11-22T04:39:00Z</dcterms:modified>
</cp:coreProperties>
</file>