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95" windowWidth="20730" windowHeight="11760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5725"/>
  <pivotCaches>
    <pivotCache cacheId="156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/>
  <c r="F18" s="1"/>
  <c r="D18"/>
  <c r="E19"/>
  <c r="F19" s="1"/>
  <c r="H19" s="1"/>
  <c r="E14"/>
  <c r="F14" s="1"/>
  <c r="H14" s="1"/>
  <c r="D26"/>
  <c r="P6"/>
  <c r="D56"/>
  <c r="B55"/>
  <c r="B56"/>
  <c r="B57"/>
  <c r="B58"/>
  <c r="B59"/>
  <c r="D55"/>
  <c r="H18" l="1"/>
  <c r="F55"/>
  <c r="A3" i="4"/>
  <c r="A4"/>
  <c r="A5"/>
  <c r="A6"/>
  <c r="A7"/>
  <c r="A8"/>
  <c r="A9"/>
  <c r="A10"/>
  <c r="A11"/>
  <c r="A12"/>
  <c r="A13"/>
  <c r="A2"/>
  <c r="F50" i="3" l="1"/>
  <c r="F42"/>
  <c r="F39"/>
  <c r="F48"/>
  <c r="F43"/>
  <c r="F49"/>
  <c r="F44"/>
  <c r="F40"/>
  <c r="F47"/>
  <c r="F46"/>
  <c r="F45"/>
  <c r="F41"/>
  <c r="D2"/>
  <c r="D57"/>
  <c r="H57" s="1"/>
  <c r="D58"/>
  <c r="H58" s="1"/>
  <c r="D59"/>
  <c r="D22"/>
  <c r="D20"/>
  <c r="D21"/>
  <c r="D23"/>
  <c r="C50"/>
  <c r="C49"/>
  <c r="C40"/>
  <c r="C48"/>
  <c r="H41" l="1"/>
  <c r="H42"/>
  <c r="H47"/>
  <c r="H43"/>
  <c r="H46"/>
  <c r="H45"/>
  <c r="H44"/>
  <c r="H39"/>
  <c r="G40"/>
  <c r="G50"/>
  <c r="G49"/>
  <c r="I49" s="1"/>
  <c r="G48"/>
  <c r="I48" s="1"/>
  <c r="F59"/>
  <c r="G59" s="1"/>
  <c r="F57"/>
  <c r="F58"/>
  <c r="G55"/>
  <c r="H55" s="1"/>
  <c r="I58"/>
  <c r="F56"/>
  <c r="G56" s="1"/>
  <c r="I57"/>
  <c r="B51"/>
  <c r="D7"/>
  <c r="D24"/>
  <c r="D12"/>
  <c r="C45"/>
  <c r="C46"/>
  <c r="C39"/>
  <c r="C43"/>
  <c r="C47"/>
  <c r="C42"/>
  <c r="C41"/>
  <c r="C44"/>
  <c r="G44" l="1"/>
  <c r="G46"/>
  <c r="G47"/>
  <c r="I47" s="1"/>
  <c r="D41"/>
  <c r="G41"/>
  <c r="I41" s="1"/>
  <c r="G39"/>
  <c r="G45"/>
  <c r="G43"/>
  <c r="G42"/>
  <c r="H59"/>
  <c r="I59" s="1"/>
  <c r="H56"/>
  <c r="I56" s="1"/>
  <c r="I55"/>
  <c r="G60"/>
  <c r="D48"/>
  <c r="D39"/>
  <c r="D49"/>
  <c r="D50"/>
  <c r="D13"/>
  <c r="D16"/>
  <c r="D15"/>
  <c r="D17"/>
  <c r="W2" l="1"/>
  <c r="V3" s="1"/>
  <c r="P3"/>
  <c r="E26" s="1"/>
  <c r="F26" s="1"/>
  <c r="H26" s="1"/>
  <c r="E9" l="1"/>
  <c r="E7"/>
  <c r="F7" s="1"/>
  <c r="H7" s="1"/>
  <c r="P2"/>
  <c r="S2" s="1"/>
  <c r="U2" s="1"/>
  <c r="P4"/>
  <c r="P5"/>
  <c r="D25"/>
  <c r="D29"/>
  <c r="D3"/>
  <c r="V2"/>
  <c r="S6"/>
  <c r="S3"/>
  <c r="U3" s="1"/>
  <c r="D9" s="1"/>
  <c r="E20" l="1"/>
  <c r="F20" s="1"/>
  <c r="H20" s="1"/>
  <c r="E23"/>
  <c r="F23" s="1"/>
  <c r="H23" s="1"/>
  <c r="E21"/>
  <c r="F21" s="1"/>
  <c r="H21" s="1"/>
  <c r="E22"/>
  <c r="F22" s="1"/>
  <c r="H22" s="1"/>
  <c r="E24"/>
  <c r="F24" s="1"/>
  <c r="H24" s="1"/>
  <c r="E2"/>
  <c r="F2" s="1"/>
  <c r="H2" s="1"/>
  <c r="E3"/>
  <c r="F3" s="1"/>
  <c r="H3" s="1"/>
  <c r="S5"/>
  <c r="U5" s="1"/>
  <c r="D27" s="1"/>
  <c r="E12"/>
  <c r="F12" s="1"/>
  <c r="H12" s="1"/>
  <c r="S4"/>
  <c r="U4" s="1"/>
  <c r="I39"/>
  <c r="D40"/>
  <c r="U6"/>
  <c r="D5"/>
  <c r="I42"/>
  <c r="E17"/>
  <c r="F17" s="1"/>
  <c r="D4"/>
  <c r="D11"/>
  <c r="D8"/>
  <c r="D28"/>
  <c r="D10"/>
  <c r="D6"/>
  <c r="E11"/>
  <c r="F11" s="1"/>
  <c r="E28"/>
  <c r="F28" s="1"/>
  <c r="E16"/>
  <c r="F16" s="1"/>
  <c r="E10"/>
  <c r="F10" s="1"/>
  <c r="E6"/>
  <c r="F6" s="1"/>
  <c r="E27"/>
  <c r="F27" s="1"/>
  <c r="E15"/>
  <c r="E5"/>
  <c r="F5" s="1"/>
  <c r="E29"/>
  <c r="E25"/>
  <c r="E13"/>
  <c r="F13" s="1"/>
  <c r="E8"/>
  <c r="F8" s="1"/>
  <c r="E4"/>
  <c r="F4" s="1"/>
  <c r="D43"/>
  <c r="V4"/>
  <c r="V6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F25" i="3" l="1"/>
  <c r="H25" s="1"/>
  <c r="F9"/>
  <c r="H9" s="1"/>
  <c r="F29"/>
  <c r="H29" s="1"/>
  <c r="F15"/>
  <c r="H15" s="1"/>
  <c r="C51"/>
  <c r="I50" s="1"/>
  <c r="D46"/>
  <c r="I45"/>
  <c r="I46"/>
  <c r="D47"/>
  <c r="I40"/>
  <c r="D42"/>
  <c r="I43"/>
  <c r="D44"/>
  <c r="D45"/>
  <c r="I44"/>
  <c r="H27"/>
  <c r="H4"/>
  <c r="H5"/>
  <c r="H11"/>
  <c r="H17"/>
  <c r="H16"/>
  <c r="H10"/>
  <c r="H8"/>
  <c r="H6"/>
  <c r="H13"/>
  <c r="H28"/>
  <c r="I40" i="2"/>
  <c r="I44"/>
  <c r="I41"/>
  <c r="I32"/>
  <c r="I31"/>
  <c r="I30"/>
  <c r="I29"/>
  <c r="I28"/>
  <c r="I27"/>
  <c r="I26"/>
  <c r="D51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<sst xmlns="http://schemas.openxmlformats.org/spreadsheetml/2006/main" count="268" uniqueCount="113">
  <si>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</si>
  <si>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</si>
  <si>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</si>
  <si>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</si>
  <si>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</si>
  <si>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</si>
  <si>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</si>
  <si>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</si>
  <si>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</si>
  <si>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</si>
  <si>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</si>
  <si>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</si>
  <si>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</si>
  <si>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</si>
  <si>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</si>
  <si>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</si>
  <si>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</si>
  <si>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</si>
  <si>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</si>
  <si>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</si>
  <si>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</si>
  <si>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</si>
  <si>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</si>
  <si>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</si>
  <si>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</si>
  <si>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</si>
  <si>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</si>
  <si>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</si>
  <si>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</si>
  <si>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</si>
  <si>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</si>
  <si>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</si>
  <si>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</si>
  <si>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</si>
  <si>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</si>
  <si>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</si>
  <si>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</si>
  <si>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</si>
  <si>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</si>
  <si>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</si>
  <si>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</si>
  <si>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</si>
  <si>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</si>
  <si>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</si>
  <si>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</si>
  <si>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</si>
  <si>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</si>
  <si>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</si>
  <si>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</si>
  <si>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</si>
  <si>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</si>
  <si>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</si>
  <si>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</si>
  <si>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</si>
  <si>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</si>
  <si>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</si>
  <si>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</si>
  <si>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</si>
  <si>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</si>
  <si>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</si>
  <si>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</si>
  <si>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</si>
  <si>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</si>
  <si>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</si>
  <si>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</si>
  <si>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</si>
  <si>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</si>
  <si>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</si>
  <si>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</si>
  <si>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</si>
  <si>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</si>
  <si>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</si>
  <si>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</si>
  <si>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</si>
  <si>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</si>
  <si>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</si>
  <si>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</si>
  <si>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</si>
  <si>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</si>
  <si>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</si>
  <si>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</si>
  <si>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</si>
  <si>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</si>
  <si>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</si>
  <si>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</si>
  <si>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</si>
  <si>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</si>
  <si>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</si>
  <si>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</si>
  <si>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</si>
  <si>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</si>
  <si>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</si>
  <si>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</si>
  <si>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UC06_BuyTicket_without_view_receipt</t>
  </si>
  <si>
    <t>ScriptName</t>
  </si>
  <si>
    <t>Операций 20 мин</t>
  </si>
  <si>
    <t>Статистика операций 20 мин</t>
  </si>
  <si>
    <t>find_ticket</t>
  </si>
  <si>
    <t>choice_ticket</t>
  </si>
  <si>
    <t>buy_ticket</t>
  </si>
  <si>
    <t>click_Itinerary</t>
  </si>
  <si>
    <t>delete_booking</t>
  </si>
  <si>
    <t>01_Login</t>
  </si>
  <si>
    <t>02_FindTicket</t>
  </si>
  <si>
    <t>03_BuyTicket</t>
  </si>
  <si>
    <t>04_ViewingTicket</t>
  </si>
  <si>
    <t>05_DeleteBooking</t>
  </si>
  <si>
    <t xml:space="preserve">find_ticket </t>
  </si>
  <si>
    <t xml:space="preserve">click_flights </t>
  </si>
  <si>
    <t xml:space="preserve">choice_ticket </t>
  </si>
  <si>
    <t>04_NewUsr</t>
  </si>
  <si>
    <t>data_usr</t>
  </si>
  <si>
    <t>welcome_new_usr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</si>
</sst>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</cellStyleXfs>
  <cellXfs count="72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6" xfId="0" applyFont="1" applyFill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4" fillId="39" borderId="17" xfId="0" applyFont="1" applyFill="1" applyBorder="1" applyAlignment="1">
      <alignment horizontal="center" vertical="center" wrapText="1"/>
    </xf>
    <xf numFmtId="0" fontId="4" fillId="39" borderId="16" xfId="0" applyFont="1" applyFill="1" applyBorder="1" applyAlignment="1">
      <alignment horizontal="left" vertical="center" wrapText="1"/>
    </xf>
    <xf numFmtId="0" fontId="4" fillId="35" borderId="16" xfId="0" applyFont="1" applyFill="1" applyBorder="1" applyAlignment="1">
      <alignment horizontal="left" vertical="center" wrapText="1"/>
    </xf>
    <xf numFmtId="0" fontId="5" fillId="39" borderId="18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3" xfId="0" applyFont="1" applyBorder="1" applyAlignment="1">
      <alignment vertical="center" wrapText="1"/>
    </xf>
    <xf numFmtId="9" fontId="0" fillId="0" borderId="24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1" fillId="0" borderId="0" xfId="42" applyFont="1"/>
    <xf numFmtId="0" fontId="0" fillId="0" borderId="0" xfId="0" applyFill="1"/>
    <xf numFmtId="0" fontId="0" fillId="0" borderId="0" xfId="0" applyFill="1" applyBorder="1"/>
    <xf numFmtId="0" fontId="0" fillId="40" borderId="1" xfId="0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0" borderId="25" xfId="0" applyBorder="1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" refreshedDate="44810.644877777777" createdVersion="6" refreshedVersion="3" minRefreshableVersion="3" recordCount="32">
  <cacheSource type="worksheet">
    <worksheetSource ref="A1:H33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7">
        <s v="open_home_page"/>
        <s v="click_sign_up_now"/>
        <s v="data_usr"/>
        <s v="welcome_new_usr"/>
        <s v="logout"/>
        <s v="login"/>
        <s v="click_Itinerary"/>
        <s v="delete_booking"/>
        <s v="click_flights"/>
        <s v="find_ticket "/>
        <s v="choice_ticket"/>
        <s v="buy_ticket"/>
        <s v="click_flights "/>
        <s v="find_ticket"/>
        <s v="choice_ticket "/>
        <m/>
        <s v="Выход из системы" u="1"/>
        <s v="Переход на следуюущий эран после регистарции" u="1"/>
        <s v="Оплата билета" u="1"/>
        <s v="Просмотр квитанций" u="1"/>
        <s v="Вход в систему" u="1"/>
        <s v="Заполнение полей для поиска билета " u="1"/>
        <s v="Выбор рейса из найденных " u="1"/>
        <s v="Заполнение полей регистарции" u="1"/>
        <s v="Отмена бронирования " u="1"/>
        <s v="Перход на страницу регистрации" u="1"/>
        <s v="Главная Welcome страница" u="1"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39" maxValue="1000"/>
    </cacheField>
    <cacheField name="одним пользователем в минуту" numFmtId="2">
      <sharedItems containsString="0" containsBlank="1" containsNumber="1" minValue="0.06" maxValue="1.5384615384615385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1.2" maxValue="92.307692307692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04_NewUsr"/>
    <x v="0"/>
    <n v="1"/>
    <n v="1"/>
    <n v="39"/>
    <n v="1.5384615384615385"/>
    <n v="20"/>
    <n v="30.76923076923077"/>
  </r>
  <r>
    <s v="04_NewUsr"/>
    <x v="1"/>
    <n v="1"/>
    <n v="1"/>
    <n v="39"/>
    <n v="1.5384615384615385"/>
    <n v="20"/>
    <n v="30.76923076923077"/>
  </r>
  <r>
    <s v="04_NewUsr"/>
    <x v="2"/>
    <n v="1"/>
    <n v="1"/>
    <n v="39"/>
    <n v="1.5384615384615385"/>
    <n v="20"/>
    <n v="30.76923076923077"/>
  </r>
  <r>
    <s v="04_NewUsr"/>
    <x v="3"/>
    <n v="1"/>
    <n v="1"/>
    <n v="39"/>
    <n v="1.5384615384615385"/>
    <n v="20"/>
    <n v="30.76923076923077"/>
  </r>
  <r>
    <s v="04_NewUsr"/>
    <x v="4"/>
    <n v="1"/>
    <n v="1"/>
    <n v="39"/>
    <n v="1.5384615384615385"/>
    <n v="20"/>
    <n v="30.76923076923077"/>
  </r>
  <r>
    <s v="05_DeleteBooking"/>
    <x v="0"/>
    <n v="1"/>
    <n v="2"/>
    <n v="94"/>
    <n v="0.63829787234042556"/>
    <n v="20"/>
    <n v="25.531914893617021"/>
  </r>
  <r>
    <s v="05_DeleteBooking"/>
    <x v="5"/>
    <n v="1"/>
    <n v="2"/>
    <n v="94"/>
    <n v="0.63829787234042556"/>
    <n v="20"/>
    <n v="25.531914893617021"/>
  </r>
  <r>
    <s v="05_DeleteBooking"/>
    <x v="6"/>
    <n v="1"/>
    <n v="2"/>
    <n v="94"/>
    <n v="0.63829787234042556"/>
    <n v="20"/>
    <n v="25.531914893617021"/>
  </r>
  <r>
    <s v="05_DeleteBooking"/>
    <x v="7"/>
    <n v="1"/>
    <n v="2"/>
    <n v="94"/>
    <n v="0.63829787234042556"/>
    <n v="20"/>
    <n v="25.531914893617021"/>
  </r>
  <r>
    <s v="05_DeleteBooking"/>
    <x v="4"/>
    <n v="1"/>
    <n v="2"/>
    <n v="94"/>
    <n v="0.63829787234042556"/>
    <n v="20"/>
    <n v="25.531914893617021"/>
  </r>
  <r>
    <s v="03_BuyTicket"/>
    <x v="0"/>
    <n v="1"/>
    <n v="3"/>
    <n v="59"/>
    <n v="1.0169491525423728"/>
    <n v="20"/>
    <n v="61.016949152542367"/>
  </r>
  <r>
    <s v="03_BuyTicket"/>
    <x v="5"/>
    <n v="1"/>
    <n v="3"/>
    <n v="59"/>
    <n v="1.0169491525423728"/>
    <n v="20"/>
    <n v="61.016949152542367"/>
  </r>
  <r>
    <s v="03_BuyTicket"/>
    <x v="8"/>
    <n v="1"/>
    <n v="1"/>
    <n v="59"/>
    <n v="1.0169491525423728"/>
    <n v="20"/>
    <n v="20.338983050847457"/>
  </r>
  <r>
    <s v="03_BuyTicket"/>
    <x v="9"/>
    <n v="1"/>
    <n v="3"/>
    <n v="59"/>
    <n v="1.0169491525423728"/>
    <n v="20"/>
    <n v="61.016949152542367"/>
  </r>
  <r>
    <s v="03_BuyTicket"/>
    <x v="10"/>
    <n v="1"/>
    <n v="3"/>
    <n v="59"/>
    <n v="1.0169491525423728"/>
    <n v="20"/>
    <n v="61.016949152542367"/>
  </r>
  <r>
    <s v="03_BuyTicket"/>
    <x v="11"/>
    <n v="1"/>
    <n v="3"/>
    <n v="59"/>
    <n v="1.0169491525423728"/>
    <n v="20"/>
    <n v="61.016949152542367"/>
  </r>
  <r>
    <s v="03_BuyTicket"/>
    <x v="6"/>
    <n v="1"/>
    <n v="3"/>
    <n v="59"/>
    <n v="1.0169491525423728"/>
    <n v="20"/>
    <n v="61.016949152542367"/>
  </r>
  <r>
    <s v="03_BuyTicket"/>
    <x v="4"/>
    <n v="1"/>
    <n v="1"/>
    <n v="59"/>
    <n v="1.0169491525423728"/>
    <n v="20"/>
    <n v="20.338983050847457"/>
  </r>
  <r>
    <s v="01_Login"/>
    <x v="0"/>
    <n v="1"/>
    <n v="1"/>
    <n v="1000"/>
    <n v="0.06"/>
    <n v="20"/>
    <n v="1.2"/>
  </r>
  <r>
    <s v="01_Login"/>
    <x v="5"/>
    <n v="1"/>
    <n v="1"/>
    <n v="1000"/>
    <n v="0.06"/>
    <n v="20"/>
    <n v="1.2"/>
  </r>
  <r>
    <s v="01_Login"/>
    <x v="12"/>
    <n v="1"/>
    <n v="1"/>
    <n v="1000"/>
    <n v="0.06"/>
    <n v="20"/>
    <n v="1.2"/>
  </r>
  <r>
    <s v="01_Login"/>
    <x v="4"/>
    <n v="1"/>
    <n v="1"/>
    <n v="1000"/>
    <n v="0.06"/>
    <n v="20"/>
    <n v="1.2"/>
  </r>
  <r>
    <s v="02_FindTicket"/>
    <x v="0"/>
    <n v="1"/>
    <n v="3"/>
    <n v="39"/>
    <n v="1.5384615384615385"/>
    <n v="20"/>
    <n v="92.307692307692321"/>
  </r>
  <r>
    <s v="02_FindTicket"/>
    <x v="5"/>
    <n v="1"/>
    <n v="3"/>
    <n v="39"/>
    <n v="1.5384615384615385"/>
    <n v="20"/>
    <n v="92.307692307692321"/>
  </r>
  <r>
    <s v="02_FindTicket"/>
    <x v="8"/>
    <n v="1"/>
    <n v="3"/>
    <n v="39"/>
    <n v="1.5384615384615385"/>
    <n v="20"/>
    <n v="92.307692307692321"/>
  </r>
  <r>
    <s v="02_FindTicket"/>
    <x v="13"/>
    <n v="1"/>
    <n v="3"/>
    <n v="39"/>
    <n v="1.5384615384615385"/>
    <n v="20"/>
    <n v="92.307692307692321"/>
  </r>
  <r>
    <s v="02_FindTicket"/>
    <x v="14"/>
    <n v="1"/>
    <n v="3"/>
    <n v="39"/>
    <n v="1.5384615384615385"/>
    <n v="20"/>
    <n v="92.307692307692321"/>
  </r>
  <r>
    <s v="02_FindTicket"/>
    <x v="4"/>
    <n v="1"/>
    <n v="3"/>
    <n v="39"/>
    <n v="1.5384615384615385"/>
    <n v="20"/>
    <n v="92.307692307692321"/>
  </r>
  <r>
    <m/>
    <x v="15"/>
    <m/>
    <m/>
    <m/>
    <m/>
    <m/>
    <m/>
  </r>
  <r>
    <m/>
    <x v="15"/>
    <m/>
    <m/>
    <m/>
    <m/>
    <m/>
    <m/>
  </r>
  <r>
    <m/>
    <x v="15"/>
    <m/>
    <m/>
    <m/>
    <m/>
    <m/>
    <m/>
  </r>
  <r>
    <m/>
    <x v="1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56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7" firstHeaderRow="1" firstDataRow="1" firstDataCol="1"/>
  <pivotFields count="8">
    <pivotField showAll="0"/>
    <pivotField axis="axisRow" showAll="0">
      <items count="28">
        <item m="1" x="20"/>
        <item m="1" x="22"/>
        <item m="1" x="16"/>
        <item m="1" x="21"/>
        <item m="1" x="18"/>
        <item m="1" x="24"/>
        <item m="1" x="19"/>
        <item m="1" x="26"/>
        <item m="1" x="25"/>
        <item m="1" x="23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6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1" topLeftCell="A40" zoomScale="80" zoomScaleNormal="80" workbookViewId="0">
      <selection activeCell="I7" sqref="I7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19.85546875" customWidth="1"/>
    <col min="10" max="10" width="21.710937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>
      <c r="A1" t="s">
        <v>29</v>
      </c>
      <c r="B1" t="s">
        <v>30</v>
      </c>
      <c r="C1" t="s">
        <v>31</v>
      </c>
      <c r="D1" t="s">
        <v>35</v>
      </c>
      <c r="E1" t="s">
        <v>45</v>
      </c>
      <c r="F1" t="s">
        <v>46</v>
      </c>
      <c r="G1" t="s">
        <v>47</v>
      </c>
      <c r="H1" t="s">
        <v>7</v>
      </c>
      <c r="I1" s="16" t="s">
        <v>32</v>
      </c>
      <c r="J1" t="s">
        <v>44</v>
      </c>
      <c r="M1" t="s">
        <v>34</v>
      </c>
      <c r="N1" t="s">
        <v>36</v>
      </c>
      <c r="O1" t="s">
        <v>37</v>
      </c>
      <c r="P1" t="s">
        <v>48</v>
      </c>
      <c r="Q1" t="s">
        <v>38</v>
      </c>
      <c r="R1" t="s">
        <v>35</v>
      </c>
      <c r="S1" t="s">
        <v>39</v>
      </c>
      <c r="T1" s="22" t="s">
        <v>40</v>
      </c>
      <c r="U1" s="22" t="s">
        <v>41</v>
      </c>
      <c r="V1" s="36" t="s">
        <v>42</v>
      </c>
      <c r="X1" t="s">
        <v>43</v>
      </c>
    </row>
    <row r="2" spans="1:24">
      <c r="A2" s="64" t="s">
        <v>110</v>
      </c>
      <c r="B2" s="30" t="s">
        <v>75</v>
      </c>
      <c r="C2" s="30">
        <v>1</v>
      </c>
      <c r="D2" s="51">
        <f t="shared" ref="D2:D6" si="0">VLOOKUP(A2,$M$1:$W$8,6,FALSE)</f>
        <v>1</v>
      </c>
      <c r="E2">
        <f>VLOOKUP(A2,$M$1:$W$8,5,FALSE)</f>
        <v>39</v>
      </c>
      <c r="F2" s="21">
        <f>60/E2*C2</f>
        <v>1.5384615384615385</v>
      </c>
      <c r="G2">
        <v>20</v>
      </c>
      <c r="H2" s="20">
        <f>D2*F2*G2</f>
        <v>30.76923076923077</v>
      </c>
      <c r="I2" s="17" t="s">
        <v>75</v>
      </c>
      <c r="J2" s="15">
        <v>210.82578712308248</v>
      </c>
      <c r="K2" s="15"/>
      <c r="M2" t="s">
        <v>102</v>
      </c>
      <c r="N2" s="24">
        <v>1.2182999999999999</v>
      </c>
      <c r="O2" s="24">
        <v>14.980499999999999</v>
      </c>
      <c r="P2" s="31">
        <f>N2+O2</f>
        <v>16.198799999999999</v>
      </c>
      <c r="Q2" s="18">
        <v>1000</v>
      </c>
      <c r="R2" s="18">
        <v>1</v>
      </c>
      <c r="S2" s="19">
        <f>60/(Q2)</f>
        <v>0.06</v>
      </c>
      <c r="T2" s="22">
        <v>20</v>
      </c>
      <c r="U2" s="23">
        <f>ROUND(R2*S2*T2,0)</f>
        <v>1</v>
      </c>
      <c r="V2" s="37">
        <f>R2/W$2</f>
        <v>0.1</v>
      </c>
      <c r="W2">
        <f>SUM(R2:R6)</f>
        <v>10</v>
      </c>
    </row>
    <row r="3" spans="1:24">
      <c r="A3" s="64" t="s">
        <v>110</v>
      </c>
      <c r="B3" s="30" t="s">
        <v>87</v>
      </c>
      <c r="C3" s="30">
        <v>1</v>
      </c>
      <c r="D3" s="51">
        <f t="shared" si="0"/>
        <v>1</v>
      </c>
      <c r="E3">
        <f>VLOOKUP(A3,$M$1:$W$8,5,FALSE)</f>
        <v>39</v>
      </c>
      <c r="F3" s="21">
        <f>60/E3*C3</f>
        <v>1.5384615384615385</v>
      </c>
      <c r="G3">
        <v>20</v>
      </c>
      <c r="H3" s="20">
        <f>D3*F3*G3</f>
        <v>30.76923076923077</v>
      </c>
      <c r="I3" s="17" t="s">
        <v>87</v>
      </c>
      <c r="J3" s="15">
        <v>30.76923076923077</v>
      </c>
      <c r="K3" s="15"/>
      <c r="M3" t="s">
        <v>103</v>
      </c>
      <c r="N3" s="24">
        <v>1.6716</v>
      </c>
      <c r="O3" s="24">
        <v>14.953900000000001</v>
      </c>
      <c r="P3" s="31">
        <f t="shared" ref="P3:P5" si="1">N3+O3</f>
        <v>16.625500000000002</v>
      </c>
      <c r="Q3" s="38">
        <v>39</v>
      </c>
      <c r="R3" s="18">
        <v>3</v>
      </c>
      <c r="S3" s="19">
        <f t="shared" ref="S3:S5" si="2">60/(Q3)</f>
        <v>1.5384615384615385</v>
      </c>
      <c r="T3" s="22">
        <v>20</v>
      </c>
      <c r="U3" s="23">
        <f t="shared" ref="U3:U5" si="3">ROUND(R3*S3*T3,0)</f>
        <v>92</v>
      </c>
      <c r="V3" s="37">
        <f>R3/W$2</f>
        <v>0.3</v>
      </c>
    </row>
    <row r="4" spans="1:24">
      <c r="A4" s="64" t="s">
        <v>110</v>
      </c>
      <c r="B4" s="30" t="s">
        <v>111</v>
      </c>
      <c r="C4" s="30">
        <v>1</v>
      </c>
      <c r="D4" s="51">
        <f t="shared" si="0"/>
        <v>1</v>
      </c>
      <c r="E4">
        <f t="shared" ref="E4:E6" si="4">VLOOKUP(A4,$M$1:$W$8,5,FALSE)</f>
        <v>39</v>
      </c>
      <c r="F4" s="21">
        <f t="shared" ref="F4:F6" si="5">60/E4*C4</f>
        <v>1.5384615384615385</v>
      </c>
      <c r="G4">
        <v>20</v>
      </c>
      <c r="H4" s="20">
        <f t="shared" ref="H4:H6" si="6">D4*F4*G4</f>
        <v>30.76923076923077</v>
      </c>
      <c r="I4" s="17" t="s">
        <v>111</v>
      </c>
      <c r="J4" s="15">
        <v>30.76923076923077</v>
      </c>
      <c r="K4" s="15"/>
      <c r="M4" t="s">
        <v>104</v>
      </c>
      <c r="N4" s="24">
        <v>1.9841</v>
      </c>
      <c r="O4" s="24">
        <v>34.970599999999997</v>
      </c>
      <c r="P4" s="31">
        <f t="shared" si="1"/>
        <v>36.954699999999995</v>
      </c>
      <c r="Q4" s="38">
        <v>59</v>
      </c>
      <c r="R4" s="18">
        <v>3</v>
      </c>
      <c r="S4" s="19">
        <f t="shared" si="2"/>
        <v>1.0169491525423728</v>
      </c>
      <c r="T4" s="22">
        <v>20</v>
      </c>
      <c r="U4" s="23">
        <f t="shared" si="3"/>
        <v>61</v>
      </c>
      <c r="V4" s="37">
        <f t="shared" ref="V4:V5" si="7">R4/W$2</f>
        <v>0.3</v>
      </c>
    </row>
    <row r="5" spans="1:24">
      <c r="A5" s="64" t="s">
        <v>110</v>
      </c>
      <c r="B5" s="30" t="s">
        <v>112</v>
      </c>
      <c r="C5" s="30">
        <v>1</v>
      </c>
      <c r="D5" s="51">
        <f t="shared" si="0"/>
        <v>1</v>
      </c>
      <c r="E5">
        <f t="shared" si="4"/>
        <v>39</v>
      </c>
      <c r="F5" s="21">
        <f t="shared" si="5"/>
        <v>1.5384615384615385</v>
      </c>
      <c r="G5">
        <v>20</v>
      </c>
      <c r="H5" s="20">
        <f t="shared" si="6"/>
        <v>30.76923076923077</v>
      </c>
      <c r="I5" s="17" t="s">
        <v>112</v>
      </c>
      <c r="J5" s="15">
        <v>30.76923076923077</v>
      </c>
      <c r="K5" s="15"/>
      <c r="M5" t="s">
        <v>110</v>
      </c>
      <c r="N5" s="24">
        <v>1.4057999999999999</v>
      </c>
      <c r="O5" s="24">
        <v>19.809799999999999</v>
      </c>
      <c r="P5" s="31">
        <f t="shared" si="1"/>
        <v>21.215599999999998</v>
      </c>
      <c r="Q5" s="18">
        <v>39</v>
      </c>
      <c r="R5" s="18">
        <v>1</v>
      </c>
      <c r="S5" s="19">
        <f t="shared" si="2"/>
        <v>1.5384615384615385</v>
      </c>
      <c r="T5" s="22">
        <v>20</v>
      </c>
      <c r="U5" s="23">
        <f t="shared" si="3"/>
        <v>31</v>
      </c>
      <c r="V5" s="37">
        <f t="shared" si="7"/>
        <v>0.1</v>
      </c>
    </row>
    <row r="6" spans="1:24" ht="15.75" thickBot="1">
      <c r="A6" s="64" t="s">
        <v>110</v>
      </c>
      <c r="B6" s="30" t="s">
        <v>18</v>
      </c>
      <c r="C6" s="30">
        <v>1</v>
      </c>
      <c r="D6" s="51">
        <f t="shared" si="0"/>
        <v>1</v>
      </c>
      <c r="E6">
        <f t="shared" si="4"/>
        <v>39</v>
      </c>
      <c r="F6" s="21">
        <f t="shared" si="5"/>
        <v>1.5384615384615385</v>
      </c>
      <c r="G6">
        <v>20</v>
      </c>
      <c r="H6" s="20">
        <f t="shared" si="6"/>
        <v>30.76923076923077</v>
      </c>
      <c r="I6" s="17" t="s">
        <v>18</v>
      </c>
      <c r="J6" s="15">
        <v>170.14782102138759</v>
      </c>
      <c r="K6" s="15"/>
      <c r="M6" t="s">
        <v>106</v>
      </c>
      <c r="N6" s="24">
        <v>1.5307999999999999</v>
      </c>
      <c r="O6" s="24">
        <v>9.9213000000000005</v>
      </c>
      <c r="P6" s="31">
        <f>SUM(N6:O6)</f>
        <v>11.4521</v>
      </c>
      <c r="Q6" s="18">
        <v>94</v>
      </c>
      <c r="R6" s="18">
        <v>2</v>
      </c>
      <c r="S6" s="19">
        <f>60/(Q6)</f>
        <v>0.63829787234042556</v>
      </c>
      <c r="T6" s="22">
        <v>20</v>
      </c>
      <c r="U6" s="23">
        <f>ROUND(R6*S6*T6,0)</f>
        <v>26</v>
      </c>
      <c r="V6" s="37">
        <f>R6/W$2</f>
        <v>0.2</v>
      </c>
    </row>
    <row r="7" spans="1:24">
      <c r="A7" t="s">
        <v>106</v>
      </c>
      <c r="B7" s="30" t="s">
        <v>75</v>
      </c>
      <c r="C7" s="30">
        <v>1</v>
      </c>
      <c r="D7" s="53">
        <f t="shared" ref="D7" si="8">VLOOKUP(A7,$M$1:$W$8,6,FALSE)</f>
        <v>2</v>
      </c>
      <c r="E7" s="20">
        <f t="shared" ref="E7" si="9">VLOOKUP(A7,$M$1:$W$8,5,FALSE)</f>
        <v>94</v>
      </c>
      <c r="F7" s="21">
        <f t="shared" ref="F7:F19" si="10">60/E7*C7</f>
        <v>0.63829787234042556</v>
      </c>
      <c r="G7">
        <v>20</v>
      </c>
      <c r="H7" s="20">
        <f t="shared" ref="H7" si="11">D7*F7*G7</f>
        <v>25.531914893617021</v>
      </c>
      <c r="I7" s="17" t="s">
        <v>17</v>
      </c>
      <c r="J7" s="15">
        <v>180.0565563538517</v>
      </c>
      <c r="K7" s="15"/>
      <c r="N7" s="64"/>
      <c r="O7" s="64"/>
      <c r="P7" s="64"/>
      <c r="Q7" s="64"/>
      <c r="R7" s="64"/>
      <c r="S7" s="19"/>
      <c r="T7" s="22"/>
      <c r="U7" s="23"/>
      <c r="V7" s="37"/>
    </row>
    <row r="8" spans="1:24">
      <c r="A8" t="s">
        <v>106</v>
      </c>
      <c r="B8" s="30" t="s">
        <v>17</v>
      </c>
      <c r="C8" s="30">
        <v>1</v>
      </c>
      <c r="D8" s="51">
        <f>VLOOKUP(A8,$M$1:$W$8,6,FALSE)</f>
        <v>2</v>
      </c>
      <c r="E8" s="20">
        <f>VLOOKUP(A8,$M$1:$W$8,5,FALSE)</f>
        <v>94</v>
      </c>
      <c r="F8" s="21">
        <f t="shared" si="10"/>
        <v>0.63829787234042556</v>
      </c>
      <c r="G8">
        <v>20</v>
      </c>
      <c r="H8" s="20">
        <f>D8*F8*G8</f>
        <v>25.531914893617021</v>
      </c>
      <c r="I8" s="17" t="s">
        <v>100</v>
      </c>
      <c r="J8" s="15">
        <v>86.548864046159395</v>
      </c>
      <c r="K8" s="15"/>
    </row>
    <row r="9" spans="1:24">
      <c r="A9" t="s">
        <v>106</v>
      </c>
      <c r="B9" s="30" t="s">
        <v>100</v>
      </c>
      <c r="C9" s="30">
        <v>1</v>
      </c>
      <c r="D9" s="51">
        <f>VLOOKUP(A9,$M$1:$W$8,6,FALSE)</f>
        <v>2</v>
      </c>
      <c r="E9" s="20">
        <f>VLOOKUP(A9,$M$1:$W$8,5,FALSE)</f>
        <v>94</v>
      </c>
      <c r="F9" s="21">
        <f t="shared" si="10"/>
        <v>0.63829787234042556</v>
      </c>
      <c r="G9">
        <v>20</v>
      </c>
      <c r="H9" s="20">
        <f>D9*F9*G9</f>
        <v>25.531914893617021</v>
      </c>
      <c r="I9" s="17" t="s">
        <v>101</v>
      </c>
      <c r="J9" s="15">
        <v>25.531914893617021</v>
      </c>
      <c r="K9" s="15"/>
    </row>
    <row r="10" spans="1:24">
      <c r="A10" t="s">
        <v>106</v>
      </c>
      <c r="B10" s="30" t="s">
        <v>101</v>
      </c>
      <c r="C10" s="30">
        <v>1</v>
      </c>
      <c r="D10" s="51">
        <f>VLOOKUP(A10,$M$1:$W$8,6,FALSE)</f>
        <v>2</v>
      </c>
      <c r="E10" s="20">
        <f>VLOOKUP(A10,$M$1:$W$8,5,FALSE)</f>
        <v>94</v>
      </c>
      <c r="F10" s="21">
        <f t="shared" si="10"/>
        <v>0.63829787234042556</v>
      </c>
      <c r="G10">
        <v>20</v>
      </c>
      <c r="H10" s="20">
        <f>D10*F10*G10</f>
        <v>25.531914893617021</v>
      </c>
      <c r="I10" s="17" t="s">
        <v>84</v>
      </c>
      <c r="J10" s="15">
        <v>112.64667535853978</v>
      </c>
    </row>
    <row r="11" spans="1:24" ht="15.75" thickBot="1">
      <c r="A11" t="s">
        <v>106</v>
      </c>
      <c r="B11" s="30" t="s">
        <v>18</v>
      </c>
      <c r="C11" s="30">
        <v>1</v>
      </c>
      <c r="D11" s="52">
        <f t="shared" ref="D11:D29" si="12">VLOOKUP(A11,$M$1:$W$8,6,FALSE)</f>
        <v>2</v>
      </c>
      <c r="E11" s="20">
        <f t="shared" ref="E11:E29" si="13">VLOOKUP(A11,$M$1:$W$8,5,FALSE)</f>
        <v>94</v>
      </c>
      <c r="F11" s="21">
        <f t="shared" si="10"/>
        <v>0.63829787234042556</v>
      </c>
      <c r="G11">
        <v>20</v>
      </c>
      <c r="H11" s="20">
        <f>D11*F11*G11</f>
        <v>25.531914893617021</v>
      </c>
      <c r="I11" s="17" t="s">
        <v>107</v>
      </c>
      <c r="J11" s="15">
        <v>61.016949152542367</v>
      </c>
    </row>
    <row r="12" spans="1:24">
      <c r="A12" s="63" t="s">
        <v>104</v>
      </c>
      <c r="B12" s="30" t="s">
        <v>75</v>
      </c>
      <c r="C12" s="30">
        <v>1</v>
      </c>
      <c r="D12" s="53">
        <f t="shared" si="12"/>
        <v>3</v>
      </c>
      <c r="E12" s="20">
        <f t="shared" si="13"/>
        <v>59</v>
      </c>
      <c r="F12" s="21">
        <f t="shared" si="10"/>
        <v>1.0169491525423728</v>
      </c>
      <c r="G12">
        <v>20</v>
      </c>
      <c r="H12" s="20">
        <f t="shared" ref="H12" si="14">D12*F12*G12</f>
        <v>61.016949152542367</v>
      </c>
      <c r="I12" s="17" t="s">
        <v>98</v>
      </c>
      <c r="J12" s="15">
        <v>61.016949152542367</v>
      </c>
    </row>
    <row r="13" spans="1:24">
      <c r="A13" t="s">
        <v>104</v>
      </c>
      <c r="B13" s="30" t="s">
        <v>17</v>
      </c>
      <c r="C13" s="30">
        <v>1</v>
      </c>
      <c r="D13" s="51">
        <f t="shared" si="12"/>
        <v>3</v>
      </c>
      <c r="E13" s="20">
        <f t="shared" si="13"/>
        <v>59</v>
      </c>
      <c r="F13" s="21">
        <f t="shared" si="10"/>
        <v>1.0169491525423728</v>
      </c>
      <c r="G13">
        <v>20</v>
      </c>
      <c r="H13" s="20">
        <f t="shared" ref="H13:H19" si="15">D13*F13*G13</f>
        <v>61.016949152542367</v>
      </c>
      <c r="I13" s="17" t="s">
        <v>99</v>
      </c>
      <c r="J13" s="15">
        <v>61.016949152542367</v>
      </c>
    </row>
    <row r="14" spans="1:24">
      <c r="A14" t="s">
        <v>104</v>
      </c>
      <c r="B14" s="30" t="s">
        <v>84</v>
      </c>
      <c r="C14" s="30">
        <v>1</v>
      </c>
      <c r="D14" s="51">
        <v>1</v>
      </c>
      <c r="E14" s="20">
        <f t="shared" si="13"/>
        <v>59</v>
      </c>
      <c r="F14" s="21">
        <f t="shared" si="10"/>
        <v>1.0169491525423728</v>
      </c>
      <c r="G14">
        <v>20</v>
      </c>
      <c r="H14" s="20">
        <f t="shared" si="15"/>
        <v>20.338983050847457</v>
      </c>
      <c r="I14" s="17" t="s">
        <v>108</v>
      </c>
      <c r="J14" s="15">
        <v>1.2</v>
      </c>
    </row>
    <row r="15" spans="1:24">
      <c r="A15" t="s">
        <v>104</v>
      </c>
      <c r="B15" s="30" t="s">
        <v>107</v>
      </c>
      <c r="C15" s="30">
        <v>1</v>
      </c>
      <c r="D15" s="51">
        <f t="shared" si="12"/>
        <v>3</v>
      </c>
      <c r="E15" s="20">
        <f t="shared" si="13"/>
        <v>59</v>
      </c>
      <c r="F15" s="21">
        <f t="shared" si="10"/>
        <v>1.0169491525423728</v>
      </c>
      <c r="G15">
        <v>20</v>
      </c>
      <c r="H15" s="20">
        <f t="shared" si="15"/>
        <v>61.016949152542367</v>
      </c>
      <c r="I15" s="17" t="s">
        <v>97</v>
      </c>
      <c r="J15" s="15">
        <v>92.307692307692321</v>
      </c>
    </row>
    <row r="16" spans="1:24">
      <c r="A16" t="s">
        <v>104</v>
      </c>
      <c r="B16" s="30" t="s">
        <v>98</v>
      </c>
      <c r="C16" s="30">
        <v>1</v>
      </c>
      <c r="D16" s="51">
        <f t="shared" si="12"/>
        <v>3</v>
      </c>
      <c r="E16" s="20">
        <f t="shared" si="13"/>
        <v>59</v>
      </c>
      <c r="F16" s="21">
        <f t="shared" si="10"/>
        <v>1.0169491525423728</v>
      </c>
      <c r="G16">
        <v>20</v>
      </c>
      <c r="H16" s="20">
        <f t="shared" si="15"/>
        <v>61.016949152542367</v>
      </c>
      <c r="I16" s="17" t="s">
        <v>109</v>
      </c>
      <c r="J16" s="15">
        <v>92.307692307692321</v>
      </c>
    </row>
    <row r="17" spans="1:10" ht="15.75" thickBot="1">
      <c r="A17" t="s">
        <v>104</v>
      </c>
      <c r="B17" s="30" t="s">
        <v>99</v>
      </c>
      <c r="C17" s="30">
        <v>1</v>
      </c>
      <c r="D17" s="52">
        <f t="shared" si="12"/>
        <v>3</v>
      </c>
      <c r="E17" s="20">
        <f t="shared" si="13"/>
        <v>59</v>
      </c>
      <c r="F17" s="21">
        <f t="shared" si="10"/>
        <v>1.0169491525423728</v>
      </c>
      <c r="G17">
        <v>20</v>
      </c>
      <c r="H17" s="20">
        <f t="shared" si="15"/>
        <v>61.016949152542367</v>
      </c>
      <c r="I17" s="17" t="s">
        <v>33</v>
      </c>
      <c r="J17" s="15">
        <v>1246.9315431773423</v>
      </c>
    </row>
    <row r="18" spans="1:10" ht="15.75" thickBot="1">
      <c r="A18" t="s">
        <v>104</v>
      </c>
      <c r="B18" s="30" t="s">
        <v>100</v>
      </c>
      <c r="C18" s="30">
        <v>1</v>
      </c>
      <c r="D18" s="52">
        <f t="shared" ref="D18" si="16">VLOOKUP(A18,$M$1:$W$8,6,FALSE)</f>
        <v>3</v>
      </c>
      <c r="E18" s="20">
        <f t="shared" ref="E18" si="17">VLOOKUP(A18,$M$1:$W$8,5,FALSE)</f>
        <v>59</v>
      </c>
      <c r="F18" s="21">
        <f t="shared" ref="F18" si="18">60/E18*C18</f>
        <v>1.0169491525423728</v>
      </c>
      <c r="G18">
        <v>20</v>
      </c>
      <c r="H18" s="20">
        <f t="shared" ref="H18" si="19">D18*F18*G18</f>
        <v>61.016949152542367</v>
      </c>
      <c r="I18" s="17"/>
      <c r="J18" s="15"/>
    </row>
    <row r="19" spans="1:10" ht="15.75" thickBot="1">
      <c r="A19" t="s">
        <v>104</v>
      </c>
      <c r="B19" s="30" t="s">
        <v>18</v>
      </c>
      <c r="C19" s="30">
        <v>1</v>
      </c>
      <c r="D19" s="52">
        <v>1</v>
      </c>
      <c r="E19" s="20">
        <f t="shared" si="13"/>
        <v>59</v>
      </c>
      <c r="F19" s="21">
        <f t="shared" si="10"/>
        <v>1.0169491525423728</v>
      </c>
      <c r="G19">
        <v>20</v>
      </c>
      <c r="H19" s="20">
        <f t="shared" si="15"/>
        <v>20.338983050847457</v>
      </c>
    </row>
    <row r="20" spans="1:10" ht="15.75" thickBot="1">
      <c r="A20" t="s">
        <v>102</v>
      </c>
      <c r="B20" s="30" t="s">
        <v>75</v>
      </c>
      <c r="C20" s="30">
        <v>1</v>
      </c>
      <c r="D20" s="52">
        <f t="shared" ref="D20:D23" si="20">VLOOKUP(A20,$M$1:$W$8,6,FALSE)</f>
        <v>1</v>
      </c>
      <c r="E20">
        <f t="shared" ref="E20:E23" si="21">VLOOKUP(A20,$M$1:$W$8,5,FALSE)</f>
        <v>1000</v>
      </c>
      <c r="F20" s="21">
        <f t="shared" ref="F20:F23" si="22">60/E20*C20</f>
        <v>0.06</v>
      </c>
      <c r="G20">
        <v>20</v>
      </c>
      <c r="H20" s="20">
        <f t="shared" ref="H20:H23" si="23">D20*F20*G20</f>
        <v>1.2</v>
      </c>
    </row>
    <row r="21" spans="1:10" ht="15.75" thickBot="1">
      <c r="A21" t="s">
        <v>102</v>
      </c>
      <c r="B21" s="30" t="s">
        <v>17</v>
      </c>
      <c r="C21" s="30">
        <v>1</v>
      </c>
      <c r="D21" s="52">
        <f t="shared" si="20"/>
        <v>1</v>
      </c>
      <c r="E21">
        <f t="shared" si="21"/>
        <v>1000</v>
      </c>
      <c r="F21" s="21">
        <f t="shared" si="22"/>
        <v>0.06</v>
      </c>
      <c r="G21">
        <v>20</v>
      </c>
      <c r="H21" s="20">
        <f t="shared" si="23"/>
        <v>1.2</v>
      </c>
    </row>
    <row r="22" spans="1:10" ht="15.75" thickBot="1">
      <c r="A22" t="s">
        <v>102</v>
      </c>
      <c r="B22" s="30" t="s">
        <v>108</v>
      </c>
      <c r="C22" s="30">
        <v>1</v>
      </c>
      <c r="D22" s="52">
        <f t="shared" ref="D22" si="24">VLOOKUP(A22,$M$1:$W$8,6,FALSE)</f>
        <v>1</v>
      </c>
      <c r="E22">
        <f t="shared" ref="E22" si="25">VLOOKUP(A22,$M$1:$W$8,5,FALSE)</f>
        <v>1000</v>
      </c>
      <c r="F22" s="21">
        <f t="shared" ref="F22" si="26">60/E22*C22</f>
        <v>0.06</v>
      </c>
      <c r="G22">
        <v>20</v>
      </c>
      <c r="H22" s="20">
        <f t="shared" ref="H22" si="27">D22*F22*G22</f>
        <v>1.2</v>
      </c>
    </row>
    <row r="23" spans="1:10" ht="15.75" thickBot="1">
      <c r="A23" t="s">
        <v>102</v>
      </c>
      <c r="B23" s="30" t="s">
        <v>18</v>
      </c>
      <c r="C23" s="30">
        <v>1</v>
      </c>
      <c r="D23" s="52">
        <f t="shared" si="20"/>
        <v>1</v>
      </c>
      <c r="E23">
        <f t="shared" si="21"/>
        <v>1000</v>
      </c>
      <c r="F23" s="21">
        <f t="shared" si="22"/>
        <v>0.06</v>
      </c>
      <c r="G23">
        <v>20</v>
      </c>
      <c r="H23" s="20">
        <f t="shared" si="23"/>
        <v>1.2</v>
      </c>
    </row>
    <row r="24" spans="1:10">
      <c r="A24" t="s">
        <v>103</v>
      </c>
      <c r="B24" s="30" t="s">
        <v>75</v>
      </c>
      <c r="C24" s="30">
        <v>1</v>
      </c>
      <c r="D24" s="53">
        <f t="shared" si="12"/>
        <v>3</v>
      </c>
      <c r="E24">
        <f t="shared" si="13"/>
        <v>39</v>
      </c>
      <c r="F24" s="21">
        <f t="shared" ref="F24:F29" si="28">60/E24*C24</f>
        <v>1.5384615384615385</v>
      </c>
      <c r="G24">
        <v>20</v>
      </c>
      <c r="H24" s="20">
        <f t="shared" ref="H24:H29" si="29">D24*F24*G24</f>
        <v>92.307692307692321</v>
      </c>
    </row>
    <row r="25" spans="1:10">
      <c r="A25" t="s">
        <v>103</v>
      </c>
      <c r="B25" s="30" t="s">
        <v>17</v>
      </c>
      <c r="C25" s="30">
        <v>1</v>
      </c>
      <c r="D25" s="51">
        <f t="shared" si="12"/>
        <v>3</v>
      </c>
      <c r="E25">
        <f t="shared" si="13"/>
        <v>39</v>
      </c>
      <c r="F25" s="21">
        <f t="shared" si="28"/>
        <v>1.5384615384615385</v>
      </c>
      <c r="G25">
        <v>20</v>
      </c>
      <c r="H25" s="20">
        <f t="shared" si="29"/>
        <v>92.307692307692321</v>
      </c>
      <c r="I25" s="64"/>
      <c r="J25" s="64"/>
    </row>
    <row r="26" spans="1:10">
      <c r="A26" t="s">
        <v>103</v>
      </c>
      <c r="B26" s="30" t="s">
        <v>84</v>
      </c>
      <c r="C26" s="30">
        <v>1</v>
      </c>
      <c r="D26" s="51">
        <f t="shared" si="12"/>
        <v>3</v>
      </c>
      <c r="E26">
        <f t="shared" si="13"/>
        <v>39</v>
      </c>
      <c r="F26" s="21">
        <f t="shared" si="28"/>
        <v>1.5384615384615385</v>
      </c>
      <c r="G26">
        <v>20</v>
      </c>
      <c r="H26" s="20">
        <f t="shared" si="29"/>
        <v>92.307692307692321</v>
      </c>
      <c r="I26" s="64"/>
      <c r="J26" s="64"/>
    </row>
    <row r="27" spans="1:10">
      <c r="A27" t="s">
        <v>103</v>
      </c>
      <c r="B27" s="30" t="s">
        <v>97</v>
      </c>
      <c r="C27" s="30">
        <v>1</v>
      </c>
      <c r="D27" s="51">
        <f t="shared" si="12"/>
        <v>3</v>
      </c>
      <c r="E27">
        <f t="shared" si="13"/>
        <v>39</v>
      </c>
      <c r="F27" s="21">
        <f t="shared" si="28"/>
        <v>1.5384615384615385</v>
      </c>
      <c r="G27">
        <v>20</v>
      </c>
      <c r="H27" s="20">
        <f t="shared" si="29"/>
        <v>92.307692307692321</v>
      </c>
      <c r="I27" s="64"/>
      <c r="J27" s="64"/>
    </row>
    <row r="28" spans="1:10">
      <c r="A28" t="s">
        <v>103</v>
      </c>
      <c r="B28" s="65" t="s">
        <v>109</v>
      </c>
      <c r="C28" s="65">
        <v>1</v>
      </c>
      <c r="D28" s="51">
        <f t="shared" si="12"/>
        <v>3</v>
      </c>
      <c r="E28">
        <f t="shared" si="13"/>
        <v>39</v>
      </c>
      <c r="F28" s="21">
        <f t="shared" si="28"/>
        <v>1.5384615384615385</v>
      </c>
      <c r="G28">
        <v>20</v>
      </c>
      <c r="H28" s="20">
        <f t="shared" si="29"/>
        <v>92.307692307692321</v>
      </c>
      <c r="I28" s="64"/>
      <c r="J28" s="64"/>
    </row>
    <row r="29" spans="1:10" ht="15.75" thickBot="1">
      <c r="A29" t="s">
        <v>103</v>
      </c>
      <c r="B29" s="30" t="s">
        <v>18</v>
      </c>
      <c r="C29" s="30">
        <v>1</v>
      </c>
      <c r="D29" s="68">
        <f t="shared" si="12"/>
        <v>3</v>
      </c>
      <c r="E29">
        <f t="shared" si="13"/>
        <v>39</v>
      </c>
      <c r="F29" s="21">
        <f t="shared" si="28"/>
        <v>1.5384615384615385</v>
      </c>
      <c r="G29">
        <v>20</v>
      </c>
      <c r="H29" s="20">
        <f t="shared" si="29"/>
        <v>92.307692307692321</v>
      </c>
      <c r="I29" s="64"/>
      <c r="J29" s="64"/>
    </row>
    <row r="30" spans="1:10">
      <c r="B30" s="66"/>
      <c r="C30" s="66"/>
      <c r="D30" s="66"/>
      <c r="E30" s="66"/>
      <c r="F30" s="67"/>
      <c r="H30" s="20"/>
    </row>
    <row r="31" spans="1:10">
      <c r="B31" s="66"/>
      <c r="C31" s="66"/>
      <c r="D31" s="66"/>
      <c r="E31" s="66"/>
      <c r="F31" s="67"/>
      <c r="H31" s="20"/>
    </row>
    <row r="32" spans="1:10">
      <c r="B32" s="66"/>
      <c r="C32" s="66"/>
      <c r="D32" s="66"/>
      <c r="E32" s="66"/>
      <c r="F32" s="67"/>
      <c r="H32" s="20"/>
    </row>
    <row r="33" spans="1:9">
      <c r="B33" s="66"/>
      <c r="C33" s="66"/>
      <c r="D33" s="66"/>
      <c r="E33" s="66"/>
      <c r="F33" s="67"/>
      <c r="H33" s="20"/>
    </row>
    <row r="36" spans="1:9" ht="15.75" thickBot="1"/>
    <row r="37" spans="1:9">
      <c r="A37" s="69" t="s">
        <v>72</v>
      </c>
      <c r="B37" s="70"/>
    </row>
    <row r="38" spans="1:9" ht="93.75">
      <c r="A38" s="40" t="s">
        <v>71</v>
      </c>
      <c r="B38" s="41" t="s">
        <v>52</v>
      </c>
      <c r="C38" s="39" t="s">
        <v>50</v>
      </c>
      <c r="D38" s="57" t="s">
        <v>51</v>
      </c>
      <c r="E38" s="60"/>
      <c r="F38" s="59" t="s">
        <v>94</v>
      </c>
      <c r="G38" s="29" t="s">
        <v>49</v>
      </c>
      <c r="H38" s="29" t="s">
        <v>53</v>
      </c>
      <c r="I38" s="29" t="s">
        <v>54</v>
      </c>
    </row>
    <row r="39" spans="1:9" ht="37.5">
      <c r="A39" s="40" t="s">
        <v>55</v>
      </c>
      <c r="B39" s="42">
        <v>520</v>
      </c>
      <c r="C39" s="28">
        <f t="shared" ref="C39:C50" si="30">GETPIVOTDATA("Итого",$I$1,"transaction rq",F39)*3</f>
        <v>632.47736136924743</v>
      </c>
      <c r="D39" s="58">
        <f t="shared" ref="D39:D41" si="31">1-B39/C39</f>
        <v>0.17783618551302083</v>
      </c>
      <c r="E39" s="56"/>
      <c r="F39" s="55" t="str">
        <f>VLOOKUP(A39,Соответствие!A:B,2,FALSE)</f>
        <v>open_home_page</v>
      </c>
      <c r="G39" s="61">
        <f>C39/3</f>
        <v>210.82578712308248</v>
      </c>
      <c r="H39" s="50">
        <f>VLOOKUP(F39,SummaryReport!A:J,8,FALSE)</f>
        <v>34</v>
      </c>
      <c r="I39" s="26">
        <f t="shared" ref="I39:I50" si="32">1-G39/H39</f>
        <v>-5.2007584447965431</v>
      </c>
    </row>
    <row r="40" spans="1:9" ht="18.75">
      <c r="A40" s="43" t="s">
        <v>0</v>
      </c>
      <c r="B40" s="42">
        <v>422</v>
      </c>
      <c r="C40" s="28">
        <f t="shared" si="30"/>
        <v>540.16966906155517</v>
      </c>
      <c r="D40" s="58">
        <f t="shared" si="31"/>
        <v>0.21876398441040401</v>
      </c>
      <c r="E40" s="56"/>
      <c r="F40" s="55" t="str">
        <f>VLOOKUP(A40,Соответствие!A:B,2,FALSE)</f>
        <v>login</v>
      </c>
      <c r="G40" s="61">
        <f t="shared" ref="G40:G50" si="33">C40/3</f>
        <v>180.05655635385173</v>
      </c>
      <c r="H40" s="50">
        <v>26</v>
      </c>
      <c r="I40" s="26">
        <f t="shared" si="32"/>
        <v>-5.9252521674558363</v>
      </c>
    </row>
    <row r="41" spans="1:9" ht="56.25">
      <c r="A41" s="44" t="s">
        <v>70</v>
      </c>
      <c r="B41" s="42">
        <v>305</v>
      </c>
      <c r="C41" s="28">
        <f t="shared" si="30"/>
        <v>337.94002607561936</v>
      </c>
      <c r="D41" s="58">
        <f t="shared" si="31"/>
        <v>9.7472993827160681E-2</v>
      </c>
      <c r="E41" s="56"/>
      <c r="F41" s="55" t="str">
        <f>VLOOKUP(A41,Соответствие!A:B,2,FALSE)</f>
        <v>click_flights</v>
      </c>
      <c r="G41" s="61">
        <f t="shared" si="33"/>
        <v>112.64667535853978</v>
      </c>
      <c r="H41" s="50">
        <f>VLOOKUP(F41,SummaryReport!A:J,8,FALSE)</f>
        <v>106</v>
      </c>
      <c r="I41" s="26">
        <f t="shared" si="32"/>
        <v>-6.2704484514526149E-2</v>
      </c>
    </row>
    <row r="42" spans="1:9" ht="37.5">
      <c r="A42" s="43" t="s">
        <v>8</v>
      </c>
      <c r="B42" s="42">
        <v>282</v>
      </c>
      <c r="C42" s="28">
        <f t="shared" si="30"/>
        <v>276.92307692307696</v>
      </c>
      <c r="D42" s="54">
        <f t="shared" ref="D42:D51" si="34">1-B42/C42</f>
        <v>-1.8333333333333091E-2</v>
      </c>
      <c r="E42" s="56"/>
      <c r="F42" s="55" t="str">
        <f>VLOOKUP(A42,Соответствие!A:B,2,FALSE)</f>
        <v>find_ticket</v>
      </c>
      <c r="G42" s="61">
        <f t="shared" si="33"/>
        <v>92.307692307692321</v>
      </c>
      <c r="H42" s="50" t="e">
        <f>VLOOKUP(F42,SummaryReport!A:J,8,FALSE)</f>
        <v>#N/A</v>
      </c>
      <c r="I42" s="26" t="e">
        <f t="shared" si="32"/>
        <v>#N/A</v>
      </c>
    </row>
    <row r="43" spans="1:9" ht="37.5">
      <c r="A43" s="43" t="s">
        <v>9</v>
      </c>
      <c r="B43" s="42">
        <v>270</v>
      </c>
      <c r="C43" s="28">
        <f t="shared" si="30"/>
        <v>183.0508474576271</v>
      </c>
      <c r="D43" s="54">
        <f t="shared" si="34"/>
        <v>-0.47500000000000009</v>
      </c>
      <c r="E43" s="56"/>
      <c r="F43" s="55" t="str">
        <f>VLOOKUP(A43,Соответствие!A:B,2,FALSE)</f>
        <v>choice_ticket</v>
      </c>
      <c r="G43" s="61">
        <f t="shared" si="33"/>
        <v>61.016949152542367</v>
      </c>
      <c r="H43" s="50" t="e">
        <f>VLOOKUP(F43,SummaryReport!A:J,8,FALSE)</f>
        <v>#N/A</v>
      </c>
      <c r="I43" s="26" t="e">
        <f t="shared" si="32"/>
        <v>#N/A</v>
      </c>
    </row>
    <row r="44" spans="1:9" ht="18.75">
      <c r="A44" s="43" t="s">
        <v>3</v>
      </c>
      <c r="B44" s="42">
        <v>175</v>
      </c>
      <c r="C44" s="28">
        <f t="shared" si="30"/>
        <v>183.0508474576271</v>
      </c>
      <c r="D44" s="54">
        <f t="shared" si="34"/>
        <v>4.3981481481481399E-2</v>
      </c>
      <c r="E44" s="56"/>
      <c r="F44" s="55" t="str">
        <f>VLOOKUP(A44,Соответствие!A:B,2,FALSE)</f>
        <v>buy_ticket</v>
      </c>
      <c r="G44" s="61">
        <f t="shared" si="33"/>
        <v>61.016949152542367</v>
      </c>
      <c r="H44" s="50" t="e">
        <f>VLOOKUP(F44,SummaryReport!A:J,8,FALSE)</f>
        <v>#N/A</v>
      </c>
      <c r="I44" s="26" t="e">
        <f t="shared" si="32"/>
        <v>#N/A</v>
      </c>
    </row>
    <row r="45" spans="1:9" ht="37.5">
      <c r="A45" s="43" t="s">
        <v>4</v>
      </c>
      <c r="B45" s="42">
        <v>280</v>
      </c>
      <c r="C45" s="28">
        <f t="shared" si="30"/>
        <v>259.64659213847818</v>
      </c>
      <c r="D45" s="54">
        <f t="shared" si="34"/>
        <v>-7.8388888888888841E-2</v>
      </c>
      <c r="E45" s="56"/>
      <c r="F45" s="55" t="str">
        <f>VLOOKUP(A45,Соответствие!A:B,2,FALSE)</f>
        <v>click_Itinerary</v>
      </c>
      <c r="G45" s="61">
        <f t="shared" si="33"/>
        <v>86.548864046159395</v>
      </c>
      <c r="H45" s="50">
        <f>VLOOKUP(F45,SummaryReport!A:J,8,FALSE)</f>
        <v>95</v>
      </c>
      <c r="I45" s="26">
        <f t="shared" si="32"/>
        <v>8.895932582990107E-2</v>
      </c>
    </row>
    <row r="46" spans="1:9" ht="37.5">
      <c r="A46" s="43" t="s">
        <v>10</v>
      </c>
      <c r="B46" s="42">
        <v>73</v>
      </c>
      <c r="C46" s="28">
        <f t="shared" si="30"/>
        <v>76.595744680851055</v>
      </c>
      <c r="D46" s="54">
        <f t="shared" si="34"/>
        <v>4.6944444444444344E-2</v>
      </c>
      <c r="E46" s="56"/>
      <c r="F46" s="55" t="str">
        <f>VLOOKUP(A46,Соответствие!A:B,2,FALSE)</f>
        <v>delete_booking</v>
      </c>
      <c r="G46" s="61">
        <f t="shared" si="33"/>
        <v>25.531914893617017</v>
      </c>
      <c r="H46" s="50" t="e">
        <f>VLOOKUP(F46,SummaryReport!A:J,8,FALSE)</f>
        <v>#N/A</v>
      </c>
      <c r="I46" s="26" t="e">
        <f t="shared" si="32"/>
        <v>#N/A</v>
      </c>
    </row>
    <row r="47" spans="1:9" ht="37.5">
      <c r="A47" s="43" t="s">
        <v>6</v>
      </c>
      <c r="B47" s="42">
        <v>326</v>
      </c>
      <c r="C47" s="28">
        <f t="shared" si="30"/>
        <v>510.44346306416276</v>
      </c>
      <c r="D47" s="54">
        <f t="shared" si="34"/>
        <v>0.36133965151979663</v>
      </c>
      <c r="E47" s="56"/>
      <c r="F47" s="55" t="str">
        <f>VLOOKUP(A47,Соответствие!A:B,2,FALSE)</f>
        <v>logout</v>
      </c>
      <c r="G47" s="61">
        <f t="shared" si="33"/>
        <v>170.14782102138759</v>
      </c>
      <c r="H47" s="50" t="e">
        <f>VLOOKUP(F47,SummaryReport!A:J,8,FALSE)</f>
        <v>#N/A</v>
      </c>
      <c r="I47" s="26" t="e">
        <f t="shared" si="32"/>
        <v>#N/A</v>
      </c>
    </row>
    <row r="48" spans="1:9" ht="56.25">
      <c r="A48" s="43" t="s">
        <v>57</v>
      </c>
      <c r="B48" s="42">
        <v>97</v>
      </c>
      <c r="C48" s="28">
        <f t="shared" si="30"/>
        <v>92.307692307692307</v>
      </c>
      <c r="D48" s="54">
        <f t="shared" si="34"/>
        <v>-5.0833333333333286E-2</v>
      </c>
      <c r="E48" s="56"/>
      <c r="F48" s="55" t="str">
        <f>VLOOKUP(A48,Соответствие!A:B,2,FALSE)</f>
        <v>click_sign_up_now</v>
      </c>
      <c r="G48" s="61">
        <f t="shared" si="33"/>
        <v>30.76923076923077</v>
      </c>
      <c r="H48" s="50"/>
      <c r="I48" s="26" t="e">
        <f t="shared" si="32"/>
        <v>#DIV/0!</v>
      </c>
    </row>
    <row r="49" spans="1:9" ht="37.5">
      <c r="A49" s="43" t="s">
        <v>56</v>
      </c>
      <c r="B49" s="42">
        <v>97</v>
      </c>
      <c r="C49" s="28">
        <f t="shared" si="30"/>
        <v>92.307692307692307</v>
      </c>
      <c r="D49" s="54">
        <f t="shared" si="34"/>
        <v>-5.0833333333333286E-2</v>
      </c>
      <c r="E49" s="56"/>
      <c r="F49" s="55" t="str">
        <f>VLOOKUP(A49,Соответствие!A:B,2,FALSE)</f>
        <v>data_usr</v>
      </c>
      <c r="G49" s="61">
        <f t="shared" si="33"/>
        <v>30.76923076923077</v>
      </c>
      <c r="H49" s="50"/>
      <c r="I49" s="26" t="e">
        <f t="shared" si="32"/>
        <v>#DIV/0!</v>
      </c>
    </row>
    <row r="50" spans="1:9" ht="75">
      <c r="A50" s="43" t="s">
        <v>58</v>
      </c>
      <c r="B50" s="42">
        <v>97</v>
      </c>
      <c r="C50" s="28">
        <f t="shared" si="30"/>
        <v>92.307692307692307</v>
      </c>
      <c r="D50" s="54">
        <f t="shared" si="34"/>
        <v>-5.0833333333333286E-2</v>
      </c>
      <c r="E50" s="56"/>
      <c r="F50" s="55" t="str">
        <f>VLOOKUP(A50,Соответствие!A:B,2,FALSE)</f>
        <v>welcome_new_usr</v>
      </c>
      <c r="G50" s="61">
        <f t="shared" si="33"/>
        <v>30.76923076923077</v>
      </c>
      <c r="H50" s="50"/>
      <c r="I50" s="26" t="e">
        <f t="shared" si="32"/>
        <v>#DIV/0!</v>
      </c>
    </row>
    <row r="51" spans="1:9" ht="19.5" thickBot="1">
      <c r="A51" s="45" t="s">
        <v>7</v>
      </c>
      <c r="B51" s="46">
        <f>SUM(B39:B50)</f>
        <v>2944</v>
      </c>
      <c r="C51" s="27">
        <f>SUM(C39:C50)</f>
        <v>3277.2207051513224</v>
      </c>
      <c r="D51" s="25">
        <f t="shared" si="34"/>
        <v>0.10167783470534864</v>
      </c>
    </row>
    <row r="52" spans="1:9">
      <c r="I52" s="33"/>
    </row>
    <row r="53" spans="1:9">
      <c r="C53" s="33" t="s">
        <v>69</v>
      </c>
      <c r="D53" s="33"/>
      <c r="E53" s="33"/>
      <c r="F53" s="33"/>
      <c r="G53" s="33"/>
      <c r="H53" s="33"/>
    </row>
    <row r="54" spans="1:9">
      <c r="B54" t="s">
        <v>96</v>
      </c>
      <c r="C54" t="s">
        <v>68</v>
      </c>
      <c r="D54" t="s">
        <v>64</v>
      </c>
      <c r="E54" t="s">
        <v>66</v>
      </c>
      <c r="F54" t="s">
        <v>65</v>
      </c>
      <c r="G54" t="s">
        <v>67</v>
      </c>
      <c r="H54" t="s">
        <v>95</v>
      </c>
    </row>
    <row r="55" spans="1:9">
      <c r="A55" t="s">
        <v>59</v>
      </c>
      <c r="B55" s="34">
        <f>124/3</f>
        <v>41.333333333333336</v>
      </c>
      <c r="C55" s="38">
        <v>59</v>
      </c>
      <c r="D55" s="34">
        <f>60/C55</f>
        <v>1.0169491525423728</v>
      </c>
      <c r="E55" s="49">
        <v>20</v>
      </c>
      <c r="F55" s="47">
        <f>B55/(D55*E55)</f>
        <v>2.0322222222222224</v>
      </c>
      <c r="G55" s="20">
        <f>ROUND(F55,0)</f>
        <v>2</v>
      </c>
      <c r="H55" s="20">
        <f>G55*D55*E55</f>
        <v>40.677966101694913</v>
      </c>
      <c r="I55" s="32">
        <f>1-B55/H55</f>
        <v>-1.6111111111111187E-2</v>
      </c>
    </row>
    <row r="56" spans="1:9">
      <c r="A56" t="s">
        <v>60</v>
      </c>
      <c r="B56" s="34">
        <f>150/3</f>
        <v>50</v>
      </c>
      <c r="C56" s="38">
        <v>47</v>
      </c>
      <c r="D56" s="34">
        <f>60/C56</f>
        <v>1.2765957446808511</v>
      </c>
      <c r="E56" s="49">
        <v>20</v>
      </c>
      <c r="F56" s="47">
        <f>B56/(D56*E56)</f>
        <v>1.9583333333333333</v>
      </c>
      <c r="G56" s="20">
        <f t="shared" ref="G56:G59" si="35">ROUND(F56,0)</f>
        <v>2</v>
      </c>
      <c r="H56" s="20">
        <f t="shared" ref="H56:H59" si="36">G56*D56*E56</f>
        <v>51.063829787234042</v>
      </c>
      <c r="I56" s="32">
        <f>1-B56/H56</f>
        <v>2.083333333333337E-2</v>
      </c>
    </row>
    <row r="57" spans="1:9">
      <c r="A57" t="s">
        <v>61</v>
      </c>
      <c r="B57" s="35">
        <f>30/3</f>
        <v>10</v>
      </c>
      <c r="C57" s="48">
        <v>115</v>
      </c>
      <c r="D57" s="34">
        <f t="shared" ref="D57:D59" si="37">60/C57</f>
        <v>0.52173913043478259</v>
      </c>
      <c r="E57" s="49">
        <v>20</v>
      </c>
      <c r="F57" s="47">
        <f>B57/(D57*E57)</f>
        <v>0.95833333333333337</v>
      </c>
      <c r="G57" s="20">
        <v>1</v>
      </c>
      <c r="H57" s="20">
        <f t="shared" si="36"/>
        <v>10.434782608695652</v>
      </c>
      <c r="I57" s="32">
        <f>1-B57/H57</f>
        <v>4.166666666666663E-2</v>
      </c>
    </row>
    <row r="58" spans="1:9">
      <c r="A58" t="s">
        <v>62</v>
      </c>
      <c r="B58" s="34">
        <f>20/3</f>
        <v>6.666666666666667</v>
      </c>
      <c r="C58" s="38">
        <v>180</v>
      </c>
      <c r="D58" s="34">
        <f t="shared" si="37"/>
        <v>0.33333333333333331</v>
      </c>
      <c r="E58" s="49">
        <v>20</v>
      </c>
      <c r="F58" s="47">
        <f>B58/(D58*E58)</f>
        <v>1.0000000000000002</v>
      </c>
      <c r="G58" s="20">
        <v>1</v>
      </c>
      <c r="H58" s="20">
        <f t="shared" si="36"/>
        <v>6.6666666666666661</v>
      </c>
      <c r="I58" s="32">
        <f>1-B58/H58</f>
        <v>0</v>
      </c>
    </row>
    <row r="59" spans="1:9">
      <c r="A59" t="s">
        <v>63</v>
      </c>
      <c r="B59" s="34">
        <f>120/3</f>
        <v>40</v>
      </c>
      <c r="C59" s="38">
        <v>31</v>
      </c>
      <c r="D59" s="34">
        <f t="shared" si="37"/>
        <v>1.935483870967742</v>
      </c>
      <c r="E59" s="49">
        <v>20</v>
      </c>
      <c r="F59" s="47">
        <f>B59/(D59*E59)</f>
        <v>1.0333333333333332</v>
      </c>
      <c r="G59" s="20">
        <f t="shared" si="35"/>
        <v>1</v>
      </c>
      <c r="H59" s="20">
        <f t="shared" si="36"/>
        <v>38.70967741935484</v>
      </c>
      <c r="I59" s="32">
        <f>1-B59/H59</f>
        <v>-3.3333333333333215E-2</v>
      </c>
    </row>
    <row r="60" spans="1:9">
      <c r="G60" s="20">
        <f>SUM(G55:G59)</f>
        <v>7</v>
      </c>
    </row>
  </sheetData>
  <mergeCells count="1">
    <mergeCell ref="A37:B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4" sqref="B4"/>
    </sheetView>
  </sheetViews>
  <sheetFormatPr defaultRowHeight="15"/>
  <cols>
    <col min="1" max="1" width="47.42578125" bestFit="1" customWidth="1"/>
    <col min="2" max="2" width="17.5703125" customWidth="1"/>
  </cols>
  <sheetData>
    <row r="1" spans="1:2">
      <c r="A1" t="s">
        <v>73</v>
      </c>
      <c r="B1" t="s">
        <v>74</v>
      </c>
    </row>
    <row r="2" spans="1:2">
      <c r="A2" t="str">
        <f>'Автоматизированный расчет'!A39</f>
        <v>Главная Welcome страница</v>
      </c>
      <c r="B2" t="s">
        <v>75</v>
      </c>
    </row>
    <row r="3" spans="1:2">
      <c r="A3" t="str">
        <f>'Автоматизированный расчет'!A40</f>
        <v>Вход в систему</v>
      </c>
      <c r="B3" t="s">
        <v>17</v>
      </c>
    </row>
    <row r="4" spans="1:2">
      <c r="A4" t="str">
        <f>'Автоматизированный расчет'!A41</f>
        <v>Переход на страницу поиска билетов</v>
      </c>
      <c r="B4" t="s">
        <v>84</v>
      </c>
    </row>
    <row r="5" spans="1:2">
      <c r="A5" t="str">
        <f>'Автоматизированный расчет'!A42</f>
        <v xml:space="preserve">Заполнение полей для поиска билета </v>
      </c>
      <c r="B5" t="s">
        <v>97</v>
      </c>
    </row>
    <row r="6" spans="1:2">
      <c r="A6" t="str">
        <f>'Автоматизированный расчет'!A43</f>
        <v xml:space="preserve">Выбор рейса из найденных </v>
      </c>
      <c r="B6" t="s">
        <v>98</v>
      </c>
    </row>
    <row r="7" spans="1:2">
      <c r="A7" t="str">
        <f>'Автоматизированный расчет'!A44</f>
        <v>Оплата билета</v>
      </c>
      <c r="B7" t="s">
        <v>99</v>
      </c>
    </row>
    <row r="8" spans="1:2">
      <c r="A8" t="str">
        <f>'Автоматизированный расчет'!A45</f>
        <v>Просмотр квитанций</v>
      </c>
      <c r="B8" t="s">
        <v>100</v>
      </c>
    </row>
    <row r="9" spans="1:2">
      <c r="A9" t="str">
        <f>'Автоматизированный расчет'!A46</f>
        <v xml:space="preserve">Отмена бронирования </v>
      </c>
      <c r="B9" t="s">
        <v>101</v>
      </c>
    </row>
    <row r="10" spans="1:2">
      <c r="A10" t="str">
        <f>'Автоматизированный расчет'!A47</f>
        <v>Выход из системы</v>
      </c>
      <c r="B10" t="s">
        <v>18</v>
      </c>
    </row>
    <row r="11" spans="1:2">
      <c r="A11" t="str">
        <f>'Автоматизированный расчет'!A48</f>
        <v>Перход на страницу регистрации</v>
      </c>
      <c r="B11" t="s">
        <v>87</v>
      </c>
    </row>
    <row r="12" spans="1:2">
      <c r="A12" t="str">
        <f>'Автоматизированный расчет'!A49</f>
        <v>Заполнение полей регистарции</v>
      </c>
      <c r="B12" t="s">
        <v>111</v>
      </c>
    </row>
    <row r="13" spans="1:2">
      <c r="A13" t="str">
        <f>'Автоматизированный расчет'!A50</f>
        <v>Переход на следуюущий эран после регистарции</v>
      </c>
      <c r="B13" t="s">
        <v>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A14" sqref="A14"/>
    </sheetView>
  </sheetViews>
  <sheetFormatPr defaultRowHeight="15"/>
  <cols>
    <col min="1" max="1" width="36.42578125" bestFit="1" customWidth="1"/>
  </cols>
  <sheetData>
    <row r="1" spans="1:10">
      <c r="A1" t="s">
        <v>19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20</v>
      </c>
      <c r="I1" t="s">
        <v>21</v>
      </c>
      <c r="J1" t="s">
        <v>22</v>
      </c>
    </row>
    <row r="2" spans="1:10">
      <c r="A2" t="s">
        <v>82</v>
      </c>
      <c r="B2" t="s">
        <v>83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>
      <c r="A3" t="s">
        <v>84</v>
      </c>
      <c r="B3" t="s">
        <v>83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>
      <c r="A4" t="s">
        <v>85</v>
      </c>
      <c r="B4" t="s">
        <v>83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>
      <c r="A5" t="s">
        <v>86</v>
      </c>
      <c r="B5" t="s">
        <v>83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>
      <c r="A6" t="s">
        <v>87</v>
      </c>
      <c r="B6" t="s">
        <v>83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>
      <c r="A7" t="s">
        <v>88</v>
      </c>
      <c r="B7" t="s">
        <v>83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>
      <c r="A8" t="s">
        <v>89</v>
      </c>
      <c r="B8" t="s">
        <v>83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>
      <c r="A9" t="s">
        <v>90</v>
      </c>
      <c r="B9" t="s">
        <v>83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>
      <c r="A10" t="s">
        <v>91</v>
      </c>
      <c r="B10" t="s">
        <v>83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>
      <c r="A11" t="s">
        <v>17</v>
      </c>
      <c r="B11" t="s">
        <v>83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>
      <c r="A12" t="s">
        <v>75</v>
      </c>
      <c r="B12" t="s">
        <v>83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>
      <c r="A13" t="s">
        <v>92</v>
      </c>
      <c r="B13" t="s">
        <v>83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>
      <c r="A14" t="s">
        <v>102</v>
      </c>
      <c r="B14" t="s">
        <v>83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>
      <c r="A15" t="s">
        <v>103</v>
      </c>
      <c r="B15" t="s">
        <v>83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>
      <c r="A16" t="s">
        <v>104</v>
      </c>
      <c r="B16" t="s">
        <v>83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>
      <c r="A17" t="s">
        <v>105</v>
      </c>
      <c r="B17" t="s">
        <v>83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>
      <c r="A18" t="s">
        <v>106</v>
      </c>
      <c r="B18" t="s">
        <v>83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>
      <c r="A19" t="s">
        <v>93</v>
      </c>
      <c r="B19" t="s">
        <v>83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9:O44"/>
  <sheetViews>
    <sheetView topLeftCell="A34" workbookViewId="0">
      <selection activeCell="L35" sqref="L35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71" t="s">
        <v>25</v>
      </c>
      <c r="F9" s="71"/>
      <c r="G9" s="71"/>
      <c r="H9" s="71"/>
      <c r="I9" s="71"/>
    </row>
    <row r="11" spans="5:9" ht="28.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>
      <c r="E12" s="2" t="s">
        <v>0</v>
      </c>
      <c r="F12" s="3" t="s">
        <v>17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>
      <c r="E13" s="2" t="s">
        <v>1</v>
      </c>
      <c r="F13" s="3" t="s">
        <v>84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>
      <c r="E14" s="2" t="s">
        <v>2</v>
      </c>
      <c r="F14" s="3" t="s">
        <v>98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>
      <c r="E15" s="2" t="s">
        <v>3</v>
      </c>
      <c r="F15" s="3" t="s">
        <v>99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>
      <c r="E16" s="2" t="s">
        <v>16</v>
      </c>
      <c r="F16" s="3" t="s">
        <v>100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>
      <c r="E17" s="2" t="s">
        <v>5</v>
      </c>
      <c r="F17" s="3" t="s">
        <v>101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>
      <c r="E18" s="2" t="s">
        <v>6</v>
      </c>
      <c r="F18" s="3" t="s">
        <v>18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71" t="s">
        <v>23</v>
      </c>
      <c r="F23" s="71"/>
      <c r="G23" s="71"/>
      <c r="H23" s="71"/>
      <c r="I23" s="71"/>
    </row>
    <row r="25" spans="5:9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>
      <c r="E26" s="13" t="s">
        <v>0</v>
      </c>
      <c r="F26" s="12" t="s">
        <v>17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>
      <c r="E27" s="13" t="s">
        <v>1</v>
      </c>
      <c r="F27" s="12" t="s">
        <v>84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>
      <c r="E28" s="13" t="s">
        <v>2</v>
      </c>
      <c r="F28" s="12" t="s">
        <v>98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>
      <c r="E29" s="13" t="s">
        <v>3</v>
      </c>
      <c r="F29" s="12" t="s">
        <v>99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>
      <c r="E30" s="13" t="s">
        <v>16</v>
      </c>
      <c r="F30" s="12" t="s">
        <v>100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>
      <c r="E31" s="13" t="s">
        <v>5</v>
      </c>
      <c r="F31" s="12" t="s">
        <v>101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>
      <c r="E32" s="13" t="s">
        <v>6</v>
      </c>
      <c r="F32" s="12" t="s">
        <v>18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71" t="s">
        <v>24</v>
      </c>
      <c r="F35" s="71"/>
      <c r="G35" s="71"/>
      <c r="H35" s="71"/>
      <c r="I35" s="71"/>
    </row>
    <row r="37" spans="5:1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19</v>
      </c>
      <c r="M37" s="14" t="s">
        <v>20</v>
      </c>
      <c r="N37" s="14" t="s">
        <v>21</v>
      </c>
      <c r="O37" s="14" t="s">
        <v>22</v>
      </c>
    </row>
    <row r="38" spans="5:15" ht="15.75">
      <c r="E38" s="13" t="s">
        <v>0</v>
      </c>
      <c r="F38" s="12" t="s">
        <v>17</v>
      </c>
      <c r="G38" s="10">
        <f>5*368</f>
        <v>1840</v>
      </c>
      <c r="H38" s="9">
        <v>2109</v>
      </c>
      <c r="I38" s="11">
        <f>1-G38/H38</f>
        <v>0.12754860123281175</v>
      </c>
      <c r="L38" s="62" t="s">
        <v>101</v>
      </c>
      <c r="M38" s="14">
        <v>377</v>
      </c>
      <c r="N38" s="14">
        <v>27</v>
      </c>
      <c r="O38" s="14">
        <v>0</v>
      </c>
    </row>
    <row r="39" spans="5:15" ht="15.75">
      <c r="E39" s="13" t="s">
        <v>1</v>
      </c>
      <c r="F39" s="12" t="s">
        <v>84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62" t="s">
        <v>100</v>
      </c>
      <c r="M39" s="14">
        <v>998</v>
      </c>
      <c r="N39" s="14">
        <v>1</v>
      </c>
      <c r="O39" s="14">
        <v>0</v>
      </c>
    </row>
    <row r="40" spans="5:15" ht="15.75">
      <c r="E40" s="13" t="s">
        <v>2</v>
      </c>
      <c r="F40" s="12" t="s">
        <v>98</v>
      </c>
      <c r="G40" s="10">
        <f>5*251</f>
        <v>1255</v>
      </c>
      <c r="H40" s="9">
        <v>1315</v>
      </c>
      <c r="I40" s="11">
        <f t="shared" si="2"/>
        <v>4.5627376425855459E-2</v>
      </c>
      <c r="L40" s="62" t="s">
        <v>84</v>
      </c>
      <c r="M40" s="14" t="s">
        <v>26</v>
      </c>
      <c r="N40" s="14">
        <v>0</v>
      </c>
      <c r="O40" s="14">
        <v>0</v>
      </c>
    </row>
    <row r="41" spans="5:15" ht="15.75">
      <c r="E41" s="13" t="s">
        <v>3</v>
      </c>
      <c r="F41" s="12" t="s">
        <v>99</v>
      </c>
      <c r="G41" s="10">
        <f>5*175</f>
        <v>875</v>
      </c>
      <c r="H41" s="9">
        <v>924</v>
      </c>
      <c r="I41" s="7">
        <f t="shared" si="2"/>
        <v>5.3030303030302983E-2</v>
      </c>
      <c r="L41" s="14" t="s">
        <v>17</v>
      </c>
      <c r="M41" s="14" t="s">
        <v>27</v>
      </c>
      <c r="N41" s="14">
        <v>139</v>
      </c>
      <c r="O41" s="14">
        <v>0</v>
      </c>
    </row>
    <row r="42" spans="5:15" ht="15.75">
      <c r="E42" s="13" t="s">
        <v>16</v>
      </c>
      <c r="F42" s="12" t="s">
        <v>100</v>
      </c>
      <c r="G42" s="10">
        <f>5*159</f>
        <v>795</v>
      </c>
      <c r="H42" s="9">
        <v>998</v>
      </c>
      <c r="I42" s="11">
        <f t="shared" si="2"/>
        <v>0.20340681362725455</v>
      </c>
      <c r="L42" s="14" t="s">
        <v>18</v>
      </c>
      <c r="M42" s="14" t="s">
        <v>28</v>
      </c>
      <c r="N42" s="14">
        <v>1</v>
      </c>
      <c r="O42" s="14">
        <v>0</v>
      </c>
    </row>
    <row r="43" spans="5:15" ht="15.75">
      <c r="E43" s="13" t="s">
        <v>5</v>
      </c>
      <c r="F43" s="12" t="s">
        <v>101</v>
      </c>
      <c r="G43" s="10">
        <f>5*73</f>
        <v>365</v>
      </c>
      <c r="H43" s="9">
        <v>404</v>
      </c>
      <c r="I43" s="11">
        <f t="shared" si="2"/>
        <v>9.6534653465346509E-2</v>
      </c>
      <c r="L43" s="62" t="s">
        <v>99</v>
      </c>
      <c r="M43" s="14">
        <v>924</v>
      </c>
      <c r="N43" s="14">
        <v>0</v>
      </c>
      <c r="O43" s="14">
        <v>0</v>
      </c>
    </row>
    <row r="44" spans="5:15" ht="15.75">
      <c r="E44" s="13" t="s">
        <v>6</v>
      </c>
      <c r="F44" s="12" t="s">
        <v>18</v>
      </c>
      <c r="G44" s="10">
        <f>5*326</f>
        <v>1630</v>
      </c>
      <c r="H44" s="9">
        <v>1675</v>
      </c>
      <c r="I44" s="11">
        <f t="shared" si="2"/>
        <v>2.68656716417911E-2</v>
      </c>
      <c r="L44" s="62" t="s">
        <v>98</v>
      </c>
      <c r="M44" s="14" t="s">
        <v>26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AZ</cp:lastModifiedBy>
  <dcterms:created xsi:type="dcterms:W3CDTF">2015-06-05T18:19:34Z</dcterms:created>
  <dcterms:modified xsi:type="dcterms:W3CDTF">2022-09-06T12:35:36Z</dcterms:modified>
</cp:coreProperties>
</file>