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daniel/Desktop/Ziels-Hallam-Labs/AD_Projects/SAOB/raw_data/experiment_metadata/"/>
    </mc:Choice>
  </mc:AlternateContent>
  <xr:revisionPtr revIDLastSave="0" documentId="13_ncr:1_{1E0A6FFE-B5CB-EF42-B894-42EE61598B7A}" xr6:coauthVersionLast="47" xr6:coauthVersionMax="47" xr10:uidLastSave="{00000000-0000-0000-0000-000000000000}"/>
  <bookViews>
    <workbookView xWindow="13080" yWindow="460" windowWidth="28660" windowHeight="16500" activeTab="1" xr2:uid="{97109365-6E7B-AA44-82DA-57860F5AE6E1}"/>
  </bookViews>
  <sheets>
    <sheet name="Gas_comp_analysis" sheetId="1" r:id="rId1"/>
    <sheet name="%SAOB_model" sheetId="2" r:id="rId2"/>
  </sheets>
  <definedNames>
    <definedName name="solver_adj" localSheetId="1" hidden="1">'%SAOB_model'!$D$7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'%SAOB_model'!$U$7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2" l="1"/>
  <c r="I7" i="2"/>
  <c r="H7" i="2"/>
  <c r="E7" i="2"/>
  <c r="G7" i="2" s="1"/>
  <c r="E6" i="2"/>
  <c r="F6" i="2" s="1"/>
  <c r="E5" i="2"/>
  <c r="E4" i="2"/>
  <c r="E3" i="2"/>
  <c r="E2" i="2"/>
  <c r="K7" i="2" l="1"/>
  <c r="L7" i="2"/>
  <c r="O7" i="2" s="1"/>
  <c r="F7" i="2"/>
  <c r="F5" i="2"/>
  <c r="F4" i="2"/>
  <c r="G4" i="2"/>
  <c r="H3" i="2"/>
  <c r="I3" i="2"/>
  <c r="J3" i="2"/>
  <c r="H4" i="2"/>
  <c r="I4" i="2"/>
  <c r="J4" i="2"/>
  <c r="H5" i="2"/>
  <c r="I5" i="2"/>
  <c r="J5" i="2"/>
  <c r="H6" i="2"/>
  <c r="I6" i="2"/>
  <c r="J6" i="2"/>
  <c r="I2" i="2"/>
  <c r="J2" i="2"/>
  <c r="H2" i="2"/>
  <c r="F3" i="2"/>
  <c r="G2" i="2"/>
  <c r="S20" i="1"/>
  <c r="P20" i="1"/>
  <c r="J20" i="1"/>
  <c r="E20" i="1"/>
  <c r="S19" i="1"/>
  <c r="P19" i="1"/>
  <c r="J19" i="1"/>
  <c r="E19" i="1"/>
  <c r="F18" i="1" s="1"/>
  <c r="G18" i="1" s="1"/>
  <c r="S18" i="1"/>
  <c r="P18" i="1"/>
  <c r="J18" i="1"/>
  <c r="K18" i="1" s="1"/>
  <c r="L18" i="1" s="1"/>
  <c r="E18" i="1"/>
  <c r="S17" i="1"/>
  <c r="P17" i="1"/>
  <c r="S16" i="1"/>
  <c r="P16" i="1"/>
  <c r="J16" i="1"/>
  <c r="E16" i="1"/>
  <c r="S15" i="1"/>
  <c r="P15" i="1"/>
  <c r="E15" i="1"/>
  <c r="S12" i="1"/>
  <c r="S14" i="1"/>
  <c r="P14" i="1"/>
  <c r="J14" i="1"/>
  <c r="E14" i="1"/>
  <c r="S13" i="1"/>
  <c r="P13" i="1"/>
  <c r="J13" i="1"/>
  <c r="K12" i="1" s="1"/>
  <c r="L12" i="1" s="1"/>
  <c r="E13" i="1"/>
  <c r="P12" i="1"/>
  <c r="J12" i="1"/>
  <c r="E12" i="1"/>
  <c r="S11" i="1"/>
  <c r="S9" i="1"/>
  <c r="J11" i="1"/>
  <c r="J10" i="1"/>
  <c r="J9" i="1"/>
  <c r="P11" i="1"/>
  <c r="E11" i="1"/>
  <c r="S10" i="1"/>
  <c r="P10" i="1"/>
  <c r="E10" i="1"/>
  <c r="P9" i="1"/>
  <c r="E9" i="1"/>
  <c r="F9" i="1" s="1"/>
  <c r="G9" i="1" s="1"/>
  <c r="S8" i="1"/>
  <c r="S7" i="1"/>
  <c r="S6" i="1"/>
  <c r="J8" i="1"/>
  <c r="J7" i="1"/>
  <c r="J6" i="1"/>
  <c r="P8" i="1"/>
  <c r="E8" i="1"/>
  <c r="P7" i="1"/>
  <c r="E7" i="1"/>
  <c r="P6" i="1"/>
  <c r="E6" i="1"/>
  <c r="P7" i="2" l="1"/>
  <c r="M7" i="2"/>
  <c r="N7" i="2" s="1"/>
  <c r="F2" i="2"/>
  <c r="G6" i="2"/>
  <c r="K6" i="2" s="1"/>
  <c r="G5" i="2"/>
  <c r="K5" i="2" s="1"/>
  <c r="K4" i="2"/>
  <c r="G3" i="2"/>
  <c r="K3" i="2" s="1"/>
  <c r="K2" i="2"/>
  <c r="L2" i="2" s="1"/>
  <c r="O2" i="2" s="1"/>
  <c r="P2" i="2" s="1"/>
  <c r="F15" i="1"/>
  <c r="G15" i="1" s="1"/>
  <c r="M18" i="1"/>
  <c r="C7" i="2" s="1"/>
  <c r="K15" i="1"/>
  <c r="L15" i="1" s="1"/>
  <c r="F12" i="1"/>
  <c r="G12" i="1" s="1"/>
  <c r="M12" i="1" s="1"/>
  <c r="C5" i="2" s="1"/>
  <c r="K9" i="1"/>
  <c r="L9" i="1" s="1"/>
  <c r="M9" i="1" s="1"/>
  <c r="C4" i="2" s="1"/>
  <c r="K6" i="1"/>
  <c r="L6" i="1" s="1"/>
  <c r="F6" i="1"/>
  <c r="G6" i="1" s="1"/>
  <c r="M6" i="1" s="1"/>
  <c r="C3" i="2" s="1"/>
  <c r="E3" i="1"/>
  <c r="F3" i="1" s="1"/>
  <c r="G3" i="1" s="1"/>
  <c r="J3" i="1"/>
  <c r="P3" i="1"/>
  <c r="S3" i="1"/>
  <c r="E4" i="1"/>
  <c r="J4" i="1"/>
  <c r="P4" i="1"/>
  <c r="S4" i="1"/>
  <c r="E5" i="1"/>
  <c r="J5" i="1"/>
  <c r="P5" i="1"/>
  <c r="S5" i="1"/>
  <c r="S7" i="2" l="1"/>
  <c r="Q7" i="2"/>
  <c r="R7" i="2" s="1"/>
  <c r="T7" i="2" s="1"/>
  <c r="U7" i="2" s="1"/>
  <c r="M6" i="2"/>
  <c r="L6" i="2"/>
  <c r="O6" i="2" s="1"/>
  <c r="P6" i="2" s="1"/>
  <c r="M5" i="2"/>
  <c r="L5" i="2"/>
  <c r="O5" i="2" s="1"/>
  <c r="P5" i="2" s="1"/>
  <c r="L4" i="2"/>
  <c r="O4" i="2" s="1"/>
  <c r="P4" i="2" s="1"/>
  <c r="M4" i="2"/>
  <c r="L3" i="2"/>
  <c r="O3" i="2" s="1"/>
  <c r="P3" i="2" s="1"/>
  <c r="M3" i="2"/>
  <c r="M2" i="2"/>
  <c r="N2" i="2" s="1"/>
  <c r="Q2" i="2" s="1"/>
  <c r="R2" i="2" s="1"/>
  <c r="M15" i="1"/>
  <c r="C6" i="2" s="1"/>
  <c r="K3" i="1"/>
  <c r="L3" i="1" s="1"/>
  <c r="M3" i="1" s="1"/>
  <c r="C2" i="2" s="1"/>
  <c r="N6" i="2" l="1"/>
  <c r="S6" i="2" s="1"/>
  <c r="N5" i="2"/>
  <c r="N4" i="2"/>
  <c r="Q4" i="2" s="1"/>
  <c r="R4" i="2" s="1"/>
  <c r="N3" i="2"/>
  <c r="Q3" i="2" s="1"/>
  <c r="R3" i="2" s="1"/>
  <c r="S2" i="2"/>
  <c r="T2" i="2" s="1"/>
  <c r="U2" i="2" s="1"/>
  <c r="S5" i="2" l="1"/>
  <c r="Q5" i="2"/>
  <c r="R5" i="2" s="1"/>
  <c r="T5" i="2" s="1"/>
  <c r="U5" i="2" s="1"/>
  <c r="Q6" i="2"/>
  <c r="R6" i="2" s="1"/>
  <c r="T6" i="2" s="1"/>
  <c r="U6" i="2" s="1"/>
  <c r="S4" i="2"/>
  <c r="T4" i="2" s="1"/>
  <c r="U4" i="2" s="1"/>
  <c r="S3" i="2"/>
  <c r="T3" i="2" s="1"/>
  <c r="U3" i="2" s="1"/>
</calcChain>
</file>

<file path=xl/sharedStrings.xml><?xml version="1.0" encoding="utf-8"?>
<sst xmlns="http://schemas.openxmlformats.org/spreadsheetml/2006/main" count="120" uniqueCount="106">
  <si>
    <t>Timepoint</t>
  </si>
  <si>
    <t>time_hr</t>
  </si>
  <si>
    <t>sample_name</t>
  </si>
  <si>
    <t>at-% 13C CO2</t>
  </si>
  <si>
    <t>at-% 12C CO2</t>
  </si>
  <si>
    <t>at-% 13C CH4</t>
  </si>
  <si>
    <t>at-% 12C CH4</t>
  </si>
  <si>
    <t>U13C- CH3COO- incubation (for background TIC correction)</t>
  </si>
  <si>
    <t>A37-1 CO2</t>
  </si>
  <si>
    <t>A38-1 CO2</t>
  </si>
  <si>
    <t>A39-1 CO2</t>
  </si>
  <si>
    <t>A37-1 CH4</t>
  </si>
  <si>
    <t>A38-1 CH4</t>
  </si>
  <si>
    <t>A39-1 CH4</t>
  </si>
  <si>
    <t>A44-1 CH4</t>
  </si>
  <si>
    <t>A45-1 CH4</t>
  </si>
  <si>
    <t>A46-1 CH4</t>
  </si>
  <si>
    <t>A44-1 CO2</t>
  </si>
  <si>
    <t>A45-1 CO2</t>
  </si>
  <si>
    <t>A46-1 CO2</t>
  </si>
  <si>
    <t>13CO2/13CH4 BG TIC corrected</t>
  </si>
  <si>
    <t>at-% 13C CH4 BG TIC corrected</t>
  </si>
  <si>
    <t>at-% 12C CH4 BG TIC corrected</t>
  </si>
  <si>
    <t>at-% 13C CO2 BG TIC corrected</t>
  </si>
  <si>
    <t>at-% 12C CO2 BG TIC corrected</t>
  </si>
  <si>
    <t>A37-2 CO2</t>
  </si>
  <si>
    <t>A38-2 CO2</t>
  </si>
  <si>
    <t>A39-2 CO2</t>
  </si>
  <si>
    <t>A37-2 CH4</t>
  </si>
  <si>
    <t>A38-2 CH4</t>
  </si>
  <si>
    <t>A39-2 CH4</t>
  </si>
  <si>
    <t>A44-2 CO2</t>
  </si>
  <si>
    <t>A45-2 CO2</t>
  </si>
  <si>
    <t>A46-2 CO2</t>
  </si>
  <si>
    <t>A44-2 CH4</t>
  </si>
  <si>
    <t>A45-2 CH4</t>
  </si>
  <si>
    <t>A46-2 CH4</t>
  </si>
  <si>
    <t>A37-3 CO2</t>
  </si>
  <si>
    <t>A38-3 CO2</t>
  </si>
  <si>
    <t>A39-3 CO2</t>
  </si>
  <si>
    <t>A44-3 CO2</t>
  </si>
  <si>
    <t>A45-3 CO2</t>
  </si>
  <si>
    <t>A46-3 CO2</t>
  </si>
  <si>
    <t>A37-3 CH4</t>
  </si>
  <si>
    <t>A38-3 CH4</t>
  </si>
  <si>
    <t>A39-3 CH4</t>
  </si>
  <si>
    <t>A44-3 CH4</t>
  </si>
  <si>
    <t>A45-3 CH4</t>
  </si>
  <si>
    <t>A46-3 CH4</t>
  </si>
  <si>
    <t>A37-4 CO2</t>
  </si>
  <si>
    <t>A38-4 CO2</t>
  </si>
  <si>
    <t>A39-4 CO2</t>
  </si>
  <si>
    <t>A44-4 CO2</t>
  </si>
  <si>
    <t>A45-4 CO2</t>
  </si>
  <si>
    <t>A46-4 CO2</t>
  </si>
  <si>
    <t>A37-4 CH4</t>
  </si>
  <si>
    <t>A38-4 CH4</t>
  </si>
  <si>
    <t>A39-4 CH4</t>
  </si>
  <si>
    <t>A44-4 CH4</t>
  </si>
  <si>
    <t>A45-4 CH4</t>
  </si>
  <si>
    <t>A46-4 CH4</t>
  </si>
  <si>
    <t>A37-5 CH4</t>
  </si>
  <si>
    <t>A38-5 CH4</t>
  </si>
  <si>
    <t>A44-5 CH4</t>
  </si>
  <si>
    <t>A39-5 CH4</t>
  </si>
  <si>
    <t>A45-5 CH4</t>
  </si>
  <si>
    <t>A46-5 CH4</t>
  </si>
  <si>
    <t>A37-5 CO2</t>
  </si>
  <si>
    <t>A38-5 CO2</t>
  </si>
  <si>
    <t>A44-5 CO2</t>
  </si>
  <si>
    <t>A45-5 CO2</t>
  </si>
  <si>
    <t>A46-5 CO2</t>
  </si>
  <si>
    <t>A37-6 CO2</t>
  </si>
  <si>
    <t>A38-6 CO2</t>
  </si>
  <si>
    <t>A39-6 CO2</t>
  </si>
  <si>
    <t>A44-6 CO2</t>
  </si>
  <si>
    <t>A45-6 CO2</t>
  </si>
  <si>
    <t>A46-6 CO2</t>
  </si>
  <si>
    <t>A37-6 CH4</t>
  </si>
  <si>
    <t>A38-6 CH4</t>
  </si>
  <si>
    <t>A39-6 CH4</t>
  </si>
  <si>
    <t>A44-6 CH4</t>
  </si>
  <si>
    <t>A45-6 CH4</t>
  </si>
  <si>
    <t>A46-6 CH4</t>
  </si>
  <si>
    <t>2-13C- CH3COO- incubation</t>
  </si>
  <si>
    <t>%_SAO</t>
  </si>
  <si>
    <t>%_AM</t>
  </si>
  <si>
    <t>time_point</t>
  </si>
  <si>
    <t>13CH4(AM)</t>
  </si>
  <si>
    <t>12CO2(AM)</t>
  </si>
  <si>
    <t>12CO2(SAO)</t>
  </si>
  <si>
    <t>13CO2(SAO)</t>
  </si>
  <si>
    <t>H2(SAO)</t>
  </si>
  <si>
    <t>12CO2(sum)</t>
  </si>
  <si>
    <t>13CH4(HM)</t>
  </si>
  <si>
    <t>12CH4(HM)</t>
  </si>
  <si>
    <t>12CO2(unconsumed)</t>
  </si>
  <si>
    <t>13CH4(HM,KIE)</t>
  </si>
  <si>
    <t>12CH4(HM, KIE)</t>
  </si>
  <si>
    <t>12CO3(unconsumed)</t>
  </si>
  <si>
    <t>%13C-CO2</t>
  </si>
  <si>
    <t>%13C-CH4</t>
  </si>
  <si>
    <t>Ratio</t>
  </si>
  <si>
    <t>Eror</t>
  </si>
  <si>
    <t>Solver converged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</si>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</sst>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0.00000"/>
    <numFmt numFmtId="165" formatCode="0.00000"/>
    <numFmt numFmtId="166" formatCode="0.000"/>
    <numFmt numFmtId="167" formatCode="0.0%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0">
    <xf numFmtId="0" fontId="0" fillId="0" borderId="0" xfId="0"/>
    <xf numFmtId="2" fontId="1" fillId="0" borderId="0" xfId="0" applyNumberFormat="1" applyFont="1" applyFill="1" applyAlignment="1">
      <alignment horizontal="left"/>
    </xf>
    <xf numFmtId="16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left"/>
    </xf>
    <xf numFmtId="2" fontId="0" fillId="0" borderId="0" xfId="0" applyNumberFormat="1"/>
    <xf numFmtId="0" fontId="0" fillId="0" borderId="0" xfId="0" applyBorder="1"/>
    <xf numFmtId="2" fontId="1" fillId="0" borderId="4" xfId="0" applyNumberFormat="1" applyFont="1" applyFill="1" applyBorder="1" applyAlignment="1">
      <alignment horizontal="left"/>
    </xf>
    <xf numFmtId="164" fontId="1" fillId="0" borderId="0" xfId="0" applyNumberFormat="1" applyFont="1" applyBorder="1" applyAlignment="1">
      <alignment horizontal="right"/>
    </xf>
    <xf numFmtId="2" fontId="0" fillId="0" borderId="0" xfId="0" applyNumberFormat="1" applyBorder="1"/>
    <xf numFmtId="1" fontId="1" fillId="0" borderId="0" xfId="0" applyNumberFormat="1" applyFont="1" applyBorder="1" applyAlignment="1">
      <alignment horizontal="left"/>
    </xf>
    <xf numFmtId="2" fontId="1" fillId="0" borderId="6" xfId="0" applyNumberFormat="1" applyFont="1" applyFill="1" applyBorder="1" applyAlignment="1">
      <alignment horizontal="left"/>
    </xf>
    <xf numFmtId="164" fontId="1" fillId="0" borderId="7" xfId="0" applyNumberFormat="1" applyFont="1" applyBorder="1" applyAlignment="1">
      <alignment horizontal="right"/>
    </xf>
    <xf numFmtId="2" fontId="0" fillId="0" borderId="7" xfId="0" applyNumberFormat="1" applyBorder="1"/>
    <xf numFmtId="1" fontId="1" fillId="0" borderId="7" xfId="0" applyNumberFormat="1" applyFont="1" applyBorder="1" applyAlignment="1">
      <alignment horizontal="left"/>
    </xf>
    <xf numFmtId="0" fontId="0" fillId="0" borderId="7" xfId="0" applyBorder="1"/>
    <xf numFmtId="2" fontId="0" fillId="0" borderId="5" xfId="0" applyNumberFormat="1" applyBorder="1"/>
    <xf numFmtId="2" fontId="0" fillId="0" borderId="8" xfId="0" applyNumberFormat="1" applyBorder="1"/>
    <xf numFmtId="0" fontId="0" fillId="0" borderId="2" xfId="0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5" fontId="1" fillId="0" borderId="0" xfId="0" applyNumberFormat="1" applyFont="1" applyAlignment="1">
      <alignment horizontal="right"/>
    </xf>
    <xf numFmtId="2" fontId="1" fillId="0" borderId="2" xfId="0" applyNumberFormat="1" applyFont="1" applyFill="1" applyBorder="1" applyAlignment="1">
      <alignment horizontal="left"/>
    </xf>
    <xf numFmtId="164" fontId="1" fillId="0" borderId="2" xfId="0" applyNumberFormat="1" applyFont="1" applyBorder="1" applyAlignment="1">
      <alignment horizontal="right"/>
    </xf>
    <xf numFmtId="2" fontId="0" fillId="0" borderId="2" xfId="0" applyNumberFormat="1" applyBorder="1"/>
    <xf numFmtId="1" fontId="1" fillId="0" borderId="2" xfId="0" applyNumberFormat="1" applyFont="1" applyBorder="1" applyAlignment="1">
      <alignment horizontal="left"/>
    </xf>
    <xf numFmtId="2" fontId="0" fillId="0" borderId="11" xfId="0" applyNumberFormat="1" applyBorder="1"/>
    <xf numFmtId="2" fontId="0" fillId="0" borderId="3" xfId="0" applyNumberFormat="1" applyBorder="1"/>
    <xf numFmtId="2" fontId="1" fillId="0" borderId="0" xfId="0" applyNumberFormat="1" applyFont="1" applyFill="1" applyBorder="1" applyAlignment="1">
      <alignment horizontal="left"/>
    </xf>
    <xf numFmtId="2" fontId="1" fillId="0" borderId="7" xfId="0" applyNumberFormat="1" applyFont="1" applyFill="1" applyBorder="1" applyAlignment="1">
      <alignment horizontal="left"/>
    </xf>
    <xf numFmtId="165" fontId="1" fillId="0" borderId="2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  <xf numFmtId="165" fontId="1" fillId="0" borderId="7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9" fontId="0" fillId="0" borderId="0" xfId="0" applyNumberFormat="1"/>
    <xf numFmtId="9" fontId="0" fillId="0" borderId="0" xfId="1" applyFont="1"/>
    <xf numFmtId="166" fontId="0" fillId="0" borderId="0" xfId="0" applyNumberFormat="1"/>
    <xf numFmtId="2" fontId="0" fillId="0" borderId="0" xfId="1" applyNumberFormat="1" applyFont="1"/>
    <xf numFmtId="167" fontId="0" fillId="0" borderId="0" xfId="1" applyNumberFormat="1" applyFont="1"/>
    <xf numFmtId="166" fontId="0" fillId="0" borderId="0" xfId="1" applyNumberFormat="1" applyFont="1"/>
    <xf numFmtId="2" fontId="0" fillId="0" borderId="9" xfId="0" applyNumberFormat="1" applyBorder="1" applyAlignment="1">
      <alignment horizontal="center" wrapText="1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16" xfId="1" applyFont="1" applyBorder="1" applyAlignment="1">
      <alignment horizontal="center"/>
    </xf>
    <xf numFmtId="9" fontId="0" fillId="0" borderId="17" xfId="1" applyFont="1" applyBorder="1" applyAlignment="1">
      <alignment horizontal="center"/>
    </xf>
    <xf numFmtId="9" fontId="0" fillId="0" borderId="18" xfId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1" xfId="0" applyNumberForma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D1161-CA51-4A49-94DE-603A971D3472}">
  <dimension ref="A1:S20"/>
  <sheetViews>
    <sheetView topLeftCell="G1" workbookViewId="0">
      <selection activeCell="B21" sqref="B21"/>
    </sheetView>
  </sheetViews>
  <sheetFormatPr baseColWidth="10" defaultRowHeight="16" x14ac:dyDescent="0.2"/>
  <cols>
    <col min="3" max="3" width="12.83203125" bestFit="1" customWidth="1"/>
    <col min="4" max="4" width="12.33203125" bestFit="1" customWidth="1"/>
    <col min="5" max="5" width="16.83203125" bestFit="1" customWidth="1"/>
    <col min="6" max="6" width="23.83203125" bestFit="1" customWidth="1"/>
    <col min="7" max="7" width="27" bestFit="1" customWidth="1"/>
    <col min="8" max="8" width="12.83203125" bestFit="1" customWidth="1"/>
    <col min="9" max="10" width="12.1640625" bestFit="1" customWidth="1"/>
    <col min="11" max="11" width="23.6640625" bestFit="1" customWidth="1"/>
    <col min="12" max="12" width="26.83203125" bestFit="1" customWidth="1"/>
    <col min="13" max="13" width="27.1640625" bestFit="1" customWidth="1"/>
    <col min="14" max="14" width="12.83203125" bestFit="1" customWidth="1"/>
    <col min="15" max="16" width="12.33203125" bestFit="1" customWidth="1"/>
    <col min="17" max="17" width="12.83203125" bestFit="1" customWidth="1"/>
    <col min="18" max="19" width="12.1640625" bestFit="1" customWidth="1"/>
    <col min="20" max="20" width="27.1640625" bestFit="1" customWidth="1"/>
  </cols>
  <sheetData>
    <row r="1" spans="1:19" x14ac:dyDescent="0.2">
      <c r="A1" t="s">
        <v>0</v>
      </c>
      <c r="B1" t="s">
        <v>1</v>
      </c>
      <c r="C1" s="48" t="s">
        <v>84</v>
      </c>
      <c r="D1" s="49"/>
      <c r="E1" s="49"/>
      <c r="F1" s="49"/>
      <c r="G1" s="49"/>
      <c r="H1" s="49"/>
      <c r="I1" s="49"/>
      <c r="J1" s="49"/>
      <c r="K1" s="49"/>
      <c r="L1" s="49"/>
      <c r="M1" s="50"/>
      <c r="N1" s="48" t="s">
        <v>7</v>
      </c>
      <c r="O1" s="49"/>
      <c r="P1" s="49"/>
      <c r="Q1" s="49"/>
      <c r="R1" s="49"/>
      <c r="S1" s="50"/>
    </row>
    <row r="2" spans="1:19" ht="17" thickBot="1" x14ac:dyDescent="0.25">
      <c r="C2" s="20" t="s">
        <v>2</v>
      </c>
      <c r="D2" s="21" t="s">
        <v>3</v>
      </c>
      <c r="E2" s="21" t="s">
        <v>4</v>
      </c>
      <c r="F2" s="21" t="s">
        <v>24</v>
      </c>
      <c r="G2" s="22" t="s">
        <v>23</v>
      </c>
      <c r="H2" s="21" t="s">
        <v>2</v>
      </c>
      <c r="I2" s="21" t="s">
        <v>5</v>
      </c>
      <c r="J2" s="21" t="s">
        <v>6</v>
      </c>
      <c r="K2" s="21" t="s">
        <v>22</v>
      </c>
      <c r="L2" s="23" t="s">
        <v>21</v>
      </c>
      <c r="M2" s="21" t="s">
        <v>20</v>
      </c>
      <c r="N2" s="20" t="s">
        <v>2</v>
      </c>
      <c r="O2" s="21" t="s">
        <v>3</v>
      </c>
      <c r="P2" s="22" t="s">
        <v>4</v>
      </c>
      <c r="Q2" s="21" t="s">
        <v>2</v>
      </c>
      <c r="R2" s="21" t="s">
        <v>5</v>
      </c>
      <c r="S2" s="23" t="s">
        <v>6</v>
      </c>
    </row>
    <row r="3" spans="1:19" x14ac:dyDescent="0.2">
      <c r="A3" s="48">
        <v>1</v>
      </c>
      <c r="B3" s="50">
        <v>24</v>
      </c>
      <c r="C3" s="6" t="s">
        <v>8</v>
      </c>
      <c r="D3" s="7">
        <v>1.6976687776052759</v>
      </c>
      <c r="E3" s="8">
        <f>100-D3</f>
        <v>98.302331222394727</v>
      </c>
      <c r="F3" s="46">
        <f>AVERAGE(E3:E5)-AVERAGE(P3:P5)</f>
        <v>1.297260600321863</v>
      </c>
      <c r="G3" s="43">
        <f>100-F3</f>
        <v>98.702739399678137</v>
      </c>
      <c r="H3" s="9" t="s">
        <v>11</v>
      </c>
      <c r="I3" s="5">
        <v>2.9900088911438143</v>
      </c>
      <c r="J3" s="8">
        <f>100-I3</f>
        <v>97.009991108856184</v>
      </c>
      <c r="K3" s="46">
        <f>AVERAGE(J3:J5) - AVERAGE(S3:S5)</f>
        <v>2.8237433452552523</v>
      </c>
      <c r="L3" s="46">
        <f>100-K3</f>
        <v>97.176256654744748</v>
      </c>
      <c r="M3" s="51">
        <f>G3/L3</f>
        <v>1.015708392126657</v>
      </c>
      <c r="N3" s="6" t="s">
        <v>17</v>
      </c>
      <c r="O3" s="7">
        <v>2.2003414987118974</v>
      </c>
      <c r="P3" s="18">
        <f>100-O3</f>
        <v>97.799658501288107</v>
      </c>
      <c r="Q3" s="9" t="s">
        <v>14</v>
      </c>
      <c r="R3" s="5">
        <v>4.9372407660586726</v>
      </c>
      <c r="S3" s="15">
        <f>100-R3</f>
        <v>95.062759233941321</v>
      </c>
    </row>
    <row r="4" spans="1:19" x14ac:dyDescent="0.2">
      <c r="A4" s="56"/>
      <c r="B4" s="58"/>
      <c r="C4" s="6" t="s">
        <v>9</v>
      </c>
      <c r="D4" s="7">
        <v>1.8922873975741592</v>
      </c>
      <c r="E4" s="8">
        <f t="shared" ref="E4:E5" si="0">100-D4</f>
        <v>98.107712602425835</v>
      </c>
      <c r="F4" s="46"/>
      <c r="G4" s="44"/>
      <c r="H4" s="9" t="s">
        <v>12</v>
      </c>
      <c r="I4" s="5">
        <v>2.9583203228778592</v>
      </c>
      <c r="J4" s="8">
        <f t="shared" ref="J4:J5" si="1">100-I4</f>
        <v>97.041679677122147</v>
      </c>
      <c r="K4" s="46"/>
      <c r="L4" s="46"/>
      <c r="M4" s="52"/>
      <c r="N4" s="6" t="s">
        <v>18</v>
      </c>
      <c r="O4" s="7">
        <v>3.1761763428991014</v>
      </c>
      <c r="P4" s="18">
        <f t="shared" ref="P4:P5" si="2">100-O4</f>
        <v>96.823823657100903</v>
      </c>
      <c r="Q4" s="9" t="s">
        <v>15</v>
      </c>
      <c r="R4" s="5">
        <v>5.5248878182580814</v>
      </c>
      <c r="S4" s="15">
        <f t="shared" ref="S4:S5" si="3">100-R4</f>
        <v>94.47511218174192</v>
      </c>
    </row>
    <row r="5" spans="1:19" ht="17" thickBot="1" x14ac:dyDescent="0.25">
      <c r="A5" s="57"/>
      <c r="B5" s="59"/>
      <c r="C5" s="10" t="s">
        <v>10</v>
      </c>
      <c r="D5" s="11">
        <v>1.757447419504039</v>
      </c>
      <c r="E5" s="12">
        <f t="shared" si="0"/>
        <v>98.242552580495968</v>
      </c>
      <c r="F5" s="47"/>
      <c r="G5" s="45"/>
      <c r="H5" s="13" t="s">
        <v>13</v>
      </c>
      <c r="I5" s="14">
        <v>2.4579638986038446</v>
      </c>
      <c r="J5" s="12">
        <f t="shared" si="1"/>
        <v>97.54203610139615</v>
      </c>
      <c r="K5" s="47"/>
      <c r="L5" s="47"/>
      <c r="M5" s="53"/>
      <c r="N5" s="10" t="s">
        <v>19</v>
      </c>
      <c r="O5" s="11">
        <v>3.8626675540380955</v>
      </c>
      <c r="P5" s="19">
        <f t="shared" si="2"/>
        <v>96.137332445961903</v>
      </c>
      <c r="Q5" s="13" t="s">
        <v>16</v>
      </c>
      <c r="R5" s="14">
        <v>6.4153945640745214</v>
      </c>
      <c r="S5" s="16">
        <f t="shared" si="3"/>
        <v>93.584605435925482</v>
      </c>
    </row>
    <row r="6" spans="1:19" x14ac:dyDescent="0.2">
      <c r="A6" s="48">
        <v>2</v>
      </c>
      <c r="B6" s="50">
        <v>72</v>
      </c>
      <c r="C6" s="25" t="s">
        <v>25</v>
      </c>
      <c r="D6" s="26">
        <v>2.5804083194142433</v>
      </c>
      <c r="E6" s="27">
        <f>100-D6</f>
        <v>97.419591680585754</v>
      </c>
      <c r="F6" s="54">
        <f>AVERAGE(E6:E8)-AVERAGE(P6:P8)</f>
        <v>3.2887170919484703</v>
      </c>
      <c r="G6" s="55">
        <f>100-F6</f>
        <v>96.71128290805153</v>
      </c>
      <c r="H6" s="28" t="s">
        <v>28</v>
      </c>
      <c r="I6" s="17">
        <v>7.2356121675788376</v>
      </c>
      <c r="J6" s="27">
        <f>100-I6</f>
        <v>92.764387832421164</v>
      </c>
      <c r="K6" s="54">
        <f>AVERAGE(J6:J8) - AVERAGE(S6:S8)</f>
        <v>8.8517315834047281</v>
      </c>
      <c r="L6" s="54">
        <f>100-K6</f>
        <v>91.148268416595272</v>
      </c>
      <c r="M6" s="51">
        <f>G6/L6</f>
        <v>1.0610325855674008</v>
      </c>
      <c r="N6" s="25" t="s">
        <v>31</v>
      </c>
      <c r="O6" s="26">
        <v>4.7762714038115028</v>
      </c>
      <c r="P6" s="29">
        <f>100-O6</f>
        <v>95.223728596188494</v>
      </c>
      <c r="Q6" s="28" t="s">
        <v>34</v>
      </c>
      <c r="R6" s="17">
        <v>14.000081163633059</v>
      </c>
      <c r="S6" s="30">
        <f>100-R6</f>
        <v>85.999918836366945</v>
      </c>
    </row>
    <row r="7" spans="1:19" x14ac:dyDescent="0.2">
      <c r="A7" s="56"/>
      <c r="B7" s="58"/>
      <c r="C7" s="31" t="s">
        <v>26</v>
      </c>
      <c r="D7" s="7">
        <v>3.3777644227973602</v>
      </c>
      <c r="E7" s="8">
        <f t="shared" ref="E7:E8" si="4">100-D7</f>
        <v>96.622235577202645</v>
      </c>
      <c r="F7" s="46"/>
      <c r="G7" s="44"/>
      <c r="H7" s="9" t="s">
        <v>29</v>
      </c>
      <c r="I7" s="5">
        <v>7.2298094641218569</v>
      </c>
      <c r="J7" s="8">
        <f t="shared" ref="J7:J8" si="5">100-I7</f>
        <v>92.770190535878143</v>
      </c>
      <c r="K7" s="46"/>
      <c r="L7" s="46"/>
      <c r="M7" s="52"/>
      <c r="N7" s="31" t="s">
        <v>32</v>
      </c>
      <c r="O7" s="7">
        <v>6.3816271305189218</v>
      </c>
      <c r="P7" s="18">
        <f t="shared" ref="P7:P8" si="6">100-O7</f>
        <v>93.618372869481078</v>
      </c>
      <c r="Q7" s="9" t="s">
        <v>35</v>
      </c>
      <c r="R7" s="5">
        <v>15.692221111209548</v>
      </c>
      <c r="S7" s="15">
        <f t="shared" ref="S7:S8" si="7">100-R7</f>
        <v>84.307778888790452</v>
      </c>
    </row>
    <row r="8" spans="1:19" ht="17" thickBot="1" x14ac:dyDescent="0.25">
      <c r="A8" s="57"/>
      <c r="B8" s="59"/>
      <c r="C8" s="32" t="s">
        <v>27</v>
      </c>
      <c r="D8" s="11">
        <v>3.5859562302250549</v>
      </c>
      <c r="E8" s="12">
        <f t="shared" si="4"/>
        <v>96.414043769774949</v>
      </c>
      <c r="F8" s="47"/>
      <c r="G8" s="45"/>
      <c r="H8" s="13" t="s">
        <v>30</v>
      </c>
      <c r="I8" s="14">
        <v>5.9558327805415807</v>
      </c>
      <c r="J8" s="12">
        <f t="shared" si="5"/>
        <v>94.044167219458416</v>
      </c>
      <c r="K8" s="47"/>
      <c r="L8" s="47"/>
      <c r="M8" s="53"/>
      <c r="N8" s="32" t="s">
        <v>33</v>
      </c>
      <c r="O8" s="11">
        <v>8.2523817139516673</v>
      </c>
      <c r="P8" s="19">
        <f t="shared" si="6"/>
        <v>91.747618286048336</v>
      </c>
      <c r="Q8" s="13" t="s">
        <v>36</v>
      </c>
      <c r="R8" s="14">
        <v>17.284146887613858</v>
      </c>
      <c r="S8" s="16">
        <f t="shared" si="7"/>
        <v>82.715853112386142</v>
      </c>
    </row>
    <row r="9" spans="1:19" x14ac:dyDescent="0.2">
      <c r="A9" s="48">
        <v>3</v>
      </c>
      <c r="B9" s="50">
        <v>144</v>
      </c>
      <c r="C9" s="25" t="s">
        <v>37</v>
      </c>
      <c r="D9" s="26">
        <v>3.0990405574025042</v>
      </c>
      <c r="E9" s="27">
        <f>100-D9</f>
        <v>96.900959442597497</v>
      </c>
      <c r="F9" s="54">
        <f>AVERAGE(E9:E11)-AVERAGE(P9:P11)</f>
        <v>5.5318532404343159</v>
      </c>
      <c r="G9" s="55">
        <f>100-F9</f>
        <v>94.468146759565684</v>
      </c>
      <c r="H9" s="28" t="s">
        <v>43</v>
      </c>
      <c r="I9" s="17">
        <v>11.281413513598615</v>
      </c>
      <c r="J9" s="27">
        <f>100-I9</f>
        <v>88.718586486401392</v>
      </c>
      <c r="K9" s="54">
        <f>AVERAGE(J9:J11) - AVERAGE(S9:S11)</f>
        <v>14.355491860923252</v>
      </c>
      <c r="L9" s="54">
        <f>100-K9</f>
        <v>85.644508139076748</v>
      </c>
      <c r="M9" s="51">
        <f>G9/L9</f>
        <v>1.1030263213860763</v>
      </c>
      <c r="N9" s="25" t="s">
        <v>40</v>
      </c>
      <c r="O9" s="26">
        <v>7.533184628134479</v>
      </c>
      <c r="P9" s="29">
        <f>100-O9</f>
        <v>92.466815371865522</v>
      </c>
      <c r="Q9" s="28" t="s">
        <v>46</v>
      </c>
      <c r="R9" s="17">
        <v>23.780332432658977</v>
      </c>
      <c r="S9" s="30">
        <f>100-R9</f>
        <v>76.21966756734102</v>
      </c>
    </row>
    <row r="10" spans="1:19" x14ac:dyDescent="0.2">
      <c r="A10" s="56"/>
      <c r="B10" s="58"/>
      <c r="C10" s="31" t="s">
        <v>38</v>
      </c>
      <c r="D10" s="7">
        <v>5.0832921140799492</v>
      </c>
      <c r="E10" s="8">
        <f t="shared" ref="E10:E11" si="8">100-D10</f>
        <v>94.916707885920047</v>
      </c>
      <c r="F10" s="46"/>
      <c r="G10" s="44"/>
      <c r="H10" s="9" t="s">
        <v>44</v>
      </c>
      <c r="I10" s="5">
        <v>11.641586206099861</v>
      </c>
      <c r="J10" s="8">
        <f t="shared" ref="J10:J11" si="9">100-I10</f>
        <v>88.358413793900141</v>
      </c>
      <c r="K10" s="46"/>
      <c r="L10" s="46"/>
      <c r="M10" s="52"/>
      <c r="N10" s="31" t="s">
        <v>41</v>
      </c>
      <c r="O10" s="7">
        <v>10.654830001035874</v>
      </c>
      <c r="P10" s="18">
        <f t="shared" ref="P10:P11" si="10">100-O10</f>
        <v>89.345169998964124</v>
      </c>
      <c r="Q10" s="9" t="s">
        <v>47</v>
      </c>
      <c r="R10" s="5">
        <v>25.398334614910112</v>
      </c>
      <c r="S10" s="15">
        <f t="shared" ref="S10:S11" si="11">100-R10</f>
        <v>74.601665385089888</v>
      </c>
    </row>
    <row r="11" spans="1:19" ht="17" thickBot="1" x14ac:dyDescent="0.25">
      <c r="A11" s="57"/>
      <c r="B11" s="59"/>
      <c r="C11" s="32" t="s">
        <v>39</v>
      </c>
      <c r="D11" s="11">
        <v>6.0957966486712065</v>
      </c>
      <c r="E11" s="12">
        <f t="shared" si="8"/>
        <v>93.904203351328789</v>
      </c>
      <c r="F11" s="47"/>
      <c r="G11" s="45"/>
      <c r="H11" s="13" t="s">
        <v>45</v>
      </c>
      <c r="I11" s="14">
        <v>10.144565138780592</v>
      </c>
      <c r="J11" s="12">
        <f t="shared" si="9"/>
        <v>89.855434861219408</v>
      </c>
      <c r="K11" s="47"/>
      <c r="L11" s="47"/>
      <c r="M11" s="53"/>
      <c r="N11" s="32" t="s">
        <v>42</v>
      </c>
      <c r="O11" s="11">
        <v>12.685674412286222</v>
      </c>
      <c r="P11" s="19">
        <f t="shared" si="10"/>
        <v>87.314325587713782</v>
      </c>
      <c r="Q11" s="13" t="s">
        <v>48</v>
      </c>
      <c r="R11" s="14">
        <v>26.955373393679722</v>
      </c>
      <c r="S11" s="16">
        <f t="shared" si="11"/>
        <v>73.044626606320278</v>
      </c>
    </row>
    <row r="12" spans="1:19" x14ac:dyDescent="0.2">
      <c r="A12" s="48">
        <v>4</v>
      </c>
      <c r="B12" s="50">
        <v>240</v>
      </c>
      <c r="C12" s="25" t="s">
        <v>49</v>
      </c>
      <c r="D12" s="26">
        <v>4.4038902504402815</v>
      </c>
      <c r="E12" s="27">
        <f>100-D12</f>
        <v>95.596109749559716</v>
      </c>
      <c r="F12" s="54">
        <f>AVERAGE(E12:E14)-AVERAGE(P12:P14)</f>
        <v>5.9077988918204483</v>
      </c>
      <c r="G12" s="55">
        <f>100-F12</f>
        <v>94.092201108179552</v>
      </c>
      <c r="H12" s="28" t="s">
        <v>55</v>
      </c>
      <c r="I12" s="33">
        <v>15.544529616294529</v>
      </c>
      <c r="J12" s="27">
        <f>100-I12</f>
        <v>84.455470383705475</v>
      </c>
      <c r="K12" s="54">
        <f>AVERAGE(J12:J14) - AVERAGE(S12:S14)</f>
        <v>18.875277533012564</v>
      </c>
      <c r="L12" s="54">
        <f>100-K12</f>
        <v>81.124722466987436</v>
      </c>
      <c r="M12" s="51">
        <f>G12/L12</f>
        <v>1.1598462003548802</v>
      </c>
      <c r="N12" s="25" t="s">
        <v>52</v>
      </c>
      <c r="O12" s="26">
        <v>8.3997099629562939</v>
      </c>
      <c r="P12" s="29">
        <f>100-O12</f>
        <v>91.600290037043706</v>
      </c>
      <c r="Q12" s="28" t="s">
        <v>58</v>
      </c>
      <c r="R12" s="33">
        <v>32.642263535245782</v>
      </c>
      <c r="S12" s="30">
        <f>100-R12</f>
        <v>67.357736464754225</v>
      </c>
    </row>
    <row r="13" spans="1:19" x14ac:dyDescent="0.2">
      <c r="A13" s="56"/>
      <c r="B13" s="58"/>
      <c r="C13" s="31" t="s">
        <v>50</v>
      </c>
      <c r="D13" s="7">
        <v>6.7114255898304949</v>
      </c>
      <c r="E13" s="8">
        <f t="shared" ref="E13:E14" si="12">100-D13</f>
        <v>93.288574410169502</v>
      </c>
      <c r="F13" s="46"/>
      <c r="G13" s="44"/>
      <c r="H13" s="9" t="s">
        <v>56</v>
      </c>
      <c r="I13" s="34">
        <v>16.159154093596584</v>
      </c>
      <c r="J13" s="8">
        <f t="shared" ref="J13:J14" si="13">100-I13</f>
        <v>83.840845906403416</v>
      </c>
      <c r="K13" s="46"/>
      <c r="L13" s="46"/>
      <c r="M13" s="52"/>
      <c r="N13" s="31" t="s">
        <v>53</v>
      </c>
      <c r="O13" s="7">
        <v>12.584808996440731</v>
      </c>
      <c r="P13" s="18">
        <f t="shared" ref="P13:P14" si="14">100-O13</f>
        <v>87.415191003559272</v>
      </c>
      <c r="Q13" s="9" t="s">
        <v>59</v>
      </c>
      <c r="R13" s="34">
        <v>34.433568643363955</v>
      </c>
      <c r="S13" s="15">
        <f t="shared" ref="S13:S14" si="15">100-R13</f>
        <v>65.566431356636045</v>
      </c>
    </row>
    <row r="14" spans="1:19" ht="17" thickBot="1" x14ac:dyDescent="0.25">
      <c r="A14" s="57"/>
      <c r="B14" s="59"/>
      <c r="C14" s="32" t="s">
        <v>51</v>
      </c>
      <c r="D14" s="11">
        <v>8.0848673899113592</v>
      </c>
      <c r="E14" s="12">
        <f t="shared" si="12"/>
        <v>91.915132610088648</v>
      </c>
      <c r="F14" s="47"/>
      <c r="G14" s="45"/>
      <c r="H14" s="13" t="s">
        <v>57</v>
      </c>
      <c r="I14" s="35">
        <v>14.752140295558933</v>
      </c>
      <c r="J14" s="12">
        <f t="shared" si="13"/>
        <v>85.247859704441069</v>
      </c>
      <c r="K14" s="47"/>
      <c r="L14" s="47"/>
      <c r="M14" s="53"/>
      <c r="N14" s="32" t="s">
        <v>54</v>
      </c>
      <c r="O14" s="11">
        <v>15.939060946246475</v>
      </c>
      <c r="P14" s="19">
        <f t="shared" si="14"/>
        <v>84.060939053753529</v>
      </c>
      <c r="Q14" s="13" t="s">
        <v>60</v>
      </c>
      <c r="R14" s="35">
        <v>36.005824425877975</v>
      </c>
      <c r="S14" s="16">
        <f t="shared" si="15"/>
        <v>63.994175574122025</v>
      </c>
    </row>
    <row r="15" spans="1:19" x14ac:dyDescent="0.2">
      <c r="A15" s="48">
        <v>5</v>
      </c>
      <c r="B15" s="50">
        <v>312</v>
      </c>
      <c r="C15" s="1" t="s">
        <v>67</v>
      </c>
      <c r="D15" s="2">
        <v>4.713123207165884</v>
      </c>
      <c r="E15" s="27">
        <f>100-D15</f>
        <v>95.286876792834121</v>
      </c>
      <c r="F15" s="54">
        <f>AVERAGE(E15:E17)-AVERAGE(P15:P17)</f>
        <v>7.539117825394797</v>
      </c>
      <c r="G15" s="55">
        <f>100-F15</f>
        <v>92.460882174605203</v>
      </c>
      <c r="H15" s="3" t="s">
        <v>61</v>
      </c>
      <c r="I15" s="36"/>
      <c r="J15" s="27"/>
      <c r="K15" s="54">
        <f>AVERAGE(J15:J17) - AVERAGE(S15:S17)</f>
        <v>19.861465065037606</v>
      </c>
      <c r="L15" s="54">
        <f>100-K15</f>
        <v>80.138534934962394</v>
      </c>
      <c r="M15" s="51">
        <f>G15/L15</f>
        <v>1.1537630710324713</v>
      </c>
      <c r="N15" s="1" t="s">
        <v>69</v>
      </c>
      <c r="O15" s="2">
        <v>9.7381599931197389</v>
      </c>
      <c r="P15" s="29">
        <f>100-O15</f>
        <v>90.261840006880263</v>
      </c>
      <c r="Q15" s="3" t="s">
        <v>63</v>
      </c>
      <c r="R15" s="24">
        <v>37.955593789000247</v>
      </c>
      <c r="S15" s="30">
        <f>100-R15</f>
        <v>62.044406210999753</v>
      </c>
    </row>
    <row r="16" spans="1:19" x14ac:dyDescent="0.2">
      <c r="A16" s="56"/>
      <c r="B16" s="58"/>
      <c r="C16" s="1" t="s">
        <v>68</v>
      </c>
      <c r="D16" s="2">
        <v>6.8989878269268985</v>
      </c>
      <c r="E16" s="8">
        <f t="shared" ref="E16" si="16">100-D16</f>
        <v>93.101012173073102</v>
      </c>
      <c r="F16" s="46"/>
      <c r="G16" s="44"/>
      <c r="H16" s="3" t="s">
        <v>62</v>
      </c>
      <c r="I16" s="24">
        <v>18.764108255258662</v>
      </c>
      <c r="J16" s="8">
        <f t="shared" ref="J16" si="17">100-I16</f>
        <v>81.235891744741338</v>
      </c>
      <c r="K16" s="46"/>
      <c r="L16" s="46"/>
      <c r="M16" s="52"/>
      <c r="N16" s="1" t="s">
        <v>70</v>
      </c>
      <c r="O16" s="2">
        <v>14.12061357467171</v>
      </c>
      <c r="P16" s="18">
        <f t="shared" ref="P16:P17" si="18">100-O16</f>
        <v>85.879386425328292</v>
      </c>
      <c r="Q16" s="3" t="s">
        <v>65</v>
      </c>
      <c r="R16" s="24">
        <v>39.154458181849655</v>
      </c>
      <c r="S16" s="15">
        <f t="shared" ref="S16:S17" si="19">100-R16</f>
        <v>60.845541818150345</v>
      </c>
    </row>
    <row r="17" spans="1:19" ht="17" thickBot="1" x14ac:dyDescent="0.25">
      <c r="A17" s="57"/>
      <c r="B17" s="59"/>
      <c r="C17" s="32"/>
      <c r="D17" s="11"/>
      <c r="E17" s="12"/>
      <c r="F17" s="47"/>
      <c r="G17" s="45"/>
      <c r="H17" s="3" t="s">
        <v>64</v>
      </c>
      <c r="I17" s="24"/>
      <c r="J17" s="12"/>
      <c r="K17" s="47"/>
      <c r="L17" s="47"/>
      <c r="M17" s="53"/>
      <c r="N17" s="1" t="s">
        <v>71</v>
      </c>
      <c r="O17" s="2">
        <v>16.176746459532112</v>
      </c>
      <c r="P17" s="19">
        <f t="shared" si="18"/>
        <v>83.823253540467888</v>
      </c>
      <c r="Q17" s="3" t="s">
        <v>66</v>
      </c>
      <c r="R17" s="24">
        <v>38.766667990038925</v>
      </c>
      <c r="S17" s="16">
        <f t="shared" si="19"/>
        <v>61.233332009961075</v>
      </c>
    </row>
    <row r="18" spans="1:19" x14ac:dyDescent="0.2">
      <c r="A18" s="48">
        <v>6</v>
      </c>
      <c r="B18" s="50">
        <v>408</v>
      </c>
      <c r="C18" s="1" t="s">
        <v>72</v>
      </c>
      <c r="D18" s="2">
        <v>5.8997364537016459</v>
      </c>
      <c r="E18" s="27">
        <f>100-D18</f>
        <v>94.100263546298351</v>
      </c>
      <c r="F18" s="54">
        <f>AVERAGE(E18:E20)-AVERAGE(P18:P20)</f>
        <v>6.9160851332370612</v>
      </c>
      <c r="G18" s="55">
        <f>100-F18</f>
        <v>93.083914866762939</v>
      </c>
      <c r="H18" s="3" t="s">
        <v>78</v>
      </c>
      <c r="I18" s="24">
        <v>20.422698530101066</v>
      </c>
      <c r="J18" s="27">
        <f>100-I18</f>
        <v>79.577301469898941</v>
      </c>
      <c r="K18" s="54">
        <f>AVERAGE(J18:J20) - AVERAGE(S18:S20)</f>
        <v>22.935585250629174</v>
      </c>
      <c r="L18" s="54">
        <f>100-K18</f>
        <v>77.064414749370826</v>
      </c>
      <c r="M18" s="51">
        <f>G18/L18</f>
        <v>1.2078715600383236</v>
      </c>
      <c r="N18" s="1" t="s">
        <v>75</v>
      </c>
      <c r="O18" s="2">
        <v>10.68970165531552</v>
      </c>
      <c r="P18" s="29">
        <f>100-O18</f>
        <v>89.310298344684483</v>
      </c>
      <c r="Q18" s="3" t="s">
        <v>81</v>
      </c>
      <c r="R18" s="24">
        <v>41.966374432818363</v>
      </c>
      <c r="S18" s="30">
        <f>100-R18</f>
        <v>58.033625567181637</v>
      </c>
    </row>
    <row r="19" spans="1:19" x14ac:dyDescent="0.2">
      <c r="A19" s="56"/>
      <c r="B19" s="58"/>
      <c r="C19" s="1" t="s">
        <v>73</v>
      </c>
      <c r="D19" s="2">
        <v>8.1836247696607707</v>
      </c>
      <c r="E19" s="8">
        <f t="shared" ref="E19:E20" si="20">100-D19</f>
        <v>91.816375230339233</v>
      </c>
      <c r="F19" s="46"/>
      <c r="G19" s="44"/>
      <c r="H19" s="3" t="s">
        <v>79</v>
      </c>
      <c r="I19" s="24">
        <v>20.48173722450511</v>
      </c>
      <c r="J19" s="8">
        <f t="shared" ref="J19:J20" si="21">100-I19</f>
        <v>79.51826277549489</v>
      </c>
      <c r="K19" s="46"/>
      <c r="L19" s="46"/>
      <c r="M19" s="52"/>
      <c r="N19" s="1" t="s">
        <v>76</v>
      </c>
      <c r="O19" s="2">
        <v>15.1878265128371</v>
      </c>
      <c r="P19" s="18">
        <f t="shared" ref="P19:P20" si="22">100-O19</f>
        <v>84.812173487162895</v>
      </c>
      <c r="Q19" s="3" t="s">
        <v>82</v>
      </c>
      <c r="R19" s="24">
        <v>43.045339464528283</v>
      </c>
      <c r="S19" s="15">
        <f t="shared" ref="S19:S20" si="23">100-R19</f>
        <v>56.954660535471717</v>
      </c>
    </row>
    <row r="20" spans="1:19" ht="17" thickBot="1" x14ac:dyDescent="0.25">
      <c r="A20" s="57"/>
      <c r="B20" s="59"/>
      <c r="C20" s="1" t="s">
        <v>74</v>
      </c>
      <c r="D20" s="2">
        <v>9.6806336604517771</v>
      </c>
      <c r="E20" s="12">
        <f t="shared" si="20"/>
        <v>90.319366339548225</v>
      </c>
      <c r="F20" s="47"/>
      <c r="G20" s="45"/>
      <c r="H20" s="3" t="s">
        <v>80</v>
      </c>
      <c r="I20" s="24">
        <v>19.915654758382487</v>
      </c>
      <c r="J20" s="12">
        <f t="shared" si="21"/>
        <v>80.084345241617513</v>
      </c>
      <c r="K20" s="47"/>
      <c r="L20" s="47"/>
      <c r="M20" s="53"/>
      <c r="N20" s="1" t="s">
        <v>77</v>
      </c>
      <c r="O20" s="2">
        <v>18.634722115372806</v>
      </c>
      <c r="P20" s="19">
        <f t="shared" si="22"/>
        <v>81.36527788462719</v>
      </c>
      <c r="Q20" s="3" t="s">
        <v>83</v>
      </c>
      <c r="R20" s="24">
        <v>44.61513236752954</v>
      </c>
      <c r="S20" s="16">
        <f t="shared" si="23"/>
        <v>55.38486763247046</v>
      </c>
    </row>
  </sheetData>
  <mergeCells count="44">
    <mergeCell ref="L18:L20"/>
    <mergeCell ref="M18:M20"/>
    <mergeCell ref="A18:A20"/>
    <mergeCell ref="B18:B20"/>
    <mergeCell ref="F18:F20"/>
    <mergeCell ref="G18:G20"/>
    <mergeCell ref="K18:K20"/>
    <mergeCell ref="L12:L14"/>
    <mergeCell ref="M12:M14"/>
    <mergeCell ref="A15:A17"/>
    <mergeCell ref="B15:B17"/>
    <mergeCell ref="F15:F17"/>
    <mergeCell ref="G15:G17"/>
    <mergeCell ref="K15:K17"/>
    <mergeCell ref="L15:L17"/>
    <mergeCell ref="M15:M17"/>
    <mergeCell ref="A12:A14"/>
    <mergeCell ref="B12:B14"/>
    <mergeCell ref="F12:F14"/>
    <mergeCell ref="G12:G14"/>
    <mergeCell ref="K12:K14"/>
    <mergeCell ref="F9:F11"/>
    <mergeCell ref="G9:G11"/>
    <mergeCell ref="K9:K11"/>
    <mergeCell ref="L9:L11"/>
    <mergeCell ref="M9:M11"/>
    <mergeCell ref="A3:A5"/>
    <mergeCell ref="A6:A8"/>
    <mergeCell ref="B3:B5"/>
    <mergeCell ref="B6:B8"/>
    <mergeCell ref="A9:A11"/>
    <mergeCell ref="B9:B11"/>
    <mergeCell ref="F6:F8"/>
    <mergeCell ref="G6:G8"/>
    <mergeCell ref="K6:K8"/>
    <mergeCell ref="L6:L8"/>
    <mergeCell ref="M6:M8"/>
    <mergeCell ref="G3:G5"/>
    <mergeCell ref="K3:K5"/>
    <mergeCell ref="L3:L5"/>
    <mergeCell ref="C1:M1"/>
    <mergeCell ref="N1:S1"/>
    <mergeCell ref="F3:F5"/>
    <mergeCell ref="M3:M5"/>
  </mergeCells>
  <dataValidations count="1">
    <dataValidation allowBlank="1" showInputMessage="1" showErrorMessage="1" prompt="Sample IDs must be unique." sqref="C6:C20 N4:N20 H6:H20 Q4:Q20" xr:uid="{7A129771-B5D1-6F46-99B8-CAF697758FCF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3EA30-FD57-1548-A576-A907CFFBB1B4}">
  <dimension ref="A1:V8"/>
  <sheetViews>
    <sheetView tabSelected="1" workbookViewId="0">
      <selection sqref="A1:XFD1"/>
    </sheetView>
  </sheetViews>
  <sheetFormatPr baseColWidth="10" defaultRowHeight="16" x14ac:dyDescent="0.2"/>
  <cols>
    <col min="3" max="3" width="27.1640625" bestFit="1" customWidth="1"/>
    <col min="8" max="8" width="11.33203125" bestFit="1" customWidth="1"/>
    <col min="14" max="14" width="13.5" bestFit="1" customWidth="1"/>
    <col min="15" max="15" width="14" bestFit="1" customWidth="1"/>
    <col min="16" max="17" width="18.33203125" bestFit="1" customWidth="1"/>
    <col min="20" max="20" width="12.33203125" customWidth="1"/>
  </cols>
  <sheetData>
    <row r="1" spans="1:22" x14ac:dyDescent="0.2">
      <c r="A1" t="s">
        <v>87</v>
      </c>
      <c r="B1" t="s">
        <v>1</v>
      </c>
      <c r="C1" t="s">
        <v>20</v>
      </c>
      <c r="D1" t="s">
        <v>85</v>
      </c>
      <c r="E1" t="s">
        <v>86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95</v>
      </c>
      <c r="M1" t="s">
        <v>94</v>
      </c>
      <c r="N1" t="s">
        <v>97</v>
      </c>
      <c r="O1" t="s">
        <v>98</v>
      </c>
      <c r="P1" t="s">
        <v>96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</row>
    <row r="2" spans="1:22" x14ac:dyDescent="0.2">
      <c r="A2">
        <v>1</v>
      </c>
      <c r="B2">
        <v>24</v>
      </c>
      <c r="C2" s="37">
        <f>Gas_comp_analysis!M3</f>
        <v>1.015708392126657</v>
      </c>
      <c r="D2" s="38">
        <v>0.89804552639454016</v>
      </c>
      <c r="E2" s="38">
        <f t="shared" ref="E2:E7" si="0">1-D2</f>
        <v>0.10195447360545984</v>
      </c>
      <c r="F2" s="4">
        <f>E2*100</f>
        <v>10.195447360545984</v>
      </c>
      <c r="G2" s="4">
        <f>E2*100</f>
        <v>10.195447360545984</v>
      </c>
      <c r="H2" s="4">
        <f>D2*100</f>
        <v>89.804552639454016</v>
      </c>
      <c r="I2" s="4">
        <f>D2*100</f>
        <v>89.804552639454016</v>
      </c>
      <c r="J2" s="4">
        <f>4*D2*100</f>
        <v>359.21821055781606</v>
      </c>
      <c r="K2" s="4">
        <f>H2+G2</f>
        <v>100</v>
      </c>
      <c r="L2" s="4">
        <f>J2/4*K2/(K2+I2)</f>
        <v>47.314224759425848</v>
      </c>
      <c r="M2" s="4">
        <f>J2/4*I2/(I2+K2)</f>
        <v>42.490327880028168</v>
      </c>
      <c r="N2" s="4">
        <f>M2-(O2-L2)</f>
        <v>39.414903270665491</v>
      </c>
      <c r="O2" s="4">
        <f>L2*1.065</f>
        <v>50.389649368788525</v>
      </c>
      <c r="P2" s="4">
        <f>K2-O2</f>
        <v>49.610350631211475</v>
      </c>
      <c r="Q2" s="4">
        <f>I2-N2</f>
        <v>50.389649368788525</v>
      </c>
      <c r="R2" s="40">
        <f>Q2/(Q2+P2)</f>
        <v>0.50389649368788525</v>
      </c>
      <c r="S2" s="40">
        <f>(N2+F2)/(F2+N2+O2)</f>
        <v>0.49610350631211475</v>
      </c>
      <c r="T2" s="4">
        <f>R2/S2</f>
        <v>1.0157083900367914</v>
      </c>
      <c r="U2" s="39">
        <f>(T2-C2)^2</f>
        <v>4.3675382841482104E-18</v>
      </c>
      <c r="V2" t="s">
        <v>105</v>
      </c>
    </row>
    <row r="3" spans="1:22" x14ac:dyDescent="0.2">
      <c r="A3">
        <v>2</v>
      </c>
      <c r="B3">
        <v>72</v>
      </c>
      <c r="C3" s="37">
        <f>Gas_comp_analysis!M6</f>
        <v>1.0610325855674008</v>
      </c>
      <c r="D3" s="41">
        <v>0.93568196878566601</v>
      </c>
      <c r="E3" s="38">
        <f t="shared" si="0"/>
        <v>6.4318031214333993E-2</v>
      </c>
      <c r="F3" s="4">
        <f t="shared" ref="F3:F5" si="1">E3*100</f>
        <v>6.4318031214333988</v>
      </c>
      <c r="G3" s="4">
        <f t="shared" ref="G3:G6" si="2">E3*100</f>
        <v>6.4318031214333988</v>
      </c>
      <c r="H3" s="4">
        <f t="shared" ref="H3:H6" si="3">D3*100</f>
        <v>93.568196878566596</v>
      </c>
      <c r="I3" s="4">
        <f t="shared" ref="I3:I6" si="4">D3*100</f>
        <v>93.568196878566596</v>
      </c>
      <c r="J3" s="4">
        <f t="shared" ref="J3:J6" si="5">4*D3*100</f>
        <v>374.27278751426638</v>
      </c>
      <c r="K3" s="4">
        <f t="shared" ref="K3:K6" si="6">H3+G3</f>
        <v>100</v>
      </c>
      <c r="L3" s="4">
        <f t="shared" ref="L3:L6" si="7">J3/4*K3/(K3+I3)</f>
        <v>48.338620903342829</v>
      </c>
      <c r="M3" s="4">
        <f t="shared" ref="M3:M6" si="8">J3/4*I3/(I3+K3)</f>
        <v>45.229575975223767</v>
      </c>
      <c r="N3" s="4">
        <f t="shared" ref="N3:N6" si="9">M3-(O3-L3)</f>
        <v>42.087565616506488</v>
      </c>
      <c r="O3" s="4">
        <f t="shared" ref="O3:O6" si="10">L3*1.065</f>
        <v>51.480631262060108</v>
      </c>
      <c r="P3" s="4">
        <f t="shared" ref="P3:P6" si="11">K3-O3</f>
        <v>48.519368737939892</v>
      </c>
      <c r="Q3" s="4">
        <f t="shared" ref="Q3:Q6" si="12">I3-N3</f>
        <v>51.480631262060108</v>
      </c>
      <c r="R3" s="40">
        <f t="shared" ref="R3:R4" si="13">Q3/(Q3+P3)</f>
        <v>0.51480631262060106</v>
      </c>
      <c r="S3" s="40">
        <f t="shared" ref="S3:S4" si="14">(N3+F3)/(F3+N3+O3)</f>
        <v>0.48519368737939883</v>
      </c>
      <c r="T3" s="4">
        <f t="shared" ref="T3:T4" si="15">R3/S3</f>
        <v>1.0610325855662803</v>
      </c>
      <c r="U3" s="39">
        <f t="shared" ref="U3:U4" si="16">(T3-C3)^2</f>
        <v>1.2553792422876505E-24</v>
      </c>
      <c r="V3" t="s">
        <v>105</v>
      </c>
    </row>
    <row r="4" spans="1:22" x14ac:dyDescent="0.2">
      <c r="A4">
        <v>3</v>
      </c>
      <c r="B4">
        <v>144</v>
      </c>
      <c r="C4" s="37">
        <f>Gas_comp_analysis!M9</f>
        <v>1.1030263213860763</v>
      </c>
      <c r="D4" s="41">
        <v>0.97037873897427995</v>
      </c>
      <c r="E4" s="38">
        <f t="shared" si="0"/>
        <v>2.9621261025720047E-2</v>
      </c>
      <c r="F4" s="4">
        <f t="shared" si="1"/>
        <v>2.9621261025720047</v>
      </c>
      <c r="G4" s="4">
        <f t="shared" si="2"/>
        <v>2.9621261025720047</v>
      </c>
      <c r="H4" s="4">
        <f t="shared" si="3"/>
        <v>97.037873897428</v>
      </c>
      <c r="I4" s="4">
        <f t="shared" si="4"/>
        <v>97.037873897428</v>
      </c>
      <c r="J4" s="4">
        <f t="shared" si="5"/>
        <v>388.151495589712</v>
      </c>
      <c r="K4" s="4">
        <f t="shared" si="6"/>
        <v>100</v>
      </c>
      <c r="L4" s="4">
        <f t="shared" si="7"/>
        <v>49.248335854427154</v>
      </c>
      <c r="M4" s="4">
        <f t="shared" si="8"/>
        <v>47.789538043000839</v>
      </c>
      <c r="N4" s="4">
        <f t="shared" si="9"/>
        <v>44.588396212463074</v>
      </c>
      <c r="O4" s="4">
        <f t="shared" si="10"/>
        <v>52.449477684964918</v>
      </c>
      <c r="P4" s="4">
        <f t="shared" si="11"/>
        <v>47.550522315035082</v>
      </c>
      <c r="Q4" s="4">
        <f t="shared" si="12"/>
        <v>52.449477684964926</v>
      </c>
      <c r="R4" s="40">
        <f t="shared" si="13"/>
        <v>0.52449477684964929</v>
      </c>
      <c r="S4" s="40">
        <f t="shared" si="14"/>
        <v>0.47550522315035082</v>
      </c>
      <c r="T4" s="4">
        <f t="shared" si="15"/>
        <v>1.1030263208776749</v>
      </c>
      <c r="U4" s="39">
        <f t="shared" si="16"/>
        <v>2.584719032373819E-19</v>
      </c>
      <c r="V4" t="s">
        <v>105</v>
      </c>
    </row>
    <row r="5" spans="1:22" x14ac:dyDescent="0.2">
      <c r="A5">
        <v>4</v>
      </c>
      <c r="B5">
        <v>240</v>
      </c>
      <c r="C5" s="37">
        <f>Gas_comp_analysis!M12</f>
        <v>1.1598462003548802</v>
      </c>
      <c r="D5" s="41">
        <v>1.0170610025292592</v>
      </c>
      <c r="E5" s="38">
        <f t="shared" si="0"/>
        <v>-1.7061002529259239E-2</v>
      </c>
      <c r="F5" s="4">
        <f t="shared" si="1"/>
        <v>-1.7061002529259239</v>
      </c>
      <c r="G5" s="4">
        <f t="shared" si="2"/>
        <v>-1.7061002529259239</v>
      </c>
      <c r="H5" s="4">
        <f t="shared" si="3"/>
        <v>101.70610025292592</v>
      </c>
      <c r="I5" s="4">
        <f t="shared" si="4"/>
        <v>101.70610025292592</v>
      </c>
      <c r="J5" s="4">
        <f t="shared" si="5"/>
        <v>406.82440101170369</v>
      </c>
      <c r="K5" s="4">
        <f t="shared" si="6"/>
        <v>100</v>
      </c>
      <c r="L5" s="4">
        <f t="shared" si="7"/>
        <v>50.422917366105082</v>
      </c>
      <c r="M5" s="4">
        <f t="shared" si="8"/>
        <v>51.283182886820839</v>
      </c>
      <c r="N5" s="4">
        <f t="shared" si="9"/>
        <v>48.00569325802401</v>
      </c>
      <c r="O5" s="4">
        <f t="shared" si="10"/>
        <v>53.700406994901911</v>
      </c>
      <c r="P5" s="4">
        <f>K5-O5</f>
        <v>46.299593005098089</v>
      </c>
      <c r="Q5" s="4">
        <f>I5-N5</f>
        <v>53.700406994901911</v>
      </c>
      <c r="R5" s="42">
        <f>Q5/(Q5+P5)</f>
        <v>0.53700406994901906</v>
      </c>
      <c r="S5" s="42">
        <f>(N5+F5)/(F5+N5+O5)</f>
        <v>0.46299593005098089</v>
      </c>
      <c r="T5" s="39">
        <f>R5/S5</f>
        <v>1.1598461997060947</v>
      </c>
      <c r="U5" s="39">
        <f>(T5-C5)^2</f>
        <v>4.2092258581361701E-19</v>
      </c>
      <c r="V5" t="s">
        <v>105</v>
      </c>
    </row>
    <row r="6" spans="1:22" x14ac:dyDescent="0.2">
      <c r="A6">
        <v>5</v>
      </c>
      <c r="B6">
        <v>312</v>
      </c>
      <c r="C6" s="37">
        <f>Gas_comp_analysis!M15</f>
        <v>1.1537630710324713</v>
      </c>
      <c r="D6" s="41">
        <v>1.01207766319772</v>
      </c>
      <c r="E6" s="38">
        <f t="shared" si="0"/>
        <v>-1.2077663197719968E-2</v>
      </c>
      <c r="F6" s="4">
        <f>E6*100</f>
        <v>-1.2077663197719968</v>
      </c>
      <c r="G6" s="4">
        <f t="shared" si="2"/>
        <v>-1.2077663197719968</v>
      </c>
      <c r="H6" s="4">
        <f t="shared" si="3"/>
        <v>101.20776631977199</v>
      </c>
      <c r="I6" s="4">
        <f t="shared" si="4"/>
        <v>101.20776631977199</v>
      </c>
      <c r="J6" s="4">
        <f t="shared" si="5"/>
        <v>404.83106527908797</v>
      </c>
      <c r="K6" s="4">
        <f t="shared" si="6"/>
        <v>100</v>
      </c>
      <c r="L6" s="4">
        <f t="shared" si="7"/>
        <v>50.300129150544954</v>
      </c>
      <c r="M6" s="4">
        <f t="shared" si="8"/>
        <v>50.907637169227037</v>
      </c>
      <c r="N6" s="4">
        <f t="shared" si="9"/>
        <v>47.638128774441618</v>
      </c>
      <c r="O6" s="4">
        <f t="shared" si="10"/>
        <v>53.569637545330373</v>
      </c>
      <c r="P6" s="4">
        <f t="shared" si="11"/>
        <v>46.430362454669627</v>
      </c>
      <c r="Q6" s="4">
        <f t="shared" si="12"/>
        <v>53.569637545330373</v>
      </c>
      <c r="R6" s="42">
        <f>Q6/(Q6+P6)</f>
        <v>0.53569637545330373</v>
      </c>
      <c r="S6" s="42">
        <f>(N6+F6)/(F6+N6+O6)</f>
        <v>0.46430362454669621</v>
      </c>
      <c r="T6" s="39">
        <f>R6/S6</f>
        <v>1.1537630703966804</v>
      </c>
      <c r="U6" s="39">
        <f>(T6-C6)^2</f>
        <v>4.0423016442917535E-19</v>
      </c>
      <c r="V6" t="s">
        <v>105</v>
      </c>
    </row>
    <row r="7" spans="1:22" x14ac:dyDescent="0.2">
      <c r="A7">
        <v>6</v>
      </c>
      <c r="B7">
        <v>408</v>
      </c>
      <c r="C7" s="37">
        <f>Gas_comp_analysis!M18</f>
        <v>1.2078715600383236</v>
      </c>
      <c r="D7" s="41">
        <v>1.04</v>
      </c>
      <c r="E7" s="38">
        <f t="shared" si="0"/>
        <v>-4.0000000000000036E-2</v>
      </c>
      <c r="F7" s="4">
        <f>E7*100</f>
        <v>-4.0000000000000036</v>
      </c>
      <c r="G7" s="4">
        <f>E7*100</f>
        <v>-4.0000000000000036</v>
      </c>
      <c r="H7" s="4">
        <f>D7*100</f>
        <v>104</v>
      </c>
      <c r="I7" s="4">
        <f>D7*100</f>
        <v>104</v>
      </c>
      <c r="J7" s="4">
        <f>4*D7*100</f>
        <v>416</v>
      </c>
      <c r="K7" s="4">
        <f>H7+G7</f>
        <v>100</v>
      </c>
      <c r="L7" s="4">
        <f>J7/4*K7/(K7+I7)</f>
        <v>50.980392156862742</v>
      </c>
      <c r="M7" s="4">
        <f>J7/4*I7/(I7+K7)</f>
        <v>53.019607843137258</v>
      </c>
      <c r="N7" s="4">
        <f>M7-(O7-L7)</f>
        <v>49.705882352941181</v>
      </c>
      <c r="O7" s="4">
        <f>L7*1.065</f>
        <v>54.294117647058819</v>
      </c>
      <c r="P7" s="4">
        <f>K7-O7</f>
        <v>45.705882352941181</v>
      </c>
      <c r="Q7" s="4">
        <f>I7-N7</f>
        <v>54.294117647058819</v>
      </c>
      <c r="R7" s="40">
        <f>Q7/(Q7+P7)</f>
        <v>0.54294117647058815</v>
      </c>
      <c r="S7" s="40">
        <f>(N7+F7)/(F7+N7+O7)</f>
        <v>0.45705882352941174</v>
      </c>
      <c r="T7" s="4">
        <f>R7/S7</f>
        <v>1.1879021879021878</v>
      </c>
      <c r="U7" s="39">
        <f>(T7-C7)^2</f>
        <v>3.987758235114773E-4</v>
      </c>
      <c r="V7" t="s">
        <v>105</v>
      </c>
    </row>
    <row r="8" spans="1:22" x14ac:dyDescent="0.2"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0"/>
      <c r="S8" s="40"/>
      <c r="T8" s="4"/>
      <c r="U8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Gas_comp_analysis</vt:lpstr>
      <vt:lpstr>%SAOB_model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Ziels</dc:creator>
  <cp:lastModifiedBy>Elizabeth A McDaniel</cp:lastModifiedBy>
  <dcterms:created xsi:type="dcterms:W3CDTF">2022-02-26T21:29:08Z</dcterms:created>
  <dcterms:modified xsi:type="dcterms:W3CDTF">2022-02-28T21:42:23Z</dcterms:modified>
</cp:coreProperties>
</file>