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430"/>
  <workbookPr codeName="ThisWorkbook" defaultThemeVersion="124226"/>
  <mc:AlternateContent xmlns:mc="http://schemas.openxmlformats.org/markup-compatibility/2006">
    <mc:Choice Requires="x15">
      <x15ac:absPath xmlns:x15ac="http://schemas.microsoft.com/office/spreadsheetml/2010/11/ac" url="https://ryersonprod-my.sharepoint.com/personal/zijian_niu_ryerson_ca/Documents/Fall 2021/AFF514/"/>
    </mc:Choice>
  </mc:AlternateContent>
  <xr:revisionPtr revIDLastSave="15" documentId="8_{B2761A7B-7534-49A0-BFA1-8C75772D9763}" xr6:coauthVersionLast="47" xr6:coauthVersionMax="47" xr10:uidLastSave="{B6AA96F5-6702-49F2-9D68-E3B72B38B00F}"/>
  <bookViews>
    <workbookView xWindow="-120" yWindow="-120" windowWidth="29040" windowHeight="15840" activeTab="1" xr2:uid="{00000000-000D-0000-FFFF-FFFF00000000}"/>
  </bookViews>
  <sheets>
    <sheet name="Documentation" sheetId="9" r:id="rId1"/>
    <sheet name="Notes" sheetId="5" r:id="rId2"/>
    <sheet name="NWC Schedule" sheetId="8" r:id="rId3"/>
    <sheet name="NPV Model" sheetId="6" r:id="rId4"/>
    <sheet name="CCA Schedule" sheetId="7" r:id="rId5"/>
  </sheets>
  <externalReferences>
    <externalReference r:id="rId6"/>
  </externalReferences>
  <definedNames>
    <definedName name="CapEx">'NPV Model'!$C$9</definedName>
    <definedName name="Cases">'NPV Model'!$A$115:$A$141</definedName>
    <definedName name="d">'NPV Model'!$C$19</definedName>
    <definedName name="FC">'NPV Model'!$C$15</definedName>
    <definedName name="Field_Names">'NPV Model'!$A$114:$N$114</definedName>
    <definedName name="FYS_Vol">'NPV Model'!$C$11</definedName>
    <definedName name="GR">'NPV Model'!$C$12</definedName>
    <definedName name="IRR">'NPV Model'!$B$71</definedName>
    <definedName name="MIRR">'NPV Model'!$B$72</definedName>
    <definedName name="N">'NPV Model'!$C$8</definedName>
    <definedName name="Net_Present_Value">'NPV Model'!$B$70</definedName>
    <definedName name="NPV">'NPV Model'!$B$70</definedName>
    <definedName name="NWC_0">'NPV Model'!$C$16</definedName>
    <definedName name="NWC_to_Sales">'NPV Model'!$C$17</definedName>
    <definedName name="Payback_Period">'NPV Model'!$B$74</definedName>
    <definedName name="PI">'NPV Model'!$B$73</definedName>
    <definedName name="PID">'NPV Model'!$B$112</definedName>
    <definedName name="Rev_unit">'NPV Model'!$C$13</definedName>
    <definedName name="rr">'NPV Model'!$C$20</definedName>
    <definedName name="Sal">'NPV Model'!$C$10</definedName>
    <definedName name="Scenario">'NPV Model'!$C$4</definedName>
    <definedName name="Scenariou_Table">'NPV Model'!$A$115:$N$141</definedName>
    <definedName name="Tax_Rate">'NPV Model'!$C$18</definedName>
    <definedName name="ucc_end">'CCA Schedule'!$G$4</definedName>
    <definedName name="VC">'NPV Model'!$C$14</definedName>
  </definedNames>
  <calcPr calcId="191028" iterate="1"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0" i="6" l="1"/>
  <c r="V7" i="6"/>
  <c r="C11" i="6"/>
  <c r="D42" i="6"/>
  <c r="C12" i="6"/>
  <c r="N7" i="6"/>
  <c r="C13" i="6"/>
  <c r="O7" i="6"/>
  <c r="C14" i="6"/>
  <c r="P7" i="6"/>
  <c r="C15" i="6"/>
  <c r="H45" i="6"/>
  <c r="C16" i="6"/>
  <c r="C2" i="8"/>
  <c r="C3" i="8"/>
  <c r="C5" i="8"/>
  <c r="C65" i="6"/>
  <c r="C17" i="6"/>
  <c r="S7" i="6"/>
  <c r="C18" i="6"/>
  <c r="T7" i="6"/>
  <c r="C19" i="6"/>
  <c r="U7" i="6"/>
  <c r="C8" i="6"/>
  <c r="J7" i="6"/>
  <c r="N141" i="6"/>
  <c r="N140" i="6"/>
  <c r="M139" i="6"/>
  <c r="M138" i="6"/>
  <c r="L137" i="6"/>
  <c r="L136" i="6"/>
  <c r="K135" i="6"/>
  <c r="K134" i="6"/>
  <c r="J133" i="6"/>
  <c r="J132" i="6"/>
  <c r="I131" i="6"/>
  <c r="I130" i="6"/>
  <c r="H129" i="6"/>
  <c r="H128" i="6"/>
  <c r="G127" i="6"/>
  <c r="G126" i="6"/>
  <c r="F125" i="6"/>
  <c r="F124" i="6"/>
  <c r="E123" i="6"/>
  <c r="E122" i="6"/>
  <c r="D121" i="6"/>
  <c r="D120" i="6"/>
  <c r="C10" i="6"/>
  <c r="H63" i="6"/>
  <c r="C119" i="6"/>
  <c r="C9" i="6"/>
  <c r="C63" i="6"/>
  <c r="C118" i="6"/>
  <c r="A84" i="6"/>
  <c r="A85" i="6"/>
  <c r="A86" i="6"/>
  <c r="A87" i="6"/>
  <c r="A88" i="6"/>
  <c r="A89" i="6"/>
  <c r="A90" i="6"/>
  <c r="A91" i="6"/>
  <c r="A92" i="6"/>
  <c r="A93" i="6"/>
  <c r="A94" i="6"/>
  <c r="A95" i="6"/>
  <c r="A96" i="6"/>
  <c r="A97" i="6"/>
  <c r="A98" i="6"/>
  <c r="A99" i="6"/>
  <c r="A100" i="6"/>
  <c r="A101" i="6"/>
  <c r="A102" i="6"/>
  <c r="A103" i="6"/>
  <c r="A104" i="6"/>
  <c r="A105" i="6"/>
  <c r="A106" i="6"/>
  <c r="A107" i="6"/>
  <c r="A108" i="6"/>
  <c r="K7" i="6"/>
  <c r="M7" i="6"/>
  <c r="Q7" i="6"/>
  <c r="L7" i="6"/>
  <c r="R7" i="6"/>
  <c r="G45" i="6"/>
  <c r="F45" i="6"/>
  <c r="E42" i="6"/>
  <c r="E44" i="6"/>
  <c r="D45" i="6"/>
  <c r="E45" i="6"/>
  <c r="C2" i="7"/>
  <c r="C3" i="7"/>
  <c r="D46" i="6"/>
  <c r="C66" i="6"/>
  <c r="C67" i="6"/>
  <c r="D44" i="6"/>
  <c r="D43" i="6"/>
  <c r="D2" i="8"/>
  <c r="D3" i="8"/>
  <c r="D5" i="8"/>
  <c r="D65" i="6"/>
  <c r="E43" i="6"/>
  <c r="E2" i="8"/>
  <c r="E3" i="8"/>
  <c r="E5" i="8"/>
  <c r="E65" i="6"/>
  <c r="F42" i="6"/>
  <c r="F43" i="6"/>
  <c r="F2" i="8"/>
  <c r="C4" i="7"/>
  <c r="D2" i="7"/>
  <c r="D3" i="7"/>
  <c r="E46" i="6"/>
  <c r="E57" i="6"/>
  <c r="D48" i="6"/>
  <c r="D57" i="6"/>
  <c r="G42" i="6"/>
  <c r="G43" i="6"/>
  <c r="G2" i="8"/>
  <c r="G3" i="8"/>
  <c r="G5" i="8"/>
  <c r="G65" i="6"/>
  <c r="F3" i="8"/>
  <c r="F5" i="8"/>
  <c r="F65" i="6"/>
  <c r="F44" i="6"/>
  <c r="D4" i="7"/>
  <c r="E2" i="7"/>
  <c r="E3" i="7"/>
  <c r="F46" i="6"/>
  <c r="F57" i="6"/>
  <c r="D49" i="6"/>
  <c r="D50" i="6"/>
  <c r="D56" i="6"/>
  <c r="D58" i="6"/>
  <c r="D64" i="6"/>
  <c r="D66" i="6"/>
  <c r="D67" i="6"/>
  <c r="E48" i="6"/>
  <c r="G44" i="6"/>
  <c r="H42" i="6"/>
  <c r="H44" i="6"/>
  <c r="E4" i="7"/>
  <c r="F2" i="7"/>
  <c r="F3" i="7"/>
  <c r="G46" i="6"/>
  <c r="G57" i="6"/>
  <c r="E49" i="6"/>
  <c r="E50" i="6"/>
  <c r="E56" i="6"/>
  <c r="E58" i="6"/>
  <c r="E64" i="6"/>
  <c r="E66" i="6"/>
  <c r="E67" i="6"/>
  <c r="F48" i="6"/>
  <c r="H43" i="6"/>
  <c r="H2" i="8"/>
  <c r="H4" i="8"/>
  <c r="F4" i="7"/>
  <c r="G2" i="7"/>
  <c r="G3" i="7"/>
  <c r="H46" i="6"/>
  <c r="F49" i="6"/>
  <c r="F50" i="6"/>
  <c r="F56" i="6"/>
  <c r="F58" i="6"/>
  <c r="F64" i="6"/>
  <c r="F66" i="6"/>
  <c r="F67" i="6"/>
  <c r="G48" i="6"/>
  <c r="D55" i="6"/>
  <c r="E55" i="6"/>
  <c r="F55" i="6"/>
  <c r="G55" i="6"/>
  <c r="H55" i="6"/>
  <c r="H62" i="6"/>
  <c r="G62" i="6"/>
  <c r="F62" i="6"/>
  <c r="E62" i="6"/>
  <c r="D62" i="6"/>
  <c r="C62" i="6"/>
  <c r="C55" i="6"/>
  <c r="H3" i="8"/>
  <c r="H5" i="8"/>
  <c r="H65" i="6"/>
  <c r="G49" i="6"/>
  <c r="G50" i="6"/>
  <c r="G56" i="6"/>
  <c r="G58" i="6"/>
  <c r="G64" i="6"/>
  <c r="G66" i="6"/>
  <c r="G67" i="6"/>
  <c r="G4" i="7"/>
  <c r="H47" i="6"/>
  <c r="H48" i="6"/>
  <c r="D68" i="6"/>
  <c r="H57" i="6"/>
  <c r="H49" i="6"/>
  <c r="H50" i="6"/>
  <c r="H56" i="6"/>
  <c r="F68" i="6"/>
  <c r="G68" i="6"/>
  <c r="E68" i="6"/>
  <c r="H58" i="6"/>
  <c r="H64" i="6"/>
  <c r="H66" i="6"/>
  <c r="B71" i="6"/>
  <c r="X7" i="6"/>
  <c r="B73" i="6"/>
  <c r="Z7" i="6"/>
  <c r="H67" i="6"/>
  <c r="B70" i="6"/>
  <c r="B72" i="6"/>
  <c r="Y7" i="6"/>
  <c r="B82" i="6"/>
  <c r="W7" i="6"/>
  <c r="H68" i="6"/>
  <c r="B74" i="6"/>
  <c r="AA7" i="6"/>
</calcChain>
</file>

<file path=xl/sharedStrings.xml><?xml version="1.0" encoding="utf-8"?>
<sst xmlns="http://schemas.openxmlformats.org/spreadsheetml/2006/main" count="227" uniqueCount="134">
  <si>
    <t>Capital Cost</t>
  </si>
  <si>
    <t>Year</t>
  </si>
  <si>
    <t xml:space="preserve"> </t>
  </si>
  <si>
    <t>Input Variables</t>
  </si>
  <si>
    <t>Tax Rate</t>
  </si>
  <si>
    <t>Fixed Costs</t>
  </si>
  <si>
    <t>Salvage</t>
  </si>
  <si>
    <t>Variable Costs</t>
  </si>
  <si>
    <t>Initial NWC</t>
  </si>
  <si>
    <t>Revenues</t>
  </si>
  <si>
    <t>EBIT</t>
  </si>
  <si>
    <t>Taxes</t>
  </si>
  <si>
    <t>Required Return</t>
  </si>
  <si>
    <t>Projected Operating Cash Flows</t>
  </si>
  <si>
    <t>N</t>
  </si>
  <si>
    <t>Project Life (years)</t>
  </si>
  <si>
    <t>Sal</t>
  </si>
  <si>
    <t>FC</t>
  </si>
  <si>
    <t>VC</t>
  </si>
  <si>
    <t>Tax_Rate</t>
  </si>
  <si>
    <t>CapEx</t>
  </si>
  <si>
    <t>rr</t>
  </si>
  <si>
    <t>Revenue per Unit</t>
  </si>
  <si>
    <t>Rev_unit</t>
  </si>
  <si>
    <t>Year ending</t>
  </si>
  <si>
    <t>FYS_Vol</t>
  </si>
  <si>
    <t>GR</t>
  </si>
  <si>
    <t>Total Sales Volume</t>
  </si>
  <si>
    <t>Operating Cash Flow</t>
  </si>
  <si>
    <t>Capital Spending / (Salvage)</t>
  </si>
  <si>
    <t>NWC / Recapture</t>
  </si>
  <si>
    <t>Total Cash Flow</t>
  </si>
  <si>
    <t>Net Present Value</t>
  </si>
  <si>
    <t xml:space="preserve">Projected Income Statement </t>
  </si>
  <si>
    <t>Base Case</t>
  </si>
  <si>
    <t>Best Case</t>
  </si>
  <si>
    <t>Worst Case</t>
  </si>
  <si>
    <t>1)  Use Create from Selection to Name Inputs,  Color Inputs Blue</t>
  </si>
  <si>
    <t>First Year Sales Volume</t>
  </si>
  <si>
    <t>Current Inputs to Model</t>
  </si>
  <si>
    <t>Annual Sales Volume Growth Rate</t>
  </si>
  <si>
    <t>2)  Sign convention in Income and Cash Flow Statements:  Use +ve numbers for Revenue or cash inflows in the income statement and cash flow statement</t>
  </si>
  <si>
    <t>and -ve numbers for all expenses or cash outflows directly.  Advantage:  you only have to use the SUM function to calculate subtotals</t>
  </si>
  <si>
    <t>Use conditional formatting to highlight the differences between the various cases</t>
  </si>
  <si>
    <t>9) Create a Case Selection Switch using data validation</t>
  </si>
  <si>
    <t>12) Use Custom Number formatting to improve look of table</t>
  </si>
  <si>
    <t>Symbol</t>
  </si>
  <si>
    <t>5) NPV:  Don't include first cash flow in NPV function; Account for this separately.</t>
  </si>
  <si>
    <t>6)  IRR:  Include all cash flows.  Look NPV and IRR up on Excel is Fun if you don't know exactly how to use them.</t>
  </si>
  <si>
    <t>13) Don't forget to format, document and test your model.</t>
  </si>
  <si>
    <t>Additional Question:</t>
  </si>
  <si>
    <t xml:space="preserve">14) Alt + Enter to insert a line break within a cell </t>
  </si>
  <si>
    <t>Internal Rate of Return</t>
  </si>
  <si>
    <t>Depreciation (see CCA schedule)</t>
  </si>
  <si>
    <t>CCA Rate</t>
  </si>
  <si>
    <t>d</t>
  </si>
  <si>
    <t>CCA Recapture/ Terminal Loss</t>
  </si>
  <si>
    <t>Net operating Profit Less Adjusted Tax (NOPLAT)</t>
  </si>
  <si>
    <t>NOPLAT</t>
  </si>
  <si>
    <t>NWC as a % of Sales</t>
  </si>
  <si>
    <t>NWC_0</t>
  </si>
  <si>
    <t>NWC_to_Sales</t>
  </si>
  <si>
    <t>Add back Depreciation</t>
  </si>
  <si>
    <t>4)  Create a NWC schedule on a separate worksheet - remember you are interested in incremental NWC, don't forget recapture of NWC</t>
  </si>
  <si>
    <t>10) Use vlookup or index/match to transfer the selected case inputs into the model</t>
  </si>
  <si>
    <t>1) What is the most you can pay for the machine and still have a positive profit?  Assume the salvage value remains constant and that all other parameters are set to their base case values.</t>
  </si>
  <si>
    <t>Modified Internal Rate of Return</t>
  </si>
  <si>
    <t>Profitability Index</t>
  </si>
  <si>
    <t>Payback Period</t>
  </si>
  <si>
    <t>7) NPV Profile using one-input data table; Create NPV Profile Chart and indicate the IRR on this chart.</t>
  </si>
  <si>
    <t>6b) Also calculate the MIRR, Profitability Index and the Payback Period.  As far as I know there is no built in payback function - but try to devise a method of automatically calculating this number.</t>
  </si>
  <si>
    <t>11) Use a one-way data table to record all inputs and outputs (NPV, IRR, MIRR, Profitability Index and Payback Period) for each scenario</t>
  </si>
  <si>
    <t>3) Depreciation:  Create a UCC / CCA table, assume the 1/2 year rule is in effect. Note we will assume that the asset is the only one in the asset class - so when we sell it the asset class will be deemed to be closed.</t>
  </si>
  <si>
    <t>Inglis' Arctic Sports</t>
  </si>
  <si>
    <t>2b) The asset is the only asset in the class, therefore use the brute force or table method (not the CCA formula) to solve this problem.  We will have to take into account CCA recapture / Terminal Losses.</t>
  </si>
  <si>
    <t>8) Create a table of scanarios.  I have given you 3 (base, best and worst).  Also, create your own scanarios where you increase or decrease each input 5%. Don't adjust the number of years, Tax Rate, CCA Rate or the Required Return</t>
  </si>
  <si>
    <t>15) Question:  What is the most you can pay for the machine and still have a positive profit?  Assume the salvage value remains constant and that all other parameters are set to their base case values.</t>
  </si>
  <si>
    <t>Inglis' Artic Sports Capital Budgeting Problem</t>
  </si>
  <si>
    <t>UCC(beg of period)</t>
  </si>
  <si>
    <t>UCC</t>
  </si>
  <si>
    <t>UCC (end of period)</t>
  </si>
  <si>
    <t>Project Free Cash Flows</t>
  </si>
  <si>
    <t>NWC at any point in time</t>
  </si>
  <si>
    <t>Incremental Investment in NWC</t>
  </si>
  <si>
    <t>NWC recapture</t>
  </si>
  <si>
    <t>Total Incremental Investment</t>
  </si>
  <si>
    <t>The company would have a 0 npv if the capital cost is $970262.12</t>
  </si>
  <si>
    <t>Cumulated Cash Flow</t>
  </si>
  <si>
    <t>Payback Period (Years)</t>
  </si>
  <si>
    <t>Net Present Value Profile</t>
  </si>
  <si>
    <t>Discount Rate (%)</t>
  </si>
  <si>
    <t>NPV ($)</t>
  </si>
  <si>
    <t>Scenarious input table</t>
  </si>
  <si>
    <t>Percent Increase/Decrease</t>
  </si>
  <si>
    <t>Description:</t>
  </si>
  <si>
    <t>High Salvage</t>
  </si>
  <si>
    <t>Low Salvage</t>
  </si>
  <si>
    <t>Low Revenue Per Unit</t>
  </si>
  <si>
    <t>High Revenue Per Unit</t>
  </si>
  <si>
    <t>Low Volume Growth Rate</t>
  </si>
  <si>
    <t>High Volume Growth Rate</t>
  </si>
  <si>
    <t>Low First Year Sales Volume</t>
  </si>
  <si>
    <t>High First Year Sales Volume</t>
  </si>
  <si>
    <t>High Capital Cost</t>
  </si>
  <si>
    <t>Low Capital Cost</t>
  </si>
  <si>
    <t>High Variable Cost</t>
  </si>
  <si>
    <t>Low Variable Cost</t>
  </si>
  <si>
    <t>High Fixed Cost</t>
  </si>
  <si>
    <t>Low Fixed Cost</t>
  </si>
  <si>
    <t>High Initial NWC</t>
  </si>
  <si>
    <t>Low Initial NWC</t>
  </si>
  <si>
    <t>High NWC as a % of Sales</t>
  </si>
  <si>
    <t>Low NWC as a % of Sales</t>
  </si>
  <si>
    <t>High Tax Rate</t>
  </si>
  <si>
    <t>Low Tax Rate</t>
  </si>
  <si>
    <t>High CCA Rate</t>
  </si>
  <si>
    <t>Low CCA Rate</t>
  </si>
  <si>
    <t>High Required Returen</t>
  </si>
  <si>
    <t>Low Required Returen</t>
  </si>
  <si>
    <r>
      <rPr>
        <b/>
        <sz val="11"/>
        <color theme="1"/>
        <rFont val="Calibri"/>
        <family val="2"/>
        <scheme val="minor"/>
      </rPr>
      <t>Choose Scenario:</t>
    </r>
    <r>
      <rPr>
        <sz val="11"/>
        <color theme="1"/>
        <rFont val="Calibri"/>
        <family val="2"/>
        <scheme val="minor"/>
      </rPr>
      <t xml:space="preserve"> (drop down list)</t>
    </r>
  </si>
  <si>
    <t>Scenario Summary Table</t>
  </si>
  <si>
    <t>Scenario Description:</t>
  </si>
  <si>
    <t>INPUTS</t>
  </si>
  <si>
    <t>Payback Period (years)</t>
  </si>
  <si>
    <t>OUTPUTS</t>
  </si>
  <si>
    <t>Objective:</t>
  </si>
  <si>
    <t>Name:</t>
  </si>
  <si>
    <t>Zijian Niu</t>
  </si>
  <si>
    <t>Student ID:</t>
  </si>
  <si>
    <t>Date:</t>
  </si>
  <si>
    <t>Inglis' Arctic Sports Budgeting</t>
  </si>
  <si>
    <t>Create bugeting plan for Inglis' Arctic Sports. Including calculations on CCA and cash flows.</t>
  </si>
  <si>
    <t>Generating senario analysis and profitability indexs including PI,IRR,MIRR,NPV, and payback</t>
  </si>
  <si>
    <t>periods.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</si>
</sst>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8" formatCode="&quot;$&quot;#,##0.00_);[Red]\(&quot;$&quot;#,##0.00\)"/>
    <numFmt numFmtId="164" formatCode="&quot;$&quot;#,##0"/>
    <numFmt numFmtId="165" formatCode="&quot;$&quot;#,##0.00"/>
    <numFmt numFmtId="166" formatCode="0.0%"/>
    <numFmt numFmtId="167" formatCode=";;;"/>
    <numFmt numFmtId="168" formatCode="#,##0.00\ &quot;years&quot;"/>
    <numFmt numFmtId="169" formatCode="#,##0.00\ &quot;Years&quot;"/>
  </numFmts>
  <fonts count="21" x14ac:knownFonts="1">
    <font>
      <sz val="11"/>
      <color theme="1"/>
      <name val="Calibri"/>
      <family val="2"/>
      <scheme val="minor"/>
    </font>
    <font>
      <sz val="11"/>
      <color theme="1"/>
      <name val="Calibri"/>
      <family val="2"/>
      <scheme val="minor"/>
    </font>
    <font>
      <b/>
      <sz val="11"/>
      <color theme="1"/>
      <name val="Calibri"/>
      <family val="2"/>
      <scheme val="minor"/>
    </font>
    <font>
      <sz val="18"/>
      <color theme="3"/>
      <name val="Cambria"/>
      <family val="2"/>
      <scheme val="major"/>
    </font>
    <font>
      <sz val="11"/>
      <name val="Calibri"/>
      <family val="2"/>
      <scheme val="minor"/>
    </font>
    <font>
      <b/>
      <sz val="11"/>
      <name val="Calibri"/>
      <family val="2"/>
      <scheme val="minor"/>
    </font>
    <font>
      <sz val="11"/>
      <color rgb="FFC00000"/>
      <name val="Calibri"/>
      <family val="2"/>
      <scheme val="minor"/>
    </font>
    <font>
      <b/>
      <u/>
      <sz val="11"/>
      <color theme="1"/>
      <name val="Calibri"/>
      <family val="2"/>
      <scheme val="minor"/>
    </font>
    <font>
      <b/>
      <sz val="15"/>
      <color theme="3"/>
      <name val="Calibri"/>
      <family val="2"/>
      <scheme val="minor"/>
    </font>
    <font>
      <sz val="11"/>
      <color rgb="FF9C5700"/>
      <name val="Calibri"/>
      <family val="2"/>
      <scheme val="minor"/>
    </font>
    <font>
      <sz val="11"/>
      <color rgb="FF3F3F76"/>
      <name val="Calibri"/>
      <family val="2"/>
      <scheme val="minor"/>
    </font>
    <font>
      <sz val="11"/>
      <color rgb="FFFF0000"/>
      <name val="Calibri"/>
      <family val="2"/>
      <scheme val="minor"/>
    </font>
    <font>
      <u/>
      <sz val="11"/>
      <color theme="1"/>
      <name val="Calibri"/>
      <family val="2"/>
      <scheme val="minor"/>
    </font>
    <font>
      <u/>
      <sz val="11"/>
      <color rgb="FFFF0000"/>
      <name val="Calibri"/>
      <family val="2"/>
      <scheme val="minor"/>
    </font>
    <font>
      <sz val="11"/>
      <color rgb="FF0000FF"/>
      <name val="Calibri"/>
      <family val="2"/>
      <scheme val="minor"/>
    </font>
    <font>
      <b/>
      <sz val="16"/>
      <color rgb="FF0070C0"/>
      <name val="Calibri"/>
      <family val="2"/>
      <scheme val="minor"/>
    </font>
    <font>
      <b/>
      <sz val="22"/>
      <color theme="3"/>
      <name val="Calibri"/>
      <family val="2"/>
      <scheme val="minor"/>
    </font>
    <font>
      <b/>
      <sz val="11"/>
      <color theme="0" tint="-0.499984740745262"/>
      <name val="Calibri"/>
      <family val="2"/>
      <scheme val="minor"/>
    </font>
    <font>
      <b/>
      <sz val="18"/>
      <color rgb="FF0070C0"/>
      <name val="Calibri"/>
      <family val="2"/>
      <scheme val="minor"/>
    </font>
    <font>
      <b/>
      <sz val="15"/>
      <color theme="3" tint="0.39997558519241921"/>
      <name val="Calibri"/>
      <family val="2"/>
      <scheme val="minor"/>
    </font>
    <font>
      <b/>
      <sz val="18"/>
      <color theme="3"/>
      <name val="Cambria"/>
      <family val="2"/>
      <scheme val="major"/>
    </font>
  </fonts>
  <fills count="15">
    <fill>
      <patternFill patternType="none"/>
    </fill>
    <fill>
      <patternFill patternType="gray125"/>
    </fill>
    <fill>
      <patternFill patternType="solid">
        <fgColor rgb="FFFFEB9C"/>
      </patternFill>
    </fill>
    <fill>
      <patternFill patternType="solid">
        <fgColor rgb="FFFFCC99"/>
      </patternFill>
    </fill>
    <fill>
      <patternFill patternType="solid">
        <fgColor theme="3" tint="0.59999389629810485"/>
        <bgColor indexed="64"/>
      </patternFill>
    </fill>
    <fill>
      <patternFill patternType="solid">
        <fgColor theme="2" tint="-9.9978637043366805E-2"/>
        <bgColor indexed="64"/>
      </patternFill>
    </fill>
    <fill>
      <patternFill patternType="solid">
        <fgColor rgb="FFFFC000"/>
        <bgColor indexed="64"/>
      </patternFill>
    </fill>
    <fill>
      <patternFill patternType="solid">
        <fgColor theme="4" tint="0.39997558519241921"/>
        <bgColor indexed="64"/>
      </patternFill>
    </fill>
    <fill>
      <patternFill patternType="solid">
        <fgColor theme="0"/>
        <bgColor indexed="64"/>
      </patternFill>
    </fill>
    <fill>
      <patternFill patternType="solid">
        <fgColor theme="9" tint="0.39997558519241921"/>
        <bgColor indexed="64"/>
      </patternFill>
    </fill>
    <fill>
      <patternFill patternType="solid">
        <fgColor theme="2" tint="-0.499984740745262"/>
        <bgColor indexed="64"/>
      </patternFill>
    </fill>
    <fill>
      <patternFill patternType="solid">
        <fgColor rgb="FFFFFF00"/>
        <bgColor indexed="64"/>
      </patternFill>
    </fill>
    <fill>
      <patternFill patternType="solid">
        <fgColor theme="8" tint="-0.249977111117893"/>
        <bgColor indexed="64"/>
      </patternFill>
    </fill>
    <fill>
      <patternFill patternType="solid">
        <fgColor theme="7" tint="0.39997558519241921"/>
        <bgColor indexed="64"/>
      </patternFill>
    </fill>
    <fill>
      <patternFill patternType="solid">
        <fgColor rgb="FF92D050"/>
        <bgColor indexed="64"/>
      </patternFill>
    </fill>
  </fills>
  <borders count="41">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64"/>
      </right>
      <top/>
      <bottom style="thin">
        <color indexed="64"/>
      </bottom>
      <diagonal/>
    </border>
    <border>
      <left style="medium">
        <color indexed="64"/>
      </left>
      <right/>
      <top/>
      <bottom style="thin">
        <color indexed="64"/>
      </bottom>
      <diagonal/>
    </border>
    <border>
      <left/>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ck">
        <color theme="4"/>
      </bottom>
      <diagonal/>
    </border>
    <border>
      <left/>
      <right/>
      <top style="medium">
        <color indexed="64"/>
      </top>
      <bottom style="thick">
        <color theme="4"/>
      </bottom>
      <diagonal/>
    </border>
    <border>
      <left/>
      <right style="medium">
        <color indexed="64"/>
      </right>
      <top style="medium">
        <color indexed="64"/>
      </top>
      <bottom style="thick">
        <color theme="4"/>
      </bottom>
      <diagonal/>
    </border>
    <border>
      <left style="medium">
        <color indexed="64"/>
      </left>
      <right/>
      <top/>
      <bottom style="thick">
        <color theme="4"/>
      </bottom>
      <diagonal/>
    </border>
    <border>
      <left/>
      <right style="medium">
        <color indexed="64"/>
      </right>
      <top/>
      <bottom style="thick">
        <color theme="4"/>
      </bottom>
      <diagonal/>
    </border>
  </borders>
  <cellStyleXfs count="6">
    <xf numFmtId="0" fontId="0" fillId="0" borderId="0"/>
    <xf numFmtId="9" fontId="1" fillId="0" borderId="0" applyFont="0" applyFill="0" applyBorder="0" applyAlignment="0" applyProtection="0"/>
    <xf numFmtId="0" fontId="3" fillId="0" borderId="0" applyNumberFormat="0" applyFill="0" applyBorder="0" applyAlignment="0" applyProtection="0"/>
    <xf numFmtId="0" fontId="8" fillId="0" borderId="1" applyNumberFormat="0" applyFill="0" applyAlignment="0" applyProtection="0"/>
    <xf numFmtId="0" fontId="9" fillId="2" borderId="0" applyNumberFormat="0" applyBorder="0" applyAlignment="0" applyProtection="0"/>
    <xf numFmtId="0" fontId="10" fillId="3" borderId="2" applyNumberFormat="0" applyAlignment="0" applyProtection="0"/>
  </cellStyleXfs>
  <cellXfs count="235">
    <xf numFmtId="0" fontId="0" fillId="0" borderId="0" xfId="0"/>
    <xf numFmtId="0" fontId="2" fillId="0" borderId="0" xfId="0" applyFont="1"/>
    <xf numFmtId="0" fontId="0" fillId="0" borderId="0" xfId="0" applyBorder="1"/>
    <xf numFmtId="0" fontId="0" fillId="0" borderId="0" xfId="0" applyFill="1" applyBorder="1"/>
    <xf numFmtId="0" fontId="0" fillId="0" borderId="0" xfId="0" applyFont="1"/>
    <xf numFmtId="0" fontId="3" fillId="0" borderId="0" xfId="2"/>
    <xf numFmtId="9" fontId="0" fillId="0" borderId="0" xfId="0" applyNumberFormat="1"/>
    <xf numFmtId="3" fontId="0" fillId="0" borderId="0" xfId="0" applyNumberFormat="1"/>
    <xf numFmtId="3" fontId="2" fillId="0" borderId="0" xfId="0" applyNumberFormat="1" applyFont="1"/>
    <xf numFmtId="167" fontId="0" fillId="0" borderId="0" xfId="0" applyNumberFormat="1"/>
    <xf numFmtId="0" fontId="2" fillId="0" borderId="0" xfId="0" applyFont="1" applyAlignment="1">
      <alignment wrapText="1"/>
    </xf>
    <xf numFmtId="166" fontId="0" fillId="0" borderId="0" xfId="1" applyNumberFormat="1" applyFont="1"/>
    <xf numFmtId="0" fontId="2" fillId="0" borderId="0" xfId="0" applyFont="1" applyFill="1" applyBorder="1"/>
    <xf numFmtId="164" fontId="5" fillId="0" borderId="0" xfId="0" applyNumberFormat="1" applyFont="1" applyBorder="1"/>
    <xf numFmtId="10" fontId="4" fillId="0" borderId="0" xfId="0" applyNumberFormat="1" applyFont="1" applyBorder="1"/>
    <xf numFmtId="3" fontId="0" fillId="0" borderId="0" xfId="0" applyNumberFormat="1" applyBorder="1"/>
    <xf numFmtId="0" fontId="0" fillId="0" borderId="0" xfId="0" applyFont="1" applyBorder="1"/>
    <xf numFmtId="0" fontId="0" fillId="0" borderId="0" xfId="0" applyFont="1" applyFill="1" applyBorder="1"/>
    <xf numFmtId="0" fontId="3" fillId="0" borderId="0" xfId="2" applyFill="1"/>
    <xf numFmtId="0" fontId="0" fillId="0" borderId="0" xfId="0" applyFill="1"/>
    <xf numFmtId="167" fontId="0" fillId="0" borderId="0" xfId="0" applyNumberFormat="1" applyFill="1"/>
    <xf numFmtId="1" fontId="2" fillId="0" borderId="0" xfId="0" applyNumberFormat="1" applyFont="1" applyFill="1"/>
    <xf numFmtId="1" fontId="0" fillId="0" borderId="0" xfId="0" applyNumberFormat="1" applyFont="1" applyFill="1"/>
    <xf numFmtId="1" fontId="0" fillId="0" borderId="0" xfId="0" applyNumberFormat="1" applyFill="1"/>
    <xf numFmtId="1" fontId="4" fillId="0" borderId="0" xfId="0" applyNumberFormat="1" applyFont="1" applyFill="1" applyBorder="1"/>
    <xf numFmtId="10" fontId="0" fillId="0" borderId="0" xfId="0" applyNumberFormat="1"/>
    <xf numFmtId="165" fontId="0" fillId="0" borderId="0" xfId="0" applyNumberFormat="1"/>
    <xf numFmtId="0" fontId="0" fillId="0" borderId="4" xfId="0" applyBorder="1"/>
    <xf numFmtId="0" fontId="0" fillId="0" borderId="5" xfId="0" applyBorder="1"/>
    <xf numFmtId="0" fontId="0" fillId="0" borderId="7" xfId="0" applyBorder="1"/>
    <xf numFmtId="165" fontId="0" fillId="0" borderId="8" xfId="0" applyNumberFormat="1" applyBorder="1"/>
    <xf numFmtId="0" fontId="0" fillId="0" borderId="9" xfId="0" applyBorder="1"/>
    <xf numFmtId="0" fontId="0" fillId="0" borderId="10" xfId="0" applyBorder="1"/>
    <xf numFmtId="0" fontId="0" fillId="0" borderId="6" xfId="0" applyBorder="1"/>
    <xf numFmtId="0" fontId="0" fillId="0" borderId="8" xfId="0" applyBorder="1"/>
    <xf numFmtId="0" fontId="0" fillId="0" borderId="10" xfId="0" applyFont="1" applyBorder="1"/>
    <xf numFmtId="0" fontId="0" fillId="0" borderId="11" xfId="0" applyBorder="1"/>
    <xf numFmtId="0" fontId="9" fillId="5" borderId="4" xfId="4" applyFill="1" applyBorder="1"/>
    <xf numFmtId="0" fontId="9" fillId="5" borderId="7" xfId="4" applyFill="1" applyBorder="1"/>
    <xf numFmtId="0" fontId="9" fillId="5" borderId="9" xfId="4" applyFill="1" applyBorder="1"/>
    <xf numFmtId="165" fontId="0" fillId="0" borderId="0" xfId="0" applyNumberFormat="1" applyFont="1" applyBorder="1"/>
    <xf numFmtId="165" fontId="4" fillId="0" borderId="0" xfId="0" applyNumberFormat="1" applyFont="1" applyBorder="1"/>
    <xf numFmtId="165" fontId="11" fillId="0" borderId="0" xfId="0" applyNumberFormat="1" applyFont="1" applyBorder="1"/>
    <xf numFmtId="165" fontId="0" fillId="0" borderId="0" xfId="0" applyNumberFormat="1" applyBorder="1"/>
    <xf numFmtId="165" fontId="0" fillId="0" borderId="7" xfId="0" applyNumberFormat="1" applyBorder="1"/>
    <xf numFmtId="165" fontId="11" fillId="0" borderId="8" xfId="0" applyNumberFormat="1" applyFont="1" applyBorder="1"/>
    <xf numFmtId="0" fontId="11" fillId="0" borderId="8" xfId="0" applyFont="1" applyBorder="1"/>
    <xf numFmtId="165" fontId="0" fillId="0" borderId="11" xfId="0" applyNumberFormat="1" applyBorder="1"/>
    <xf numFmtId="0" fontId="0" fillId="0" borderId="28" xfId="0" applyBorder="1"/>
    <xf numFmtId="165" fontId="12" fillId="0" borderId="29" xfId="0" applyNumberFormat="1" applyFont="1" applyBorder="1"/>
    <xf numFmtId="165" fontId="12" fillId="0" borderId="27" xfId="0" applyNumberFormat="1" applyFont="1" applyBorder="1"/>
    <xf numFmtId="0" fontId="0" fillId="4" borderId="4" xfId="0" applyFill="1" applyBorder="1"/>
    <xf numFmtId="0" fontId="0" fillId="4" borderId="5" xfId="0" applyFill="1" applyBorder="1"/>
    <xf numFmtId="0" fontId="0" fillId="4" borderId="6" xfId="0" applyFill="1" applyBorder="1"/>
    <xf numFmtId="165" fontId="11" fillId="0" borderId="4" xfId="0" applyNumberFormat="1" applyFont="1" applyBorder="1"/>
    <xf numFmtId="165" fontId="11" fillId="0" borderId="5" xfId="0" applyNumberFormat="1" applyFont="1" applyBorder="1"/>
    <xf numFmtId="0" fontId="0" fillId="4" borderId="15" xfId="0" applyFill="1" applyBorder="1"/>
    <xf numFmtId="0" fontId="0" fillId="4" borderId="16" xfId="0" applyFill="1" applyBorder="1"/>
    <xf numFmtId="0" fontId="0" fillId="4" borderId="17" xfId="0" applyFill="1" applyBorder="1"/>
    <xf numFmtId="165" fontId="0" fillId="0" borderId="7" xfId="0" applyNumberFormat="1" applyFont="1" applyBorder="1"/>
    <xf numFmtId="165" fontId="11" fillId="0" borderId="6" xfId="0" applyNumberFormat="1" applyFont="1" applyBorder="1"/>
    <xf numFmtId="0" fontId="2" fillId="4" borderId="30" xfId="0" applyFont="1" applyFill="1" applyBorder="1"/>
    <xf numFmtId="0" fontId="2" fillId="4" borderId="31" xfId="0" applyFont="1" applyFill="1" applyBorder="1"/>
    <xf numFmtId="0" fontId="2" fillId="4" borderId="32" xfId="0" applyFont="1" applyFill="1" applyBorder="1"/>
    <xf numFmtId="0" fontId="0" fillId="0" borderId="33" xfId="0" applyFont="1" applyBorder="1"/>
    <xf numFmtId="165" fontId="4" fillId="0" borderId="34" xfId="0" applyNumberFormat="1" applyFont="1" applyBorder="1"/>
    <xf numFmtId="165" fontId="4" fillId="0" borderId="35" xfId="0" applyNumberFormat="1" applyFont="1" applyBorder="1"/>
    <xf numFmtId="165" fontId="13" fillId="0" borderId="29" xfId="0" applyNumberFormat="1" applyFont="1" applyBorder="1"/>
    <xf numFmtId="0" fontId="7" fillId="0" borderId="28" xfId="0" applyFont="1" applyBorder="1"/>
    <xf numFmtId="165" fontId="13" fillId="0" borderId="27" xfId="0" applyNumberFormat="1" applyFont="1" applyBorder="1"/>
    <xf numFmtId="165" fontId="2" fillId="0" borderId="18" xfId="0" applyNumberFormat="1" applyFont="1" applyBorder="1"/>
    <xf numFmtId="1" fontId="0" fillId="0" borderId="5" xfId="0" applyNumberFormat="1" applyBorder="1"/>
    <xf numFmtId="1" fontId="0" fillId="0" borderId="6" xfId="0" applyNumberFormat="1" applyBorder="1"/>
    <xf numFmtId="165" fontId="0" fillId="0" borderId="28" xfId="0" applyNumberFormat="1" applyBorder="1"/>
    <xf numFmtId="0" fontId="0" fillId="0" borderId="21" xfId="0" applyBorder="1"/>
    <xf numFmtId="165" fontId="0" fillId="0" borderId="5" xfId="0" applyNumberFormat="1" applyBorder="1"/>
    <xf numFmtId="165" fontId="0" fillId="0" borderId="6" xfId="0" applyNumberFormat="1" applyBorder="1"/>
    <xf numFmtId="165" fontId="2" fillId="0" borderId="22" xfId="0" applyNumberFormat="1" applyFont="1" applyBorder="1"/>
    <xf numFmtId="165" fontId="2" fillId="0" borderId="23" xfId="0" applyNumberFormat="1" applyFont="1" applyBorder="1"/>
    <xf numFmtId="165" fontId="1" fillId="0" borderId="9" xfId="1" applyNumberFormat="1" applyFont="1" applyBorder="1"/>
    <xf numFmtId="0" fontId="0" fillId="0" borderId="29" xfId="0" applyBorder="1"/>
    <xf numFmtId="164" fontId="6" fillId="0" borderId="28" xfId="0" applyNumberFormat="1" applyFont="1" applyBorder="1"/>
    <xf numFmtId="165" fontId="0" fillId="0" borderId="27" xfId="0" applyNumberFormat="1" applyBorder="1"/>
    <xf numFmtId="165" fontId="1" fillId="0" borderId="14" xfId="1" applyNumberFormat="1" applyFont="1" applyBorder="1"/>
    <xf numFmtId="0" fontId="0" fillId="5" borderId="12" xfId="0" applyFill="1" applyBorder="1"/>
    <xf numFmtId="0" fontId="0" fillId="5" borderId="13" xfId="0" applyFill="1" applyBorder="1"/>
    <xf numFmtId="0" fontId="0" fillId="5" borderId="14" xfId="0" applyFill="1" applyBorder="1"/>
    <xf numFmtId="8" fontId="0" fillId="6" borderId="12" xfId="0" applyNumberFormat="1" applyFill="1" applyBorder="1"/>
    <xf numFmtId="165" fontId="0" fillId="6" borderId="13" xfId="0" applyNumberFormat="1" applyFill="1" applyBorder="1"/>
    <xf numFmtId="165" fontId="0" fillId="0" borderId="4" xfId="0" applyNumberFormat="1" applyBorder="1"/>
    <xf numFmtId="165" fontId="12" fillId="0" borderId="28" xfId="0" applyNumberFormat="1" applyFont="1" applyBorder="1"/>
    <xf numFmtId="0" fontId="0" fillId="4" borderId="24" xfId="0" applyFill="1" applyBorder="1"/>
    <xf numFmtId="0" fontId="0" fillId="4" borderId="25" xfId="0" applyFill="1" applyBorder="1"/>
    <xf numFmtId="0" fontId="0" fillId="4" borderId="26" xfId="0" applyFill="1" applyBorder="1"/>
    <xf numFmtId="165" fontId="2" fillId="0" borderId="19" xfId="0" applyNumberFormat="1" applyFont="1" applyBorder="1"/>
    <xf numFmtId="165" fontId="2" fillId="0" borderId="20" xfId="0" applyNumberFormat="1" applyFont="1" applyBorder="1"/>
    <xf numFmtId="0" fontId="0" fillId="0" borderId="11" xfId="0" applyBorder="1" applyAlignment="1">
      <alignment horizontal="right"/>
    </xf>
    <xf numFmtId="8" fontId="0" fillId="0" borderId="8" xfId="0" applyNumberFormat="1" applyBorder="1"/>
    <xf numFmtId="0" fontId="0" fillId="7" borderId="15" xfId="0" applyFill="1" applyBorder="1" applyAlignment="1">
      <alignment horizontal="center"/>
    </xf>
    <xf numFmtId="0" fontId="0" fillId="7" borderId="17" xfId="0" applyFill="1" applyBorder="1" applyAlignment="1">
      <alignment horizontal="center"/>
    </xf>
    <xf numFmtId="0" fontId="2" fillId="0" borderId="4" xfId="0" applyFont="1" applyBorder="1" applyAlignment="1">
      <alignment vertical="center"/>
    </xf>
    <xf numFmtId="0" fontId="2" fillId="0" borderId="10" xfId="0" applyFont="1" applyBorder="1"/>
    <xf numFmtId="0" fontId="2" fillId="0" borderId="11" xfId="0" applyFont="1" applyBorder="1"/>
    <xf numFmtId="0" fontId="2" fillId="0" borderId="9" xfId="0" applyFont="1" applyBorder="1"/>
    <xf numFmtId="10" fontId="0" fillId="6" borderId="13" xfId="0" applyNumberFormat="1" applyFill="1" applyBorder="1"/>
    <xf numFmtId="0" fontId="0" fillId="5" borderId="15" xfId="0" applyFill="1" applyBorder="1"/>
    <xf numFmtId="9" fontId="0" fillId="9" borderId="3" xfId="0" applyNumberFormat="1" applyFill="1" applyBorder="1"/>
    <xf numFmtId="168" fontId="4" fillId="0" borderId="0" xfId="0" applyNumberFormat="1" applyFont="1" applyBorder="1"/>
    <xf numFmtId="168" fontId="0" fillId="0" borderId="0" xfId="0" applyNumberFormat="1"/>
    <xf numFmtId="168" fontId="0" fillId="0" borderId="0" xfId="0" applyNumberFormat="1" applyFont="1" applyBorder="1"/>
    <xf numFmtId="165" fontId="0" fillId="0" borderId="0" xfId="0" applyNumberFormat="1" applyFont="1"/>
    <xf numFmtId="10" fontId="0" fillId="0" borderId="0" xfId="0" applyNumberFormat="1" applyFont="1" applyBorder="1"/>
    <xf numFmtId="10" fontId="0" fillId="0" borderId="0" xfId="0" applyNumberFormat="1" applyFont="1"/>
    <xf numFmtId="10" fontId="0" fillId="0" borderId="0" xfId="0" applyNumberFormat="1" applyBorder="1"/>
    <xf numFmtId="10" fontId="4" fillId="0" borderId="8" xfId="0" applyNumberFormat="1" applyFont="1" applyBorder="1"/>
    <xf numFmtId="0" fontId="2" fillId="7" borderId="4" xfId="0" applyFont="1" applyFill="1" applyBorder="1" applyAlignment="1">
      <alignment horizontal="center" vertical="center" wrapText="1"/>
    </xf>
    <xf numFmtId="0" fontId="2" fillId="7" borderId="5" xfId="0" applyFont="1" applyFill="1" applyBorder="1" applyAlignment="1">
      <alignment horizontal="center" vertical="center" wrapText="1"/>
    </xf>
    <xf numFmtId="0" fontId="2" fillId="7" borderId="6" xfId="0" applyFont="1" applyFill="1" applyBorder="1" applyAlignment="1">
      <alignment horizontal="center" vertical="center" wrapText="1"/>
    </xf>
    <xf numFmtId="169" fontId="0" fillId="6" borderId="14" xfId="0" applyNumberFormat="1" applyFill="1" applyBorder="1" applyAlignment="1">
      <alignment horizontal="right"/>
    </xf>
    <xf numFmtId="169" fontId="0" fillId="0" borderId="0" xfId="0" applyNumberFormat="1" applyBorder="1"/>
    <xf numFmtId="169" fontId="0" fillId="0" borderId="0" xfId="0" applyNumberFormat="1" applyFont="1" applyBorder="1"/>
    <xf numFmtId="169" fontId="0" fillId="0" borderId="0" xfId="0" applyNumberFormat="1"/>
    <xf numFmtId="10" fontId="0" fillId="0" borderId="8" xfId="0" applyNumberFormat="1" applyFont="1" applyBorder="1"/>
    <xf numFmtId="169" fontId="0" fillId="0" borderId="10" xfId="0" applyNumberFormat="1" applyFont="1" applyBorder="1"/>
    <xf numFmtId="165" fontId="0" fillId="0" borderId="10" xfId="0" applyNumberFormat="1" applyFont="1" applyBorder="1"/>
    <xf numFmtId="10" fontId="0" fillId="0" borderId="10" xfId="0" applyNumberFormat="1" applyFont="1" applyBorder="1"/>
    <xf numFmtId="10" fontId="0" fillId="0" borderId="11" xfId="0" applyNumberFormat="1" applyFont="1" applyBorder="1"/>
    <xf numFmtId="169" fontId="14" fillId="10" borderId="16" xfId="0" applyNumberFormat="1" applyFont="1" applyFill="1" applyBorder="1"/>
    <xf numFmtId="165" fontId="14" fillId="10" borderId="16" xfId="0" applyNumberFormat="1" applyFont="1" applyFill="1" applyBorder="1"/>
    <xf numFmtId="0" fontId="14" fillId="10" borderId="16" xfId="0" applyFont="1" applyFill="1" applyBorder="1"/>
    <xf numFmtId="10" fontId="14" fillId="10" borderId="16" xfId="0" applyNumberFormat="1" applyFont="1" applyFill="1" applyBorder="1"/>
    <xf numFmtId="10" fontId="14" fillId="10" borderId="17" xfId="0" applyNumberFormat="1" applyFont="1" applyFill="1" applyBorder="1"/>
    <xf numFmtId="0" fontId="8" fillId="0" borderId="1" xfId="3" applyFill="1" applyAlignment="1">
      <alignment horizontal="center"/>
    </xf>
    <xf numFmtId="0" fontId="0" fillId="12" borderId="0" xfId="0" applyFill="1"/>
    <xf numFmtId="0" fontId="2" fillId="12" borderId="0" xfId="0" applyFont="1" applyFill="1"/>
    <xf numFmtId="0" fontId="0" fillId="12" borderId="4" xfId="0" applyFill="1" applyBorder="1"/>
    <xf numFmtId="0" fontId="0" fillId="12" borderId="7" xfId="0" applyFill="1" applyBorder="1"/>
    <xf numFmtId="0" fontId="0" fillId="12" borderId="9" xfId="0" applyFill="1" applyBorder="1"/>
    <xf numFmtId="0" fontId="0" fillId="12" borderId="0" xfId="0" applyFill="1" applyBorder="1"/>
    <xf numFmtId="0" fontId="12" fillId="12" borderId="0" xfId="0" applyFont="1" applyFill="1" applyBorder="1" applyAlignment="1">
      <alignment horizontal="center" vertical="center"/>
    </xf>
    <xf numFmtId="0" fontId="2" fillId="7" borderId="10" xfId="0" applyFont="1" applyFill="1" applyBorder="1" applyAlignment="1">
      <alignment horizontal="center" vertical="center" wrapText="1"/>
    </xf>
    <xf numFmtId="0" fontId="2" fillId="7" borderId="11" xfId="0" applyFont="1" applyFill="1" applyBorder="1" applyAlignment="1">
      <alignment horizontal="center" vertical="center" wrapText="1"/>
    </xf>
    <xf numFmtId="2" fontId="2" fillId="4" borderId="9" xfId="0" applyNumberFormat="1" applyFont="1" applyFill="1" applyBorder="1" applyAlignment="1">
      <alignment horizontal="center" vertical="center" wrapText="1"/>
    </xf>
    <xf numFmtId="2" fontId="2" fillId="4" borderId="10" xfId="0" applyNumberFormat="1"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5" borderId="3" xfId="0" applyFont="1" applyFill="1" applyBorder="1" applyAlignment="1">
      <alignment horizontal="left" vertical="center"/>
    </xf>
    <xf numFmtId="0" fontId="0" fillId="5" borderId="13" xfId="0" applyFont="1" applyFill="1" applyBorder="1" applyAlignment="1">
      <alignment horizontal="left" vertical="center"/>
    </xf>
    <xf numFmtId="0" fontId="0" fillId="5" borderId="14" xfId="0" applyFont="1" applyFill="1" applyBorder="1" applyAlignment="1">
      <alignment horizontal="left" vertical="center"/>
    </xf>
    <xf numFmtId="0" fontId="0" fillId="5" borderId="12" xfId="0" applyFill="1" applyBorder="1" applyAlignment="1">
      <alignment horizontal="center"/>
    </xf>
    <xf numFmtId="9" fontId="0" fillId="5" borderId="13" xfId="0" applyNumberFormat="1" applyFill="1" applyBorder="1" applyAlignment="1">
      <alignment horizontal="center"/>
    </xf>
    <xf numFmtId="10" fontId="0" fillId="5" borderId="13" xfId="0" applyNumberFormat="1" applyFill="1" applyBorder="1" applyAlignment="1">
      <alignment horizontal="center"/>
    </xf>
    <xf numFmtId="10" fontId="0" fillId="5" borderId="14" xfId="0" applyNumberFormat="1" applyFill="1" applyBorder="1" applyAlignment="1">
      <alignment horizontal="center"/>
    </xf>
    <xf numFmtId="0" fontId="0" fillId="0" borderId="0" xfId="0" applyBorder="1" applyAlignment="1">
      <alignment vertical="top"/>
    </xf>
    <xf numFmtId="0" fontId="2" fillId="7" borderId="9" xfId="0" applyFont="1" applyFill="1" applyBorder="1" applyAlignment="1">
      <alignment vertical="center" wrapText="1"/>
    </xf>
    <xf numFmtId="0" fontId="8" fillId="0" borderId="0" xfId="3" applyFill="1" applyBorder="1" applyAlignment="1">
      <alignment horizontal="center"/>
    </xf>
    <xf numFmtId="0" fontId="18" fillId="8" borderId="0" xfId="0" applyFont="1" applyFill="1" applyBorder="1" applyAlignment="1"/>
    <xf numFmtId="0" fontId="0" fillId="8" borderId="0" xfId="0" applyFill="1" applyBorder="1" applyAlignment="1"/>
    <xf numFmtId="0" fontId="2" fillId="8" borderId="0" xfId="0" applyFont="1" applyFill="1" applyBorder="1" applyAlignment="1">
      <alignment horizontal="left" vertical="center"/>
    </xf>
    <xf numFmtId="0" fontId="0" fillId="8" borderId="0" xfId="0" applyFont="1" applyFill="1" applyBorder="1" applyAlignment="1">
      <alignment horizontal="left" vertical="center"/>
    </xf>
    <xf numFmtId="0" fontId="0" fillId="8" borderId="0" xfId="0" applyFill="1" applyBorder="1"/>
    <xf numFmtId="165" fontId="0" fillId="0" borderId="0" xfId="0" applyNumberFormat="1" applyBorder="1" applyAlignment="1">
      <alignment vertical="top"/>
    </xf>
    <xf numFmtId="10" fontId="0" fillId="0" borderId="0" xfId="0" applyNumberFormat="1" applyBorder="1" applyAlignment="1">
      <alignment vertical="top"/>
    </xf>
    <xf numFmtId="0" fontId="0" fillId="0" borderId="4" xfId="0" applyBorder="1" applyAlignment="1"/>
    <xf numFmtId="169" fontId="17" fillId="0" borderId="5" xfId="0" applyNumberFormat="1" applyFont="1" applyFill="1" applyBorder="1"/>
    <xf numFmtId="165" fontId="17" fillId="0" borderId="5" xfId="0" applyNumberFormat="1" applyFont="1" applyFill="1" applyBorder="1"/>
    <xf numFmtId="0" fontId="17" fillId="0" borderId="5" xfId="0" applyNumberFormat="1" applyFont="1" applyFill="1" applyBorder="1"/>
    <xf numFmtId="10" fontId="17" fillId="0" borderId="5" xfId="0" applyNumberFormat="1" applyFont="1" applyFill="1" applyBorder="1"/>
    <xf numFmtId="165" fontId="17" fillId="0" borderId="5" xfId="1" applyNumberFormat="1" applyFont="1" applyFill="1" applyBorder="1"/>
    <xf numFmtId="10" fontId="17" fillId="0" borderId="5" xfId="1" applyNumberFormat="1" applyFont="1" applyFill="1" applyBorder="1"/>
    <xf numFmtId="169" fontId="17" fillId="0" borderId="6" xfId="1" applyNumberFormat="1" applyFont="1" applyFill="1" applyBorder="1"/>
    <xf numFmtId="169" fontId="0" fillId="0" borderId="8" xfId="0" applyNumberFormat="1" applyBorder="1" applyAlignment="1">
      <alignment vertical="top"/>
    </xf>
    <xf numFmtId="169" fontId="0" fillId="0" borderId="8" xfId="0" applyNumberFormat="1" applyBorder="1" applyAlignment="1">
      <alignment horizontal="center" vertical="center"/>
    </xf>
    <xf numFmtId="0" fontId="0" fillId="0" borderId="10" xfId="0" applyBorder="1" applyAlignment="1">
      <alignment vertical="top"/>
    </xf>
    <xf numFmtId="165" fontId="0" fillId="0" borderId="10" xfId="0" applyNumberFormat="1" applyBorder="1" applyAlignment="1">
      <alignment vertical="top"/>
    </xf>
    <xf numFmtId="10" fontId="0" fillId="0" borderId="10" xfId="0" applyNumberFormat="1" applyBorder="1" applyAlignment="1">
      <alignment vertical="top"/>
    </xf>
    <xf numFmtId="169" fontId="0" fillId="0" borderId="11" xfId="0" applyNumberFormat="1"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9" xfId="0" applyBorder="1" applyAlignment="1">
      <alignment vertical="top"/>
    </xf>
    <xf numFmtId="0" fontId="0" fillId="0" borderId="11" xfId="0" applyBorder="1" applyAlignment="1">
      <alignment vertical="top"/>
    </xf>
    <xf numFmtId="165" fontId="0" fillId="0" borderId="7" xfId="0" applyNumberFormat="1" applyBorder="1" applyAlignment="1">
      <alignment vertical="top"/>
    </xf>
    <xf numFmtId="165" fontId="0" fillId="0" borderId="9" xfId="0" applyNumberFormat="1" applyBorder="1" applyAlignment="1">
      <alignment vertical="top"/>
    </xf>
    <xf numFmtId="0" fontId="0" fillId="0" borderId="15" xfId="0" applyBorder="1" applyAlignment="1">
      <alignment vertical="top"/>
    </xf>
    <xf numFmtId="0" fontId="0" fillId="0" borderId="16" xfId="0" applyBorder="1" applyAlignment="1">
      <alignment vertical="top"/>
    </xf>
    <xf numFmtId="0" fontId="0" fillId="0" borderId="17" xfId="0" applyBorder="1" applyAlignment="1">
      <alignment vertical="top"/>
    </xf>
    <xf numFmtId="165" fontId="0" fillId="0" borderId="15" xfId="0" applyNumberFormat="1" applyBorder="1" applyAlignment="1">
      <alignment vertical="top"/>
    </xf>
    <xf numFmtId="10" fontId="0" fillId="0" borderId="16" xfId="0" applyNumberFormat="1" applyBorder="1" applyAlignment="1">
      <alignment vertical="top"/>
    </xf>
    <xf numFmtId="165" fontId="0" fillId="0" borderId="16" xfId="0" applyNumberFormat="1" applyBorder="1" applyAlignment="1">
      <alignment vertical="top"/>
    </xf>
    <xf numFmtId="169" fontId="0" fillId="0" borderId="17" xfId="0" applyNumberFormat="1" applyBorder="1" applyAlignment="1">
      <alignment vertical="top"/>
    </xf>
    <xf numFmtId="0" fontId="20" fillId="0" borderId="12" xfId="2" applyFont="1" applyBorder="1"/>
    <xf numFmtId="0" fontId="20" fillId="0" borderId="0" xfId="2" applyFont="1"/>
    <xf numFmtId="0" fontId="19" fillId="6" borderId="36" xfId="3" applyFont="1" applyFill="1" applyBorder="1" applyAlignment="1">
      <alignment horizontal="center" vertical="center" wrapText="1"/>
    </xf>
    <xf numFmtId="0" fontId="19" fillId="6" borderId="37" xfId="3" applyFont="1" applyFill="1" applyBorder="1" applyAlignment="1">
      <alignment horizontal="center" vertical="center" wrapText="1"/>
    </xf>
    <xf numFmtId="0" fontId="19" fillId="6" borderId="38" xfId="3" applyFont="1" applyFill="1" applyBorder="1" applyAlignment="1">
      <alignment horizontal="center" vertical="center" wrapText="1"/>
    </xf>
    <xf numFmtId="0" fontId="19" fillId="6" borderId="39" xfId="3" applyFont="1" applyFill="1" applyBorder="1" applyAlignment="1">
      <alignment horizontal="center" vertical="center" wrapText="1"/>
    </xf>
    <xf numFmtId="0" fontId="19" fillId="6" borderId="1" xfId="3" applyFont="1" applyFill="1" applyAlignment="1">
      <alignment horizontal="center" vertical="center" wrapText="1"/>
    </xf>
    <xf numFmtId="0" fontId="19" fillId="6" borderId="40" xfId="3" applyFont="1" applyFill="1" applyBorder="1" applyAlignment="1">
      <alignment horizontal="center" vertical="center" wrapText="1"/>
    </xf>
    <xf numFmtId="0" fontId="19" fillId="6" borderId="9" xfId="3" applyFont="1" applyFill="1" applyBorder="1" applyAlignment="1">
      <alignment horizontal="center" vertical="center" wrapText="1"/>
    </xf>
    <xf numFmtId="0" fontId="19" fillId="6" borderId="10" xfId="3" applyFont="1" applyFill="1" applyBorder="1" applyAlignment="1">
      <alignment horizontal="center" vertical="center" wrapText="1"/>
    </xf>
    <xf numFmtId="0" fontId="19" fillId="6" borderId="11" xfId="3" applyFont="1" applyFill="1" applyBorder="1" applyAlignment="1">
      <alignment horizontal="center" vertical="center" wrapText="1"/>
    </xf>
    <xf numFmtId="0" fontId="2" fillId="0" borderId="0" xfId="0" applyFont="1" applyAlignment="1">
      <alignment horizontal="center" wrapText="1"/>
    </xf>
    <xf numFmtId="14" fontId="2" fillId="0" borderId="0" xfId="0" applyNumberFormat="1" applyFont="1" applyAlignment="1">
      <alignment horizontal="center"/>
    </xf>
    <xf numFmtId="0" fontId="2" fillId="0" borderId="0" xfId="0" applyFont="1" applyAlignment="1">
      <alignment horizontal="center"/>
    </xf>
    <xf numFmtId="0" fontId="0" fillId="5" borderId="9" xfId="0" applyFill="1" applyBorder="1" applyAlignment="1">
      <alignment horizontal="left"/>
    </xf>
    <xf numFmtId="0" fontId="0" fillId="5" borderId="11" xfId="0" applyFill="1" applyBorder="1" applyAlignment="1">
      <alignment horizontal="left"/>
    </xf>
    <xf numFmtId="0" fontId="0" fillId="5" borderId="10" xfId="0" applyFill="1" applyBorder="1" applyAlignment="1">
      <alignment horizontal="left"/>
    </xf>
    <xf numFmtId="0" fontId="0" fillId="5" borderId="7" xfId="0" applyFill="1" applyBorder="1" applyAlignment="1">
      <alignment horizontal="left"/>
    </xf>
    <xf numFmtId="0" fontId="0" fillId="5" borderId="0" xfId="0" applyFill="1" applyBorder="1" applyAlignment="1">
      <alignment horizontal="left"/>
    </xf>
    <xf numFmtId="0" fontId="8" fillId="8" borderId="1" xfId="3" applyFill="1" applyAlignment="1">
      <alignment horizontal="center"/>
    </xf>
    <xf numFmtId="0" fontId="8" fillId="12" borderId="1" xfId="3" applyFill="1" applyAlignment="1">
      <alignment horizontal="center"/>
    </xf>
    <xf numFmtId="0" fontId="0" fillId="5" borderId="4" xfId="0" applyFill="1" applyBorder="1" applyAlignment="1">
      <alignment horizontal="left"/>
    </xf>
    <xf numFmtId="0" fontId="0" fillId="5" borderId="6" xfId="0" applyFill="1" applyBorder="1" applyAlignment="1">
      <alignment horizontal="left"/>
    </xf>
    <xf numFmtId="0" fontId="0" fillId="5" borderId="8" xfId="0" applyFill="1" applyBorder="1" applyAlignment="1">
      <alignment horizontal="left"/>
    </xf>
    <xf numFmtId="0" fontId="0" fillId="5" borderId="28" xfId="0" applyFill="1" applyBorder="1" applyAlignment="1">
      <alignment horizontal="left"/>
    </xf>
    <xf numFmtId="0" fontId="0" fillId="5" borderId="27" xfId="0" applyFill="1" applyBorder="1" applyAlignment="1">
      <alignment horizontal="left"/>
    </xf>
    <xf numFmtId="0" fontId="16" fillId="0" borderId="1" xfId="3" applyFont="1" applyFill="1" applyAlignment="1">
      <alignment horizontal="center"/>
    </xf>
    <xf numFmtId="0" fontId="0" fillId="0" borderId="5" xfId="0" applyBorder="1" applyAlignment="1">
      <alignment horizontal="center" wrapText="1"/>
    </xf>
    <xf numFmtId="0" fontId="0" fillId="0" borderId="6" xfId="0" applyBorder="1" applyAlignment="1">
      <alignment horizontal="center" wrapText="1"/>
    </xf>
    <xf numFmtId="0" fontId="15" fillId="11" borderId="16" xfId="0" applyFont="1" applyFill="1" applyBorder="1" applyAlignment="1">
      <alignment horizontal="center" vertical="center"/>
    </xf>
    <xf numFmtId="0" fontId="15" fillId="11" borderId="17" xfId="0" applyFont="1" applyFill="1" applyBorder="1" applyAlignment="1">
      <alignment horizontal="center" vertical="center"/>
    </xf>
    <xf numFmtId="0" fontId="0" fillId="12" borderId="15" xfId="0" applyFill="1" applyBorder="1" applyAlignment="1">
      <alignment horizontal="center" vertical="center" wrapText="1"/>
    </xf>
    <xf numFmtId="0" fontId="0" fillId="12" borderId="17" xfId="0" applyFill="1" applyBorder="1" applyAlignment="1">
      <alignment horizontal="center" vertical="center" wrapText="1"/>
    </xf>
    <xf numFmtId="0" fontId="0" fillId="5" borderId="5" xfId="0" applyFill="1" applyBorder="1" applyAlignment="1">
      <alignment horizontal="left"/>
    </xf>
    <xf numFmtId="10" fontId="1" fillId="12" borderId="0" xfId="5" applyNumberFormat="1" applyFont="1" applyFill="1" applyBorder="1" applyAlignment="1" applyProtection="1">
      <alignment horizontal="center"/>
    </xf>
    <xf numFmtId="0" fontId="18" fillId="13" borderId="15" xfId="0" applyFont="1" applyFill="1" applyBorder="1" applyAlignment="1">
      <alignment horizontal="center"/>
    </xf>
    <xf numFmtId="0" fontId="18" fillId="13" borderId="16" xfId="0" applyFont="1" applyFill="1" applyBorder="1" applyAlignment="1">
      <alignment horizontal="center"/>
    </xf>
    <xf numFmtId="0" fontId="18" fillId="13" borderId="17" xfId="0" applyFont="1" applyFill="1" applyBorder="1" applyAlignment="1">
      <alignment horizontal="center"/>
    </xf>
    <xf numFmtId="0" fontId="18" fillId="14" borderId="15" xfId="0" applyFont="1" applyFill="1" applyBorder="1" applyAlignment="1">
      <alignment horizontal="center"/>
    </xf>
    <xf numFmtId="0" fontId="18" fillId="14" borderId="16" xfId="0" applyFont="1" applyFill="1" applyBorder="1" applyAlignment="1">
      <alignment horizontal="center"/>
    </xf>
    <xf numFmtId="0" fontId="18" fillId="14" borderId="17" xfId="0" applyFont="1" applyFill="1" applyBorder="1" applyAlignment="1">
      <alignment horizontal="center"/>
    </xf>
    <xf numFmtId="165" fontId="1" fillId="12" borderId="0" xfId="5" applyNumberFormat="1" applyFont="1" applyFill="1" applyBorder="1" applyAlignment="1" applyProtection="1">
      <alignment horizontal="center"/>
    </xf>
    <xf numFmtId="0" fontId="12" fillId="12" borderId="0" xfId="0" applyFont="1" applyFill="1" applyBorder="1" applyAlignment="1">
      <alignment horizontal="center" vertical="center"/>
    </xf>
    <xf numFmtId="169" fontId="1" fillId="12" borderId="0" xfId="5" applyNumberFormat="1" applyFont="1" applyFill="1" applyBorder="1" applyAlignment="1" applyProtection="1">
      <alignment horizontal="center"/>
    </xf>
    <xf numFmtId="0" fontId="0" fillId="0" borderId="10" xfId="0" applyBorder="1" applyAlignment="1">
      <alignment horizontal="center"/>
    </xf>
  </cellXfs>
  <cellStyles count="6">
    <cellStyle name="Heading 1" xfId="3" builtinId="16"/>
    <cellStyle name="Input" xfId="5" builtinId="20"/>
    <cellStyle name="Neutral" xfId="4" builtinId="28"/>
    <cellStyle name="Normal" xfId="0" builtinId="0"/>
    <cellStyle name="Percent" xfId="1" builtinId="5"/>
    <cellStyle name="Title" xfId="2" builtinId="15"/>
  </cellStyles>
  <dxfs count="6">
    <dxf>
      <font>
        <color theme="6" tint="-0.24994659260841701"/>
      </font>
    </dxf>
    <dxf>
      <font>
        <color theme="9" tint="-0.24994659260841701"/>
      </font>
    </dxf>
    <dxf>
      <font>
        <color rgb="FFFFFF00"/>
      </font>
      <fill>
        <patternFill>
          <bgColor theme="7" tint="0.39994506668294322"/>
        </patternFill>
      </fill>
    </dxf>
    <dxf>
      <font>
        <color rgb="FFFFFF00"/>
      </font>
      <fill>
        <patternFill>
          <bgColor rgb="FF00B050"/>
        </patternFill>
      </fill>
    </dxf>
    <dxf>
      <font>
        <color theme="6" tint="-0.24994659260841701"/>
      </font>
    </dxf>
    <dxf>
      <font>
        <color theme="9" tint="-0.24994659260841701"/>
      </font>
    </dxf>
  </dxfs>
  <tableStyles count="0" defaultTableStyle="TableStyleMedium2" defaultPivotStyle="PivotStyleLight16"/>
  <colors>
    <mruColors>
      <color rgb="FF0000FF"/>
      <color rgb="FFFFFFCC"/>
      <color rgb="FF00CC66"/>
      <color rgb="FF00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CA"/>
              <a:t>Net Present value profile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lineMarker"/>
        <c:varyColors val="0"/>
        <c:ser>
          <c:idx val="0"/>
          <c:order val="0"/>
          <c:spPr>
            <a:ln w="22225" cap="rnd">
              <a:solidFill>
                <a:schemeClr val="accent1">
                  <a:shade val="76000"/>
                </a:schemeClr>
              </a:solidFill>
            </a:ln>
            <a:effectLst>
              <a:glow rad="139700">
                <a:schemeClr val="accent1">
                  <a:shade val="76000"/>
                  <a:satMod val="175000"/>
                  <a:alpha val="14000"/>
                </a:schemeClr>
              </a:glow>
            </a:effectLst>
          </c:spPr>
          <c:marker>
            <c:symbol val="none"/>
          </c:marker>
          <c:xVal>
            <c:numRef>
              <c:f>'NPV Model'!$A$83:$A$108</c:f>
              <c:numCache>
                <c:formatCode>0.00%</c:formatCode>
                <c:ptCount val="26"/>
                <c:pt idx="0" formatCode="0%">
                  <c:v>0</c:v>
                </c:pt>
                <c:pt idx="1">
                  <c:v>0.02</c:v>
                </c:pt>
                <c:pt idx="2">
                  <c:v>0.04</c:v>
                </c:pt>
                <c:pt idx="3">
                  <c:v>0.06</c:v>
                </c:pt>
                <c:pt idx="4">
                  <c:v>0.08</c:v>
                </c:pt>
                <c:pt idx="5">
                  <c:v>0.1</c:v>
                </c:pt>
                <c:pt idx="6">
                  <c:v>0.12000000000000001</c:v>
                </c:pt>
                <c:pt idx="7">
                  <c:v>0.14000000000000001</c:v>
                </c:pt>
                <c:pt idx="8">
                  <c:v>0.16</c:v>
                </c:pt>
                <c:pt idx="9">
                  <c:v>0.18</c:v>
                </c:pt>
                <c:pt idx="10">
                  <c:v>0.19999999999999998</c:v>
                </c:pt>
                <c:pt idx="11">
                  <c:v>0.21999999999999997</c:v>
                </c:pt>
                <c:pt idx="12">
                  <c:v>0.23999999999999996</c:v>
                </c:pt>
                <c:pt idx="13">
                  <c:v>0.25999999999999995</c:v>
                </c:pt>
                <c:pt idx="14">
                  <c:v>0.27999999999999997</c:v>
                </c:pt>
                <c:pt idx="15">
                  <c:v>0.3</c:v>
                </c:pt>
                <c:pt idx="16">
                  <c:v>0.32</c:v>
                </c:pt>
                <c:pt idx="17">
                  <c:v>0.34</c:v>
                </c:pt>
                <c:pt idx="18">
                  <c:v>0.36000000000000004</c:v>
                </c:pt>
                <c:pt idx="19">
                  <c:v>0.38000000000000006</c:v>
                </c:pt>
                <c:pt idx="20">
                  <c:v>0.40000000000000008</c:v>
                </c:pt>
                <c:pt idx="21">
                  <c:v>0.4200000000000001</c:v>
                </c:pt>
                <c:pt idx="22">
                  <c:v>0.44000000000000011</c:v>
                </c:pt>
                <c:pt idx="23">
                  <c:v>0.46000000000000013</c:v>
                </c:pt>
                <c:pt idx="24">
                  <c:v>0.48000000000000015</c:v>
                </c:pt>
                <c:pt idx="25">
                  <c:v>0.50000000000000011</c:v>
                </c:pt>
              </c:numCache>
            </c:numRef>
          </c:xVal>
          <c:yVal>
            <c:numRef>
              <c:f>'NPV Model'!$B$83:$B$108</c:f>
              <c:numCache>
                <c:formatCode>"$"#,##0.00</c:formatCode>
                <c:ptCount val="26"/>
                <c:pt idx="0">
                  <c:v>373185.54609375005</c:v>
                </c:pt>
                <c:pt idx="1">
                  <c:v>266981.6818847484</c:v>
                </c:pt>
                <c:pt idx="2">
                  <c:v>171042.60480597825</c:v>
                </c:pt>
                <c:pt idx="3">
                  <c:v>84161.558692135615</c:v>
                </c:pt>
                <c:pt idx="4">
                  <c:v>5295.5139914669562</c:v>
                </c:pt>
                <c:pt idx="5">
                  <c:v>-66459.75886520464</c:v>
                </c:pt>
                <c:pt idx="6">
                  <c:v>-131890.43402281753</c:v>
                </c:pt>
                <c:pt idx="7">
                  <c:v>-191681.95595177426</c:v>
                </c:pt>
                <c:pt idx="8">
                  <c:v>-246433.55960843549</c:v>
                </c:pt>
                <c:pt idx="9">
                  <c:v>-296670.47970338666</c:v>
                </c:pt>
                <c:pt idx="10">
                  <c:v>-342854.24974229594</c:v>
                </c:pt>
                <c:pt idx="11">
                  <c:v>-385391.41658722307</c:v>
                </c:pt>
                <c:pt idx="12">
                  <c:v>-424640.93635565799</c:v>
                </c:pt>
                <c:pt idx="13">
                  <c:v>-460920.46934405365</c:v>
                </c:pt>
                <c:pt idx="14">
                  <c:v>-494511.75286194484</c:v>
                </c:pt>
                <c:pt idx="15">
                  <c:v>-525665.19946847914</c:v>
                </c:pt>
                <c:pt idx="16">
                  <c:v>-554603.84261133615</c:v>
                </c:pt>
                <c:pt idx="17">
                  <c:v>-581526.73089765932</c:v>
                </c:pt>
                <c:pt idx="18">
                  <c:v>-606611.85524690663</c:v>
                </c:pt>
                <c:pt idx="19">
                  <c:v>-630018.67924985173</c:v>
                </c:pt>
                <c:pt idx="20">
                  <c:v>-651890.33160127676</c:v>
                </c:pt>
                <c:pt idx="21">
                  <c:v>-672355.51001984288</c:v>
                </c:pt>
                <c:pt idx="22">
                  <c:v>-691530.13824417256</c:v>
                </c:pt>
                <c:pt idx="23">
                  <c:v>-709518.81119990663</c:v>
                </c:pt>
                <c:pt idx="24">
                  <c:v>-726416.05802731426</c:v>
                </c:pt>
                <c:pt idx="25">
                  <c:v>-742307.44814814813</c:v>
                </c:pt>
              </c:numCache>
            </c:numRef>
          </c:yVal>
          <c:smooth val="0"/>
          <c:extLst>
            <c:ext xmlns:c16="http://schemas.microsoft.com/office/drawing/2014/chart" uri="{C3380CC4-5D6E-409C-BE32-E72D297353CC}">
              <c16:uniqueId val="{00000000-8C21-4584-909D-F62A32057402}"/>
            </c:ext>
          </c:extLst>
        </c:ser>
        <c:ser>
          <c:idx val="1"/>
          <c:order val="1"/>
          <c:tx>
            <c:v>IRR</c:v>
          </c:tx>
          <c:spPr>
            <a:ln w="22225" cap="rnd">
              <a:solidFill>
                <a:schemeClr val="accent1">
                  <a:tint val="77000"/>
                </a:schemeClr>
              </a:solidFill>
            </a:ln>
            <a:effectLst>
              <a:glow rad="139700">
                <a:schemeClr val="accent1">
                  <a:tint val="77000"/>
                  <a:satMod val="175000"/>
                  <a:alpha val="14000"/>
                </a:schemeClr>
              </a:glow>
            </a:effectLst>
          </c:spPr>
          <c:marker>
            <c:symbol val="square"/>
            <c:size val="6"/>
            <c:spPr>
              <a:solidFill>
                <a:srgbClr val="FF0000">
                  <a:alpha val="98000"/>
                </a:srgbClr>
              </a:solidFill>
              <a:ln>
                <a:noFill/>
              </a:ln>
              <a:effectLst>
                <a:glow rad="63500">
                  <a:schemeClr val="accent1">
                    <a:tint val="77000"/>
                    <a:satMod val="175000"/>
                    <a:alpha val="25000"/>
                  </a:schemeClr>
                </a:glow>
              </a:effectLst>
            </c:spPr>
          </c:marker>
          <c:dLbls>
            <c:dLbl>
              <c:idx val="0"/>
              <c:dLblPos val="t"/>
              <c:showLegendKey val="0"/>
              <c:showVal val="0"/>
              <c:showCatName val="1"/>
              <c:showSerName val="1"/>
              <c:showPercent val="0"/>
              <c:showBubbleSize val="0"/>
              <c:separator> = </c:separator>
              <c:extLst>
                <c:ext xmlns:c15="http://schemas.microsoft.com/office/drawing/2012/chart" uri="{CE6537A1-D6FC-4f65-9D91-7224C49458BB}"/>
                <c:ext xmlns:c16="http://schemas.microsoft.com/office/drawing/2014/chart" uri="{C3380CC4-5D6E-409C-BE32-E72D297353CC}">
                  <c16:uniqueId val="{00000005-8C21-4584-909D-F62A3205740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xVal>
            <c:numRef>
              <c:f>'NPV Model'!$B$71</c:f>
              <c:numCache>
                <c:formatCode>0.00%</c:formatCode>
                <c:ptCount val="1"/>
                <c:pt idx="0">
                  <c:v>8.1413641861818098E-2</c:v>
                </c:pt>
              </c:numCache>
            </c:numRef>
          </c:xVal>
          <c:yVal>
            <c:numLit>
              <c:formatCode>General</c:formatCode>
              <c:ptCount val="1"/>
              <c:pt idx="0">
                <c:v>0</c:v>
              </c:pt>
            </c:numLit>
          </c:yVal>
          <c:smooth val="0"/>
          <c:extLst>
            <c:ext xmlns:c16="http://schemas.microsoft.com/office/drawing/2014/chart" uri="{C3380CC4-5D6E-409C-BE32-E72D297353CC}">
              <c16:uniqueId val="{00000004-8C21-4584-909D-F62A32057402}"/>
            </c:ext>
          </c:extLst>
        </c:ser>
        <c:dLbls>
          <c:showLegendKey val="0"/>
          <c:showVal val="0"/>
          <c:showCatName val="0"/>
          <c:showSerName val="0"/>
          <c:showPercent val="0"/>
          <c:showBubbleSize val="0"/>
        </c:dLbls>
        <c:axId val="1000168800"/>
        <c:axId val="1000182944"/>
      </c:scatterChart>
      <c:valAx>
        <c:axId val="1000168800"/>
        <c:scaling>
          <c:orientation val="minMax"/>
        </c:scaling>
        <c:delete val="0"/>
        <c:axPos val="b"/>
        <c:majorGridlines>
          <c:spPr>
            <a:ln w="9525" cap="flat" cmpd="sng" algn="ctr">
              <a:solidFill>
                <a:schemeClr val="dk1">
                  <a:lumMod val="65000"/>
                  <a:lumOff val="35000"/>
                  <a:alpha val="7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CA"/>
                  <a:t>Discount Rate (%)</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00182944"/>
        <c:crosses val="autoZero"/>
        <c:crossBetween val="midCat"/>
      </c:valAx>
      <c:valAx>
        <c:axId val="1000182944"/>
        <c:scaling>
          <c:orientation val="minMax"/>
        </c:scaling>
        <c:delete val="0"/>
        <c:axPos val="l"/>
        <c:majorGridlines>
          <c:spPr>
            <a:ln w="9525" cap="flat" cmpd="sng" algn="ctr">
              <a:solidFill>
                <a:schemeClr val="dk1">
                  <a:lumMod val="65000"/>
                  <a:lumOff val="35000"/>
                  <a:alpha val="7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CA"/>
                  <a:t>NPV ($)</a:t>
                </a:r>
              </a:p>
              <a:p>
                <a:pPr>
                  <a:defRPr/>
                </a:pPr>
                <a:endParaRPr lang="en-CA"/>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quot;$&quot;#,##0.00"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0016880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Net Present value profile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solidFill>
                <a:schemeClr val="accent1">
                  <a:shade val="76000"/>
                </a:schemeClr>
              </a:solidFill>
              <a:round/>
            </a:ln>
            <a:effectLst/>
          </c:spPr>
          <c:marker>
            <c:symbol val="none"/>
          </c:marker>
          <c:xVal>
            <c:numRef>
              <c:f>'NPV Model'!$A$83:$A$108</c:f>
              <c:numCache>
                <c:formatCode>0.00%</c:formatCode>
                <c:ptCount val="26"/>
                <c:pt idx="0" formatCode="0%">
                  <c:v>0</c:v>
                </c:pt>
                <c:pt idx="1">
                  <c:v>0.02</c:v>
                </c:pt>
                <c:pt idx="2">
                  <c:v>0.04</c:v>
                </c:pt>
                <c:pt idx="3">
                  <c:v>0.06</c:v>
                </c:pt>
                <c:pt idx="4">
                  <c:v>0.08</c:v>
                </c:pt>
                <c:pt idx="5">
                  <c:v>0.1</c:v>
                </c:pt>
                <c:pt idx="6">
                  <c:v>0.12000000000000001</c:v>
                </c:pt>
                <c:pt idx="7">
                  <c:v>0.14000000000000001</c:v>
                </c:pt>
                <c:pt idx="8">
                  <c:v>0.16</c:v>
                </c:pt>
                <c:pt idx="9">
                  <c:v>0.18</c:v>
                </c:pt>
                <c:pt idx="10">
                  <c:v>0.19999999999999998</c:v>
                </c:pt>
                <c:pt idx="11">
                  <c:v>0.21999999999999997</c:v>
                </c:pt>
                <c:pt idx="12">
                  <c:v>0.23999999999999996</c:v>
                </c:pt>
                <c:pt idx="13">
                  <c:v>0.25999999999999995</c:v>
                </c:pt>
                <c:pt idx="14">
                  <c:v>0.27999999999999997</c:v>
                </c:pt>
                <c:pt idx="15">
                  <c:v>0.3</c:v>
                </c:pt>
                <c:pt idx="16">
                  <c:v>0.32</c:v>
                </c:pt>
                <c:pt idx="17">
                  <c:v>0.34</c:v>
                </c:pt>
                <c:pt idx="18">
                  <c:v>0.36000000000000004</c:v>
                </c:pt>
                <c:pt idx="19">
                  <c:v>0.38000000000000006</c:v>
                </c:pt>
                <c:pt idx="20">
                  <c:v>0.40000000000000008</c:v>
                </c:pt>
                <c:pt idx="21">
                  <c:v>0.4200000000000001</c:v>
                </c:pt>
                <c:pt idx="22">
                  <c:v>0.44000000000000011</c:v>
                </c:pt>
                <c:pt idx="23">
                  <c:v>0.46000000000000013</c:v>
                </c:pt>
                <c:pt idx="24">
                  <c:v>0.48000000000000015</c:v>
                </c:pt>
                <c:pt idx="25">
                  <c:v>0.50000000000000011</c:v>
                </c:pt>
              </c:numCache>
            </c:numRef>
          </c:xVal>
          <c:yVal>
            <c:numRef>
              <c:f>'NPV Model'!$B$83:$B$108</c:f>
              <c:numCache>
                <c:formatCode>"$"#,##0.00</c:formatCode>
                <c:ptCount val="26"/>
                <c:pt idx="0">
                  <c:v>373185.54609375005</c:v>
                </c:pt>
                <c:pt idx="1">
                  <c:v>266981.6818847484</c:v>
                </c:pt>
                <c:pt idx="2">
                  <c:v>171042.60480597825</c:v>
                </c:pt>
                <c:pt idx="3">
                  <c:v>84161.558692135615</c:v>
                </c:pt>
                <c:pt idx="4">
                  <c:v>5295.5139914669562</c:v>
                </c:pt>
                <c:pt idx="5">
                  <c:v>-66459.75886520464</c:v>
                </c:pt>
                <c:pt idx="6">
                  <c:v>-131890.43402281753</c:v>
                </c:pt>
                <c:pt idx="7">
                  <c:v>-191681.95595177426</c:v>
                </c:pt>
                <c:pt idx="8">
                  <c:v>-246433.55960843549</c:v>
                </c:pt>
                <c:pt idx="9">
                  <c:v>-296670.47970338666</c:v>
                </c:pt>
                <c:pt idx="10">
                  <c:v>-342854.24974229594</c:v>
                </c:pt>
                <c:pt idx="11">
                  <c:v>-385391.41658722307</c:v>
                </c:pt>
                <c:pt idx="12">
                  <c:v>-424640.93635565799</c:v>
                </c:pt>
                <c:pt idx="13">
                  <c:v>-460920.46934405365</c:v>
                </c:pt>
                <c:pt idx="14">
                  <c:v>-494511.75286194484</c:v>
                </c:pt>
                <c:pt idx="15">
                  <c:v>-525665.19946847914</c:v>
                </c:pt>
                <c:pt idx="16">
                  <c:v>-554603.84261133615</c:v>
                </c:pt>
                <c:pt idx="17">
                  <c:v>-581526.73089765932</c:v>
                </c:pt>
                <c:pt idx="18">
                  <c:v>-606611.85524690663</c:v>
                </c:pt>
                <c:pt idx="19">
                  <c:v>-630018.67924985173</c:v>
                </c:pt>
                <c:pt idx="20">
                  <c:v>-651890.33160127676</c:v>
                </c:pt>
                <c:pt idx="21">
                  <c:v>-672355.51001984288</c:v>
                </c:pt>
                <c:pt idx="22">
                  <c:v>-691530.13824417256</c:v>
                </c:pt>
                <c:pt idx="23">
                  <c:v>-709518.81119990663</c:v>
                </c:pt>
                <c:pt idx="24">
                  <c:v>-726416.05802731426</c:v>
                </c:pt>
                <c:pt idx="25">
                  <c:v>-742307.44814814813</c:v>
                </c:pt>
              </c:numCache>
            </c:numRef>
          </c:yVal>
          <c:smooth val="0"/>
          <c:extLst>
            <c:ext xmlns:c16="http://schemas.microsoft.com/office/drawing/2014/chart" uri="{C3380CC4-5D6E-409C-BE32-E72D297353CC}">
              <c16:uniqueId val="{00000000-7F41-4559-B850-ED8931061E34}"/>
            </c:ext>
          </c:extLst>
        </c:ser>
        <c:ser>
          <c:idx val="1"/>
          <c:order val="1"/>
          <c:tx>
            <c:v>IRR</c:v>
          </c:tx>
          <c:spPr>
            <a:ln w="19050" cap="rnd">
              <a:solidFill>
                <a:schemeClr val="accent1">
                  <a:tint val="77000"/>
                </a:schemeClr>
              </a:solidFill>
              <a:round/>
            </a:ln>
            <a:effectLst/>
          </c:spPr>
          <c:marker>
            <c:symbol val="circle"/>
            <c:size val="5"/>
            <c:spPr>
              <a:solidFill>
                <a:schemeClr val="accent1">
                  <a:tint val="77000"/>
                </a:schemeClr>
              </a:solidFill>
              <a:ln w="9525">
                <a:solidFill>
                  <a:schemeClr val="accent1">
                    <a:tint val="77000"/>
                  </a:schemeClr>
                </a:solidFill>
              </a:ln>
              <a:effectLst/>
            </c:spPr>
          </c:marker>
          <c:dLbls>
            <c:dLbl>
              <c:idx val="0"/>
              <c:dLblPos val="t"/>
              <c:showLegendKey val="0"/>
              <c:showVal val="0"/>
              <c:showCatName val="1"/>
              <c:showSerName val="1"/>
              <c:showPercent val="0"/>
              <c:showBubbleSize val="0"/>
              <c:separator> = </c:separator>
              <c:extLst>
                <c:ext xmlns:c15="http://schemas.microsoft.com/office/drawing/2012/chart" uri="{CE6537A1-D6FC-4f65-9D91-7224C49458BB}"/>
                <c:ext xmlns:c16="http://schemas.microsoft.com/office/drawing/2014/chart" uri="{C3380CC4-5D6E-409C-BE32-E72D297353CC}">
                  <c16:uniqueId val="{00000001-7F41-4559-B850-ED8931061E3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'NPV Model'!$B$71</c:f>
              <c:numCache>
                <c:formatCode>0.00%</c:formatCode>
                <c:ptCount val="1"/>
                <c:pt idx="0">
                  <c:v>8.1413641861818098E-2</c:v>
                </c:pt>
              </c:numCache>
            </c:numRef>
          </c:xVal>
          <c:yVal>
            <c:numLit>
              <c:formatCode>General</c:formatCode>
              <c:ptCount val="1"/>
              <c:pt idx="0">
                <c:v>0</c:v>
              </c:pt>
            </c:numLit>
          </c:yVal>
          <c:smooth val="0"/>
          <c:extLst>
            <c:ext xmlns:c16="http://schemas.microsoft.com/office/drawing/2014/chart" uri="{C3380CC4-5D6E-409C-BE32-E72D297353CC}">
              <c16:uniqueId val="{00000002-7F41-4559-B850-ED8931061E34}"/>
            </c:ext>
          </c:extLst>
        </c:ser>
        <c:dLbls>
          <c:showLegendKey val="0"/>
          <c:showVal val="0"/>
          <c:showCatName val="0"/>
          <c:showSerName val="0"/>
          <c:showPercent val="0"/>
          <c:showBubbleSize val="0"/>
        </c:dLbls>
        <c:axId val="1000168800"/>
        <c:axId val="1000182944"/>
      </c:scatterChart>
      <c:valAx>
        <c:axId val="100016880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Discount Rate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0182944"/>
        <c:crosses val="autoZero"/>
        <c:crossBetween val="midCat"/>
      </c:valAx>
      <c:valAx>
        <c:axId val="10001829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NPV ($)</a:t>
                </a:r>
              </a:p>
              <a:p>
                <a:pPr>
                  <a:defRPr/>
                </a:pPr>
                <a:endParaRPr lang="en-CA"/>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016880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withinLinear" id="14">
  <a:schemeClr val="accent1"/>
</cs:colorStyle>
</file>

<file path=xl/charts/style1.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79375</xdr:colOff>
      <xdr:row>2</xdr:row>
      <xdr:rowOff>15875</xdr:rowOff>
    </xdr:from>
    <xdr:to>
      <xdr:col>6</xdr:col>
      <xdr:colOff>323850</xdr:colOff>
      <xdr:row>6</xdr:row>
      <xdr:rowOff>47625</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79375" y="492125"/>
          <a:ext cx="6045200" cy="793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chemeClr val="dk1"/>
              </a:solidFill>
              <a:effectLst/>
              <a:latin typeface="+mn-lt"/>
              <a:ea typeface="+mn-ea"/>
              <a:cs typeface="+mn-cs"/>
            </a:rPr>
            <a:t>George, President and CEO of Terry's</a:t>
          </a:r>
          <a:r>
            <a:rPr lang="en-US" sz="1100" b="0" i="0" u="none" strike="noStrike" baseline="0">
              <a:solidFill>
                <a:schemeClr val="dk1"/>
              </a:solidFill>
              <a:effectLst/>
              <a:latin typeface="+mn-lt"/>
              <a:ea typeface="+mn-ea"/>
              <a:cs typeface="+mn-cs"/>
            </a:rPr>
            <a:t> Tee Time (TTT</a:t>
          </a:r>
          <a:r>
            <a:rPr lang="en-US" sz="1100" b="0" i="0" u="none" strike="noStrike">
              <a:solidFill>
                <a:schemeClr val="dk1"/>
              </a:solidFill>
              <a:effectLst/>
              <a:latin typeface="+mn-lt"/>
              <a:ea typeface="+mn-ea"/>
              <a:cs typeface="+mn-cs"/>
            </a:rPr>
            <a:t>) would like you to calculate the NPV, IRR,</a:t>
          </a:r>
          <a:r>
            <a:rPr lang="en-US" sz="1100" b="0" i="0" u="none" strike="noStrike" baseline="0">
              <a:solidFill>
                <a:schemeClr val="dk1"/>
              </a:solidFill>
              <a:effectLst/>
              <a:latin typeface="+mn-lt"/>
              <a:ea typeface="+mn-ea"/>
              <a:cs typeface="+mn-cs"/>
            </a:rPr>
            <a:t> MIRR, profitability index and payback period </a:t>
          </a:r>
          <a:r>
            <a:rPr lang="en-US" sz="1100" b="0" i="0" u="none" strike="noStrike">
              <a:solidFill>
                <a:schemeClr val="dk1"/>
              </a:solidFill>
              <a:effectLst/>
              <a:latin typeface="+mn-lt"/>
              <a:ea typeface="+mn-ea"/>
              <a:cs typeface="+mn-cs"/>
            </a:rPr>
            <a:t>of a new project that</a:t>
          </a:r>
          <a:r>
            <a:rPr lang="en-US"/>
            <a:t> </a:t>
          </a:r>
          <a:r>
            <a:rPr lang="en-US" sz="1100" b="0" i="0" u="none" strike="noStrike">
              <a:solidFill>
                <a:schemeClr val="dk1"/>
              </a:solidFill>
              <a:effectLst/>
              <a:latin typeface="+mn-lt"/>
              <a:ea typeface="+mn-ea"/>
              <a:cs typeface="+mn-cs"/>
            </a:rPr>
            <a:t>he is considering.  He would also like you to perform some sensitivity and scenario analysis.   The base</a:t>
          </a:r>
          <a:r>
            <a:rPr lang="en-US" sz="1100" b="0" i="0" u="none" strike="noStrike" baseline="0">
              <a:solidFill>
                <a:schemeClr val="dk1"/>
              </a:solidFill>
              <a:effectLst/>
              <a:latin typeface="+mn-lt"/>
              <a:ea typeface="+mn-ea"/>
              <a:cs typeface="+mn-cs"/>
            </a:rPr>
            <a:t> case </a:t>
          </a:r>
          <a:r>
            <a:rPr lang="en-US" sz="1100" b="0" i="0" u="none" strike="noStrike">
              <a:solidFill>
                <a:schemeClr val="dk1"/>
              </a:solidFill>
              <a:effectLst/>
              <a:latin typeface="+mn-lt"/>
              <a:ea typeface="+mn-ea"/>
              <a:cs typeface="+mn-cs"/>
            </a:rPr>
            <a:t>inputs are presented below</a:t>
          </a:r>
          <a:r>
            <a:rPr lang="en-US" sz="1100" b="0" i="0" u="none" strike="noStrike" baseline="0">
              <a:solidFill>
                <a:schemeClr val="dk1"/>
              </a:solidFill>
              <a:effectLst/>
              <a:latin typeface="+mn-lt"/>
              <a:ea typeface="+mn-ea"/>
              <a:cs typeface="+mn-cs"/>
            </a:rPr>
            <a:t> along with best and worst case scenarios:</a:t>
          </a:r>
          <a:endParaRPr lang="en-US" sz="1100"/>
        </a:p>
      </xdr:txBody>
    </xdr:sp>
    <xdr:clientData/>
  </xdr:twoCellAnchor>
  <xdr:twoCellAnchor>
    <xdr:from>
      <xdr:col>0</xdr:col>
      <xdr:colOff>79375</xdr:colOff>
      <xdr:row>2</xdr:row>
      <xdr:rowOff>15874</xdr:rowOff>
    </xdr:from>
    <xdr:to>
      <xdr:col>6</xdr:col>
      <xdr:colOff>335280</xdr:colOff>
      <xdr:row>6</xdr:row>
      <xdr:rowOff>137159</xdr:rowOff>
    </xdr:to>
    <xdr:sp macro="" textlink="">
      <xdr:nvSpPr>
        <xdr:cNvPr id="3" name="TextBox 2">
          <a:extLst>
            <a:ext uri="{FF2B5EF4-FFF2-40B4-BE49-F238E27FC236}">
              <a16:creationId xmlns:a16="http://schemas.microsoft.com/office/drawing/2014/main" id="{75F8D263-1C1A-4838-9094-EB1013517182}"/>
            </a:ext>
          </a:extLst>
        </xdr:cNvPr>
        <xdr:cNvSpPr txBox="1"/>
      </xdr:nvSpPr>
      <xdr:spPr>
        <a:xfrm>
          <a:off x="79375" y="488314"/>
          <a:ext cx="6214745" cy="8528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chemeClr val="dk1"/>
              </a:solidFill>
              <a:effectLst/>
              <a:latin typeface="+mn-lt"/>
              <a:ea typeface="+mn-ea"/>
              <a:cs typeface="+mn-cs"/>
            </a:rPr>
            <a:t>Mike, President and CEO of Inglis' Arctic Sports </a:t>
          </a:r>
          <a:r>
            <a:rPr lang="en-US" sz="1100" b="0" i="0" u="none" strike="noStrike" baseline="0">
              <a:solidFill>
                <a:schemeClr val="dk1"/>
              </a:solidFill>
              <a:effectLst/>
              <a:latin typeface="+mn-lt"/>
              <a:ea typeface="+mn-ea"/>
              <a:cs typeface="+mn-cs"/>
            </a:rPr>
            <a:t>(IAS</a:t>
          </a:r>
          <a:r>
            <a:rPr lang="en-US" sz="1100" b="0" i="0" u="none" strike="noStrike">
              <a:solidFill>
                <a:schemeClr val="dk1"/>
              </a:solidFill>
              <a:effectLst/>
              <a:latin typeface="+mn-lt"/>
              <a:ea typeface="+mn-ea"/>
              <a:cs typeface="+mn-cs"/>
            </a:rPr>
            <a:t>) would like you to calculate the NPV, IRR,</a:t>
          </a:r>
          <a:r>
            <a:rPr lang="en-US" sz="1100" b="0" i="0" u="none" strike="noStrike" baseline="0">
              <a:solidFill>
                <a:schemeClr val="dk1"/>
              </a:solidFill>
              <a:effectLst/>
              <a:latin typeface="+mn-lt"/>
              <a:ea typeface="+mn-ea"/>
              <a:cs typeface="+mn-cs"/>
            </a:rPr>
            <a:t> MIRR, profitability index and payback period </a:t>
          </a:r>
          <a:r>
            <a:rPr lang="en-US" sz="1100" b="0" i="0" u="none" strike="noStrike">
              <a:solidFill>
                <a:schemeClr val="dk1"/>
              </a:solidFill>
              <a:effectLst/>
              <a:latin typeface="+mn-lt"/>
              <a:ea typeface="+mn-ea"/>
              <a:cs typeface="+mn-cs"/>
            </a:rPr>
            <a:t>of a new project that</a:t>
          </a:r>
          <a:r>
            <a:rPr lang="en-US"/>
            <a:t> </a:t>
          </a:r>
          <a:r>
            <a:rPr lang="en-US" sz="1100" b="0" i="0" u="none" strike="noStrike">
              <a:solidFill>
                <a:schemeClr val="dk1"/>
              </a:solidFill>
              <a:effectLst/>
              <a:latin typeface="+mn-lt"/>
              <a:ea typeface="+mn-ea"/>
              <a:cs typeface="+mn-cs"/>
            </a:rPr>
            <a:t>he is considering.  He would also like you to perform some sensitivity and scenario analysis.   The base</a:t>
          </a:r>
          <a:r>
            <a:rPr lang="en-US" sz="1100" b="0" i="0" u="none" strike="noStrike" baseline="0">
              <a:solidFill>
                <a:schemeClr val="dk1"/>
              </a:solidFill>
              <a:effectLst/>
              <a:latin typeface="+mn-lt"/>
              <a:ea typeface="+mn-ea"/>
              <a:cs typeface="+mn-cs"/>
            </a:rPr>
            <a:t> case </a:t>
          </a:r>
          <a:r>
            <a:rPr lang="en-US" sz="1100" b="0" i="0" u="none" strike="noStrike">
              <a:solidFill>
                <a:schemeClr val="dk1"/>
              </a:solidFill>
              <a:effectLst/>
              <a:latin typeface="+mn-lt"/>
              <a:ea typeface="+mn-ea"/>
              <a:cs typeface="+mn-cs"/>
            </a:rPr>
            <a:t>inputs are presented below</a:t>
          </a:r>
          <a:r>
            <a:rPr lang="en-US" sz="1100" b="0" i="0" u="none" strike="noStrike" baseline="0">
              <a:solidFill>
                <a:schemeClr val="dk1"/>
              </a:solidFill>
              <a:effectLst/>
              <a:latin typeface="+mn-lt"/>
              <a:ea typeface="+mn-ea"/>
              <a:cs typeface="+mn-cs"/>
            </a:rPr>
            <a:t> along with best and worst case scenarios:</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268431</xdr:colOff>
      <xdr:row>80</xdr:row>
      <xdr:rowOff>138545</xdr:rowOff>
    </xdr:from>
    <xdr:to>
      <xdr:col>7</xdr:col>
      <xdr:colOff>8658</xdr:colOff>
      <xdr:row>99</xdr:row>
      <xdr:rowOff>121227</xdr:rowOff>
    </xdr:to>
    <xdr:graphicFrame macro="">
      <xdr:nvGraphicFramePr>
        <xdr:cNvPr id="2" name="Chart 1">
          <a:extLst>
            <a:ext uri="{FF2B5EF4-FFF2-40B4-BE49-F238E27FC236}">
              <a16:creationId xmlns:a16="http://schemas.microsoft.com/office/drawing/2014/main" id="{B2A654B0-25F4-46E2-92D2-ACE08DA68A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20</xdr:row>
      <xdr:rowOff>66675</xdr:rowOff>
    </xdr:from>
    <xdr:to>
      <xdr:col>5</xdr:col>
      <xdr:colOff>552449</xdr:colOff>
      <xdr:row>38</xdr:row>
      <xdr:rowOff>249382</xdr:rowOff>
    </xdr:to>
    <xdr:graphicFrame macro="">
      <xdr:nvGraphicFramePr>
        <xdr:cNvPr id="4" name="Chart 3">
          <a:extLst>
            <a:ext uri="{FF2B5EF4-FFF2-40B4-BE49-F238E27FC236}">
              <a16:creationId xmlns:a16="http://schemas.microsoft.com/office/drawing/2014/main" id="{88D220DC-EB6F-4D23-B127-2C51E9558E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Ryerson\AFF514\Assignments%202020\Assignment%20%232%20-%20IAS%20Capital%20Budgeting%20and%20Scenario%20Analysis%20-%20Solu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umentation"/>
      <sheetName val="Notes"/>
      <sheetName val="NPV Model"/>
      <sheetName val="NWC Schedule"/>
      <sheetName val="CCA Schedule"/>
    </sheetNames>
    <sheetDataSet>
      <sheetData sheetId="0" refreshError="1"/>
      <sheetData sheetId="1" refreshError="1"/>
      <sheetData sheetId="2"/>
      <sheetData sheetId="3" refreshError="1"/>
      <sheetData sheetId="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4E45B0-01B8-4D89-BD12-B8D92457FFC2}">
  <sheetPr>
    <tabColor theme="9"/>
  </sheetPr>
  <dimension ref="A1:K10"/>
  <sheetViews>
    <sheetView workbookViewId="0">
      <selection activeCell="F11" sqref="F11"/>
    </sheetView>
  </sheetViews>
  <sheetFormatPr defaultRowHeight="15" x14ac:dyDescent="0.25"/>
  <sheetData>
    <row r="1" spans="1:11" ht="15.75" thickBot="1" x14ac:dyDescent="0.3">
      <c r="A1" s="192" t="s">
        <v>130</v>
      </c>
      <c r="B1" s="193"/>
      <c r="C1" s="193"/>
      <c r="D1" s="193"/>
      <c r="E1" s="193"/>
      <c r="F1" s="193"/>
      <c r="G1" s="193"/>
      <c r="H1" s="193"/>
      <c r="I1" s="193"/>
      <c r="J1" s="193"/>
      <c r="K1" s="194"/>
    </row>
    <row r="2" spans="1:11" ht="16.5" thickTop="1" thickBot="1" x14ac:dyDescent="0.3">
      <c r="A2" s="195"/>
      <c r="B2" s="196"/>
      <c r="C2" s="196"/>
      <c r="D2" s="196"/>
      <c r="E2" s="196"/>
      <c r="F2" s="196"/>
      <c r="G2" s="196"/>
      <c r="H2" s="196"/>
      <c r="I2" s="196"/>
      <c r="J2" s="196"/>
      <c r="K2" s="197"/>
    </row>
    <row r="3" spans="1:11" ht="16.5" thickTop="1" thickBot="1" x14ac:dyDescent="0.3">
      <c r="A3" s="198"/>
      <c r="B3" s="199"/>
      <c r="C3" s="199"/>
      <c r="D3" s="199"/>
      <c r="E3" s="199"/>
      <c r="F3" s="199"/>
      <c r="G3" s="199"/>
      <c r="H3" s="199"/>
      <c r="I3" s="199"/>
      <c r="J3" s="199"/>
      <c r="K3" s="200"/>
    </row>
    <row r="4" spans="1:11" ht="22.5" x14ac:dyDescent="0.3">
      <c r="A4" s="190" t="s">
        <v>125</v>
      </c>
      <c r="B4" s="33"/>
      <c r="C4" s="28" t="s">
        <v>131</v>
      </c>
      <c r="D4" s="28"/>
      <c r="E4" s="28"/>
      <c r="F4" s="28"/>
      <c r="G4" s="28"/>
      <c r="H4" s="28"/>
      <c r="I4" s="28"/>
      <c r="J4" s="28"/>
      <c r="K4" s="33"/>
    </row>
    <row r="5" spans="1:11" x14ac:dyDescent="0.25">
      <c r="A5" s="29"/>
      <c r="B5" s="34"/>
      <c r="C5" t="s">
        <v>132</v>
      </c>
      <c r="K5" s="34"/>
    </row>
    <row r="6" spans="1:11" ht="15.75" thickBot="1" x14ac:dyDescent="0.3">
      <c r="A6" s="31"/>
      <c r="B6" s="36"/>
      <c r="C6" s="32" t="s">
        <v>133</v>
      </c>
      <c r="D6" s="32"/>
      <c r="E6" s="32"/>
      <c r="F6" s="32"/>
      <c r="G6" s="32"/>
      <c r="H6" s="32"/>
      <c r="I6" s="32"/>
      <c r="J6" s="32"/>
      <c r="K6" s="36"/>
    </row>
    <row r="8" spans="1:11" ht="22.5" x14ac:dyDescent="0.3">
      <c r="A8" s="191" t="s">
        <v>126</v>
      </c>
      <c r="B8" s="201" t="s">
        <v>127</v>
      </c>
      <c r="C8" s="201"/>
    </row>
    <row r="9" spans="1:11" ht="22.5" x14ac:dyDescent="0.3">
      <c r="A9" s="191" t="s">
        <v>128</v>
      </c>
      <c r="B9" s="201">
        <v>501069974</v>
      </c>
      <c r="C9" s="201"/>
    </row>
    <row r="10" spans="1:11" ht="22.5" x14ac:dyDescent="0.3">
      <c r="A10" s="191" t="s">
        <v>129</v>
      </c>
      <c r="B10" s="202">
        <v>44466</v>
      </c>
      <c r="C10" s="203"/>
    </row>
  </sheetData>
  <mergeCells count="4">
    <mergeCell ref="A1:K3"/>
    <mergeCell ref="B8:C8"/>
    <mergeCell ref="B9:C9"/>
    <mergeCell ref="B10:C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FFFF00"/>
  </sheetPr>
  <dimension ref="A1:E41"/>
  <sheetViews>
    <sheetView tabSelected="1" workbookViewId="0"/>
  </sheetViews>
  <sheetFormatPr defaultRowHeight="15" x14ac:dyDescent="0.25"/>
  <cols>
    <col min="1" max="1" width="25.140625" customWidth="1"/>
    <col min="2" max="2" width="13.140625" bestFit="1" customWidth="1"/>
    <col min="3" max="5" width="13.7109375" customWidth="1"/>
    <col min="6" max="7" width="12.7109375" customWidth="1"/>
  </cols>
  <sheetData>
    <row r="1" spans="1:5" ht="22.5" x14ac:dyDescent="0.3">
      <c r="A1" s="5" t="s">
        <v>73</v>
      </c>
    </row>
    <row r="8" spans="1:5" x14ac:dyDescent="0.25">
      <c r="C8" s="1" t="s">
        <v>34</v>
      </c>
      <c r="D8" s="1" t="s">
        <v>35</v>
      </c>
      <c r="E8" s="1" t="s">
        <v>36</v>
      </c>
    </row>
    <row r="9" spans="1:5" x14ac:dyDescent="0.25">
      <c r="A9" s="2" t="s">
        <v>15</v>
      </c>
      <c r="B9" s="16" t="s">
        <v>14</v>
      </c>
      <c r="C9" s="107">
        <v>5</v>
      </c>
      <c r="D9" s="108">
        <v>5</v>
      </c>
      <c r="E9" s="121">
        <v>5</v>
      </c>
    </row>
    <row r="10" spans="1:5" x14ac:dyDescent="0.25">
      <c r="A10" s="2" t="s">
        <v>0</v>
      </c>
      <c r="B10" s="16" t="s">
        <v>20</v>
      </c>
      <c r="C10" s="26">
        <v>1050000</v>
      </c>
      <c r="D10" s="26">
        <v>1020000</v>
      </c>
      <c r="E10" s="26">
        <v>1070000</v>
      </c>
    </row>
    <row r="11" spans="1:5" x14ac:dyDescent="0.25">
      <c r="A11" s="2" t="s">
        <v>6</v>
      </c>
      <c r="B11" s="16" t="s">
        <v>16</v>
      </c>
      <c r="C11" s="26">
        <v>300000</v>
      </c>
      <c r="D11" s="26">
        <v>337500</v>
      </c>
      <c r="E11" s="26">
        <v>225000</v>
      </c>
    </row>
    <row r="12" spans="1:5" x14ac:dyDescent="0.25">
      <c r="A12" s="2" t="s">
        <v>38</v>
      </c>
      <c r="B12" s="16" t="s">
        <v>25</v>
      </c>
      <c r="C12">
        <v>15000</v>
      </c>
      <c r="D12">
        <v>18000</v>
      </c>
      <c r="E12">
        <v>12000</v>
      </c>
    </row>
    <row r="13" spans="1:5" x14ac:dyDescent="0.25">
      <c r="A13" s="2" t="s">
        <v>40</v>
      </c>
      <c r="B13" s="17" t="s">
        <v>26</v>
      </c>
      <c r="C13" s="14">
        <v>0.05</v>
      </c>
      <c r="D13" s="25">
        <v>0.08</v>
      </c>
      <c r="E13" s="25">
        <v>0.04</v>
      </c>
    </row>
    <row r="14" spans="1:5" x14ac:dyDescent="0.25">
      <c r="A14" s="2" t="s">
        <v>22</v>
      </c>
      <c r="B14" s="16" t="s">
        <v>23</v>
      </c>
      <c r="C14" s="41">
        <v>90</v>
      </c>
      <c r="D14" s="26">
        <v>96</v>
      </c>
      <c r="E14" s="26">
        <v>85</v>
      </c>
    </row>
    <row r="15" spans="1:5" x14ac:dyDescent="0.25">
      <c r="A15" s="2" t="s">
        <v>7</v>
      </c>
      <c r="B15" s="16" t="s">
        <v>18</v>
      </c>
      <c r="C15" s="41">
        <v>65</v>
      </c>
      <c r="D15" s="26">
        <v>64</v>
      </c>
      <c r="E15" s="26">
        <v>67</v>
      </c>
    </row>
    <row r="16" spans="1:5" x14ac:dyDescent="0.25">
      <c r="A16" s="2" t="s">
        <v>5</v>
      </c>
      <c r="B16" s="16" t="s">
        <v>17</v>
      </c>
      <c r="C16" s="26">
        <v>75000</v>
      </c>
      <c r="D16" s="26">
        <v>65625</v>
      </c>
      <c r="E16" s="26">
        <v>84375</v>
      </c>
    </row>
    <row r="17" spans="1:5" x14ac:dyDescent="0.25">
      <c r="A17" s="2" t="s">
        <v>8</v>
      </c>
      <c r="B17" s="16" t="s">
        <v>60</v>
      </c>
      <c r="C17" s="26">
        <v>125000</v>
      </c>
      <c r="D17" s="26">
        <v>100000</v>
      </c>
      <c r="E17" s="26">
        <v>137500</v>
      </c>
    </row>
    <row r="18" spans="1:5" x14ac:dyDescent="0.25">
      <c r="A18" s="3" t="s">
        <v>59</v>
      </c>
      <c r="B18" s="17" t="s">
        <v>61</v>
      </c>
      <c r="C18" s="25">
        <v>0.1</v>
      </c>
      <c r="D18" s="25">
        <v>0.08</v>
      </c>
      <c r="E18" s="25">
        <v>0.12</v>
      </c>
    </row>
    <row r="19" spans="1:5" x14ac:dyDescent="0.25">
      <c r="A19" s="2" t="s">
        <v>4</v>
      </c>
      <c r="B19" s="16" t="s">
        <v>19</v>
      </c>
      <c r="C19" s="14">
        <v>0.35</v>
      </c>
      <c r="D19" s="14">
        <v>0.35</v>
      </c>
      <c r="E19" s="14">
        <v>0.35</v>
      </c>
    </row>
    <row r="20" spans="1:5" x14ac:dyDescent="0.25">
      <c r="A20" s="3" t="s">
        <v>54</v>
      </c>
      <c r="B20" s="17" t="s">
        <v>55</v>
      </c>
      <c r="C20" s="25">
        <v>0.25</v>
      </c>
      <c r="D20" s="25">
        <v>0.25</v>
      </c>
      <c r="E20" s="25">
        <v>0.25</v>
      </c>
    </row>
    <row r="21" spans="1:5" x14ac:dyDescent="0.25">
      <c r="A21" s="2" t="s">
        <v>12</v>
      </c>
      <c r="B21" s="16" t="s">
        <v>21</v>
      </c>
      <c r="C21" s="14">
        <v>0.15</v>
      </c>
      <c r="D21" s="14">
        <v>0.15</v>
      </c>
      <c r="E21" s="14">
        <v>0.15</v>
      </c>
    </row>
    <row r="23" spans="1:5" x14ac:dyDescent="0.25">
      <c r="A23" t="s">
        <v>37</v>
      </c>
    </row>
    <row r="24" spans="1:5" x14ac:dyDescent="0.25">
      <c r="A24" t="s">
        <v>41</v>
      </c>
    </row>
    <row r="25" spans="1:5" x14ac:dyDescent="0.25">
      <c r="A25" t="s">
        <v>42</v>
      </c>
    </row>
    <row r="26" spans="1:5" x14ac:dyDescent="0.25">
      <c r="A26" t="s">
        <v>74</v>
      </c>
    </row>
    <row r="27" spans="1:5" x14ac:dyDescent="0.25">
      <c r="A27" t="s">
        <v>72</v>
      </c>
    </row>
    <row r="28" spans="1:5" x14ac:dyDescent="0.25">
      <c r="A28" t="s">
        <v>63</v>
      </c>
    </row>
    <row r="29" spans="1:5" x14ac:dyDescent="0.25">
      <c r="A29" t="s">
        <v>47</v>
      </c>
    </row>
    <row r="30" spans="1:5" x14ac:dyDescent="0.25">
      <c r="A30" t="s">
        <v>48</v>
      </c>
    </row>
    <row r="31" spans="1:5" x14ac:dyDescent="0.25">
      <c r="A31" t="s">
        <v>70</v>
      </c>
    </row>
    <row r="32" spans="1:5" x14ac:dyDescent="0.25">
      <c r="A32" t="s">
        <v>69</v>
      </c>
    </row>
    <row r="33" spans="1:1" x14ac:dyDescent="0.25">
      <c r="A33" t="s">
        <v>75</v>
      </c>
    </row>
    <row r="34" spans="1:1" x14ac:dyDescent="0.25">
      <c r="A34" t="s">
        <v>43</v>
      </c>
    </row>
    <row r="35" spans="1:1" x14ac:dyDescent="0.25">
      <c r="A35" t="s">
        <v>44</v>
      </c>
    </row>
    <row r="36" spans="1:1" x14ac:dyDescent="0.25">
      <c r="A36" t="s">
        <v>64</v>
      </c>
    </row>
    <row r="37" spans="1:1" x14ac:dyDescent="0.25">
      <c r="A37" t="s">
        <v>71</v>
      </c>
    </row>
    <row r="38" spans="1:1" x14ac:dyDescent="0.25">
      <c r="A38" t="s">
        <v>45</v>
      </c>
    </row>
    <row r="39" spans="1:1" x14ac:dyDescent="0.25">
      <c r="A39" t="s">
        <v>49</v>
      </c>
    </row>
    <row r="40" spans="1:1" x14ac:dyDescent="0.25">
      <c r="A40" t="s">
        <v>51</v>
      </c>
    </row>
    <row r="41" spans="1:1" x14ac:dyDescent="0.25">
      <c r="A41" t="s">
        <v>76</v>
      </c>
    </row>
  </sheetData>
  <pageMargins left="0.7" right="0.7" top="0.75" bottom="0.75" header="0.3" footer="0.3"/>
  <pageSetup orientation="landscape" horizontalDpi="0" verticalDpi="0" r:id="rId1"/>
  <rowBreaks count="2" manualBreakCount="2">
    <brk id="20" max="16383" man="1"/>
    <brk id="39" max="16383" man="1"/>
  </rowBreaks>
  <drawing r:id="rId2"/>
  <extLst>
    <ext xmlns:x14="http://schemas.microsoft.com/office/spreadsheetml/2009/9/main" uri="{78C0D931-6437-407d-A8EE-F0AAD7539E65}">
      <x14:conditionalFormattings>
        <x14:conditionalFormatting xmlns:xm="http://schemas.microsoft.com/office/excel/2006/main">
          <x14:cfRule type="expression" priority="1" id="{AC81BD5D-5BA9-4500-A723-D165DD2EE97D}">
            <xm:f>'D:\Ryerson\AFF514\Assignments 2020\[Assignment #2 - IAS Capital Budgeting and Scenario Analysis - Solution.xlsx]NPV Model'!#REF!&lt;&gt;'D:\Ryerson\AFF514\Assignments 2020\[Assignment #2 - IAS Capital Budgeting and Scenario Analysis - Solution.xlsx]NPV Model'!#REF!</xm:f>
            <x14:dxf>
              <font>
                <color theme="9" tint="-0.24994659260841701"/>
              </font>
            </x14:dxf>
          </x14:cfRule>
          <xm:sqref>E9 E13:E15 E18</xm:sqref>
        </x14:conditionalFormatting>
        <x14:conditionalFormatting xmlns:xm="http://schemas.microsoft.com/office/excel/2006/main">
          <x14:cfRule type="expression" priority="2" id="{B030DB4A-8C4D-41DB-B5DF-6A223D80B2F4}">
            <xm:f>'D:\Ryerson\AFF514\Assignments 2020\[Assignment #2 - IAS Capital Budgeting and Scenario Analysis - Solution.xlsx]NPV Model'!#REF!&lt;&gt;'D:\Ryerson\AFF514\Assignments 2020\[Assignment #2 - IAS Capital Budgeting and Scenario Analysis - Solution.xlsx]NPV Model'!#REF!</xm:f>
            <x14:dxf>
              <font>
                <color theme="6" tint="-0.24994659260841701"/>
              </font>
            </x14:dxf>
          </x14:cfRule>
          <xm:sqref>D9 D13:D15 D18</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tint="0.59999389629810485"/>
  </sheetPr>
  <dimension ref="A1:H12"/>
  <sheetViews>
    <sheetView zoomScale="115" zoomScaleNormal="115" workbookViewId="0">
      <selection activeCell="S22" sqref="S22"/>
    </sheetView>
  </sheetViews>
  <sheetFormatPr defaultRowHeight="15" x14ac:dyDescent="0.25"/>
  <cols>
    <col min="1" max="1" width="23.42578125" bestFit="1" customWidth="1"/>
    <col min="2" max="2" width="14.140625" bestFit="1" customWidth="1"/>
    <col min="3" max="8" width="13.7109375" customWidth="1"/>
  </cols>
  <sheetData>
    <row r="1" spans="1:8" ht="15.75" thickBot="1" x14ac:dyDescent="0.3">
      <c r="A1" s="234" t="s">
        <v>1</v>
      </c>
      <c r="B1" s="234"/>
      <c r="C1" s="51">
        <v>0</v>
      </c>
      <c r="D1" s="52">
        <v>1</v>
      </c>
      <c r="E1" s="52">
        <v>2</v>
      </c>
      <c r="F1" s="52">
        <v>3</v>
      </c>
      <c r="G1" s="52">
        <v>4</v>
      </c>
      <c r="H1" s="53">
        <v>5</v>
      </c>
    </row>
    <row r="2" spans="1:8" x14ac:dyDescent="0.25">
      <c r="A2" s="211" t="s">
        <v>82</v>
      </c>
      <c r="B2" s="223"/>
      <c r="C2" s="54">
        <f>NWC_0</f>
        <v>125000</v>
      </c>
      <c r="D2" s="55">
        <f>NWC_to_Sales*'NPV Model'!D43</f>
        <v>128250</v>
      </c>
      <c r="E2" s="55">
        <f>NWC_to_Sales*'NPV Model'!E43</f>
        <v>134662.5</v>
      </c>
      <c r="F2" s="55">
        <f>NWC_to_Sales*'NPV Model'!F43</f>
        <v>141395.625</v>
      </c>
      <c r="G2" s="55">
        <f>NWC_to_Sales*'NPV Model'!G43</f>
        <v>148465.40625</v>
      </c>
      <c r="H2" s="60">
        <f>NWC_to_Sales*'NPV Model'!H43</f>
        <v>155888.67656250001</v>
      </c>
    </row>
    <row r="3" spans="1:8" x14ac:dyDescent="0.25">
      <c r="A3" s="207" t="s">
        <v>83</v>
      </c>
      <c r="B3" s="208"/>
      <c r="C3" s="59">
        <f>-C2</f>
        <v>-125000</v>
      </c>
      <c r="D3" s="43">
        <f>-(D2-C2)</f>
        <v>-3250</v>
      </c>
      <c r="E3" s="43">
        <f t="shared" ref="E3:H3" si="0">-(E2-D2)</f>
        <v>-6412.5</v>
      </c>
      <c r="F3" s="43">
        <f t="shared" si="0"/>
        <v>-6733.125</v>
      </c>
      <c r="G3" s="43">
        <f t="shared" si="0"/>
        <v>-7069.78125</v>
      </c>
      <c r="H3" s="30">
        <f t="shared" si="0"/>
        <v>-7423.2703125000116</v>
      </c>
    </row>
    <row r="4" spans="1:8" x14ac:dyDescent="0.25">
      <c r="A4" s="207" t="s">
        <v>84</v>
      </c>
      <c r="B4" s="208"/>
      <c r="C4" s="81"/>
      <c r="D4" s="80"/>
      <c r="E4" s="80"/>
      <c r="F4" s="80"/>
      <c r="G4" s="80"/>
      <c r="H4" s="82">
        <f>H2</f>
        <v>155888.67656250001</v>
      </c>
    </row>
    <row r="5" spans="1:8" ht="15.75" thickBot="1" x14ac:dyDescent="0.3">
      <c r="A5" s="204" t="s">
        <v>85</v>
      </c>
      <c r="B5" s="206"/>
      <c r="C5" s="79">
        <f>SUM(C3:C4)</f>
        <v>-125000</v>
      </c>
      <c r="D5" s="79">
        <f t="shared" ref="D5:H5" si="1">SUM(D3:D4)</f>
        <v>-3250</v>
      </c>
      <c r="E5" s="79">
        <f t="shared" si="1"/>
        <v>-6412.5</v>
      </c>
      <c r="F5" s="79">
        <f t="shared" si="1"/>
        <v>-6733.125</v>
      </c>
      <c r="G5" s="79">
        <f t="shared" si="1"/>
        <v>-7069.78125</v>
      </c>
      <c r="H5" s="83">
        <f t="shared" si="1"/>
        <v>148465.40625</v>
      </c>
    </row>
    <row r="8" spans="1:8" x14ac:dyDescent="0.25">
      <c r="A8" s="1"/>
      <c r="C8" s="1"/>
      <c r="D8" s="1"/>
      <c r="E8" s="1"/>
      <c r="F8" s="1"/>
      <c r="G8" s="1"/>
      <c r="H8" s="1"/>
    </row>
    <row r="9" spans="1:8" x14ac:dyDescent="0.25">
      <c r="A9" s="4"/>
      <c r="C9" s="7"/>
      <c r="D9" s="7"/>
      <c r="E9" s="7"/>
      <c r="F9" s="7"/>
      <c r="G9" s="7"/>
      <c r="H9" s="7"/>
    </row>
    <row r="10" spans="1:8" x14ac:dyDescent="0.25">
      <c r="A10" s="4"/>
      <c r="C10" s="7"/>
      <c r="D10" s="7"/>
      <c r="E10" s="7"/>
      <c r="F10" s="7"/>
      <c r="G10" s="7"/>
      <c r="H10" s="7"/>
    </row>
    <row r="11" spans="1:8" x14ac:dyDescent="0.25">
      <c r="A11" s="4"/>
      <c r="C11" s="7"/>
      <c r="D11" s="7"/>
      <c r="E11" s="7"/>
      <c r="F11" s="7"/>
      <c r="G11" s="7"/>
      <c r="H11" s="7"/>
    </row>
    <row r="12" spans="1:8" x14ac:dyDescent="0.25">
      <c r="A12" s="4"/>
      <c r="C12" s="8"/>
      <c r="D12" s="8"/>
      <c r="E12" s="8"/>
      <c r="F12" s="8"/>
      <c r="G12" s="8"/>
      <c r="H12" s="8"/>
    </row>
  </sheetData>
  <mergeCells count="5">
    <mergeCell ref="A2:B2"/>
    <mergeCell ref="A3:B3"/>
    <mergeCell ref="A4:B4"/>
    <mergeCell ref="A5:B5"/>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00B050"/>
  </sheetPr>
  <dimension ref="A1:AA159"/>
  <sheetViews>
    <sheetView zoomScale="55" zoomScaleNormal="55" workbookViewId="0">
      <selection activeCell="A82" sqref="A82:B108"/>
    </sheetView>
  </sheetViews>
  <sheetFormatPr defaultRowHeight="15" x14ac:dyDescent="0.25"/>
  <cols>
    <col min="1" max="1" width="31" customWidth="1"/>
    <col min="2" max="7" width="13.7109375" customWidth="1"/>
    <col min="8" max="8" width="15.140625" customWidth="1"/>
    <col min="9" max="9" width="35.7109375" customWidth="1"/>
    <col min="10" max="14" width="13.7109375" customWidth="1"/>
    <col min="15" max="16" width="15.7109375" customWidth="1"/>
    <col min="17" max="17" width="13.28515625" customWidth="1"/>
    <col min="18" max="18" width="12.5703125" customWidth="1"/>
    <col min="19" max="34" width="15.7109375" customWidth="1"/>
  </cols>
  <sheetData>
    <row r="1" spans="1:27" ht="23.25" customHeight="1" thickBot="1" x14ac:dyDescent="0.3">
      <c r="A1" s="216" t="s">
        <v>77</v>
      </c>
      <c r="B1" s="216"/>
      <c r="C1" s="216"/>
      <c r="D1" s="216"/>
      <c r="E1" s="216"/>
      <c r="F1" s="19"/>
      <c r="G1" s="19"/>
      <c r="H1" s="19"/>
      <c r="I1" s="19"/>
      <c r="J1" s="19"/>
      <c r="K1" s="19"/>
      <c r="L1" s="19"/>
      <c r="M1" s="19"/>
      <c r="N1" s="19"/>
      <c r="O1" s="19"/>
      <c r="P1" s="19"/>
      <c r="Q1" s="19"/>
      <c r="R1" s="19"/>
      <c r="S1" s="19"/>
      <c r="T1" s="19"/>
      <c r="U1" s="19"/>
      <c r="V1" s="19"/>
      <c r="W1" s="19"/>
    </row>
    <row r="2" spans="1:27" ht="24" customHeight="1" thickTop="1" thickBot="1" x14ac:dyDescent="0.3">
      <c r="A2" s="216"/>
      <c r="B2" s="216"/>
      <c r="C2" s="216"/>
      <c r="D2" s="216"/>
      <c r="E2" s="216"/>
      <c r="F2" s="19"/>
    </row>
    <row r="3" spans="1:27" ht="60.75" customHeight="1" thickTop="1" thickBot="1" x14ac:dyDescent="0.35">
      <c r="A3" s="18"/>
    </row>
    <row r="4" spans="1:27" ht="21.75" thickBot="1" x14ac:dyDescent="0.35">
      <c r="A4" s="221" t="s">
        <v>119</v>
      </c>
      <c r="B4" s="222"/>
      <c r="C4" s="219" t="s">
        <v>97</v>
      </c>
      <c r="D4" s="219"/>
      <c r="E4" s="220"/>
      <c r="F4" s="19"/>
      <c r="I4" s="132" t="s">
        <v>120</v>
      </c>
      <c r="J4" s="155"/>
      <c r="K4" s="155"/>
      <c r="V4" s="19"/>
      <c r="W4" s="19"/>
    </row>
    <row r="5" spans="1:27" ht="24" thickBot="1" x14ac:dyDescent="0.4">
      <c r="A5" s="210" t="s">
        <v>3</v>
      </c>
      <c r="B5" s="210"/>
      <c r="C5" s="133"/>
      <c r="D5" s="133"/>
      <c r="E5" s="133"/>
      <c r="F5" s="20"/>
      <c r="H5" s="156"/>
      <c r="I5" s="225" t="s">
        <v>122</v>
      </c>
      <c r="J5" s="226"/>
      <c r="K5" s="226"/>
      <c r="L5" s="226"/>
      <c r="M5" s="226"/>
      <c r="N5" s="226"/>
      <c r="O5" s="226"/>
      <c r="P5" s="226"/>
      <c r="Q5" s="226"/>
      <c r="R5" s="226"/>
      <c r="S5" s="226"/>
      <c r="T5" s="226"/>
      <c r="U5" s="226"/>
      <c r="V5" s="227"/>
      <c r="W5" s="228" t="s">
        <v>124</v>
      </c>
      <c r="X5" s="229"/>
      <c r="Y5" s="229"/>
      <c r="Z5" s="229"/>
      <c r="AA5" s="230"/>
    </row>
    <row r="6" spans="1:27" ht="46.5" thickTop="1" thickBot="1" x14ac:dyDescent="0.3">
      <c r="A6" s="133"/>
      <c r="B6" s="133"/>
      <c r="C6" s="133"/>
      <c r="D6" s="133"/>
      <c r="E6" s="134"/>
      <c r="F6" s="21"/>
      <c r="I6" s="154" t="s">
        <v>121</v>
      </c>
      <c r="J6" s="140" t="s">
        <v>15</v>
      </c>
      <c r="K6" s="140" t="s">
        <v>0</v>
      </c>
      <c r="L6" s="140" t="s">
        <v>6</v>
      </c>
      <c r="M6" s="140" t="s">
        <v>38</v>
      </c>
      <c r="N6" s="140" t="s">
        <v>40</v>
      </c>
      <c r="O6" s="140" t="s">
        <v>22</v>
      </c>
      <c r="P6" s="140" t="s">
        <v>7</v>
      </c>
      <c r="Q6" s="140" t="s">
        <v>5</v>
      </c>
      <c r="R6" s="140" t="s">
        <v>8</v>
      </c>
      <c r="S6" s="140" t="s">
        <v>59</v>
      </c>
      <c r="T6" s="140" t="s">
        <v>4</v>
      </c>
      <c r="U6" s="140" t="s">
        <v>54</v>
      </c>
      <c r="V6" s="141" t="s">
        <v>12</v>
      </c>
      <c r="W6" s="142" t="s">
        <v>32</v>
      </c>
      <c r="X6" s="143" t="s">
        <v>52</v>
      </c>
      <c r="Y6" s="144" t="s">
        <v>66</v>
      </c>
      <c r="Z6" s="144" t="s">
        <v>67</v>
      </c>
      <c r="AA6" s="145" t="s">
        <v>123</v>
      </c>
    </row>
    <row r="7" spans="1:27" ht="15.75" thickBot="1" x14ac:dyDescent="0.3">
      <c r="A7" s="133"/>
      <c r="B7" s="139" t="s">
        <v>46</v>
      </c>
      <c r="C7" s="232" t="s">
        <v>39</v>
      </c>
      <c r="D7" s="232"/>
      <c r="E7" s="232"/>
      <c r="F7" s="22"/>
      <c r="G7" s="157"/>
      <c r="I7" s="163"/>
      <c r="J7" s="164">
        <f>N</f>
        <v>5</v>
      </c>
      <c r="K7" s="165">
        <f>CapEx</f>
        <v>1050000</v>
      </c>
      <c r="L7" s="165">
        <f>Sal</f>
        <v>300000</v>
      </c>
      <c r="M7" s="166">
        <f>FYS_Vol</f>
        <v>15000</v>
      </c>
      <c r="N7" s="167">
        <f>GR</f>
        <v>0.05</v>
      </c>
      <c r="O7" s="165">
        <f>Rev_unit</f>
        <v>85.5</v>
      </c>
      <c r="P7" s="165">
        <f>VC</f>
        <v>65</v>
      </c>
      <c r="Q7" s="165">
        <f>FC</f>
        <v>75000</v>
      </c>
      <c r="R7" s="168">
        <f>NWC_0</f>
        <v>125000</v>
      </c>
      <c r="S7" s="167">
        <f>NWC_to_Sales</f>
        <v>0.1</v>
      </c>
      <c r="T7" s="167">
        <f>Tax_Rate</f>
        <v>0.35</v>
      </c>
      <c r="U7" s="169">
        <f>d</f>
        <v>0.25</v>
      </c>
      <c r="V7" s="169">
        <f>rr</f>
        <v>0.15</v>
      </c>
      <c r="W7" s="168">
        <f>NPV</f>
        <v>-219653.31516670214</v>
      </c>
      <c r="X7" s="169">
        <f>IRR</f>
        <v>8.1413641861818098E-2</v>
      </c>
      <c r="Y7" s="169">
        <f>MIRR</f>
        <v>0.1033732917293837</v>
      </c>
      <c r="Z7" s="168">
        <f>PI</f>
        <v>0.81306100836876416</v>
      </c>
      <c r="AA7" s="170">
        <f>Payback_Period</f>
        <v>4.4457562736258751</v>
      </c>
    </row>
    <row r="8" spans="1:27" ht="15.75" thickBot="1" x14ac:dyDescent="0.3">
      <c r="A8" s="135" t="s">
        <v>15</v>
      </c>
      <c r="B8" s="138" t="s">
        <v>14</v>
      </c>
      <c r="C8" s="233">
        <f t="shared" ref="C8:C20" si="0">VLOOKUP(Scenario,Scenariou_Table,MATCH(A8,Field_Names,0),0)</f>
        <v>5</v>
      </c>
      <c r="D8" s="233"/>
      <c r="E8" s="233"/>
      <c r="F8" s="23"/>
      <c r="G8" s="158"/>
      <c r="I8" s="146" t="s">
        <v>34</v>
      </c>
      <c r="J8" s="183">
        <f t="dataTable" ref="J8:AA34" dt2D="0" dtr="0" r1="C4" ca="1"/>
        <v>5</v>
      </c>
      <c r="K8" s="184">
        <v>1050000</v>
      </c>
      <c r="L8" s="184">
        <v>300000</v>
      </c>
      <c r="M8" s="184">
        <v>15000</v>
      </c>
      <c r="N8" s="184">
        <v>0.05</v>
      </c>
      <c r="O8" s="184">
        <v>90</v>
      </c>
      <c r="P8" s="184">
        <v>65</v>
      </c>
      <c r="Q8" s="184">
        <v>75000</v>
      </c>
      <c r="R8" s="184">
        <v>125000</v>
      </c>
      <c r="S8" s="184">
        <v>0.1</v>
      </c>
      <c r="T8" s="184">
        <v>0.35</v>
      </c>
      <c r="U8" s="184">
        <v>0.25</v>
      </c>
      <c r="V8" s="185">
        <v>0.15</v>
      </c>
      <c r="W8" s="186">
        <v>-61992.236896013375</v>
      </c>
      <c r="X8" s="187">
        <v>0.13105476457530618</v>
      </c>
      <c r="Y8" s="187">
        <v>0.1376008443613328</v>
      </c>
      <c r="Z8" s="188">
        <v>0.94724064945020137</v>
      </c>
      <c r="AA8" s="189">
        <v>4.1618117509128894</v>
      </c>
    </row>
    <row r="9" spans="1:27" x14ac:dyDescent="0.25">
      <c r="A9" s="136" t="s">
        <v>0</v>
      </c>
      <c r="B9" s="138" t="s">
        <v>20</v>
      </c>
      <c r="C9" s="231">
        <f t="shared" si="0"/>
        <v>1050000</v>
      </c>
      <c r="D9" s="231"/>
      <c r="E9" s="231"/>
      <c r="F9" s="23"/>
      <c r="G9" s="159"/>
      <c r="I9" s="147" t="s">
        <v>35</v>
      </c>
      <c r="J9" s="177">
        <v>5</v>
      </c>
      <c r="K9" s="153">
        <v>1020000</v>
      </c>
      <c r="L9" s="153">
        <v>337500</v>
      </c>
      <c r="M9" s="153">
        <v>18000</v>
      </c>
      <c r="N9" s="153">
        <v>0.08</v>
      </c>
      <c r="O9" s="153">
        <v>96</v>
      </c>
      <c r="P9" s="153">
        <v>64</v>
      </c>
      <c r="Q9" s="153">
        <v>65625</v>
      </c>
      <c r="R9" s="153">
        <v>100000</v>
      </c>
      <c r="S9" s="153">
        <v>0.08</v>
      </c>
      <c r="T9" s="153">
        <v>0.35</v>
      </c>
      <c r="U9" s="153">
        <v>0.25</v>
      </c>
      <c r="V9" s="178">
        <v>0.15</v>
      </c>
      <c r="W9" s="181">
        <v>544170.84475787007</v>
      </c>
      <c r="X9" s="162">
        <v>0.30891422260190393</v>
      </c>
      <c r="Y9" s="162">
        <v>0.24478348475445344</v>
      </c>
      <c r="Z9" s="161">
        <v>1.4858668256766696</v>
      </c>
      <c r="AA9" s="172" t="str">
        <v>Never</v>
      </c>
    </row>
    <row r="10" spans="1:27" x14ac:dyDescent="0.25">
      <c r="A10" s="136" t="s">
        <v>6</v>
      </c>
      <c r="B10" s="138" t="s">
        <v>16</v>
      </c>
      <c r="C10" s="231">
        <f t="shared" si="0"/>
        <v>300000</v>
      </c>
      <c r="D10" s="231"/>
      <c r="E10" s="231"/>
      <c r="F10" s="23"/>
      <c r="G10" s="159"/>
      <c r="I10" s="147" t="s">
        <v>36</v>
      </c>
      <c r="J10" s="177">
        <v>5</v>
      </c>
      <c r="K10" s="153">
        <v>1070000</v>
      </c>
      <c r="L10" s="153">
        <v>225000</v>
      </c>
      <c r="M10" s="153">
        <v>12000</v>
      </c>
      <c r="N10" s="153">
        <v>0.04</v>
      </c>
      <c r="O10" s="153">
        <v>85</v>
      </c>
      <c r="P10" s="153">
        <v>67</v>
      </c>
      <c r="Q10" s="153">
        <v>84375</v>
      </c>
      <c r="R10" s="153">
        <v>137500</v>
      </c>
      <c r="S10" s="153">
        <v>0.12</v>
      </c>
      <c r="T10" s="153">
        <v>0.35</v>
      </c>
      <c r="U10" s="153">
        <v>0.25</v>
      </c>
      <c r="V10" s="178">
        <v>0.15</v>
      </c>
      <c r="W10" s="181">
        <v>-504696.71043917304</v>
      </c>
      <c r="X10" s="162">
        <v>-1.4513577693047175E-2</v>
      </c>
      <c r="Y10" s="162">
        <v>3.2017756332822334E-2</v>
      </c>
      <c r="Z10" s="161">
        <v>0.58203170978122321</v>
      </c>
      <c r="AA10" s="172" t="str">
        <v>Never</v>
      </c>
    </row>
    <row r="11" spans="1:27" x14ac:dyDescent="0.25">
      <c r="A11" s="136" t="s">
        <v>38</v>
      </c>
      <c r="B11" s="138" t="s">
        <v>25</v>
      </c>
      <c r="C11" s="231">
        <f t="shared" si="0"/>
        <v>15000</v>
      </c>
      <c r="D11" s="231"/>
      <c r="E11" s="231"/>
      <c r="F11" s="23"/>
      <c r="G11" s="159"/>
      <c r="I11" s="147" t="s">
        <v>103</v>
      </c>
      <c r="J11" s="177">
        <v>5</v>
      </c>
      <c r="K11" s="153">
        <v>1102500</v>
      </c>
      <c r="L11" s="153">
        <v>300000</v>
      </c>
      <c r="M11" s="153">
        <v>15000</v>
      </c>
      <c r="N11" s="153">
        <v>0.05</v>
      </c>
      <c r="O11" s="153">
        <v>90</v>
      </c>
      <c r="P11" s="153">
        <v>65</v>
      </c>
      <c r="Q11" s="153">
        <v>75000</v>
      </c>
      <c r="R11" s="153">
        <v>125000</v>
      </c>
      <c r="S11" s="153">
        <v>0.1</v>
      </c>
      <c r="T11" s="153">
        <v>0.35</v>
      </c>
      <c r="U11" s="153">
        <v>0.25</v>
      </c>
      <c r="V11" s="178">
        <v>0.15</v>
      </c>
      <c r="W11" s="181">
        <v>-102808.37522953609</v>
      </c>
      <c r="X11" s="162">
        <v>0.11967263056777067</v>
      </c>
      <c r="Y11" s="162">
        <v>0.13005669450165014</v>
      </c>
      <c r="Z11" s="161">
        <v>0.9162457228272618</v>
      </c>
      <c r="AA11" s="171">
        <v>4.2155187783682724</v>
      </c>
    </row>
    <row r="12" spans="1:27" x14ac:dyDescent="0.25">
      <c r="A12" s="136" t="s">
        <v>40</v>
      </c>
      <c r="B12" s="138" t="s">
        <v>26</v>
      </c>
      <c r="C12" s="224">
        <f t="shared" si="0"/>
        <v>0.05</v>
      </c>
      <c r="D12" s="224"/>
      <c r="E12" s="224"/>
      <c r="F12" s="23"/>
      <c r="G12" s="159"/>
      <c r="I12" s="147" t="s">
        <v>104</v>
      </c>
      <c r="J12" s="177">
        <v>5</v>
      </c>
      <c r="K12" s="153">
        <v>997500</v>
      </c>
      <c r="L12" s="153">
        <v>300000</v>
      </c>
      <c r="M12" s="153">
        <v>15000</v>
      </c>
      <c r="N12" s="153">
        <v>0.05</v>
      </c>
      <c r="O12" s="153">
        <v>90</v>
      </c>
      <c r="P12" s="153">
        <v>65</v>
      </c>
      <c r="Q12" s="153">
        <v>75000</v>
      </c>
      <c r="R12" s="153">
        <v>125000</v>
      </c>
      <c r="S12" s="153">
        <v>0.1</v>
      </c>
      <c r="T12" s="153">
        <v>0.35</v>
      </c>
      <c r="U12" s="153">
        <v>0.25</v>
      </c>
      <c r="V12" s="178">
        <v>0.15</v>
      </c>
      <c r="W12" s="181">
        <v>-21176.098562490894</v>
      </c>
      <c r="X12" s="162">
        <v>0.14328526306473832</v>
      </c>
      <c r="Y12" s="162">
        <v>0.1456279044073614</v>
      </c>
      <c r="Z12" s="161">
        <v>0.98113487878619965</v>
      </c>
      <c r="AA12" s="171">
        <v>4.107103486817528</v>
      </c>
    </row>
    <row r="13" spans="1:27" x14ac:dyDescent="0.25">
      <c r="A13" s="136" t="s">
        <v>22</v>
      </c>
      <c r="B13" s="138" t="s">
        <v>23</v>
      </c>
      <c r="C13" s="231">
        <f t="shared" si="0"/>
        <v>85.5</v>
      </c>
      <c r="D13" s="231"/>
      <c r="E13" s="231"/>
      <c r="F13" s="23"/>
      <c r="G13" s="159"/>
      <c r="I13" s="147" t="s">
        <v>95</v>
      </c>
      <c r="J13" s="177">
        <v>5</v>
      </c>
      <c r="K13" s="153">
        <v>1050000</v>
      </c>
      <c r="L13" s="153">
        <v>315000</v>
      </c>
      <c r="M13" s="153">
        <v>15000</v>
      </c>
      <c r="N13" s="153">
        <v>0.05</v>
      </c>
      <c r="O13" s="153">
        <v>90</v>
      </c>
      <c r="P13" s="153">
        <v>65</v>
      </c>
      <c r="Q13" s="153">
        <v>75000</v>
      </c>
      <c r="R13" s="153">
        <v>125000</v>
      </c>
      <c r="S13" s="153">
        <v>0.1</v>
      </c>
      <c r="T13" s="153">
        <v>0.35</v>
      </c>
      <c r="U13" s="153">
        <v>0.25</v>
      </c>
      <c r="V13" s="178">
        <v>0.15</v>
      </c>
      <c r="W13" s="181">
        <v>-57144.763726855163</v>
      </c>
      <c r="X13" s="162">
        <v>0.13259435212042758</v>
      </c>
      <c r="Y13" s="162">
        <v>0.13859003920745394</v>
      </c>
      <c r="Z13" s="161">
        <v>0.95136615853033601</v>
      </c>
      <c r="AA13" s="171">
        <v>4.1596918557466926</v>
      </c>
    </row>
    <row r="14" spans="1:27" x14ac:dyDescent="0.25">
      <c r="A14" s="136" t="s">
        <v>7</v>
      </c>
      <c r="B14" s="138" t="s">
        <v>18</v>
      </c>
      <c r="C14" s="231">
        <f t="shared" si="0"/>
        <v>65</v>
      </c>
      <c r="D14" s="231"/>
      <c r="E14" s="231"/>
      <c r="F14" s="23"/>
      <c r="G14" s="159"/>
      <c r="I14" s="147" t="s">
        <v>96</v>
      </c>
      <c r="J14" s="177">
        <v>5</v>
      </c>
      <c r="K14" s="153">
        <v>1050000</v>
      </c>
      <c r="L14" s="153">
        <v>285000</v>
      </c>
      <c r="M14" s="153">
        <v>15000</v>
      </c>
      <c r="N14" s="153">
        <v>0.05</v>
      </c>
      <c r="O14" s="153">
        <v>90</v>
      </c>
      <c r="P14" s="153">
        <v>65</v>
      </c>
      <c r="Q14" s="153">
        <v>75000</v>
      </c>
      <c r="R14" s="153">
        <v>125000</v>
      </c>
      <c r="S14" s="153">
        <v>0.1</v>
      </c>
      <c r="T14" s="153">
        <v>0.35</v>
      </c>
      <c r="U14" s="153">
        <v>0.25</v>
      </c>
      <c r="V14" s="178">
        <v>0.15</v>
      </c>
      <c r="W14" s="181">
        <v>-66839.710065171588</v>
      </c>
      <c r="X14" s="162">
        <v>0.12950458644903362</v>
      </c>
      <c r="Y14" s="162">
        <v>0.13660819690310388</v>
      </c>
      <c r="Z14" s="161">
        <v>0.94311514037006672</v>
      </c>
      <c r="AA14" s="171">
        <v>4.1639886861197022</v>
      </c>
    </row>
    <row r="15" spans="1:27" x14ac:dyDescent="0.25">
      <c r="A15" s="136" t="s">
        <v>5</v>
      </c>
      <c r="B15" s="138" t="s">
        <v>17</v>
      </c>
      <c r="C15" s="231">
        <f t="shared" si="0"/>
        <v>75000</v>
      </c>
      <c r="D15" s="231"/>
      <c r="E15" s="231"/>
      <c r="F15" s="23"/>
      <c r="G15" s="159"/>
      <c r="I15" s="147" t="s">
        <v>102</v>
      </c>
      <c r="J15" s="177">
        <v>5</v>
      </c>
      <c r="K15" s="153">
        <v>1050000</v>
      </c>
      <c r="L15" s="153">
        <v>300000</v>
      </c>
      <c r="M15" s="153">
        <v>15750</v>
      </c>
      <c r="N15" s="153">
        <v>0.05</v>
      </c>
      <c r="O15" s="153">
        <v>90</v>
      </c>
      <c r="P15" s="153">
        <v>65</v>
      </c>
      <c r="Q15" s="153">
        <v>75000</v>
      </c>
      <c r="R15" s="153">
        <v>125000</v>
      </c>
      <c r="S15" s="153">
        <v>0.1</v>
      </c>
      <c r="T15" s="153">
        <v>0.35</v>
      </c>
      <c r="U15" s="153">
        <v>0.25</v>
      </c>
      <c r="V15" s="178">
        <v>0.15</v>
      </c>
      <c r="W15" s="181">
        <v>-20137.088133742567</v>
      </c>
      <c r="X15" s="162">
        <v>0.14390140143109154</v>
      </c>
      <c r="Y15" s="162">
        <v>0.14603096962941575</v>
      </c>
      <c r="Z15" s="161">
        <v>0.982862052652134</v>
      </c>
      <c r="AA15" s="171">
        <v>4.0979134629455958</v>
      </c>
    </row>
    <row r="16" spans="1:27" x14ac:dyDescent="0.25">
      <c r="A16" s="136" t="s">
        <v>8</v>
      </c>
      <c r="B16" s="138" t="s">
        <v>60</v>
      </c>
      <c r="C16" s="231">
        <f t="shared" si="0"/>
        <v>125000</v>
      </c>
      <c r="D16" s="231"/>
      <c r="E16" s="231"/>
      <c r="F16" s="23"/>
      <c r="G16" s="159"/>
      <c r="I16" s="147" t="s">
        <v>101</v>
      </c>
      <c r="J16" s="177">
        <v>5</v>
      </c>
      <c r="K16" s="153">
        <v>1050000</v>
      </c>
      <c r="L16" s="153">
        <v>300000</v>
      </c>
      <c r="M16" s="153">
        <v>14250</v>
      </c>
      <c r="N16" s="153">
        <v>0.05</v>
      </c>
      <c r="O16" s="153">
        <v>90</v>
      </c>
      <c r="P16" s="153">
        <v>65</v>
      </c>
      <c r="Q16" s="153">
        <v>75000</v>
      </c>
      <c r="R16" s="153">
        <v>125000</v>
      </c>
      <c r="S16" s="153">
        <v>0.1</v>
      </c>
      <c r="T16" s="153">
        <v>0.35</v>
      </c>
      <c r="U16" s="153">
        <v>0.25</v>
      </c>
      <c r="V16" s="178">
        <v>0.15</v>
      </c>
      <c r="W16" s="181">
        <v>-103847.38565828418</v>
      </c>
      <c r="X16" s="162">
        <v>0.11796587905404632</v>
      </c>
      <c r="Y16" s="162">
        <v>0.12891316445461398</v>
      </c>
      <c r="Z16" s="161">
        <v>0.91161924624826873</v>
      </c>
      <c r="AA16" s="171">
        <v>4.2297724316322736</v>
      </c>
    </row>
    <row r="17" spans="1:27" x14ac:dyDescent="0.25">
      <c r="A17" s="136" t="s">
        <v>59</v>
      </c>
      <c r="B17" s="138" t="s">
        <v>61</v>
      </c>
      <c r="C17" s="224">
        <f t="shared" si="0"/>
        <v>0.1</v>
      </c>
      <c r="D17" s="224"/>
      <c r="E17" s="224"/>
      <c r="F17" s="23"/>
      <c r="G17" s="159"/>
      <c r="I17" s="147" t="s">
        <v>100</v>
      </c>
      <c r="J17" s="177">
        <v>5</v>
      </c>
      <c r="K17" s="153">
        <v>1050000</v>
      </c>
      <c r="L17" s="153">
        <v>300000</v>
      </c>
      <c r="M17" s="153">
        <v>15000</v>
      </c>
      <c r="N17" s="153">
        <v>5.2500000000000005E-2</v>
      </c>
      <c r="O17" s="153">
        <v>90</v>
      </c>
      <c r="P17" s="153">
        <v>65</v>
      </c>
      <c r="Q17" s="153">
        <v>75000</v>
      </c>
      <c r="R17" s="153">
        <v>125000</v>
      </c>
      <c r="S17" s="153">
        <v>0.1</v>
      </c>
      <c r="T17" s="153">
        <v>0.35</v>
      </c>
      <c r="U17" s="153">
        <v>0.25</v>
      </c>
      <c r="V17" s="178">
        <v>0.15</v>
      </c>
      <c r="W17" s="181">
        <v>-58303.608862813096</v>
      </c>
      <c r="X17" s="162">
        <v>0.13221393889378041</v>
      </c>
      <c r="Y17" s="162">
        <v>0.13835387320685899</v>
      </c>
      <c r="Z17" s="161">
        <v>0.95037990735079736</v>
      </c>
      <c r="AA17" s="171">
        <v>4.1571650225316485</v>
      </c>
    </row>
    <row r="18" spans="1:27" x14ac:dyDescent="0.25">
      <c r="A18" s="136" t="s">
        <v>4</v>
      </c>
      <c r="B18" s="138" t="s">
        <v>19</v>
      </c>
      <c r="C18" s="224">
        <f t="shared" si="0"/>
        <v>0.35</v>
      </c>
      <c r="D18" s="224"/>
      <c r="E18" s="224"/>
      <c r="F18" s="24"/>
      <c r="G18" s="159"/>
      <c r="I18" s="147" t="s">
        <v>99</v>
      </c>
      <c r="J18" s="177">
        <v>5</v>
      </c>
      <c r="K18" s="153">
        <v>1050000</v>
      </c>
      <c r="L18" s="153">
        <v>300000</v>
      </c>
      <c r="M18" s="153">
        <v>15000</v>
      </c>
      <c r="N18" s="153">
        <v>4.7500000000000001E-2</v>
      </c>
      <c r="O18" s="153">
        <v>90</v>
      </c>
      <c r="P18" s="153">
        <v>65</v>
      </c>
      <c r="Q18" s="153">
        <v>75000</v>
      </c>
      <c r="R18" s="153">
        <v>125000</v>
      </c>
      <c r="S18" s="153">
        <v>0.1</v>
      </c>
      <c r="T18" s="153">
        <v>0.35</v>
      </c>
      <c r="U18" s="153">
        <v>0.25</v>
      </c>
      <c r="V18" s="178">
        <v>0.15</v>
      </c>
      <c r="W18" s="181">
        <v>-65663.894568725256</v>
      </c>
      <c r="X18" s="162">
        <v>0.12989674274401231</v>
      </c>
      <c r="Y18" s="162">
        <v>0.13684929463793316</v>
      </c>
      <c r="Z18" s="161">
        <v>0.94411583440959557</v>
      </c>
      <c r="AA18" s="171">
        <v>4.1664929021309218</v>
      </c>
    </row>
    <row r="19" spans="1:27" ht="15.75" customHeight="1" x14ac:dyDescent="0.25">
      <c r="A19" s="136" t="s">
        <v>54</v>
      </c>
      <c r="B19" s="138" t="s">
        <v>55</v>
      </c>
      <c r="C19" s="224">
        <f t="shared" si="0"/>
        <v>0.25</v>
      </c>
      <c r="D19" s="224"/>
      <c r="E19" s="224"/>
      <c r="F19" s="23"/>
      <c r="G19" s="159"/>
      <c r="I19" s="147" t="s">
        <v>98</v>
      </c>
      <c r="J19" s="177">
        <v>5</v>
      </c>
      <c r="K19" s="153">
        <v>1050000</v>
      </c>
      <c r="L19" s="153">
        <v>300000</v>
      </c>
      <c r="M19" s="153">
        <v>15000</v>
      </c>
      <c r="N19" s="153">
        <v>0.05</v>
      </c>
      <c r="O19" s="153">
        <v>94.5</v>
      </c>
      <c r="P19" s="153">
        <v>65</v>
      </c>
      <c r="Q19" s="153">
        <v>75000</v>
      </c>
      <c r="R19" s="153">
        <v>125000</v>
      </c>
      <c r="S19" s="153">
        <v>0.1</v>
      </c>
      <c r="T19" s="153">
        <v>0.35</v>
      </c>
      <c r="U19" s="153">
        <v>0.25</v>
      </c>
      <c r="V19" s="178">
        <v>0.15</v>
      </c>
      <c r="W19" s="181">
        <v>95668.841374675278</v>
      </c>
      <c r="X19" s="162">
        <v>0.17867628246308631</v>
      </c>
      <c r="Y19" s="162">
        <v>0.16814496967260495</v>
      </c>
      <c r="Z19" s="161">
        <v>1.0814202905316386</v>
      </c>
      <c r="AA19" s="172" t="str">
        <v>Never</v>
      </c>
    </row>
    <row r="20" spans="1:27" ht="15.75" thickBot="1" x14ac:dyDescent="0.3">
      <c r="A20" s="137" t="s">
        <v>12</v>
      </c>
      <c r="B20" s="138" t="s">
        <v>21</v>
      </c>
      <c r="C20" s="224">
        <f t="shared" si="0"/>
        <v>0.15</v>
      </c>
      <c r="D20" s="224"/>
      <c r="E20" s="224"/>
      <c r="F20" s="23"/>
      <c r="G20" s="159"/>
      <c r="I20" s="147" t="s">
        <v>97</v>
      </c>
      <c r="J20" s="177">
        <v>5</v>
      </c>
      <c r="K20" s="153">
        <v>1050000</v>
      </c>
      <c r="L20" s="153">
        <v>300000</v>
      </c>
      <c r="M20" s="153">
        <v>15000</v>
      </c>
      <c r="N20" s="153">
        <v>0.05</v>
      </c>
      <c r="O20" s="153">
        <v>85.5</v>
      </c>
      <c r="P20" s="153">
        <v>65</v>
      </c>
      <c r="Q20" s="153">
        <v>75000</v>
      </c>
      <c r="R20" s="153">
        <v>125000</v>
      </c>
      <c r="S20" s="153">
        <v>0.1</v>
      </c>
      <c r="T20" s="153">
        <v>0.35</v>
      </c>
      <c r="U20" s="153">
        <v>0.25</v>
      </c>
      <c r="V20" s="178">
        <v>0.15</v>
      </c>
      <c r="W20" s="181">
        <v>-219653.31516670214</v>
      </c>
      <c r="X20" s="162">
        <v>8.1413641861818098E-2</v>
      </c>
      <c r="Y20" s="162">
        <v>0.1033732917293837</v>
      </c>
      <c r="Z20" s="161">
        <v>0.81306100836876416</v>
      </c>
      <c r="AA20" s="171">
        <v>4.4457562736258751</v>
      </c>
    </row>
    <row r="21" spans="1:27" x14ac:dyDescent="0.25">
      <c r="A21" s="19"/>
      <c r="B21" s="19"/>
      <c r="C21" s="19"/>
      <c r="D21" s="19"/>
      <c r="E21" s="19"/>
      <c r="F21" s="23"/>
      <c r="G21" s="159"/>
      <c r="I21" s="147" t="s">
        <v>105</v>
      </c>
      <c r="J21" s="177">
        <v>5</v>
      </c>
      <c r="K21" s="153">
        <v>1050000</v>
      </c>
      <c r="L21" s="153">
        <v>300000</v>
      </c>
      <c r="M21" s="153">
        <v>15000</v>
      </c>
      <c r="N21" s="153">
        <v>0.05</v>
      </c>
      <c r="O21" s="153">
        <v>90</v>
      </c>
      <c r="P21" s="153">
        <v>68.25</v>
      </c>
      <c r="Q21" s="153">
        <v>75000</v>
      </c>
      <c r="R21" s="153">
        <v>125000</v>
      </c>
      <c r="S21" s="153">
        <v>0.1</v>
      </c>
      <c r="T21" s="153">
        <v>0.35</v>
      </c>
      <c r="U21" s="153">
        <v>0.25</v>
      </c>
      <c r="V21" s="178">
        <v>0.15</v>
      </c>
      <c r="W21" s="181">
        <v>-177798.16640443157</v>
      </c>
      <c r="X21" s="162">
        <v>9.5029309295941555E-2</v>
      </c>
      <c r="Y21" s="162">
        <v>0.11287626670416029</v>
      </c>
      <c r="Z21" s="161">
        <v>0.84868241157069657</v>
      </c>
      <c r="AA21" s="171">
        <v>4.3670119884085263</v>
      </c>
    </row>
    <row r="22" spans="1:27" x14ac:dyDescent="0.25">
      <c r="A22" s="19"/>
      <c r="B22" s="19"/>
      <c r="C22" s="19"/>
      <c r="D22" s="19"/>
      <c r="E22" s="19"/>
      <c r="F22" s="23"/>
      <c r="G22" s="159"/>
      <c r="I22" s="147" t="s">
        <v>106</v>
      </c>
      <c r="J22" s="177">
        <v>5</v>
      </c>
      <c r="K22" s="153">
        <v>1050000</v>
      </c>
      <c r="L22" s="153">
        <v>300000</v>
      </c>
      <c r="M22" s="153">
        <v>15000</v>
      </c>
      <c r="N22" s="153">
        <v>0.05</v>
      </c>
      <c r="O22" s="153">
        <v>90</v>
      </c>
      <c r="P22" s="153">
        <v>61.75</v>
      </c>
      <c r="Q22" s="153">
        <v>75000</v>
      </c>
      <c r="R22" s="153">
        <v>125000</v>
      </c>
      <c r="S22" s="153">
        <v>0.1</v>
      </c>
      <c r="T22" s="153">
        <v>0.35</v>
      </c>
      <c r="U22" s="153">
        <v>0.25</v>
      </c>
      <c r="V22" s="178">
        <v>0.15</v>
      </c>
      <c r="W22" s="181">
        <v>53813.692612404469</v>
      </c>
      <c r="X22" s="162">
        <v>0.16626937849545698</v>
      </c>
      <c r="Y22" s="162">
        <v>0.16034590907080126</v>
      </c>
      <c r="Z22" s="161">
        <v>1.0457988873297059</v>
      </c>
      <c r="AA22" s="172" t="str">
        <v>Never</v>
      </c>
    </row>
    <row r="23" spans="1:27" x14ac:dyDescent="0.25">
      <c r="A23" s="19"/>
      <c r="B23" s="19"/>
      <c r="C23" s="19"/>
      <c r="D23" s="19"/>
      <c r="E23" s="19"/>
      <c r="F23" s="23"/>
      <c r="G23" s="159"/>
      <c r="I23" s="147" t="s">
        <v>107</v>
      </c>
      <c r="J23" s="177">
        <v>5</v>
      </c>
      <c r="K23" s="153">
        <v>1050000</v>
      </c>
      <c r="L23" s="153">
        <v>300000</v>
      </c>
      <c r="M23" s="153">
        <v>15000</v>
      </c>
      <c r="N23" s="153">
        <v>0.05</v>
      </c>
      <c r="O23" s="153">
        <v>90</v>
      </c>
      <c r="P23" s="153">
        <v>65</v>
      </c>
      <c r="Q23" s="153">
        <v>78750</v>
      </c>
      <c r="R23" s="153">
        <v>125000</v>
      </c>
      <c r="S23" s="153">
        <v>0.1</v>
      </c>
      <c r="T23" s="153">
        <v>0.35</v>
      </c>
      <c r="U23" s="153">
        <v>0.25</v>
      </c>
      <c r="V23" s="178">
        <v>0.15</v>
      </c>
      <c r="W23" s="181">
        <v>-70163.114947416121</v>
      </c>
      <c r="X23" s="162">
        <v>0.12854527422508188</v>
      </c>
      <c r="Y23" s="162">
        <v>0.13592563340390651</v>
      </c>
      <c r="Z23" s="161">
        <v>0.94028671068305014</v>
      </c>
      <c r="AA23" s="171">
        <v>4.1756696616528952</v>
      </c>
    </row>
    <row r="24" spans="1:27" x14ac:dyDescent="0.25">
      <c r="A24" s="19"/>
      <c r="B24" s="19"/>
      <c r="C24" s="19"/>
      <c r="D24" s="19"/>
      <c r="E24" s="19"/>
      <c r="F24" s="23"/>
      <c r="G24" s="159"/>
      <c r="I24" s="147" t="s">
        <v>108</v>
      </c>
      <c r="J24" s="177">
        <v>5</v>
      </c>
      <c r="K24" s="153">
        <v>1050000</v>
      </c>
      <c r="L24" s="153">
        <v>300000</v>
      </c>
      <c r="M24" s="153">
        <v>15000</v>
      </c>
      <c r="N24" s="153">
        <v>0.05</v>
      </c>
      <c r="O24" s="153">
        <v>90</v>
      </c>
      <c r="P24" s="153">
        <v>65</v>
      </c>
      <c r="Q24" s="153">
        <v>71250</v>
      </c>
      <c r="R24" s="153">
        <v>125000</v>
      </c>
      <c r="S24" s="153">
        <v>0.1</v>
      </c>
      <c r="T24" s="153">
        <v>0.35</v>
      </c>
      <c r="U24" s="153">
        <v>0.25</v>
      </c>
      <c r="V24" s="178">
        <v>0.15</v>
      </c>
      <c r="W24" s="181">
        <v>-53821.358844610862</v>
      </c>
      <c r="X24" s="162">
        <v>0.13356130984484804</v>
      </c>
      <c r="Y24" s="162">
        <v>0.13926624550438182</v>
      </c>
      <c r="Z24" s="161">
        <v>0.95419458821735248</v>
      </c>
      <c r="AA24" s="171">
        <v>4.1480455171874198</v>
      </c>
    </row>
    <row r="25" spans="1:27" x14ac:dyDescent="0.25">
      <c r="A25" s="19"/>
      <c r="B25" s="19"/>
      <c r="C25" s="19"/>
      <c r="D25" s="19"/>
      <c r="E25" s="19"/>
      <c r="F25" s="23"/>
      <c r="G25" s="159"/>
      <c r="I25" s="147" t="s">
        <v>109</v>
      </c>
      <c r="J25" s="177">
        <v>5</v>
      </c>
      <c r="K25" s="153">
        <v>1050000</v>
      </c>
      <c r="L25" s="153">
        <v>300000</v>
      </c>
      <c r="M25" s="153">
        <v>15000</v>
      </c>
      <c r="N25" s="153">
        <v>0.05</v>
      </c>
      <c r="O25" s="153">
        <v>90</v>
      </c>
      <c r="P25" s="153">
        <v>65</v>
      </c>
      <c r="Q25" s="153">
        <v>75000</v>
      </c>
      <c r="R25" s="153">
        <v>131250</v>
      </c>
      <c r="S25" s="153">
        <v>0.1</v>
      </c>
      <c r="T25" s="153">
        <v>0.35</v>
      </c>
      <c r="U25" s="153">
        <v>0.25</v>
      </c>
      <c r="V25" s="178">
        <v>0.15</v>
      </c>
      <c r="W25" s="181">
        <v>-62807.454287317814</v>
      </c>
      <c r="X25" s="162">
        <v>0.1308427694357075</v>
      </c>
      <c r="Y25" s="162">
        <v>0.13750211261191003</v>
      </c>
      <c r="Z25" s="161">
        <v>0.94682966832819659</v>
      </c>
      <c r="AA25" s="171">
        <v>4.1618117509128894</v>
      </c>
    </row>
    <row r="26" spans="1:27" x14ac:dyDescent="0.25">
      <c r="A26" s="19"/>
      <c r="B26" s="19"/>
      <c r="C26" s="19"/>
      <c r="D26" s="19"/>
      <c r="E26" s="19"/>
      <c r="F26" s="23"/>
      <c r="G26" s="159"/>
      <c r="I26" s="147" t="s">
        <v>110</v>
      </c>
      <c r="J26" s="177">
        <v>5</v>
      </c>
      <c r="K26" s="153">
        <v>1050000</v>
      </c>
      <c r="L26" s="153">
        <v>300000</v>
      </c>
      <c r="M26" s="153">
        <v>15000</v>
      </c>
      <c r="N26" s="153">
        <v>0.05</v>
      </c>
      <c r="O26" s="153">
        <v>90</v>
      </c>
      <c r="P26" s="153">
        <v>65</v>
      </c>
      <c r="Q26" s="153">
        <v>75000</v>
      </c>
      <c r="R26" s="153">
        <v>118750</v>
      </c>
      <c r="S26" s="153">
        <v>0.1</v>
      </c>
      <c r="T26" s="153">
        <v>0.35</v>
      </c>
      <c r="U26" s="153">
        <v>0.25</v>
      </c>
      <c r="V26" s="178">
        <v>0.15</v>
      </c>
      <c r="W26" s="181">
        <v>-61177.019504709169</v>
      </c>
      <c r="X26" s="162">
        <v>0.13126756707845488</v>
      </c>
      <c r="Y26" s="162">
        <v>0.13770059725014661</v>
      </c>
      <c r="Z26" s="161">
        <v>0.94765602609222743</v>
      </c>
      <c r="AA26" s="171">
        <v>4.1618117509128894</v>
      </c>
    </row>
    <row r="27" spans="1:27" x14ac:dyDescent="0.25">
      <c r="A27" s="19"/>
      <c r="B27" s="19"/>
      <c r="C27" s="19"/>
      <c r="D27" s="19"/>
      <c r="E27" s="19"/>
      <c r="F27" s="23"/>
      <c r="G27" s="159"/>
      <c r="I27" s="147" t="s">
        <v>111</v>
      </c>
      <c r="J27" s="177">
        <v>5</v>
      </c>
      <c r="K27" s="153">
        <v>1050000</v>
      </c>
      <c r="L27" s="153">
        <v>300000</v>
      </c>
      <c r="M27" s="153">
        <v>15000</v>
      </c>
      <c r="N27" s="153">
        <v>0.05</v>
      </c>
      <c r="O27" s="153">
        <v>90</v>
      </c>
      <c r="P27" s="153">
        <v>65</v>
      </c>
      <c r="Q27" s="153">
        <v>75000</v>
      </c>
      <c r="R27" s="153">
        <v>125000</v>
      </c>
      <c r="S27" s="153">
        <v>0.10500000000000001</v>
      </c>
      <c r="T27" s="153">
        <v>0.35</v>
      </c>
      <c r="U27" s="153">
        <v>0.25</v>
      </c>
      <c r="V27" s="178">
        <v>0.15</v>
      </c>
      <c r="W27" s="181">
        <v>-64677.830252364976</v>
      </c>
      <c r="X27" s="162">
        <v>0.13033023505076158</v>
      </c>
      <c r="Y27" s="162">
        <v>0.13705132685419597</v>
      </c>
      <c r="Z27" s="161">
        <v>0.94495503808309367</v>
      </c>
      <c r="AA27" s="171">
        <v>4.1706353183285527</v>
      </c>
    </row>
    <row r="28" spans="1:27" x14ac:dyDescent="0.25">
      <c r="A28" s="19"/>
      <c r="B28" s="19"/>
      <c r="C28" s="19"/>
      <c r="D28" s="19"/>
      <c r="E28" s="19"/>
      <c r="F28" s="23"/>
      <c r="G28" s="159"/>
      <c r="I28" s="147" t="s">
        <v>112</v>
      </c>
      <c r="J28" s="177">
        <v>5</v>
      </c>
      <c r="K28" s="153">
        <v>1050000</v>
      </c>
      <c r="L28" s="153">
        <v>300000</v>
      </c>
      <c r="M28" s="153">
        <v>15000</v>
      </c>
      <c r="N28" s="153">
        <v>0.05</v>
      </c>
      <c r="O28" s="153">
        <v>90</v>
      </c>
      <c r="P28" s="153">
        <v>65</v>
      </c>
      <c r="Q28" s="153">
        <v>75000</v>
      </c>
      <c r="R28" s="153">
        <v>125000</v>
      </c>
      <c r="S28" s="153">
        <v>9.5000000000000001E-2</v>
      </c>
      <c r="T28" s="153">
        <v>0.35</v>
      </c>
      <c r="U28" s="153">
        <v>0.25</v>
      </c>
      <c r="V28" s="178">
        <v>0.15</v>
      </c>
      <c r="W28" s="181">
        <v>-59306.643539661774</v>
      </c>
      <c r="X28" s="162">
        <v>0.13178652570516136</v>
      </c>
      <c r="Y28" s="162">
        <v>0.13814930213885468</v>
      </c>
      <c r="Z28" s="161">
        <v>0.94952626081730918</v>
      </c>
      <c r="AA28" s="171">
        <v>4.1527984176449459</v>
      </c>
    </row>
    <row r="29" spans="1:27" x14ac:dyDescent="0.25">
      <c r="A29" s="19"/>
      <c r="B29" s="19"/>
      <c r="C29" s="19"/>
      <c r="D29" s="19"/>
      <c r="E29" s="19"/>
      <c r="F29" s="23"/>
      <c r="G29" s="159"/>
      <c r="I29" s="147" t="s">
        <v>113</v>
      </c>
      <c r="J29" s="177">
        <v>5</v>
      </c>
      <c r="K29" s="153">
        <v>1050000</v>
      </c>
      <c r="L29" s="153">
        <v>300000</v>
      </c>
      <c r="M29" s="153">
        <v>15000</v>
      </c>
      <c r="N29" s="153">
        <v>0.05</v>
      </c>
      <c r="O29" s="153">
        <v>90</v>
      </c>
      <c r="P29" s="153">
        <v>65</v>
      </c>
      <c r="Q29" s="153">
        <v>75000</v>
      </c>
      <c r="R29" s="153">
        <v>125000</v>
      </c>
      <c r="S29" s="153">
        <v>0.1</v>
      </c>
      <c r="T29" s="153">
        <v>0.36749999999999999</v>
      </c>
      <c r="U29" s="153">
        <v>0.25</v>
      </c>
      <c r="V29" s="178">
        <v>0.15</v>
      </c>
      <c r="W29" s="181">
        <v>-72502.326049124124</v>
      </c>
      <c r="X29" s="162">
        <v>0.12780203781863331</v>
      </c>
      <c r="Y29" s="162">
        <v>0.13544421879802893</v>
      </c>
      <c r="Z29" s="161">
        <v>0.9382958927241497</v>
      </c>
      <c r="AA29" s="171">
        <v>4.1786399945151373</v>
      </c>
    </row>
    <row r="30" spans="1:27" x14ac:dyDescent="0.25">
      <c r="A30" s="19"/>
      <c r="B30" s="19"/>
      <c r="C30" s="19"/>
      <c r="D30" s="19"/>
      <c r="E30" s="19"/>
      <c r="F30" s="23"/>
      <c r="G30" s="159"/>
      <c r="I30" s="147" t="s">
        <v>114</v>
      </c>
      <c r="J30" s="177">
        <v>5</v>
      </c>
      <c r="K30" s="153">
        <v>1050000</v>
      </c>
      <c r="L30" s="153">
        <v>300000</v>
      </c>
      <c r="M30" s="153">
        <v>15000</v>
      </c>
      <c r="N30" s="153">
        <v>0.05</v>
      </c>
      <c r="O30" s="153">
        <v>90</v>
      </c>
      <c r="P30" s="153">
        <v>65</v>
      </c>
      <c r="Q30" s="153">
        <v>75000</v>
      </c>
      <c r="R30" s="153">
        <v>125000</v>
      </c>
      <c r="S30" s="153">
        <v>0.1</v>
      </c>
      <c r="T30" s="153">
        <v>0.33249999999999996</v>
      </c>
      <c r="U30" s="153">
        <v>0.25</v>
      </c>
      <c r="V30" s="178">
        <v>0.15</v>
      </c>
      <c r="W30" s="181">
        <v>-51482.147742902627</v>
      </c>
      <c r="X30" s="162">
        <v>0.1342953642645357</v>
      </c>
      <c r="Y30" s="162">
        <v>0.13974123902595292</v>
      </c>
      <c r="Z30" s="161">
        <v>0.95618540617625314</v>
      </c>
      <c r="AA30" s="171">
        <v>4.1452170141723608</v>
      </c>
    </row>
    <row r="31" spans="1:27" x14ac:dyDescent="0.25">
      <c r="A31" s="19"/>
      <c r="B31" s="19"/>
      <c r="C31" s="19"/>
      <c r="D31" s="19"/>
      <c r="E31" s="19"/>
      <c r="F31" s="23"/>
      <c r="G31" s="159"/>
      <c r="I31" s="147" t="s">
        <v>115</v>
      </c>
      <c r="J31" s="177">
        <v>5</v>
      </c>
      <c r="K31" s="153">
        <v>1050000</v>
      </c>
      <c r="L31" s="153">
        <v>300000</v>
      </c>
      <c r="M31" s="153">
        <v>15000</v>
      </c>
      <c r="N31" s="153">
        <v>0.05</v>
      </c>
      <c r="O31" s="153">
        <v>90</v>
      </c>
      <c r="P31" s="153">
        <v>65</v>
      </c>
      <c r="Q31" s="153">
        <v>75000</v>
      </c>
      <c r="R31" s="153">
        <v>125000</v>
      </c>
      <c r="S31" s="153">
        <v>0.1</v>
      </c>
      <c r="T31" s="153">
        <v>0.35</v>
      </c>
      <c r="U31" s="153">
        <v>0.26250000000000001</v>
      </c>
      <c r="V31" s="178">
        <v>0.15</v>
      </c>
      <c r="W31" s="181">
        <v>-59982.116128148977</v>
      </c>
      <c r="X31" s="162">
        <v>0.13160493014777797</v>
      </c>
      <c r="Y31" s="162">
        <v>0.1380114551404763</v>
      </c>
      <c r="Z31" s="161">
        <v>0.94895139052923494</v>
      </c>
      <c r="AA31" s="171">
        <v>4.1530572643871215</v>
      </c>
    </row>
    <row r="32" spans="1:27" x14ac:dyDescent="0.25">
      <c r="A32" s="19"/>
      <c r="B32" s="19"/>
      <c r="C32" s="19"/>
      <c r="D32" s="19"/>
      <c r="E32" s="19"/>
      <c r="F32" s="23"/>
      <c r="G32" s="159"/>
      <c r="I32" s="147" t="s">
        <v>116</v>
      </c>
      <c r="J32" s="177">
        <v>5</v>
      </c>
      <c r="K32" s="153">
        <v>1050000</v>
      </c>
      <c r="L32" s="153">
        <v>300000</v>
      </c>
      <c r="M32" s="153">
        <v>15000</v>
      </c>
      <c r="N32" s="153">
        <v>0.05</v>
      </c>
      <c r="O32" s="153">
        <v>90</v>
      </c>
      <c r="P32" s="153">
        <v>65</v>
      </c>
      <c r="Q32" s="153">
        <v>75000</v>
      </c>
      <c r="R32" s="153">
        <v>125000</v>
      </c>
      <c r="S32" s="153">
        <v>0.1</v>
      </c>
      <c r="T32" s="153">
        <v>0.35</v>
      </c>
      <c r="U32" s="153">
        <v>0.23749999999999999</v>
      </c>
      <c r="V32" s="178">
        <v>0.15</v>
      </c>
      <c r="W32" s="181">
        <v>-64048.114954802208</v>
      </c>
      <c r="X32" s="162">
        <v>0.13049598212024338</v>
      </c>
      <c r="Y32" s="162">
        <v>0.13718027253400322</v>
      </c>
      <c r="Z32" s="161">
        <v>0.94549096599591298</v>
      </c>
      <c r="AA32" s="171">
        <v>4.1707480664906305</v>
      </c>
    </row>
    <row r="33" spans="1:27" x14ac:dyDescent="0.25">
      <c r="A33" s="19"/>
      <c r="B33" s="19"/>
      <c r="C33" s="19"/>
      <c r="D33" s="19"/>
      <c r="E33" s="19"/>
      <c r="F33" s="23"/>
      <c r="G33" s="159"/>
      <c r="I33" s="147" t="s">
        <v>117</v>
      </c>
      <c r="J33" s="177">
        <v>5</v>
      </c>
      <c r="K33" s="153">
        <v>1050000</v>
      </c>
      <c r="L33" s="153">
        <v>300000</v>
      </c>
      <c r="M33" s="153">
        <v>15000</v>
      </c>
      <c r="N33" s="153">
        <v>0.05</v>
      </c>
      <c r="O33" s="153">
        <v>90</v>
      </c>
      <c r="P33" s="153">
        <v>65</v>
      </c>
      <c r="Q33" s="153">
        <v>75000</v>
      </c>
      <c r="R33" s="153">
        <v>125000</v>
      </c>
      <c r="S33" s="153">
        <v>0.1</v>
      </c>
      <c r="T33" s="153">
        <v>0.35</v>
      </c>
      <c r="U33" s="153">
        <v>0.25</v>
      </c>
      <c r="V33" s="178">
        <v>0.1575</v>
      </c>
      <c r="W33" s="181">
        <v>-85163.228733039927</v>
      </c>
      <c r="X33" s="162">
        <v>0.13105476457530618</v>
      </c>
      <c r="Y33" s="162">
        <v>0.1402122898520457</v>
      </c>
      <c r="Z33" s="161">
        <v>0.92752065639741288</v>
      </c>
      <c r="AA33" s="171">
        <v>4.1618117509128894</v>
      </c>
    </row>
    <row r="34" spans="1:27" ht="15.75" thickBot="1" x14ac:dyDescent="0.3">
      <c r="A34" s="19"/>
      <c r="B34" s="19"/>
      <c r="C34" s="19"/>
      <c r="D34" s="19"/>
      <c r="E34" s="19"/>
      <c r="F34" s="23"/>
      <c r="G34" s="159"/>
      <c r="I34" s="148" t="s">
        <v>118</v>
      </c>
      <c r="J34" s="179">
        <v>5</v>
      </c>
      <c r="K34" s="173">
        <v>1050000</v>
      </c>
      <c r="L34" s="173">
        <v>300000</v>
      </c>
      <c r="M34" s="173">
        <v>15000</v>
      </c>
      <c r="N34" s="173">
        <v>0.05</v>
      </c>
      <c r="O34" s="173">
        <v>90</v>
      </c>
      <c r="P34" s="173">
        <v>65</v>
      </c>
      <c r="Q34" s="173">
        <v>75000</v>
      </c>
      <c r="R34" s="173">
        <v>125000</v>
      </c>
      <c r="S34" s="173">
        <v>0.1</v>
      </c>
      <c r="T34" s="173">
        <v>0.35</v>
      </c>
      <c r="U34" s="173">
        <v>0.25</v>
      </c>
      <c r="V34" s="180">
        <v>0.14249999999999999</v>
      </c>
      <c r="W34" s="182">
        <v>-38060.319914510008</v>
      </c>
      <c r="X34" s="175">
        <v>0.13105476457530618</v>
      </c>
      <c r="Y34" s="175">
        <v>0.13500067605466848</v>
      </c>
      <c r="Z34" s="174">
        <v>0.96760823837062981</v>
      </c>
      <c r="AA34" s="176">
        <v>4.1618117509128894</v>
      </c>
    </row>
    <row r="35" spans="1:27" x14ac:dyDescent="0.25">
      <c r="A35" s="19"/>
      <c r="B35" s="19"/>
      <c r="C35" s="19"/>
      <c r="D35" s="19"/>
      <c r="E35" s="19"/>
      <c r="F35" s="23"/>
      <c r="G35" s="160"/>
    </row>
    <row r="36" spans="1:27" x14ac:dyDescent="0.25">
      <c r="A36" s="19"/>
      <c r="B36" s="19"/>
      <c r="C36" s="19"/>
      <c r="D36" s="19"/>
      <c r="E36" s="19"/>
      <c r="F36" s="23"/>
    </row>
    <row r="37" spans="1:27" x14ac:dyDescent="0.25">
      <c r="A37" s="19"/>
      <c r="B37" s="19"/>
      <c r="C37" s="19"/>
      <c r="D37" s="19"/>
      <c r="E37" s="19"/>
      <c r="F37" s="23"/>
    </row>
    <row r="38" spans="1:27" x14ac:dyDescent="0.25">
      <c r="A38" s="19"/>
      <c r="B38" s="19"/>
      <c r="C38" s="19"/>
      <c r="D38" s="19"/>
      <c r="E38" s="19"/>
      <c r="F38" s="19"/>
    </row>
    <row r="39" spans="1:27" ht="20.25" thickBot="1" x14ac:dyDescent="0.35">
      <c r="A39" s="209" t="s">
        <v>33</v>
      </c>
      <c r="B39" s="209"/>
    </row>
    <row r="40" spans="1:27" ht="16.5" thickTop="1" thickBot="1" x14ac:dyDescent="0.3"/>
    <row r="41" spans="1:27" s="1" customFormat="1" ht="15.75" thickBot="1" x14ac:dyDescent="0.3">
      <c r="A41" s="211" t="s">
        <v>24</v>
      </c>
      <c r="B41" s="212"/>
      <c r="C41" s="51">
        <v>0</v>
      </c>
      <c r="D41" s="52">
        <v>1</v>
      </c>
      <c r="E41" s="52">
        <v>2</v>
      </c>
      <c r="F41" s="52">
        <v>3</v>
      </c>
      <c r="G41" s="52">
        <v>4</v>
      </c>
      <c r="H41" s="53">
        <v>5</v>
      </c>
      <c r="I41"/>
      <c r="J41"/>
      <c r="K41"/>
    </row>
    <row r="42" spans="1:27" x14ac:dyDescent="0.25">
      <c r="A42" s="207" t="s">
        <v>27</v>
      </c>
      <c r="B42" s="208"/>
      <c r="C42" s="27"/>
      <c r="D42" s="71">
        <f>FYS_Vol</f>
        <v>15000</v>
      </c>
      <c r="E42" s="71">
        <f>D42*(1+GR)</f>
        <v>15750</v>
      </c>
      <c r="F42" s="71">
        <f>E42*(1+GR)</f>
        <v>16537.5</v>
      </c>
      <c r="G42" s="71">
        <f>F42*(1+GR)</f>
        <v>17364.375</v>
      </c>
      <c r="H42" s="72">
        <f>G42*(1+GR)</f>
        <v>18232.59375</v>
      </c>
    </row>
    <row r="43" spans="1:27" x14ac:dyDescent="0.25">
      <c r="A43" s="207" t="s">
        <v>9</v>
      </c>
      <c r="B43" s="208"/>
      <c r="C43" s="29"/>
      <c r="D43" s="43">
        <f>D42*Rev_unit</f>
        <v>1282500</v>
      </c>
      <c r="E43" s="43">
        <f>E42*Rev_unit</f>
        <v>1346625</v>
      </c>
      <c r="F43" s="43">
        <f>F42*Rev_unit</f>
        <v>1413956.25</v>
      </c>
      <c r="G43" s="43">
        <f>G42*Rev_unit</f>
        <v>1484654.0625</v>
      </c>
      <c r="H43" s="30">
        <f>H42*Rev_unit</f>
        <v>1558886.765625</v>
      </c>
    </row>
    <row r="44" spans="1:27" x14ac:dyDescent="0.25">
      <c r="A44" s="207" t="s">
        <v>7</v>
      </c>
      <c r="B44" s="208"/>
      <c r="C44" s="29"/>
      <c r="D44" s="43">
        <f>D42*-VC</f>
        <v>-975000</v>
      </c>
      <c r="E44" s="43">
        <f>E42*-VC</f>
        <v>-1023750</v>
      </c>
      <c r="F44" s="43">
        <f>F42*-VC</f>
        <v>-1074937.5</v>
      </c>
      <c r="G44" s="43">
        <f>G42*-VC</f>
        <v>-1128684.375</v>
      </c>
      <c r="H44" s="30">
        <f>H42*-VC</f>
        <v>-1185118.59375</v>
      </c>
    </row>
    <row r="45" spans="1:27" x14ac:dyDescent="0.25">
      <c r="A45" s="207" t="s">
        <v>5</v>
      </c>
      <c r="B45" s="208"/>
      <c r="C45" s="29"/>
      <c r="D45" s="43">
        <f>-FC</f>
        <v>-75000</v>
      </c>
      <c r="E45" s="43">
        <f>-FC</f>
        <v>-75000</v>
      </c>
      <c r="F45" s="43">
        <f>-FC</f>
        <v>-75000</v>
      </c>
      <c r="G45" s="43">
        <f>-FC</f>
        <v>-75000</v>
      </c>
      <c r="H45" s="30">
        <f>-FC</f>
        <v>-75000</v>
      </c>
    </row>
    <row r="46" spans="1:27" x14ac:dyDescent="0.25">
      <c r="A46" s="207" t="s">
        <v>53</v>
      </c>
      <c r="B46" s="208"/>
      <c r="C46" s="44"/>
      <c r="D46" s="42">
        <f>'CCA Schedule'!C3</f>
        <v>-131250</v>
      </c>
      <c r="E46" s="42">
        <f>'CCA Schedule'!D3</f>
        <v>-229687.5</v>
      </c>
      <c r="F46" s="42">
        <f>'CCA Schedule'!E3</f>
        <v>-172265.625</v>
      </c>
      <c r="G46" s="42">
        <f>'CCA Schedule'!F3</f>
        <v>-129199.21875</v>
      </c>
      <c r="H46" s="45">
        <f>'CCA Schedule'!G3</f>
        <v>-96899.4140625</v>
      </c>
      <c r="N46" s="15"/>
    </row>
    <row r="47" spans="1:27" s="1" customFormat="1" x14ac:dyDescent="0.25">
      <c r="A47" s="207" t="s">
        <v>56</v>
      </c>
      <c r="B47" s="208"/>
      <c r="C47" s="29"/>
      <c r="D47" s="2"/>
      <c r="E47" s="2"/>
      <c r="F47" s="2"/>
      <c r="G47" s="2"/>
      <c r="H47" s="46">
        <f>Sal-ucc_end</f>
        <v>9301.7578125</v>
      </c>
      <c r="I47"/>
      <c r="J47"/>
      <c r="K47"/>
      <c r="N47" s="8"/>
    </row>
    <row r="48" spans="1:27" s="1" customFormat="1" x14ac:dyDescent="0.25">
      <c r="A48" s="207" t="s">
        <v>10</v>
      </c>
      <c r="B48" s="208"/>
      <c r="C48" s="44"/>
      <c r="D48" s="43">
        <f>SUM(D43:D47)</f>
        <v>101250</v>
      </c>
      <c r="E48" s="43">
        <f t="shared" ref="E48:G48" si="1">SUM(E43:E47)</f>
        <v>18187.5</v>
      </c>
      <c r="F48" s="43">
        <f t="shared" si="1"/>
        <v>91753.125</v>
      </c>
      <c r="G48" s="43">
        <f t="shared" si="1"/>
        <v>151770.46875</v>
      </c>
      <c r="H48" s="30">
        <f>SUM(H43:H47)</f>
        <v>211170.515625</v>
      </c>
      <c r="I48"/>
      <c r="J48" s="7"/>
      <c r="K48" s="7"/>
      <c r="N48" s="8"/>
    </row>
    <row r="49" spans="1:14" x14ac:dyDescent="0.25">
      <c r="A49" s="207" t="s">
        <v>11</v>
      </c>
      <c r="B49" s="208"/>
      <c r="C49" s="73"/>
      <c r="D49" s="49">
        <f>D48*-Tax_Rate</f>
        <v>-35437.5</v>
      </c>
      <c r="E49" s="49">
        <f>E48*-Tax_Rate</f>
        <v>-6365.625</v>
      </c>
      <c r="F49" s="49">
        <f>F48*-Tax_Rate</f>
        <v>-32113.593749999996</v>
      </c>
      <c r="G49" s="49">
        <f>G48*-Tax_Rate</f>
        <v>-53119.6640625</v>
      </c>
      <c r="H49" s="50">
        <f>H48*-Tax_Rate</f>
        <v>-73909.680468749997</v>
      </c>
      <c r="N49" s="7"/>
    </row>
    <row r="50" spans="1:14" s="1" customFormat="1" ht="15.75" thickBot="1" x14ac:dyDescent="0.3">
      <c r="A50" s="204" t="s">
        <v>57</v>
      </c>
      <c r="B50" s="206"/>
      <c r="C50" s="74"/>
      <c r="D50" s="77">
        <f>SUM(D48:D49)</f>
        <v>65812.5</v>
      </c>
      <c r="E50" s="77">
        <f t="shared" ref="E50:H50" si="2">SUM(E48:E49)</f>
        <v>11821.875</v>
      </c>
      <c r="F50" s="77">
        <f t="shared" si="2"/>
        <v>59639.53125</v>
      </c>
      <c r="G50" s="77">
        <f t="shared" si="2"/>
        <v>98650.8046875</v>
      </c>
      <c r="H50" s="78">
        <f t="shared" si="2"/>
        <v>137260.83515624999</v>
      </c>
      <c r="I50"/>
      <c r="J50"/>
      <c r="K50"/>
      <c r="L50"/>
      <c r="M50"/>
    </row>
    <row r="51" spans="1:14" s="1" customFormat="1" x14ac:dyDescent="0.25">
      <c r="A51"/>
      <c r="B51"/>
      <c r="C51"/>
      <c r="D51"/>
      <c r="E51"/>
      <c r="F51"/>
      <c r="G51"/>
      <c r="H51"/>
      <c r="I51"/>
      <c r="J51"/>
      <c r="K51"/>
      <c r="L51"/>
      <c r="M51"/>
    </row>
    <row r="53" spans="1:14" ht="20.25" thickBot="1" x14ac:dyDescent="0.35">
      <c r="A53" s="209" t="s">
        <v>13</v>
      </c>
      <c r="B53" s="209"/>
    </row>
    <row r="54" spans="1:14" ht="16.5" thickTop="1" thickBot="1" x14ac:dyDescent="0.3">
      <c r="C54" t="s">
        <v>2</v>
      </c>
    </row>
    <row r="55" spans="1:14" s="1" customFormat="1" ht="15.75" thickBot="1" x14ac:dyDescent="0.3">
      <c r="A55" s="211" t="s">
        <v>1</v>
      </c>
      <c r="B55" s="212"/>
      <c r="C55" s="56">
        <f t="shared" ref="C55:H55" si="3">C41</f>
        <v>0</v>
      </c>
      <c r="D55" s="57">
        <f t="shared" si="3"/>
        <v>1</v>
      </c>
      <c r="E55" s="57">
        <f t="shared" si="3"/>
        <v>2</v>
      </c>
      <c r="F55" s="57">
        <f t="shared" si="3"/>
        <v>3</v>
      </c>
      <c r="G55" s="57">
        <f t="shared" si="3"/>
        <v>4</v>
      </c>
      <c r="H55" s="58">
        <f t="shared" si="3"/>
        <v>5</v>
      </c>
      <c r="I55"/>
      <c r="J55"/>
      <c r="K55"/>
      <c r="L55"/>
      <c r="M55"/>
    </row>
    <row r="56" spans="1:14" x14ac:dyDescent="0.25">
      <c r="A56" s="207" t="s">
        <v>58</v>
      </c>
      <c r="B56" s="213"/>
      <c r="C56" s="27"/>
      <c r="D56" s="75">
        <f>D50</f>
        <v>65812.5</v>
      </c>
      <c r="E56" s="75">
        <f t="shared" ref="E56:H56" si="4">E50</f>
        <v>11821.875</v>
      </c>
      <c r="F56" s="75">
        <f t="shared" si="4"/>
        <v>59639.53125</v>
      </c>
      <c r="G56" s="75">
        <f t="shared" si="4"/>
        <v>98650.8046875</v>
      </c>
      <c r="H56" s="76">
        <f t="shared" si="4"/>
        <v>137260.83515624999</v>
      </c>
    </row>
    <row r="57" spans="1:14" ht="15" customHeight="1" x14ac:dyDescent="0.25">
      <c r="A57" s="214" t="s">
        <v>62</v>
      </c>
      <c r="B57" s="215"/>
      <c r="C57" s="48"/>
      <c r="D57" s="49">
        <f>-SUM(D46:D47)</f>
        <v>131250</v>
      </c>
      <c r="E57" s="49">
        <f t="shared" ref="E57:H57" si="5">-SUM(E46:E47)</f>
        <v>229687.5</v>
      </c>
      <c r="F57" s="49">
        <f t="shared" si="5"/>
        <v>172265.625</v>
      </c>
      <c r="G57" s="49">
        <f t="shared" si="5"/>
        <v>129199.21875</v>
      </c>
      <c r="H57" s="50">
        <f t="shared" si="5"/>
        <v>87597.65625</v>
      </c>
    </row>
    <row r="58" spans="1:14" s="1" customFormat="1" ht="15.75" thickBot="1" x14ac:dyDescent="0.3">
      <c r="A58" s="204" t="s">
        <v>28</v>
      </c>
      <c r="B58" s="205"/>
      <c r="C58" s="31"/>
      <c r="D58" s="77">
        <f>SUM(D56:D57)</f>
        <v>197062.5</v>
      </c>
      <c r="E58" s="77">
        <f t="shared" ref="E58:H58" si="6">SUM(E56:E57)</f>
        <v>241509.375</v>
      </c>
      <c r="F58" s="77">
        <f t="shared" si="6"/>
        <v>231905.15625</v>
      </c>
      <c r="G58" s="77">
        <f t="shared" si="6"/>
        <v>227850.0234375</v>
      </c>
      <c r="H58" s="78">
        <f t="shared" si="6"/>
        <v>224858.49140624999</v>
      </c>
      <c r="I58"/>
      <c r="J58"/>
      <c r="K58"/>
      <c r="L58"/>
      <c r="M58"/>
    </row>
    <row r="59" spans="1:14" s="1" customFormat="1" x14ac:dyDescent="0.25">
      <c r="A59"/>
      <c r="B59"/>
      <c r="C59"/>
      <c r="D59"/>
      <c r="E59"/>
      <c r="F59"/>
      <c r="G59"/>
      <c r="H59"/>
      <c r="I59"/>
      <c r="J59"/>
      <c r="K59"/>
      <c r="L59"/>
      <c r="M59"/>
    </row>
    <row r="60" spans="1:14" ht="20.25" thickBot="1" x14ac:dyDescent="0.35">
      <c r="A60" s="209" t="s">
        <v>81</v>
      </c>
      <c r="B60" s="209"/>
    </row>
    <row r="61" spans="1:14" ht="16.5" thickTop="1" thickBot="1" x14ac:dyDescent="0.3"/>
    <row r="62" spans="1:14" ht="15.75" thickBot="1" x14ac:dyDescent="0.3">
      <c r="A62" s="211" t="s">
        <v>1</v>
      </c>
      <c r="B62" s="223"/>
      <c r="C62" s="91">
        <f t="shared" ref="C62:H62" si="7">C41</f>
        <v>0</v>
      </c>
      <c r="D62" s="92">
        <f t="shared" si="7"/>
        <v>1</v>
      </c>
      <c r="E62" s="92">
        <f t="shared" si="7"/>
        <v>2</v>
      </c>
      <c r="F62" s="92">
        <f t="shared" si="7"/>
        <v>3</v>
      </c>
      <c r="G62" s="92">
        <f t="shared" si="7"/>
        <v>4</v>
      </c>
      <c r="H62" s="93">
        <f t="shared" si="7"/>
        <v>5</v>
      </c>
    </row>
    <row r="63" spans="1:14" x14ac:dyDescent="0.25">
      <c r="A63" s="207" t="s">
        <v>29</v>
      </c>
      <c r="B63" s="208"/>
      <c r="C63" s="89">
        <f>-CapEx</f>
        <v>-1050000</v>
      </c>
      <c r="D63" s="28"/>
      <c r="E63" s="28"/>
      <c r="F63" s="28"/>
      <c r="G63" s="28"/>
      <c r="H63" s="76">
        <f>Sal</f>
        <v>300000</v>
      </c>
    </row>
    <row r="64" spans="1:14" x14ac:dyDescent="0.25">
      <c r="A64" s="207" t="s">
        <v>28</v>
      </c>
      <c r="B64" s="208"/>
      <c r="C64" s="29"/>
      <c r="D64" s="43">
        <f>D58</f>
        <v>197062.5</v>
      </c>
      <c r="E64" s="43">
        <f t="shared" ref="E64:H64" si="8">E58</f>
        <v>241509.375</v>
      </c>
      <c r="F64" s="43">
        <f t="shared" si="8"/>
        <v>231905.15625</v>
      </c>
      <c r="G64" s="43">
        <f t="shared" si="8"/>
        <v>227850.0234375</v>
      </c>
      <c r="H64" s="30">
        <f t="shared" si="8"/>
        <v>224858.49140624999</v>
      </c>
    </row>
    <row r="65" spans="1:13" x14ac:dyDescent="0.25">
      <c r="A65" s="207" t="s">
        <v>30</v>
      </c>
      <c r="B65" s="208"/>
      <c r="C65" s="90">
        <f>'NWC Schedule'!C5</f>
        <v>-125000</v>
      </c>
      <c r="D65" s="49">
        <f>'NWC Schedule'!D5</f>
        <v>-3250</v>
      </c>
      <c r="E65" s="49">
        <f>'NWC Schedule'!E5</f>
        <v>-6412.5</v>
      </c>
      <c r="F65" s="49">
        <f>'NWC Schedule'!F5</f>
        <v>-6733.125</v>
      </c>
      <c r="G65" s="49">
        <f>'NWC Schedule'!G5</f>
        <v>-7069.78125</v>
      </c>
      <c r="H65" s="50">
        <f>'NWC Schedule'!H5</f>
        <v>148465.40625</v>
      </c>
    </row>
    <row r="66" spans="1:13" s="1" customFormat="1" x14ac:dyDescent="0.25">
      <c r="A66" s="207" t="s">
        <v>31</v>
      </c>
      <c r="B66" s="208"/>
      <c r="C66" s="94">
        <f>SUM(C63:C65)</f>
        <v>-1175000</v>
      </c>
      <c r="D66" s="70">
        <f t="shared" ref="D66:H66" si="9">SUM(D63:D65)</f>
        <v>193812.5</v>
      </c>
      <c r="E66" s="70">
        <f t="shared" si="9"/>
        <v>235096.875</v>
      </c>
      <c r="F66" s="70">
        <f t="shared" si="9"/>
        <v>225172.03125</v>
      </c>
      <c r="G66" s="70">
        <f t="shared" si="9"/>
        <v>220780.2421875</v>
      </c>
      <c r="H66" s="95">
        <f t="shared" si="9"/>
        <v>673323.89765625005</v>
      </c>
      <c r="I66"/>
      <c r="J66"/>
      <c r="K66"/>
      <c r="L66"/>
      <c r="M66"/>
    </row>
    <row r="67" spans="1:13" s="1" customFormat="1" x14ac:dyDescent="0.25">
      <c r="A67" s="207" t="s">
        <v>87</v>
      </c>
      <c r="B67" s="208"/>
      <c r="C67" s="44">
        <f>C66</f>
        <v>-1175000</v>
      </c>
      <c r="D67" s="43">
        <f>D66+C67</f>
        <v>-981187.5</v>
      </c>
      <c r="E67" s="43">
        <f t="shared" ref="E67:H67" si="10">E66+D67</f>
        <v>-746090.625</v>
      </c>
      <c r="F67" s="43">
        <f t="shared" si="10"/>
        <v>-520918.59375</v>
      </c>
      <c r="G67" s="43">
        <f t="shared" si="10"/>
        <v>-300138.3515625</v>
      </c>
      <c r="H67" s="30">
        <f t="shared" si="10"/>
        <v>373185.54609375005</v>
      </c>
      <c r="I67"/>
      <c r="J67"/>
      <c r="K67"/>
      <c r="L67"/>
      <c r="M67"/>
    </row>
    <row r="68" spans="1:13" s="1" customFormat="1" ht="15.75" thickBot="1" x14ac:dyDescent="0.3">
      <c r="A68" s="204" t="s">
        <v>68</v>
      </c>
      <c r="B68" s="206"/>
      <c r="C68" s="31"/>
      <c r="D68" s="32" t="str">
        <f>IF(AND(C67&lt;0,D67&gt;0),C62+ABS(C67/D66),"")</f>
        <v/>
      </c>
      <c r="E68" s="32" t="str">
        <f t="shared" ref="E68:G68" si="11">IF(AND(D67&lt;0,E67&gt;0),D62+ABS(D67/E66),"")</f>
        <v/>
      </c>
      <c r="F68" s="32" t="str">
        <f t="shared" si="11"/>
        <v/>
      </c>
      <c r="G68" s="32" t="str">
        <f t="shared" si="11"/>
        <v/>
      </c>
      <c r="H68" s="96">
        <f>IF(AND(G67&lt;0,H67&gt;0),G62+ABS(G67/H66),"Never")</f>
        <v>4.4457562736258751</v>
      </c>
      <c r="I68"/>
      <c r="J68"/>
      <c r="K68"/>
      <c r="L68"/>
      <c r="M68"/>
    </row>
    <row r="69" spans="1:13" ht="15.75" thickBot="1" x14ac:dyDescent="0.3"/>
    <row r="70" spans="1:13" x14ac:dyDescent="0.25">
      <c r="A70" s="84" t="s">
        <v>32</v>
      </c>
      <c r="B70" s="87">
        <f>NPV(rr,D66:H66)+C66</f>
        <v>-219653.31516670214</v>
      </c>
    </row>
    <row r="71" spans="1:13" x14ac:dyDescent="0.25">
      <c r="A71" s="85" t="s">
        <v>52</v>
      </c>
      <c r="B71" s="104">
        <f>IRR(C66:H66)</f>
        <v>8.1413641861818098E-2</v>
      </c>
    </row>
    <row r="72" spans="1:13" x14ac:dyDescent="0.25">
      <c r="A72" s="85" t="s">
        <v>66</v>
      </c>
      <c r="B72" s="104">
        <f>MIRR(C66:H66,rr,rr)</f>
        <v>0.1033732917293837</v>
      </c>
    </row>
    <row r="73" spans="1:13" x14ac:dyDescent="0.25">
      <c r="A73" s="85" t="s">
        <v>67</v>
      </c>
      <c r="B73" s="88">
        <f>-NPV(rr,D66:H66)/C66</f>
        <v>0.81306100836876416</v>
      </c>
    </row>
    <row r="74" spans="1:13" ht="15.75" thickBot="1" x14ac:dyDescent="0.3">
      <c r="A74" s="86" t="s">
        <v>88</v>
      </c>
      <c r="B74" s="118">
        <f>H68</f>
        <v>4.4457562736258751</v>
      </c>
    </row>
    <row r="75" spans="1:13" ht="15.75" thickBot="1" x14ac:dyDescent="0.3"/>
    <row r="76" spans="1:13" ht="34.5" customHeight="1" x14ac:dyDescent="0.25">
      <c r="A76" s="100" t="s">
        <v>50</v>
      </c>
      <c r="B76" s="27"/>
      <c r="C76" s="217" t="s">
        <v>65</v>
      </c>
      <c r="D76" s="217"/>
      <c r="E76" s="217"/>
      <c r="F76" s="217"/>
      <c r="G76" s="218"/>
    </row>
    <row r="77" spans="1:13" ht="15.75" thickBot="1" x14ac:dyDescent="0.3">
      <c r="A77" s="31"/>
      <c r="B77" s="103"/>
      <c r="C77" s="101" t="s">
        <v>86</v>
      </c>
      <c r="D77" s="32"/>
      <c r="E77" s="32"/>
      <c r="F77" s="101"/>
      <c r="G77" s="102"/>
    </row>
    <row r="78" spans="1:13" x14ac:dyDescent="0.25">
      <c r="B78" s="1"/>
      <c r="C78" s="13"/>
      <c r="E78" s="10"/>
      <c r="F78" s="9"/>
      <c r="G78" s="9"/>
    </row>
    <row r="79" spans="1:13" ht="20.25" thickBot="1" x14ac:dyDescent="0.35">
      <c r="A79" s="209" t="s">
        <v>89</v>
      </c>
      <c r="B79" s="209"/>
      <c r="C79" s="7"/>
      <c r="E79" s="6"/>
      <c r="F79" s="7"/>
      <c r="G79" s="11"/>
    </row>
    <row r="80" spans="1:13" ht="16.5" thickTop="1" thickBot="1" x14ac:dyDescent="0.3"/>
    <row r="81" spans="1:2" ht="15.75" thickBot="1" x14ac:dyDescent="0.3">
      <c r="A81" s="98" t="s">
        <v>90</v>
      </c>
      <c r="B81" s="99" t="s">
        <v>91</v>
      </c>
    </row>
    <row r="82" spans="1:2" x14ac:dyDescent="0.25">
      <c r="A82" s="149"/>
      <c r="B82" s="97">
        <f>B70</f>
        <v>-219653.31516670214</v>
      </c>
    </row>
    <row r="83" spans="1:2" x14ac:dyDescent="0.25">
      <c r="A83" s="150">
        <v>0</v>
      </c>
      <c r="B83" s="30">
        <f t="dataTable" ref="B83:B108" dt2D="0" dtr="0" r1="C20"/>
        <v>373185.54609375005</v>
      </c>
    </row>
    <row r="84" spans="1:2" x14ac:dyDescent="0.25">
      <c r="A84" s="151">
        <f>A83+2%</f>
        <v>0.02</v>
      </c>
      <c r="B84" s="30">
        <v>266981.6818847484</v>
      </c>
    </row>
    <row r="85" spans="1:2" x14ac:dyDescent="0.25">
      <c r="A85" s="151">
        <f t="shared" ref="A85:A108" si="12">A84+2%</f>
        <v>0.04</v>
      </c>
      <c r="B85" s="30">
        <v>171042.60480597825</v>
      </c>
    </row>
    <row r="86" spans="1:2" x14ac:dyDescent="0.25">
      <c r="A86" s="151">
        <f t="shared" si="12"/>
        <v>0.06</v>
      </c>
      <c r="B86" s="30">
        <v>84161.558692135615</v>
      </c>
    </row>
    <row r="87" spans="1:2" x14ac:dyDescent="0.25">
      <c r="A87" s="151">
        <f t="shared" si="12"/>
        <v>0.08</v>
      </c>
      <c r="B87" s="30">
        <v>5295.5139914669562</v>
      </c>
    </row>
    <row r="88" spans="1:2" x14ac:dyDescent="0.25">
      <c r="A88" s="151">
        <f t="shared" si="12"/>
        <v>0.1</v>
      </c>
      <c r="B88" s="30">
        <v>-66459.75886520464</v>
      </c>
    </row>
    <row r="89" spans="1:2" x14ac:dyDescent="0.25">
      <c r="A89" s="151">
        <f t="shared" si="12"/>
        <v>0.12000000000000001</v>
      </c>
      <c r="B89" s="30">
        <v>-131890.43402281753</v>
      </c>
    </row>
    <row r="90" spans="1:2" x14ac:dyDescent="0.25">
      <c r="A90" s="151">
        <f t="shared" si="12"/>
        <v>0.14000000000000001</v>
      </c>
      <c r="B90" s="30">
        <v>-191681.95595177426</v>
      </c>
    </row>
    <row r="91" spans="1:2" x14ac:dyDescent="0.25">
      <c r="A91" s="151">
        <f t="shared" si="12"/>
        <v>0.16</v>
      </c>
      <c r="B91" s="30">
        <v>-246433.55960843549</v>
      </c>
    </row>
    <row r="92" spans="1:2" x14ac:dyDescent="0.25">
      <c r="A92" s="151">
        <f t="shared" si="12"/>
        <v>0.18</v>
      </c>
      <c r="B92" s="30">
        <v>-296670.47970338666</v>
      </c>
    </row>
    <row r="93" spans="1:2" x14ac:dyDescent="0.25">
      <c r="A93" s="151">
        <f t="shared" si="12"/>
        <v>0.19999999999999998</v>
      </c>
      <c r="B93" s="30">
        <v>-342854.24974229594</v>
      </c>
    </row>
    <row r="94" spans="1:2" x14ac:dyDescent="0.25">
      <c r="A94" s="151">
        <f t="shared" si="12"/>
        <v>0.21999999999999997</v>
      </c>
      <c r="B94" s="30">
        <v>-385391.41658722307</v>
      </c>
    </row>
    <row r="95" spans="1:2" x14ac:dyDescent="0.25">
      <c r="A95" s="151">
        <f t="shared" si="12"/>
        <v>0.23999999999999996</v>
      </c>
      <c r="B95" s="30">
        <v>-424640.93635565799</v>
      </c>
    </row>
    <row r="96" spans="1:2" x14ac:dyDescent="0.25">
      <c r="A96" s="151">
        <f t="shared" si="12"/>
        <v>0.25999999999999995</v>
      </c>
      <c r="B96" s="30">
        <v>-460920.46934405365</v>
      </c>
    </row>
    <row r="97" spans="1:2" x14ac:dyDescent="0.25">
      <c r="A97" s="151">
        <f t="shared" si="12"/>
        <v>0.27999999999999997</v>
      </c>
      <c r="B97" s="30">
        <v>-494511.75286194484</v>
      </c>
    </row>
    <row r="98" spans="1:2" x14ac:dyDescent="0.25">
      <c r="A98" s="151">
        <f t="shared" si="12"/>
        <v>0.3</v>
      </c>
      <c r="B98" s="30">
        <v>-525665.19946847914</v>
      </c>
    </row>
    <row r="99" spans="1:2" x14ac:dyDescent="0.25">
      <c r="A99" s="151">
        <f>A98+2%</f>
        <v>0.32</v>
      </c>
      <c r="B99" s="30">
        <v>-554603.84261133615</v>
      </c>
    </row>
    <row r="100" spans="1:2" x14ac:dyDescent="0.25">
      <c r="A100" s="151">
        <f t="shared" si="12"/>
        <v>0.34</v>
      </c>
      <c r="B100" s="30">
        <v>-581526.73089765932</v>
      </c>
    </row>
    <row r="101" spans="1:2" x14ac:dyDescent="0.25">
      <c r="A101" s="151">
        <f t="shared" si="12"/>
        <v>0.36000000000000004</v>
      </c>
      <c r="B101" s="30">
        <v>-606611.85524690663</v>
      </c>
    </row>
    <row r="102" spans="1:2" x14ac:dyDescent="0.25">
      <c r="A102" s="151">
        <f t="shared" si="12"/>
        <v>0.38000000000000006</v>
      </c>
      <c r="B102" s="30">
        <v>-630018.67924985173</v>
      </c>
    </row>
    <row r="103" spans="1:2" x14ac:dyDescent="0.25">
      <c r="A103" s="151">
        <f t="shared" si="12"/>
        <v>0.40000000000000008</v>
      </c>
      <c r="B103" s="30">
        <v>-651890.33160127676</v>
      </c>
    </row>
    <row r="104" spans="1:2" x14ac:dyDescent="0.25">
      <c r="A104" s="151">
        <f t="shared" si="12"/>
        <v>0.4200000000000001</v>
      </c>
      <c r="B104" s="30">
        <v>-672355.51001984288</v>
      </c>
    </row>
    <row r="105" spans="1:2" x14ac:dyDescent="0.25">
      <c r="A105" s="151">
        <f t="shared" si="12"/>
        <v>0.44000000000000011</v>
      </c>
      <c r="B105" s="30">
        <v>-691530.13824417256</v>
      </c>
    </row>
    <row r="106" spans="1:2" x14ac:dyDescent="0.25">
      <c r="A106" s="151">
        <f t="shared" si="12"/>
        <v>0.46000000000000013</v>
      </c>
      <c r="B106" s="30">
        <v>-709518.81119990663</v>
      </c>
    </row>
    <row r="107" spans="1:2" x14ac:dyDescent="0.25">
      <c r="A107" s="151">
        <f>A106+2%</f>
        <v>0.48000000000000015</v>
      </c>
      <c r="B107" s="30">
        <v>-726416.05802731426</v>
      </c>
    </row>
    <row r="108" spans="1:2" ht="15.75" thickBot="1" x14ac:dyDescent="0.3">
      <c r="A108" s="152">
        <f t="shared" si="12"/>
        <v>0.50000000000000011</v>
      </c>
      <c r="B108" s="47">
        <v>-742307.44814814813</v>
      </c>
    </row>
    <row r="109" spans="1:2" x14ac:dyDescent="0.25">
      <c r="A109" s="25"/>
    </row>
    <row r="110" spans="1:2" ht="20.25" thickBot="1" x14ac:dyDescent="0.35">
      <c r="A110" s="209" t="s">
        <v>92</v>
      </c>
      <c r="B110" s="209"/>
    </row>
    <row r="111" spans="1:2" ht="16.5" thickTop="1" thickBot="1" x14ac:dyDescent="0.3"/>
    <row r="112" spans="1:2" ht="15.75" thickBot="1" x14ac:dyDescent="0.3">
      <c r="A112" s="105" t="s">
        <v>93</v>
      </c>
      <c r="B112" s="106">
        <v>0.05</v>
      </c>
    </row>
    <row r="113" spans="1:14" ht="15.75" thickBot="1" x14ac:dyDescent="0.3"/>
    <row r="114" spans="1:14" ht="45.75" thickBot="1" x14ac:dyDescent="0.3">
      <c r="A114" s="115" t="s">
        <v>94</v>
      </c>
      <c r="B114" s="116" t="s">
        <v>15</v>
      </c>
      <c r="C114" s="116" t="s">
        <v>0</v>
      </c>
      <c r="D114" s="116" t="s">
        <v>6</v>
      </c>
      <c r="E114" s="116" t="s">
        <v>38</v>
      </c>
      <c r="F114" s="116" t="s">
        <v>40</v>
      </c>
      <c r="G114" s="116" t="s">
        <v>22</v>
      </c>
      <c r="H114" s="116" t="s">
        <v>7</v>
      </c>
      <c r="I114" s="116" t="s">
        <v>5</v>
      </c>
      <c r="J114" s="116" t="s">
        <v>8</v>
      </c>
      <c r="K114" s="116" t="s">
        <v>59</v>
      </c>
      <c r="L114" s="116" t="s">
        <v>4</v>
      </c>
      <c r="M114" s="116" t="s">
        <v>54</v>
      </c>
      <c r="N114" s="117" t="s">
        <v>12</v>
      </c>
    </row>
    <row r="115" spans="1:14" ht="15.75" thickBot="1" x14ac:dyDescent="0.3">
      <c r="A115" s="146" t="s">
        <v>34</v>
      </c>
      <c r="B115" s="127">
        <v>5</v>
      </c>
      <c r="C115" s="128">
        <v>1050000</v>
      </c>
      <c r="D115" s="128">
        <v>300000</v>
      </c>
      <c r="E115" s="129">
        <v>15000</v>
      </c>
      <c r="F115" s="130">
        <v>0.05</v>
      </c>
      <c r="G115" s="128">
        <v>90</v>
      </c>
      <c r="H115" s="128">
        <v>65</v>
      </c>
      <c r="I115" s="128">
        <v>75000</v>
      </c>
      <c r="J115" s="128">
        <v>125000</v>
      </c>
      <c r="K115" s="130">
        <v>0.1</v>
      </c>
      <c r="L115" s="130">
        <v>0.35</v>
      </c>
      <c r="M115" s="130">
        <v>0.25</v>
      </c>
      <c r="N115" s="131">
        <v>0.15</v>
      </c>
    </row>
    <row r="116" spans="1:14" x14ac:dyDescent="0.25">
      <c r="A116" s="147" t="s">
        <v>35</v>
      </c>
      <c r="B116" s="119">
        <v>5</v>
      </c>
      <c r="C116" s="43">
        <v>1020000</v>
      </c>
      <c r="D116" s="43">
        <v>337500</v>
      </c>
      <c r="E116" s="2">
        <v>18000</v>
      </c>
      <c r="F116" s="113">
        <v>0.08</v>
      </c>
      <c r="G116" s="43">
        <v>96</v>
      </c>
      <c r="H116" s="43">
        <v>64</v>
      </c>
      <c r="I116" s="43">
        <v>65625</v>
      </c>
      <c r="J116" s="43">
        <v>100000</v>
      </c>
      <c r="K116" s="113">
        <v>0.08</v>
      </c>
      <c r="L116" s="14">
        <v>0.35</v>
      </c>
      <c r="M116" s="113">
        <v>0.25</v>
      </c>
      <c r="N116" s="114">
        <v>0.15</v>
      </c>
    </row>
    <row r="117" spans="1:14" x14ac:dyDescent="0.25">
      <c r="A117" s="147" t="s">
        <v>36</v>
      </c>
      <c r="B117" s="119">
        <v>5</v>
      </c>
      <c r="C117" s="43">
        <v>1070000</v>
      </c>
      <c r="D117" s="43">
        <v>225000</v>
      </c>
      <c r="E117" s="2">
        <v>12000</v>
      </c>
      <c r="F117" s="113">
        <v>0.04</v>
      </c>
      <c r="G117" s="43">
        <v>85</v>
      </c>
      <c r="H117" s="43">
        <v>67</v>
      </c>
      <c r="I117" s="43">
        <v>84375</v>
      </c>
      <c r="J117" s="43">
        <v>137500</v>
      </c>
      <c r="K117" s="113">
        <v>0.12</v>
      </c>
      <c r="L117" s="14">
        <v>0.35</v>
      </c>
      <c r="M117" s="113">
        <v>0.25</v>
      </c>
      <c r="N117" s="114">
        <v>0.15</v>
      </c>
    </row>
    <row r="118" spans="1:14" x14ac:dyDescent="0.25">
      <c r="A118" s="147" t="s">
        <v>103</v>
      </c>
      <c r="B118" s="120">
        <v>5</v>
      </c>
      <c r="C118" s="40">
        <f>C115*(1+PID)</f>
        <v>1102500</v>
      </c>
      <c r="D118" s="40">
        <v>300000</v>
      </c>
      <c r="E118" s="16">
        <v>15000</v>
      </c>
      <c r="F118" s="111">
        <v>0.05</v>
      </c>
      <c r="G118" s="40">
        <v>90</v>
      </c>
      <c r="H118" s="40">
        <v>65</v>
      </c>
      <c r="I118" s="40">
        <v>75000</v>
      </c>
      <c r="J118" s="40">
        <v>125000</v>
      </c>
      <c r="K118" s="111">
        <v>0.1</v>
      </c>
      <c r="L118" s="111">
        <v>0.35</v>
      </c>
      <c r="M118" s="111">
        <v>0.25</v>
      </c>
      <c r="N118" s="122">
        <v>0.15</v>
      </c>
    </row>
    <row r="119" spans="1:14" x14ac:dyDescent="0.25">
      <c r="A119" s="147" t="s">
        <v>104</v>
      </c>
      <c r="B119" s="120">
        <v>5</v>
      </c>
      <c r="C119" s="40">
        <f>C115*(1-PID)</f>
        <v>997500</v>
      </c>
      <c r="D119" s="40">
        <v>300000</v>
      </c>
      <c r="E119" s="16">
        <v>15000</v>
      </c>
      <c r="F119" s="111">
        <v>0.05</v>
      </c>
      <c r="G119" s="40">
        <v>90</v>
      </c>
      <c r="H119" s="40">
        <v>65</v>
      </c>
      <c r="I119" s="40">
        <v>75000</v>
      </c>
      <c r="J119" s="40">
        <v>125000</v>
      </c>
      <c r="K119" s="111">
        <v>0.1</v>
      </c>
      <c r="L119" s="111">
        <v>0.35</v>
      </c>
      <c r="M119" s="111">
        <v>0.25</v>
      </c>
      <c r="N119" s="122">
        <v>0.15</v>
      </c>
    </row>
    <row r="120" spans="1:14" x14ac:dyDescent="0.25">
      <c r="A120" s="147" t="s">
        <v>95</v>
      </c>
      <c r="B120" s="120">
        <v>5</v>
      </c>
      <c r="C120" s="40">
        <v>1050000</v>
      </c>
      <c r="D120" s="40">
        <f>D115*(1+PID)</f>
        <v>315000</v>
      </c>
      <c r="E120" s="16">
        <v>15000</v>
      </c>
      <c r="F120" s="111">
        <v>0.05</v>
      </c>
      <c r="G120" s="40">
        <v>90</v>
      </c>
      <c r="H120" s="40">
        <v>65</v>
      </c>
      <c r="I120" s="40">
        <v>75000</v>
      </c>
      <c r="J120" s="40">
        <v>125000</v>
      </c>
      <c r="K120" s="111">
        <v>0.1</v>
      </c>
      <c r="L120" s="111">
        <v>0.35</v>
      </c>
      <c r="M120" s="111">
        <v>0.25</v>
      </c>
      <c r="N120" s="122">
        <v>0.15</v>
      </c>
    </row>
    <row r="121" spans="1:14" x14ac:dyDescent="0.25">
      <c r="A121" s="147" t="s">
        <v>96</v>
      </c>
      <c r="B121" s="120">
        <v>5</v>
      </c>
      <c r="C121" s="40">
        <v>1050000</v>
      </c>
      <c r="D121" s="40">
        <f>D115*(1-PID)</f>
        <v>285000</v>
      </c>
      <c r="E121" s="16">
        <v>15000</v>
      </c>
      <c r="F121" s="111">
        <v>0.05</v>
      </c>
      <c r="G121" s="40">
        <v>90</v>
      </c>
      <c r="H121" s="40">
        <v>65</v>
      </c>
      <c r="I121" s="40">
        <v>75000</v>
      </c>
      <c r="J121" s="40">
        <v>125000</v>
      </c>
      <c r="K121" s="111">
        <v>0.1</v>
      </c>
      <c r="L121" s="111">
        <v>0.35</v>
      </c>
      <c r="M121" s="111">
        <v>0.25</v>
      </c>
      <c r="N121" s="122">
        <v>0.15</v>
      </c>
    </row>
    <row r="122" spans="1:14" x14ac:dyDescent="0.25">
      <c r="A122" s="147" t="s">
        <v>102</v>
      </c>
      <c r="B122" s="120">
        <v>5</v>
      </c>
      <c r="C122" s="40">
        <v>1050000</v>
      </c>
      <c r="D122" s="40">
        <v>300000</v>
      </c>
      <c r="E122" s="16">
        <f>E115*(1+PID)</f>
        <v>15750</v>
      </c>
      <c r="F122" s="111">
        <v>0.05</v>
      </c>
      <c r="G122" s="40">
        <v>90</v>
      </c>
      <c r="H122" s="40">
        <v>65</v>
      </c>
      <c r="I122" s="40">
        <v>75000</v>
      </c>
      <c r="J122" s="40">
        <v>125000</v>
      </c>
      <c r="K122" s="111">
        <v>0.1</v>
      </c>
      <c r="L122" s="111">
        <v>0.35</v>
      </c>
      <c r="M122" s="111">
        <v>0.25</v>
      </c>
      <c r="N122" s="122">
        <v>0.15</v>
      </c>
    </row>
    <row r="123" spans="1:14" x14ac:dyDescent="0.25">
      <c r="A123" s="147" t="s">
        <v>101</v>
      </c>
      <c r="B123" s="120">
        <v>5</v>
      </c>
      <c r="C123" s="40">
        <v>1050000</v>
      </c>
      <c r="D123" s="40">
        <v>300000</v>
      </c>
      <c r="E123" s="16">
        <f>E115*(1-PID)</f>
        <v>14250</v>
      </c>
      <c r="F123" s="111">
        <v>0.05</v>
      </c>
      <c r="G123" s="40">
        <v>90</v>
      </c>
      <c r="H123" s="40">
        <v>65</v>
      </c>
      <c r="I123" s="40">
        <v>75000</v>
      </c>
      <c r="J123" s="40">
        <v>125000</v>
      </c>
      <c r="K123" s="111">
        <v>0.1</v>
      </c>
      <c r="L123" s="111">
        <v>0.35</v>
      </c>
      <c r="M123" s="111">
        <v>0.25</v>
      </c>
      <c r="N123" s="122">
        <v>0.15</v>
      </c>
    </row>
    <row r="124" spans="1:14" x14ac:dyDescent="0.25">
      <c r="A124" s="147" t="s">
        <v>100</v>
      </c>
      <c r="B124" s="120">
        <v>5</v>
      </c>
      <c r="C124" s="40">
        <v>1050000</v>
      </c>
      <c r="D124" s="40">
        <v>300000</v>
      </c>
      <c r="E124" s="16">
        <v>15000</v>
      </c>
      <c r="F124" s="111">
        <f>F115*(1+PID)</f>
        <v>5.2500000000000005E-2</v>
      </c>
      <c r="G124" s="40">
        <v>90</v>
      </c>
      <c r="H124" s="40">
        <v>65</v>
      </c>
      <c r="I124" s="40">
        <v>75000</v>
      </c>
      <c r="J124" s="40">
        <v>125000</v>
      </c>
      <c r="K124" s="111">
        <v>0.1</v>
      </c>
      <c r="L124" s="111">
        <v>0.35</v>
      </c>
      <c r="M124" s="111">
        <v>0.25</v>
      </c>
      <c r="N124" s="122">
        <v>0.15</v>
      </c>
    </row>
    <row r="125" spans="1:14" x14ac:dyDescent="0.25">
      <c r="A125" s="147" t="s">
        <v>99</v>
      </c>
      <c r="B125" s="120">
        <v>5</v>
      </c>
      <c r="C125" s="40">
        <v>1050000</v>
      </c>
      <c r="D125" s="40">
        <v>300000</v>
      </c>
      <c r="E125" s="16">
        <v>15000</v>
      </c>
      <c r="F125" s="111">
        <f>F115*(1-PID)</f>
        <v>4.7500000000000001E-2</v>
      </c>
      <c r="G125" s="40">
        <v>90</v>
      </c>
      <c r="H125" s="40">
        <v>65</v>
      </c>
      <c r="I125" s="40">
        <v>75000</v>
      </c>
      <c r="J125" s="40">
        <v>125000</v>
      </c>
      <c r="K125" s="111">
        <v>0.1</v>
      </c>
      <c r="L125" s="111">
        <v>0.35</v>
      </c>
      <c r="M125" s="111">
        <v>0.25</v>
      </c>
      <c r="N125" s="122">
        <v>0.15</v>
      </c>
    </row>
    <row r="126" spans="1:14" x14ac:dyDescent="0.25">
      <c r="A126" s="147" t="s">
        <v>98</v>
      </c>
      <c r="B126" s="120">
        <v>5</v>
      </c>
      <c r="C126" s="40">
        <v>1050000</v>
      </c>
      <c r="D126" s="40">
        <v>300000</v>
      </c>
      <c r="E126" s="16">
        <v>15000</v>
      </c>
      <c r="F126" s="111">
        <v>0.05</v>
      </c>
      <c r="G126" s="40">
        <f>G115*(1+PID)</f>
        <v>94.5</v>
      </c>
      <c r="H126" s="40">
        <v>65</v>
      </c>
      <c r="I126" s="40">
        <v>75000</v>
      </c>
      <c r="J126" s="40">
        <v>125000</v>
      </c>
      <c r="K126" s="111">
        <v>0.1</v>
      </c>
      <c r="L126" s="111">
        <v>0.35</v>
      </c>
      <c r="M126" s="111">
        <v>0.25</v>
      </c>
      <c r="N126" s="122">
        <v>0.15</v>
      </c>
    </row>
    <row r="127" spans="1:14" x14ac:dyDescent="0.25">
      <c r="A127" s="147" t="s">
        <v>97</v>
      </c>
      <c r="B127" s="120">
        <v>5</v>
      </c>
      <c r="C127" s="40">
        <v>1050000</v>
      </c>
      <c r="D127" s="40">
        <v>300000</v>
      </c>
      <c r="E127" s="16">
        <v>15000</v>
      </c>
      <c r="F127" s="111">
        <v>0.05</v>
      </c>
      <c r="G127" s="40">
        <f>G115*(1-PID)</f>
        <v>85.5</v>
      </c>
      <c r="H127" s="40">
        <v>65</v>
      </c>
      <c r="I127" s="40">
        <v>75000</v>
      </c>
      <c r="J127" s="40">
        <v>125000</v>
      </c>
      <c r="K127" s="111">
        <v>0.1</v>
      </c>
      <c r="L127" s="111">
        <v>0.35</v>
      </c>
      <c r="M127" s="111">
        <v>0.25</v>
      </c>
      <c r="N127" s="122">
        <v>0.15</v>
      </c>
    </row>
    <row r="128" spans="1:14" x14ac:dyDescent="0.25">
      <c r="A128" s="147" t="s">
        <v>105</v>
      </c>
      <c r="B128" s="120">
        <v>5</v>
      </c>
      <c r="C128" s="40">
        <v>1050000</v>
      </c>
      <c r="D128" s="40">
        <v>300000</v>
      </c>
      <c r="E128" s="16">
        <v>15000</v>
      </c>
      <c r="F128" s="111">
        <v>0.05</v>
      </c>
      <c r="G128" s="40">
        <v>90</v>
      </c>
      <c r="H128" s="40">
        <f>H115*(1+PID)</f>
        <v>68.25</v>
      </c>
      <c r="I128" s="40">
        <v>75000</v>
      </c>
      <c r="J128" s="40">
        <v>125000</v>
      </c>
      <c r="K128" s="111">
        <v>0.1</v>
      </c>
      <c r="L128" s="111">
        <v>0.35</v>
      </c>
      <c r="M128" s="111">
        <v>0.25</v>
      </c>
      <c r="N128" s="122">
        <v>0.15</v>
      </c>
    </row>
    <row r="129" spans="1:14" x14ac:dyDescent="0.25">
      <c r="A129" s="147" t="s">
        <v>106</v>
      </c>
      <c r="B129" s="120">
        <v>5</v>
      </c>
      <c r="C129" s="40">
        <v>1050000</v>
      </c>
      <c r="D129" s="40">
        <v>300000</v>
      </c>
      <c r="E129" s="16">
        <v>15000</v>
      </c>
      <c r="F129" s="111">
        <v>0.05</v>
      </c>
      <c r="G129" s="40">
        <v>90</v>
      </c>
      <c r="H129" s="40">
        <f>H115*(1-PID)</f>
        <v>61.75</v>
      </c>
      <c r="I129" s="40">
        <v>75000</v>
      </c>
      <c r="J129" s="40">
        <v>125000</v>
      </c>
      <c r="K129" s="111">
        <v>0.1</v>
      </c>
      <c r="L129" s="111">
        <v>0.35</v>
      </c>
      <c r="M129" s="111">
        <v>0.25</v>
      </c>
      <c r="N129" s="122">
        <v>0.15</v>
      </c>
    </row>
    <row r="130" spans="1:14" x14ac:dyDescent="0.25">
      <c r="A130" s="147" t="s">
        <v>107</v>
      </c>
      <c r="B130" s="120">
        <v>5</v>
      </c>
      <c r="C130" s="40">
        <v>1050000</v>
      </c>
      <c r="D130" s="40">
        <v>300000</v>
      </c>
      <c r="E130" s="16">
        <v>15000</v>
      </c>
      <c r="F130" s="111">
        <v>0.05</v>
      </c>
      <c r="G130" s="40">
        <v>90</v>
      </c>
      <c r="H130" s="40">
        <v>65</v>
      </c>
      <c r="I130" s="40">
        <f>I115*(1+PID)</f>
        <v>78750</v>
      </c>
      <c r="J130" s="40">
        <v>125000</v>
      </c>
      <c r="K130" s="111">
        <v>0.1</v>
      </c>
      <c r="L130" s="111">
        <v>0.35</v>
      </c>
      <c r="M130" s="111">
        <v>0.25</v>
      </c>
      <c r="N130" s="122">
        <v>0.15</v>
      </c>
    </row>
    <row r="131" spans="1:14" x14ac:dyDescent="0.25">
      <c r="A131" s="147" t="s">
        <v>108</v>
      </c>
      <c r="B131" s="120">
        <v>5</v>
      </c>
      <c r="C131" s="40">
        <v>1050000</v>
      </c>
      <c r="D131" s="40">
        <v>300000</v>
      </c>
      <c r="E131" s="16">
        <v>15000</v>
      </c>
      <c r="F131" s="111">
        <v>0.05</v>
      </c>
      <c r="G131" s="40">
        <v>90</v>
      </c>
      <c r="H131" s="40">
        <v>65</v>
      </c>
      <c r="I131" s="40">
        <f>I115*(1-PID)</f>
        <v>71250</v>
      </c>
      <c r="J131" s="40">
        <v>125000</v>
      </c>
      <c r="K131" s="111">
        <v>0.1</v>
      </c>
      <c r="L131" s="111">
        <v>0.35</v>
      </c>
      <c r="M131" s="111">
        <v>0.25</v>
      </c>
      <c r="N131" s="122">
        <v>0.15</v>
      </c>
    </row>
    <row r="132" spans="1:14" x14ac:dyDescent="0.25">
      <c r="A132" s="147" t="s">
        <v>109</v>
      </c>
      <c r="B132" s="120">
        <v>5</v>
      </c>
      <c r="C132" s="40">
        <v>1050000</v>
      </c>
      <c r="D132" s="40">
        <v>300000</v>
      </c>
      <c r="E132" s="16">
        <v>15000</v>
      </c>
      <c r="F132" s="111">
        <v>0.05</v>
      </c>
      <c r="G132" s="40">
        <v>90</v>
      </c>
      <c r="H132" s="40">
        <v>65</v>
      </c>
      <c r="I132" s="40">
        <v>75000</v>
      </c>
      <c r="J132" s="40">
        <f>J115*(1+PID)</f>
        <v>131250</v>
      </c>
      <c r="K132" s="111">
        <v>0.1</v>
      </c>
      <c r="L132" s="111">
        <v>0.35</v>
      </c>
      <c r="M132" s="111">
        <v>0.25</v>
      </c>
      <c r="N132" s="122">
        <v>0.15</v>
      </c>
    </row>
    <row r="133" spans="1:14" x14ac:dyDescent="0.25">
      <c r="A133" s="147" t="s">
        <v>110</v>
      </c>
      <c r="B133" s="120">
        <v>5</v>
      </c>
      <c r="C133" s="40">
        <v>1050000</v>
      </c>
      <c r="D133" s="40">
        <v>300000</v>
      </c>
      <c r="E133" s="16">
        <v>15000</v>
      </c>
      <c r="F133" s="111">
        <v>0.05</v>
      </c>
      <c r="G133" s="40">
        <v>90</v>
      </c>
      <c r="H133" s="40">
        <v>65</v>
      </c>
      <c r="I133" s="40">
        <v>75000</v>
      </c>
      <c r="J133" s="40">
        <f>J115*(1-PID)</f>
        <v>118750</v>
      </c>
      <c r="K133" s="111">
        <v>0.1</v>
      </c>
      <c r="L133" s="111">
        <v>0.35</v>
      </c>
      <c r="M133" s="111">
        <v>0.25</v>
      </c>
      <c r="N133" s="122">
        <v>0.15</v>
      </c>
    </row>
    <row r="134" spans="1:14" x14ac:dyDescent="0.25">
      <c r="A134" s="147" t="s">
        <v>111</v>
      </c>
      <c r="B134" s="120">
        <v>5</v>
      </c>
      <c r="C134" s="40">
        <v>1050000</v>
      </c>
      <c r="D134" s="40">
        <v>300000</v>
      </c>
      <c r="E134" s="16">
        <v>15000</v>
      </c>
      <c r="F134" s="111">
        <v>0.05</v>
      </c>
      <c r="G134" s="40">
        <v>90</v>
      </c>
      <c r="H134" s="40">
        <v>65</v>
      </c>
      <c r="I134" s="40">
        <v>75000</v>
      </c>
      <c r="J134" s="40">
        <v>125000</v>
      </c>
      <c r="K134" s="111">
        <f>K115*(1+PID)</f>
        <v>0.10500000000000001</v>
      </c>
      <c r="L134" s="111">
        <v>0.35</v>
      </c>
      <c r="M134" s="111">
        <v>0.25</v>
      </c>
      <c r="N134" s="122">
        <v>0.15</v>
      </c>
    </row>
    <row r="135" spans="1:14" x14ac:dyDescent="0.25">
      <c r="A135" s="147" t="s">
        <v>112</v>
      </c>
      <c r="B135" s="120">
        <v>5</v>
      </c>
      <c r="C135" s="40">
        <v>1050000</v>
      </c>
      <c r="D135" s="40">
        <v>300000</v>
      </c>
      <c r="E135" s="16">
        <v>15000</v>
      </c>
      <c r="F135" s="111">
        <v>0.05</v>
      </c>
      <c r="G135" s="40">
        <v>90</v>
      </c>
      <c r="H135" s="40">
        <v>65</v>
      </c>
      <c r="I135" s="40">
        <v>75000</v>
      </c>
      <c r="J135" s="40">
        <v>125000</v>
      </c>
      <c r="K135" s="111">
        <f>K115*(1-PID)</f>
        <v>9.5000000000000001E-2</v>
      </c>
      <c r="L135" s="111">
        <v>0.35</v>
      </c>
      <c r="M135" s="111">
        <v>0.25</v>
      </c>
      <c r="N135" s="122">
        <v>0.15</v>
      </c>
    </row>
    <row r="136" spans="1:14" x14ac:dyDescent="0.25">
      <c r="A136" s="147" t="s">
        <v>113</v>
      </c>
      <c r="B136" s="120">
        <v>5</v>
      </c>
      <c r="C136" s="40">
        <v>1050000</v>
      </c>
      <c r="D136" s="40">
        <v>300000</v>
      </c>
      <c r="E136" s="16">
        <v>15000</v>
      </c>
      <c r="F136" s="111">
        <v>0.05</v>
      </c>
      <c r="G136" s="40">
        <v>90</v>
      </c>
      <c r="H136" s="40">
        <v>65</v>
      </c>
      <c r="I136" s="40">
        <v>75000</v>
      </c>
      <c r="J136" s="40">
        <v>125000</v>
      </c>
      <c r="K136" s="111">
        <v>0.1</v>
      </c>
      <c r="L136" s="111">
        <f>L115*(1+PID)</f>
        <v>0.36749999999999999</v>
      </c>
      <c r="M136" s="111">
        <v>0.25</v>
      </c>
      <c r="N136" s="122">
        <v>0.15</v>
      </c>
    </row>
    <row r="137" spans="1:14" x14ac:dyDescent="0.25">
      <c r="A137" s="147" t="s">
        <v>114</v>
      </c>
      <c r="B137" s="120">
        <v>5</v>
      </c>
      <c r="C137" s="40">
        <v>1050000</v>
      </c>
      <c r="D137" s="40">
        <v>300000</v>
      </c>
      <c r="E137" s="16">
        <v>15000</v>
      </c>
      <c r="F137" s="111">
        <v>0.05</v>
      </c>
      <c r="G137" s="40">
        <v>90</v>
      </c>
      <c r="H137" s="40">
        <v>65</v>
      </c>
      <c r="I137" s="40">
        <v>75000</v>
      </c>
      <c r="J137" s="40">
        <v>125000</v>
      </c>
      <c r="K137" s="111">
        <v>0.1</v>
      </c>
      <c r="L137" s="111">
        <f>L115*(1-PID)</f>
        <v>0.33249999999999996</v>
      </c>
      <c r="M137" s="111">
        <v>0.25</v>
      </c>
      <c r="N137" s="122">
        <v>0.15</v>
      </c>
    </row>
    <row r="138" spans="1:14" x14ac:dyDescent="0.25">
      <c r="A138" s="147" t="s">
        <v>115</v>
      </c>
      <c r="B138" s="120">
        <v>5</v>
      </c>
      <c r="C138" s="40">
        <v>1050000</v>
      </c>
      <c r="D138" s="40">
        <v>300000</v>
      </c>
      <c r="E138" s="16">
        <v>15000</v>
      </c>
      <c r="F138" s="111">
        <v>0.05</v>
      </c>
      <c r="G138" s="40">
        <v>90</v>
      </c>
      <c r="H138" s="40">
        <v>65</v>
      </c>
      <c r="I138" s="40">
        <v>75000</v>
      </c>
      <c r="J138" s="40">
        <v>125000</v>
      </c>
      <c r="K138" s="111">
        <v>0.1</v>
      </c>
      <c r="L138" s="111">
        <v>0.35</v>
      </c>
      <c r="M138" s="111">
        <f>M115*(1+PID)</f>
        <v>0.26250000000000001</v>
      </c>
      <c r="N138" s="122">
        <v>0.15</v>
      </c>
    </row>
    <row r="139" spans="1:14" x14ac:dyDescent="0.25">
      <c r="A139" s="147" t="s">
        <v>116</v>
      </c>
      <c r="B139" s="120">
        <v>5</v>
      </c>
      <c r="C139" s="40">
        <v>1050000</v>
      </c>
      <c r="D139" s="40">
        <v>300000</v>
      </c>
      <c r="E139" s="16">
        <v>15000</v>
      </c>
      <c r="F139" s="111">
        <v>0.05</v>
      </c>
      <c r="G139" s="40">
        <v>90</v>
      </c>
      <c r="H139" s="40">
        <v>65</v>
      </c>
      <c r="I139" s="40">
        <v>75000</v>
      </c>
      <c r="J139" s="40">
        <v>125000</v>
      </c>
      <c r="K139" s="111">
        <v>0.1</v>
      </c>
      <c r="L139" s="111">
        <v>0.35</v>
      </c>
      <c r="M139" s="111">
        <f>M115*(1-PID)</f>
        <v>0.23749999999999999</v>
      </c>
      <c r="N139" s="122">
        <v>0.15</v>
      </c>
    </row>
    <row r="140" spans="1:14" x14ac:dyDescent="0.25">
      <c r="A140" s="147" t="s">
        <v>117</v>
      </c>
      <c r="B140" s="120">
        <v>5</v>
      </c>
      <c r="C140" s="40">
        <v>1050000</v>
      </c>
      <c r="D140" s="40">
        <v>300000</v>
      </c>
      <c r="E140" s="16">
        <v>15000</v>
      </c>
      <c r="F140" s="111">
        <v>0.05</v>
      </c>
      <c r="G140" s="40">
        <v>90</v>
      </c>
      <c r="H140" s="40">
        <v>65</v>
      </c>
      <c r="I140" s="40">
        <v>75000</v>
      </c>
      <c r="J140" s="40">
        <v>125000</v>
      </c>
      <c r="K140" s="111">
        <v>0.1</v>
      </c>
      <c r="L140" s="111">
        <v>0.35</v>
      </c>
      <c r="M140" s="111">
        <v>0.25</v>
      </c>
      <c r="N140" s="122">
        <f>N115*(1+PID)</f>
        <v>0.1575</v>
      </c>
    </row>
    <row r="141" spans="1:14" ht="15.75" thickBot="1" x14ac:dyDescent="0.3">
      <c r="A141" s="148" t="s">
        <v>118</v>
      </c>
      <c r="B141" s="123">
        <v>5</v>
      </c>
      <c r="C141" s="124">
        <v>1050000</v>
      </c>
      <c r="D141" s="124">
        <v>300000</v>
      </c>
      <c r="E141" s="35">
        <v>15000</v>
      </c>
      <c r="F141" s="125">
        <v>0.05</v>
      </c>
      <c r="G141" s="124">
        <v>90</v>
      </c>
      <c r="H141" s="124">
        <v>65</v>
      </c>
      <c r="I141" s="124">
        <v>75000</v>
      </c>
      <c r="J141" s="124">
        <v>125000</v>
      </c>
      <c r="K141" s="125">
        <v>0.1</v>
      </c>
      <c r="L141" s="125">
        <v>0.35</v>
      </c>
      <c r="M141" s="125">
        <v>0.25</v>
      </c>
      <c r="N141" s="126">
        <f>N115*(1-PID)</f>
        <v>0.14249999999999999</v>
      </c>
    </row>
    <row r="142" spans="1:14" x14ac:dyDescent="0.25">
      <c r="A142" s="4"/>
    </row>
    <row r="143" spans="1:14" x14ac:dyDescent="0.25">
      <c r="A143" s="1"/>
      <c r="B143" s="109"/>
      <c r="C143" s="110"/>
      <c r="D143" s="110"/>
      <c r="E143" s="4"/>
      <c r="F143" s="111"/>
      <c r="G143" s="40"/>
      <c r="H143" s="40"/>
      <c r="I143" s="110"/>
      <c r="J143" s="110"/>
      <c r="K143" s="112"/>
      <c r="L143" s="111"/>
      <c r="M143" s="112"/>
      <c r="N143" s="111"/>
    </row>
    <row r="144" spans="1:14" x14ac:dyDescent="0.25">
      <c r="A144" s="1"/>
      <c r="B144" s="109"/>
      <c r="C144" s="110"/>
      <c r="D144" s="110"/>
      <c r="E144" s="4"/>
      <c r="F144" s="111"/>
      <c r="G144" s="40"/>
      <c r="H144" s="40"/>
      <c r="I144" s="110"/>
      <c r="J144" s="110"/>
      <c r="K144" s="112"/>
      <c r="L144" s="111"/>
      <c r="M144" s="112"/>
      <c r="N144" s="111"/>
    </row>
    <row r="145" spans="1:14" x14ac:dyDescent="0.25">
      <c r="A145" s="1"/>
      <c r="B145" s="109"/>
      <c r="C145" s="110"/>
      <c r="D145" s="110"/>
      <c r="E145" s="4"/>
      <c r="F145" s="111"/>
      <c r="G145" s="40"/>
      <c r="H145" s="40"/>
      <c r="I145" s="110"/>
      <c r="J145" s="110"/>
      <c r="K145" s="112"/>
      <c r="L145" s="111"/>
      <c r="M145" s="112"/>
      <c r="N145" s="111"/>
    </row>
    <row r="146" spans="1:14" x14ac:dyDescent="0.25">
      <c r="A146" s="1"/>
      <c r="B146" s="109"/>
      <c r="C146" s="110"/>
      <c r="D146" s="110"/>
      <c r="E146" s="4"/>
      <c r="F146" s="111"/>
      <c r="G146" s="40"/>
      <c r="H146" s="40"/>
      <c r="I146" s="110"/>
      <c r="J146" s="110"/>
      <c r="K146" s="112"/>
      <c r="L146" s="111"/>
      <c r="M146" s="112"/>
      <c r="N146" s="111"/>
    </row>
    <row r="147" spans="1:14" x14ac:dyDescent="0.25">
      <c r="A147" s="1"/>
      <c r="B147" s="109"/>
      <c r="C147" s="110"/>
      <c r="D147" s="110"/>
      <c r="E147" s="4"/>
      <c r="F147" s="111"/>
      <c r="G147" s="40"/>
      <c r="H147" s="40"/>
      <c r="I147" s="110"/>
      <c r="J147" s="110"/>
      <c r="K147" s="112"/>
      <c r="L147" s="111"/>
      <c r="M147" s="112"/>
      <c r="N147" s="111"/>
    </row>
    <row r="148" spans="1:14" x14ac:dyDescent="0.25">
      <c r="A148" s="1"/>
      <c r="B148" s="109"/>
      <c r="C148" s="110"/>
      <c r="D148" s="110"/>
      <c r="E148" s="4"/>
      <c r="F148" s="111"/>
      <c r="G148" s="40"/>
      <c r="H148" s="40"/>
      <c r="I148" s="110"/>
      <c r="J148" s="110"/>
      <c r="K148" s="112"/>
      <c r="L148" s="111"/>
      <c r="M148" s="112"/>
      <c r="N148" s="111"/>
    </row>
    <row r="149" spans="1:14" x14ac:dyDescent="0.25">
      <c r="B149" s="6"/>
      <c r="C149" s="7"/>
    </row>
    <row r="150" spans="1:14" x14ac:dyDescent="0.25">
      <c r="B150" s="6"/>
      <c r="C150" s="7"/>
    </row>
    <row r="151" spans="1:14" x14ac:dyDescent="0.25">
      <c r="B151" s="6"/>
      <c r="C151" s="7"/>
    </row>
    <row r="152" spans="1:14" x14ac:dyDescent="0.25">
      <c r="B152" s="6"/>
      <c r="C152" s="7"/>
    </row>
    <row r="153" spans="1:14" x14ac:dyDescent="0.25">
      <c r="B153" s="6"/>
      <c r="C153" s="7"/>
    </row>
    <row r="154" spans="1:14" x14ac:dyDescent="0.25">
      <c r="B154" s="6"/>
      <c r="C154" s="7"/>
    </row>
    <row r="155" spans="1:14" x14ac:dyDescent="0.25">
      <c r="B155" s="6"/>
      <c r="C155" s="7"/>
    </row>
    <row r="156" spans="1:14" x14ac:dyDescent="0.25">
      <c r="B156" s="6"/>
      <c r="C156" s="7"/>
    </row>
    <row r="157" spans="1:14" x14ac:dyDescent="0.25">
      <c r="B157" s="6"/>
      <c r="C157" s="7"/>
    </row>
    <row r="158" spans="1:14" x14ac:dyDescent="0.25">
      <c r="B158" s="6"/>
      <c r="C158" s="7"/>
    </row>
    <row r="159" spans="1:14" x14ac:dyDescent="0.25">
      <c r="B159" s="6"/>
      <c r="C159" s="7"/>
    </row>
  </sheetData>
  <scenarios current="0" show="0" sqref="C50:C51">
    <scenario name="Base Case" locked="1" count="11" user="Faculty" comment="Created by Faculty on 3/4/2016">
      <inputCells r="C8" val="5"/>
      <inputCells r="C9" val="700000" numFmtId="3"/>
      <inputCells r="C10" val="150000" numFmtId="3"/>
      <inputCells r="C11" val="10000" numFmtId="3"/>
      <inputCells r="C12" val="0.05" numFmtId="9"/>
      <inputCells r="C13" val="90" numFmtId="2"/>
      <inputCells r="C14" val="60" numFmtId="2"/>
      <inputCells r="C15" val="40000" numFmtId="3"/>
      <inputCells r="C16" val="20000" numFmtId="3"/>
      <inputCells r="C18" val="0.35" numFmtId="9"/>
      <inputCells r="C20" val="0.15" numFmtId="9"/>
    </scenario>
    <scenario name="Best Case" locked="1" count="11" user="Faculty" comment="Created by Faculty on 3/4/2016">
      <inputCells r="C8" val="5"/>
      <inputCells r="C9" val="700000" numFmtId="164"/>
      <inputCells r="C10" val="150000" numFmtId="164"/>
      <inputCells r="C11" val="12000" numFmtId="3"/>
      <inputCells r="C12" val="0.08" numFmtId="9"/>
      <inputCells r="C13" val="92" numFmtId="164"/>
      <inputCells r="C14" val="59" numFmtId="165"/>
      <inputCells r="C15" val="40000" numFmtId="164"/>
      <inputCells r="C16" val="20000" numFmtId="164"/>
      <inputCells r="C18" val="0.35" numFmtId="9"/>
      <inputCells r="C20" val="0.14" numFmtId="9"/>
    </scenario>
    <scenario name="Worst Case" locked="1" count="11" user="Faculty" comment="Created by Faculty on 3/4/2016">
      <inputCells r="C8" val="5"/>
      <inputCells r="C9" val="700000" numFmtId="164"/>
      <inputCells r="C10" val="150000" numFmtId="164"/>
      <inputCells r="C11" val="8000" numFmtId="3"/>
      <inputCells r="C12" val="0.04" numFmtId="9"/>
      <inputCells r="C13" val="87" numFmtId="164"/>
      <inputCells r="C14" val="62" numFmtId="165"/>
      <inputCells r="C15" val="40000" numFmtId="164"/>
      <inputCells r="C16" val="20000" numFmtId="164"/>
      <inputCells r="C18" val="0.35" numFmtId="9"/>
      <inputCells r="C20" val="0.16" numFmtId="9"/>
    </scenario>
  </scenarios>
  <mergeCells count="47">
    <mergeCell ref="C20:E20"/>
    <mergeCell ref="I5:V5"/>
    <mergeCell ref="W5:AA5"/>
    <mergeCell ref="C13:E13"/>
    <mergeCell ref="C14:E14"/>
    <mergeCell ref="C15:E15"/>
    <mergeCell ref="C16:E16"/>
    <mergeCell ref="C17:E17"/>
    <mergeCell ref="C18:E18"/>
    <mergeCell ref="C7:E7"/>
    <mergeCell ref="C8:E8"/>
    <mergeCell ref="C9:E9"/>
    <mergeCell ref="C10:E10"/>
    <mergeCell ref="C11:E11"/>
    <mergeCell ref="C12:E12"/>
    <mergeCell ref="C19:E19"/>
    <mergeCell ref="A1:E2"/>
    <mergeCell ref="A68:B68"/>
    <mergeCell ref="C76:G76"/>
    <mergeCell ref="A79:B79"/>
    <mergeCell ref="A110:B110"/>
    <mergeCell ref="C4:E4"/>
    <mergeCell ref="A4:B4"/>
    <mergeCell ref="A62:B62"/>
    <mergeCell ref="A63:B63"/>
    <mergeCell ref="A64:B64"/>
    <mergeCell ref="A65:B65"/>
    <mergeCell ref="A66:B66"/>
    <mergeCell ref="A67:B67"/>
    <mergeCell ref="A41:B41"/>
    <mergeCell ref="A53:B53"/>
    <mergeCell ref="A60:B60"/>
    <mergeCell ref="A39:B39"/>
    <mergeCell ref="A5:B5"/>
    <mergeCell ref="A55:B55"/>
    <mergeCell ref="A56:B56"/>
    <mergeCell ref="A57:B57"/>
    <mergeCell ref="A46:B46"/>
    <mergeCell ref="A45:B45"/>
    <mergeCell ref="A44:B44"/>
    <mergeCell ref="A43:B43"/>
    <mergeCell ref="A42:B42"/>
    <mergeCell ref="A58:B58"/>
    <mergeCell ref="A50:B50"/>
    <mergeCell ref="A49:B49"/>
    <mergeCell ref="A48:B48"/>
    <mergeCell ref="A47:B47"/>
  </mergeCells>
  <conditionalFormatting sqref="B116:N141">
    <cfRule type="cellIs" dxfId="3" priority="2" operator="notEqual">
      <formula>B$115</formula>
    </cfRule>
  </conditionalFormatting>
  <conditionalFormatting sqref="J8:V34">
    <cfRule type="cellIs" dxfId="2" priority="1" operator="notEqual">
      <formula>J$7</formula>
    </cfRule>
  </conditionalFormatting>
  <dataValidations count="1">
    <dataValidation type="list" allowBlank="1" showInputMessage="1" showErrorMessage="1" sqref="C4" xr:uid="{9E6B4DFE-E7EE-45DB-8CD9-491BE149AFC0}">
      <formula1>Cases</formula1>
    </dataValidation>
  </dataValidations>
  <pageMargins left="0.7" right="0.7" top="0.75" bottom="0.75" header="0.3" footer="0.3"/>
  <pageSetup orientation="landscape" r:id="rId1"/>
  <drawing r:id="rId2"/>
  <extLst>
    <ext xmlns:x14="http://schemas.microsoft.com/office/spreadsheetml/2009/9/main" uri="{78C0D931-6437-407d-A8EE-F0AAD7539E65}">
      <x14:conditionalFormattings>
        <x14:conditionalFormatting xmlns:xm="http://schemas.microsoft.com/office/excel/2006/main">
          <x14:cfRule type="expression" priority="3" id="{FDEBF629-F145-4BFA-9D5A-C8689472E1D3}">
            <xm:f>'D:\Ryerson\AFF514\Assignments 2020\[Assignment #2 - IAS Capital Budgeting and Scenario Analysis - Solution.xlsx]NPV Model'!#REF!&lt;&gt;'D:\Ryerson\AFF514\Assignments 2020\[Assignment #2 - IAS Capital Budgeting and Scenario Analysis - Solution.xlsx]NPV Model'!#REF!</xm:f>
            <x14:dxf>
              <font>
                <color theme="9" tint="-0.24994659260841701"/>
              </font>
            </x14:dxf>
          </x14:cfRule>
          <xm:sqref>B117 F117:H117 K117</xm:sqref>
        </x14:conditionalFormatting>
        <x14:conditionalFormatting xmlns:xm="http://schemas.microsoft.com/office/excel/2006/main">
          <x14:cfRule type="expression" priority="4" id="{D156B736-FBD6-42D1-B653-F41B7DE751BA}">
            <xm:f>'D:\Ryerson\AFF514\Assignments 2020\[Assignment #2 - IAS Capital Budgeting and Scenario Analysis - Solution.xlsx]NPV Model'!#REF!&lt;&gt;'D:\Ryerson\AFF514\Assignments 2020\[Assignment #2 - IAS Capital Budgeting and Scenario Analysis - Solution.xlsx]NPV Model'!#REF!</xm:f>
            <x14:dxf>
              <font>
                <color theme="6" tint="-0.24994659260841701"/>
              </font>
            </x14:dxf>
          </x14:cfRule>
          <xm:sqref>B116 F116:H116 K116</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F0"/>
  </sheetPr>
  <dimension ref="A1:H11"/>
  <sheetViews>
    <sheetView zoomScale="115" zoomScaleNormal="115" workbookViewId="0">
      <selection activeCell="E14" sqref="E14"/>
    </sheetView>
  </sheetViews>
  <sheetFormatPr defaultRowHeight="15" x14ac:dyDescent="0.25"/>
  <cols>
    <col min="1" max="1" width="29.140625" customWidth="1"/>
    <col min="2" max="7" width="13.7109375" customWidth="1"/>
  </cols>
  <sheetData>
    <row r="1" spans="1:8" ht="15.75" thickBot="1" x14ac:dyDescent="0.3">
      <c r="A1" t="s">
        <v>1</v>
      </c>
      <c r="B1" s="61">
        <v>0</v>
      </c>
      <c r="C1" s="62">
        <v>1</v>
      </c>
      <c r="D1" s="62">
        <v>2</v>
      </c>
      <c r="E1" s="62">
        <v>3</v>
      </c>
      <c r="F1" s="62">
        <v>4</v>
      </c>
      <c r="G1" s="63">
        <v>5</v>
      </c>
    </row>
    <row r="2" spans="1:8" x14ac:dyDescent="0.25">
      <c r="A2" s="37" t="s">
        <v>78</v>
      </c>
      <c r="B2" s="27"/>
      <c r="C2" s="55">
        <f>CapEx*50%</f>
        <v>525000</v>
      </c>
      <c r="D2" s="55">
        <f>C4+0.5*CapEx</f>
        <v>918750</v>
      </c>
      <c r="E2" s="55">
        <f>D4</f>
        <v>689062.5</v>
      </c>
      <c r="F2" s="55">
        <f t="shared" ref="F2:G2" si="0">E4</f>
        <v>516796.875</v>
      </c>
      <c r="G2" s="60">
        <f t="shared" si="0"/>
        <v>387597.65625</v>
      </c>
    </row>
    <row r="3" spans="1:8" x14ac:dyDescent="0.25">
      <c r="A3" s="38" t="s">
        <v>79</v>
      </c>
      <c r="B3" s="68"/>
      <c r="C3" s="67">
        <f>C2*-d</f>
        <v>-131250</v>
      </c>
      <c r="D3" s="67">
        <f>D2*-d</f>
        <v>-229687.5</v>
      </c>
      <c r="E3" s="67">
        <f>E2*-d</f>
        <v>-172265.625</v>
      </c>
      <c r="F3" s="67">
        <f>F2*-d</f>
        <v>-129199.21875</v>
      </c>
      <c r="G3" s="69">
        <f>G2*-d</f>
        <v>-96899.4140625</v>
      </c>
    </row>
    <row r="4" spans="1:8" ht="15.75" thickBot="1" x14ac:dyDescent="0.3">
      <c r="A4" s="39" t="s">
        <v>80</v>
      </c>
      <c r="B4" s="64"/>
      <c r="C4" s="65">
        <f>SUM(C2:C3)</f>
        <v>393750</v>
      </c>
      <c r="D4" s="65">
        <f t="shared" ref="D4:G4" si="1">SUM(D2:D3)</f>
        <v>689062.5</v>
      </c>
      <c r="E4" s="65">
        <f t="shared" si="1"/>
        <v>516796.875</v>
      </c>
      <c r="F4" s="65">
        <f t="shared" si="1"/>
        <v>387597.65625</v>
      </c>
      <c r="G4" s="66">
        <f t="shared" si="1"/>
        <v>290698.2421875</v>
      </c>
    </row>
    <row r="5" spans="1:8" x14ac:dyDescent="0.25">
      <c r="A5" s="12"/>
      <c r="B5" s="17"/>
      <c r="C5" s="6"/>
    </row>
    <row r="6" spans="1:8" x14ac:dyDescent="0.25">
      <c r="A6" s="1"/>
    </row>
    <row r="8" spans="1:8" x14ac:dyDescent="0.25">
      <c r="A8" s="1"/>
      <c r="C8" s="1"/>
      <c r="D8" s="1"/>
      <c r="E8" s="1"/>
      <c r="F8" s="1"/>
      <c r="G8" s="1"/>
      <c r="H8" s="1"/>
    </row>
    <row r="9" spans="1:8" x14ac:dyDescent="0.25">
      <c r="A9" s="1"/>
      <c r="D9" s="7"/>
      <c r="E9" s="7"/>
      <c r="F9" s="7"/>
      <c r="G9" s="7"/>
      <c r="H9" s="7"/>
    </row>
    <row r="10" spans="1:8" x14ac:dyDescent="0.25">
      <c r="A10" s="1"/>
      <c r="D10" s="7"/>
      <c r="E10" s="7"/>
      <c r="F10" s="7"/>
      <c r="G10" s="7"/>
      <c r="H10" s="7"/>
    </row>
    <row r="11" spans="1:8" x14ac:dyDescent="0.25">
      <c r="A11" s="1"/>
      <c r="D11" s="7"/>
      <c r="E11" s="7"/>
      <c r="F11" s="7"/>
      <c r="G11" s="7"/>
      <c r="H11"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25</vt:i4>
      </vt:variant>
    </vt:vector>
  </HeadingPairs>
  <TitlesOfParts>
    <vt:vector size="30" baseType="lpstr">
      <vt:lpstr>Documentation</vt:lpstr>
      <vt:lpstr>Notes</vt:lpstr>
      <vt:lpstr>NWC Schedule</vt:lpstr>
      <vt:lpstr>NPV Model</vt:lpstr>
      <vt:lpstr>CCA Schedule</vt:lpstr>
      <vt:lpstr>CapEx</vt:lpstr>
      <vt:lpstr>Cases</vt:lpstr>
      <vt:lpstr>d</vt:lpstr>
      <vt:lpstr>FC</vt:lpstr>
      <vt:lpstr>Field_Names</vt:lpstr>
      <vt:lpstr>FYS_Vol</vt:lpstr>
      <vt:lpstr>GR</vt:lpstr>
      <vt:lpstr>IRR</vt:lpstr>
      <vt:lpstr>MIRR</vt:lpstr>
      <vt:lpstr>N</vt:lpstr>
      <vt:lpstr>Net_Present_Value</vt:lpstr>
      <vt:lpstr>NPV</vt:lpstr>
      <vt:lpstr>NWC_0</vt:lpstr>
      <vt:lpstr>NWC_to_Sales</vt:lpstr>
      <vt:lpstr>Payback_Period</vt:lpstr>
      <vt:lpstr>PI</vt:lpstr>
      <vt:lpstr>PID</vt:lpstr>
      <vt:lpstr>Rev_unit</vt:lpstr>
      <vt:lpstr>rr</vt:lpstr>
      <vt:lpstr>Sal</vt:lpstr>
      <vt:lpstr>Scenario</vt:lpstr>
      <vt:lpstr>Scenariou_Table</vt:lpstr>
      <vt:lpstr>Tax_Rate</vt:lpstr>
      <vt:lpstr>ucc_end</vt:lpstr>
      <vt:lpstr>VC</vt:lpstr>
    </vt:vector>
  </TitlesOfParts>
  <Company>Ryerson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Inglis</dc:creator>
  <cp:lastModifiedBy>Preston Niu</cp:lastModifiedBy>
  <cp:lastPrinted>2017-08-16T04:18:46Z</cp:lastPrinted>
  <dcterms:created xsi:type="dcterms:W3CDTF">2012-10-28T18:23:40Z</dcterms:created>
  <dcterms:modified xsi:type="dcterms:W3CDTF">2021-10-21T21:08:32Z</dcterms:modified>
</cp:coreProperties>
</file>