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andre\Downloads\"/>
    </mc:Choice>
  </mc:AlternateContent>
  <xr:revisionPtr revIDLastSave="0" documentId="13_ncr:1_{BD3A3595-7AEC-4B77-8A85-61486965542C}" xr6:coauthVersionLast="47" xr6:coauthVersionMax="47" xr10:uidLastSave="{00000000-0000-0000-0000-000000000000}"/>
  <bookViews>
    <workbookView xWindow="3450" yWindow="2100" windowWidth="21600" windowHeight="11295" tabRatio="808" xr2:uid="{00000000-000D-0000-FFFF-FFFF00000000}"/>
  </bookViews>
  <sheets>
    <sheet name="points" sheetId="4" r:id="rId1"/>
    <sheet name="Front Suspension" sheetId="2" r:id="rId2"/>
    <sheet name="Rear Suspension" sheetId="3" r:id="rId3"/>
    <sheet name="Wheel Loads" sheetId="8" r:id="rId4"/>
    <sheet name="Sheet1" sheetId="11" r:id="rId5"/>
    <sheet name="Suspension Forces" sheetId="6" r:id="rId6"/>
    <sheet name="Link Calcs" sheetId="5" r:id="rId7"/>
    <sheet name="Materials" sheetId="7" r:id="rId8"/>
    <sheet name="Bolt Shear Calcs" sheetId="9" r:id="rId9"/>
    <sheet name="Thread Pullout" sheetId="10" r:id="rId10"/>
    <sheet name="Complete Knuckles" sheetId="12" r:id="rId11"/>
    <sheet name="Bolts" sheetId="16" r:id="rId12"/>
    <sheet name="Control Arm Manufacturing" sheetId="14" r:id="rId13"/>
    <sheet name="Sheet2" sheetId="17" r:id="rId14"/>
  </sheets>
  <externalReferences>
    <externalReference r:id="rId15"/>
  </externalReferences>
  <definedNames>
    <definedName name="a">'[1]Derived Parameters'!$C$16</definedName>
    <definedName name="AN_DashTable">Bolts!$J$2:$K$25</definedName>
    <definedName name="aSprung">'[1]Derived Parameters'!$C$19</definedName>
    <definedName name="b">'[1]Derived Parameters'!$C$17</definedName>
    <definedName name="bSprung">'[1]Derived Parameters'!$C$18</definedName>
    <definedName name="carMass">[1]parameters!$B$1</definedName>
    <definedName name="cgZ">[1]parameters!$B$12</definedName>
    <definedName name="cgZSprung">'[1]Derived Parameters'!$C$20</definedName>
    <definedName name="claVmax">[1]parameters!$B$37</definedName>
    <definedName name="claVskid">[1]parameters!$B$33</definedName>
    <definedName name="copVmax">[1]parameters!$B$38</definedName>
    <definedName name="copVskid">[1]parameters!$B$34</definedName>
    <definedName name="damperTravel">[1]parameters!$B$14</definedName>
    <definedName name="downforceVmaxFront">'[1]Derived Parameters'!$C$53</definedName>
    <definedName name="downforceVmaxRear">'[1]Derived Parameters'!$C$54</definedName>
    <definedName name="driverMass">[1]parameters!$B$4</definedName>
    <definedName name="F_LCA_AFT_X">points!$B$4</definedName>
    <definedName name="F_LCA_AFT_Y">points!$B$5</definedName>
    <definedName name="F_LCA_AFT_Z">points!$B$6</definedName>
    <definedName name="F_LCA_FORE_X">points!$B$1</definedName>
    <definedName name="F_LCA_FORE_Y">points!$B$2</definedName>
    <definedName name="F_LCA_FORE_Z">points!$B$3</definedName>
    <definedName name="F_LCA_OUT_X">points!$B$7</definedName>
    <definedName name="F_LCA_OUT_Y">points!$B$8</definedName>
    <definedName name="F_LCA_OUT_Z">points!$B$9</definedName>
    <definedName name="F_PUSH_IN_X">points!$B$25</definedName>
    <definedName name="F_PUSH_IN_Y">points!$B$26</definedName>
    <definedName name="F_PUSH_IN_Z">points!$B$27</definedName>
    <definedName name="F_PUSH_OUT_X">points!$B$28</definedName>
    <definedName name="F_PUSH_OUT_Y">points!$B$29</definedName>
    <definedName name="F_PUSH_OUT_Z">points!$B$30</definedName>
    <definedName name="F_TIE_IN_X">points!$B$19</definedName>
    <definedName name="F_TIE_IN_Y">points!$B$20</definedName>
    <definedName name="F_TIE_IN_Z">points!$B$21</definedName>
    <definedName name="F_TIE_OUT_X">points!$B$22</definedName>
    <definedName name="F_TIE_OUT_Y">points!$B$23</definedName>
    <definedName name="F_TIE_OUT_Z">points!$B$24</definedName>
    <definedName name="F_TIRE_CP_X">points!$B$61</definedName>
    <definedName name="F_TIRE_CP_Y">points!$B$62</definedName>
    <definedName name="F_TIRE_CP_Z">points!$B$63</definedName>
    <definedName name="F_UCA_AFT_X">points!$B$13</definedName>
    <definedName name="F_UCA_AFT_Y">points!$B$14</definedName>
    <definedName name="F_UCA_AFT_Z">points!$B$15</definedName>
    <definedName name="F_UCA_FORE_X">points!$B$10</definedName>
    <definedName name="F_UCA_FORE_Y">points!$B$11</definedName>
    <definedName name="F_UCA_FORE_Z">points!$B$12</definedName>
    <definedName name="F_UCA_OUT_X">points!$B$16</definedName>
    <definedName name="F_UCA_OUT_Y">points!$B$17</definedName>
    <definedName name="F_UCA_OUT_Z">points!$B$18</definedName>
    <definedName name="fBarMotionRatio">[1]parameters!$B$24</definedName>
    <definedName name="fBarRate">[1]parameters!$B$26</definedName>
    <definedName name="fBarWheelRate">'[1]Derived Parameters'!$C$40</definedName>
    <definedName name="fMotionRatio">[1]parameters!$B$19</definedName>
    <definedName name="fRideFreq">[1]parameters!$B$40</definedName>
    <definedName name="fRollCenter">[1]parameters!$B$29</definedName>
    <definedName name="fRollWheelRate">'[1]Derived Parameters'!$C$44</definedName>
    <definedName name="frontCornerMassUS">[1]parameters!$B$2</definedName>
    <definedName name="frontCornerWeight">'[1]Derived Parameters'!$C$26</definedName>
    <definedName name="frontMassS">'[1]Derived Parameters'!$C$11</definedName>
    <definedName name="frontMassUS">'[1]Derived Parameters'!$C$5</definedName>
    <definedName name="frontWeight">'[1]Derived Parameters'!$C$24</definedName>
    <definedName name="fSpringRate">[1]parameters!$B$21</definedName>
    <definedName name="fTireSpringRate">[1]parameters!$B$16</definedName>
    <definedName name="fTotalRollRate">'[1]Derived Parameters'!$C$46</definedName>
    <definedName name="fWheelRate">'[1]Derived Parameters'!$C$37</definedName>
    <definedName name="g">[1]constants!$C$3</definedName>
    <definedName name="height2">'[1]SS Cornering'!$D$33</definedName>
    <definedName name="Kf">'[1]SS Cornering'!$D$36</definedName>
    <definedName name="KfPrime">'[1]SS Cornering'!$D$38</definedName>
    <definedName name="Kr">'[1]SS Cornering'!$D$37</definedName>
    <definedName name="KrPrime">'[1]SS Cornering'!$D$39</definedName>
    <definedName name="mass">'[1]Derived Parameters'!$C$4</definedName>
    <definedName name="matlChoices">Materials!$A$2:$A$10</definedName>
    <definedName name="maxRoll">'[1]SS Cornering'!$D$21</definedName>
    <definedName name="meanTrack">'[1]Derived Parameters'!$C$21</definedName>
    <definedName name="R_LCA_AFT_X">points!$B$34</definedName>
    <definedName name="R_LCA_AFT_Y">points!$B$35</definedName>
    <definedName name="R_LCA_AFT_Z">points!$B$36</definedName>
    <definedName name="R_LCA_FORE_X">points!$B$31</definedName>
    <definedName name="R_LCA_FORE_Y">points!$B$32</definedName>
    <definedName name="R_LCA_FORE_Z">points!$B$33</definedName>
    <definedName name="R_LCA_OUT_X">points!$B$37</definedName>
    <definedName name="R_LCA_OUT_Y">points!$B$38</definedName>
    <definedName name="R_LCA_OUT_Z">points!$B$39</definedName>
    <definedName name="R_PUSH_IN_X">points!$B$55</definedName>
    <definedName name="R_PUSH_IN_Y">points!$B$56</definedName>
    <definedName name="R_PUSH_IN_Z">points!$B$57</definedName>
    <definedName name="R_PUSH_OUT_X">points!$B$58</definedName>
    <definedName name="R_PUSH_OUT_Y">points!$B$59</definedName>
    <definedName name="R_PUSH_OUT_Z">points!$B$60</definedName>
    <definedName name="R_TIE_IN_X">points!$B$49</definedName>
    <definedName name="R_TIE_IN_Y">points!$B$50</definedName>
    <definedName name="R_TIE_IN_Z">points!$B$51</definedName>
    <definedName name="R_TIE_OUT_X">points!$B$52</definedName>
    <definedName name="R_TIE_OUT_Y">points!$B$53</definedName>
    <definedName name="R_TIE_OUT_Z">points!$B$54</definedName>
    <definedName name="R_TIRE_CP_X">points!$B$64</definedName>
    <definedName name="R_TIRE_CP_Y">points!$B$65</definedName>
    <definedName name="R_TIRE_CP_Z">points!$B$66</definedName>
    <definedName name="R_UCA_AFT_X">points!$B$43</definedName>
    <definedName name="R_UCA_AFT_Y">points!$B$44</definedName>
    <definedName name="R_UCA_AFT_Z">points!$B$45</definedName>
    <definedName name="R_UCA_FORE_X">points!$B$40</definedName>
    <definedName name="R_UCA_FORE_Y">points!$B$41</definedName>
    <definedName name="R_UCA_FORE_Z">points!$B$42</definedName>
    <definedName name="R_UCA_OUT_X">points!$B$46</definedName>
    <definedName name="R_UCA_OUT_Y">points!$B$47</definedName>
    <definedName name="R_UCA_OUT_Z">points!$B$48</definedName>
    <definedName name="rBarMotionRatio">[1]parameters!$B$25</definedName>
    <definedName name="rBarRate">[1]parameters!$B$27</definedName>
    <definedName name="rBarWheelRate">'[1]Derived Parameters'!$C$41</definedName>
    <definedName name="rearCornerMassUS">[1]parameters!$B$3</definedName>
    <definedName name="rearMassS">'[1]Derived Parameters'!$C$12</definedName>
    <definedName name="rearMassUS">'[1]Derived Parameters'!$C$6</definedName>
    <definedName name="rearWeight">'[1]Derived Parameters'!$C$25</definedName>
    <definedName name="rhoAir">[1]constants!$C$4</definedName>
    <definedName name="rMotionRatio">[1]parameters!$B$20</definedName>
    <definedName name="rollSensitivity">'[1]SS Cornering'!$D$49</definedName>
    <definedName name="rollTarget">'[1]SS Cornering'!$G$49</definedName>
    <definedName name="rRideFreq">[1]parameters!$B$41</definedName>
    <definedName name="rRollCenter">[1]parameters!$B$30</definedName>
    <definedName name="rRollWheelRate">'[1]Derived Parameters'!$C$45</definedName>
    <definedName name="rSpringRate">[1]parameters!$B$22</definedName>
    <definedName name="rTireSpringRate">[1]parameters!$B$17</definedName>
    <definedName name="rTotalRollRate">'[1]Derived Parameters'!$C$47</definedName>
    <definedName name="rWheelRate">'[1]Derived Parameters'!$C$38</definedName>
    <definedName name="sprungMass">'[1]Derived Parameters'!$C$8</definedName>
    <definedName name="targetLateralG">'[1]SS Cornering'!$D$3</definedName>
    <definedName name="targetSkidTime">'[1]SS Cornering'!$D$4</definedName>
    <definedName name="trackFront">[1]parameters!$B$9</definedName>
    <definedName name="trackRadius">'[1]SS Cornering'!$D$8</definedName>
    <definedName name="trackRear">[1]parameters!$B$10</definedName>
    <definedName name="unsprungMass">'[1]Derived Parameters'!$C$7</definedName>
    <definedName name="unsprungMassHeightFront">'[1]SS Cornering'!$D$34</definedName>
    <definedName name="unsprungMassHeightRear">'[1]SS Cornering'!$D$35</definedName>
    <definedName name="vMax">[1]parameters!$B$36</definedName>
    <definedName name="vSkid">[1]parameters!$B$32</definedName>
    <definedName name="weightBias">[1]parameters!$B$6</definedName>
    <definedName name="wheelbase">[1]parameters!$B$8</definedName>
    <definedName name="wheelRadius">[1]parameters!$B$11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5" i="6" l="1"/>
  <c r="E17" i="8"/>
  <c r="V5" i="8"/>
  <c r="T5" i="8"/>
  <c r="E15" i="8"/>
  <c r="R5" i="16"/>
  <c r="R4" i="16"/>
  <c r="R3" i="16"/>
  <c r="R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" i="16"/>
  <c r="M16" i="16"/>
  <c r="M17" i="16"/>
  <c r="M18" i="16"/>
  <c r="M19" i="16"/>
  <c r="M20" i="16"/>
  <c r="M21" i="16"/>
  <c r="M22" i="16"/>
  <c r="M23" i="16"/>
  <c r="M24" i="16"/>
  <c r="M25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G36" i="16"/>
  <c r="G37" i="16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8" i="16"/>
  <c r="G2" i="16"/>
  <c r="F2" i="16"/>
  <c r="F10" i="16"/>
  <c r="F11" i="16"/>
  <c r="F12" i="16"/>
  <c r="F13" i="16"/>
  <c r="F16" i="16"/>
  <c r="F18" i="16"/>
  <c r="F24" i="16"/>
  <c r="F25" i="16"/>
  <c r="F26" i="16"/>
  <c r="F30" i="16"/>
  <c r="F31" i="16"/>
  <c r="F32" i="16"/>
  <c r="F33" i="16"/>
  <c r="F43" i="16"/>
  <c r="F44" i="16"/>
  <c r="F49" i="16"/>
  <c r="F50" i="16"/>
  <c r="F51" i="16"/>
  <c r="F52" i="16"/>
  <c r="F54" i="16"/>
  <c r="F55" i="16"/>
  <c r="F57" i="16"/>
  <c r="F58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G57" i="16"/>
  <c r="L31" i="3"/>
  <c r="M31" i="3"/>
  <c r="K31" i="3"/>
  <c r="L30" i="3"/>
  <c r="M30" i="3"/>
  <c r="K30" i="3"/>
  <c r="C5" i="10"/>
  <c r="C10" i="10"/>
  <c r="B25" i="9"/>
  <c r="C25" i="9"/>
  <c r="D25" i="9"/>
  <c r="E25" i="9"/>
  <c r="B24" i="9"/>
  <c r="C24" i="9"/>
  <c r="D24" i="9"/>
  <c r="E24" i="9"/>
  <c r="B23" i="9"/>
  <c r="C23" i="9"/>
  <c r="D23" i="9"/>
  <c r="E23" i="9"/>
  <c r="B22" i="9"/>
  <c r="C22" i="9"/>
  <c r="D22" i="9"/>
  <c r="E22" i="9"/>
  <c r="U30" i="5"/>
  <c r="T30" i="5"/>
  <c r="U29" i="5"/>
  <c r="T29" i="5"/>
  <c r="U28" i="5"/>
  <c r="T28" i="5"/>
  <c r="U27" i="5"/>
  <c r="T27" i="5"/>
  <c r="E27" i="5"/>
  <c r="D27" i="5"/>
  <c r="C27" i="5"/>
  <c r="D30" i="5"/>
  <c r="U26" i="5"/>
  <c r="T26" i="5"/>
  <c r="U25" i="5"/>
  <c r="T25" i="5"/>
  <c r="U24" i="5"/>
  <c r="T24" i="5"/>
  <c r="U23" i="5"/>
  <c r="T23" i="5"/>
  <c r="U22" i="5"/>
  <c r="T22" i="5"/>
  <c r="U21" i="5"/>
  <c r="T21" i="5"/>
  <c r="U20" i="5"/>
  <c r="T20" i="5"/>
  <c r="U19" i="5"/>
  <c r="T19" i="5"/>
  <c r="U14" i="5"/>
  <c r="G14" i="5"/>
  <c r="F14" i="5"/>
  <c r="U13" i="5"/>
  <c r="G13" i="5"/>
  <c r="F13" i="5"/>
  <c r="U12" i="5"/>
  <c r="G12" i="5"/>
  <c r="F12" i="5"/>
  <c r="G11" i="5"/>
  <c r="F11" i="5"/>
  <c r="U10" i="5"/>
  <c r="G10" i="5"/>
  <c r="F10" i="5"/>
  <c r="U9" i="5"/>
  <c r="G9" i="5"/>
  <c r="F9" i="5"/>
  <c r="U8" i="5"/>
  <c r="G8" i="5"/>
  <c r="F8" i="5"/>
  <c r="U7" i="5"/>
  <c r="G7" i="5"/>
  <c r="F7" i="5"/>
  <c r="U6" i="5"/>
  <c r="G6" i="5"/>
  <c r="F6" i="5"/>
  <c r="U5" i="5"/>
  <c r="G5" i="5"/>
  <c r="F5" i="5"/>
  <c r="U4" i="5"/>
  <c r="G4" i="5"/>
  <c r="F4" i="5"/>
  <c r="U3" i="5"/>
  <c r="G3" i="5"/>
  <c r="F3" i="5"/>
  <c r="V24" i="6" a="1"/>
  <c r="V24" i="6"/>
  <c r="V27" i="6"/>
  <c r="U24" i="6" a="1"/>
  <c r="U24" i="6"/>
  <c r="U27" i="6"/>
  <c r="T24" i="6" a="1"/>
  <c r="T24" i="6"/>
  <c r="T27" i="6"/>
  <c r="S24" i="6" a="1"/>
  <c r="S24" i="6"/>
  <c r="S27" i="6"/>
  <c r="R24" i="6" a="1"/>
  <c r="R24" i="6"/>
  <c r="R27" i="6"/>
  <c r="Q24" i="6" a="1"/>
  <c r="Q24" i="6"/>
  <c r="Q27" i="6"/>
  <c r="O24" i="6" a="1"/>
  <c r="O24" i="6"/>
  <c r="O27" i="6"/>
  <c r="N24" i="6" a="1"/>
  <c r="N24" i="6"/>
  <c r="N27" i="6"/>
  <c r="M24" i="6" a="1"/>
  <c r="M24" i="6"/>
  <c r="M27" i="6"/>
  <c r="L24" i="6" a="1"/>
  <c r="L24" i="6"/>
  <c r="L27" i="6"/>
  <c r="K24" i="6" a="1"/>
  <c r="K24" i="6"/>
  <c r="K27" i="6"/>
  <c r="J24" i="6" a="1"/>
  <c r="J24" i="6"/>
  <c r="J27" i="6"/>
  <c r="V23" i="6"/>
  <c r="V26" i="6"/>
  <c r="K14" i="5"/>
  <c r="U23" i="6"/>
  <c r="U26" i="6"/>
  <c r="K13" i="5"/>
  <c r="T23" i="6"/>
  <c r="T26" i="6"/>
  <c r="K12" i="5"/>
  <c r="S23" i="6"/>
  <c r="S26" i="6"/>
  <c r="K11" i="5"/>
  <c r="R23" i="6"/>
  <c r="R26" i="6"/>
  <c r="K10" i="5"/>
  <c r="Q23" i="6"/>
  <c r="Q26" i="6"/>
  <c r="K9" i="5"/>
  <c r="O23" i="6"/>
  <c r="O26" i="6"/>
  <c r="K8" i="5"/>
  <c r="N23" i="6"/>
  <c r="N26" i="6"/>
  <c r="K7" i="5"/>
  <c r="M23" i="6"/>
  <c r="M26" i="6"/>
  <c r="K6" i="5"/>
  <c r="L23" i="6"/>
  <c r="L26" i="6"/>
  <c r="K5" i="5"/>
  <c r="K23" i="6"/>
  <c r="K26" i="6"/>
  <c r="K4" i="5"/>
  <c r="J23" i="6"/>
  <c r="J26" i="6"/>
  <c r="K3" i="5"/>
  <c r="V22" i="6"/>
  <c r="V25" i="6"/>
  <c r="J14" i="5"/>
  <c r="R14" i="5" a="1"/>
  <c r="R14" i="5"/>
  <c r="U22" i="6"/>
  <c r="U25" i="6"/>
  <c r="J13" i="5"/>
  <c r="T22" i="6"/>
  <c r="T25" i="6"/>
  <c r="J12" i="5"/>
  <c r="S22" i="6"/>
  <c r="S25" i="6"/>
  <c r="J11" i="5"/>
  <c r="R22" i="6"/>
  <c r="R25" i="6"/>
  <c r="J10" i="5"/>
  <c r="Q22" i="6"/>
  <c r="Q25" i="6"/>
  <c r="J9" i="5"/>
  <c r="O22" i="6"/>
  <c r="O25" i="6"/>
  <c r="J8" i="5"/>
  <c r="R8" i="5" a="1"/>
  <c r="R8" i="5"/>
  <c r="N22" i="6"/>
  <c r="N25" i="6"/>
  <c r="J7" i="5"/>
  <c r="M22" i="6"/>
  <c r="M25" i="6"/>
  <c r="J6" i="5"/>
  <c r="L22" i="6"/>
  <c r="L25" i="6"/>
  <c r="J5" i="5"/>
  <c r="K22" i="6"/>
  <c r="J4" i="5"/>
  <c r="J22" i="6"/>
  <c r="J25" i="6"/>
  <c r="J3" i="5"/>
  <c r="G17" i="8"/>
  <c r="F17" i="8"/>
  <c r="G16" i="8"/>
  <c r="F16" i="8"/>
  <c r="E16" i="8"/>
  <c r="G15" i="8"/>
  <c r="F15" i="8"/>
  <c r="V6" i="8"/>
  <c r="V9" i="8" s="1"/>
  <c r="U6" i="8"/>
  <c r="U9" i="8"/>
  <c r="T6" i="8"/>
  <c r="T9" i="8"/>
  <c r="V8" i="8"/>
  <c r="U5" i="8"/>
  <c r="U8" i="8"/>
  <c r="T8" i="8"/>
  <c r="R3" i="5" a="1"/>
  <c r="R3" i="5"/>
  <c r="L3" i="5"/>
  <c r="R4" i="5" a="1"/>
  <c r="R4" i="5"/>
  <c r="L4" i="5"/>
  <c r="R5" i="5" a="1"/>
  <c r="R5" i="5"/>
  <c r="L5" i="5"/>
  <c r="R6" i="5" a="1"/>
  <c r="R6" i="5"/>
  <c r="L6" i="5"/>
  <c r="R7" i="5" a="1"/>
  <c r="R7" i="5"/>
  <c r="L7" i="5"/>
  <c r="R9" i="5" a="1"/>
  <c r="R9" i="5"/>
  <c r="L9" i="5"/>
  <c r="R10" i="5" a="1"/>
  <c r="R10" i="5"/>
  <c r="L10" i="5"/>
  <c r="R11" i="5" a="1"/>
  <c r="R11" i="5"/>
  <c r="L11" i="5"/>
  <c r="R12" i="5" a="1"/>
  <c r="R12" i="5"/>
  <c r="L12" i="5"/>
  <c r="R13" i="5" a="1"/>
  <c r="R13" i="5"/>
  <c r="L13" i="5"/>
  <c r="E30" i="5"/>
  <c r="B1" i="4" a="1"/>
  <c r="B10" i="4" a="1"/>
  <c r="B64" i="4" a="1"/>
  <c r="B4" i="4" a="1"/>
  <c r="B27" i="4" a="1"/>
  <c r="B32" i="4" a="1"/>
  <c r="B30" i="4" a="1"/>
  <c r="B40" i="4" a="1"/>
  <c r="B19" i="4" a="1"/>
  <c r="B57" i="4" a="1"/>
  <c r="B61" i="4" a="1"/>
  <c r="B55" i="4" a="1"/>
  <c r="B62" i="4" a="1"/>
  <c r="B9" i="4" a="1"/>
  <c r="B35" i="4" a="1"/>
  <c r="B24" i="4" a="1"/>
  <c r="B33" i="4" a="1"/>
  <c r="B43" i="4" a="1"/>
  <c r="B44" i="4" a="1"/>
  <c r="B52" i="4" a="1"/>
  <c r="B3" i="4" a="1"/>
  <c r="B48" i="4" a="1"/>
  <c r="B15" i="4" a="1"/>
  <c r="B22" i="4" a="1"/>
  <c r="B11" i="4" a="1"/>
  <c r="B51" i="4" a="1"/>
  <c r="B25" i="4" a="1"/>
  <c r="B39" i="4" a="1"/>
  <c r="B49" i="4" a="1"/>
  <c r="B50" i="4" a="1"/>
  <c r="B42" i="4" a="1"/>
  <c r="B41" i="4" a="1"/>
  <c r="B59" i="4" a="1"/>
  <c r="B38" i="4" a="1"/>
  <c r="B54" i="4" a="1"/>
  <c r="B8" i="4" a="1"/>
  <c r="B36" i="4" a="1"/>
  <c r="B28" i="4" a="1"/>
  <c r="B58" i="4" a="1"/>
  <c r="B65" i="4" a="1"/>
  <c r="B14" i="4" a="1"/>
  <c r="B21" i="4" a="1"/>
  <c r="B12" i="4" a="1"/>
  <c r="B5" i="4" a="1"/>
  <c r="B37" i="4" a="1"/>
  <c r="B45" i="4" a="1"/>
  <c r="B47" i="4" a="1"/>
  <c r="B46" i="4" a="1"/>
  <c r="B17" i="4" a="1"/>
  <c r="B53" i="4" a="1"/>
  <c r="B29" i="4" a="1"/>
  <c r="B34" i="4" a="1"/>
  <c r="B56" i="4" a="1"/>
  <c r="B16" i="4" a="1"/>
  <c r="B23" i="4" a="1"/>
  <c r="B60" i="4" a="1"/>
  <c r="B26" i="4" a="1"/>
  <c r="B31" i="4" a="1"/>
  <c r="B13" i="4" a="1"/>
  <c r="B20" i="4" a="1"/>
  <c r="B6" i="4" a="1"/>
  <c r="B7" i="4" a="1"/>
  <c r="B18" i="4" a="1"/>
  <c r="B2" i="4" a="1"/>
  <c r="B1" i="4" l="1"/>
  <c r="B2" i="4"/>
  <c r="B21" i="4"/>
  <c r="B8" i="4"/>
  <c r="B15" i="4"/>
  <c r="B12" i="4"/>
  <c r="B25" i="4"/>
  <c r="B27" i="4"/>
  <c r="B20" i="4"/>
  <c r="B51" i="4"/>
  <c r="B62" i="4"/>
  <c r="B10" i="4"/>
  <c r="B41" i="4"/>
  <c r="B56" i="4"/>
  <c r="B11" i="4"/>
  <c r="B7" i="4"/>
  <c r="B39" i="4"/>
  <c r="B46" i="4"/>
  <c r="B26" i="4"/>
  <c r="B19" i="4"/>
  <c r="B45" i="4"/>
  <c r="B30" i="4"/>
  <c r="B53" i="4"/>
  <c r="B22" i="4"/>
  <c r="B44" i="4"/>
  <c r="B50" i="4"/>
  <c r="B47" i="4"/>
  <c r="B49" i="4"/>
  <c r="B55" i="4"/>
  <c r="B60" i="4"/>
  <c r="B64" i="4"/>
  <c r="B17" i="4"/>
  <c r="B29" i="4"/>
  <c r="B16" i="4"/>
  <c r="B40" i="4"/>
  <c r="B54" i="4"/>
  <c r="B32" i="4"/>
  <c r="B33" i="4"/>
  <c r="B37" i="4"/>
  <c r="B61" i="4"/>
  <c r="B48" i="4"/>
  <c r="B4" i="4"/>
  <c r="B35" i="4"/>
  <c r="B38" i="4"/>
  <c r="B9" i="4"/>
  <c r="B5" i="4"/>
  <c r="B57" i="4"/>
  <c r="B18" i="4"/>
  <c r="B24" i="4"/>
  <c r="B23" i="4"/>
  <c r="B36" i="4"/>
  <c r="B42" i="4"/>
  <c r="B3" i="4"/>
  <c r="B65" i="4"/>
  <c r="B34" i="4"/>
  <c r="B59" i="4"/>
  <c r="B43" i="4"/>
  <c r="B6" i="4"/>
  <c r="B13" i="4"/>
  <c r="B28" i="4"/>
  <c r="B14" i="4"/>
  <c r="B31" i="4"/>
  <c r="B52" i="4"/>
  <c r="B58" i="4"/>
  <c r="B12" i="5" l="1"/>
  <c r="C12" i="5" s="1"/>
  <c r="C27" i="14"/>
  <c r="D27" i="14" s="1"/>
  <c r="C25" i="14"/>
  <c r="D25" i="14" s="1"/>
  <c r="B10" i="5"/>
  <c r="C10" i="5" s="1"/>
  <c r="B11" i="5"/>
  <c r="C11" i="5" s="1"/>
  <c r="C26" i="14"/>
  <c r="D26" i="14" s="1"/>
  <c r="B13" i="5"/>
  <c r="C13" i="5" s="1"/>
  <c r="C28" i="14"/>
  <c r="D28" i="14" s="1"/>
  <c r="B6" i="5"/>
  <c r="C6" i="5" s="1"/>
  <c r="C21" i="14"/>
  <c r="D21" i="14" s="1"/>
  <c r="B7" i="5"/>
  <c r="C7" i="5" s="1"/>
  <c r="C22" i="14"/>
  <c r="D22" i="14" s="1"/>
  <c r="C18" i="14"/>
  <c r="D18" i="14" s="1"/>
  <c r="B3" i="5"/>
  <c r="C3" i="5" s="1"/>
  <c r="B5" i="5"/>
  <c r="C5" i="5" s="1"/>
  <c r="C20" i="14"/>
  <c r="D20" i="14" s="1"/>
  <c r="C29" i="14"/>
  <c r="D29" i="14" s="1"/>
  <c r="B14" i="5"/>
  <c r="C14" i="5" s="1"/>
  <c r="C23" i="14"/>
  <c r="D23" i="14" s="1"/>
  <c r="B8" i="5"/>
  <c r="C8" i="5" s="1"/>
  <c r="B9" i="5"/>
  <c r="C9" i="5" s="1"/>
  <c r="C24" i="14"/>
  <c r="D24" i="14" s="1"/>
  <c r="B4" i="5"/>
  <c r="C4" i="5" s="1"/>
  <c r="C19" i="14"/>
  <c r="D19" i="14" s="1"/>
  <c r="J28" i="14" l="1"/>
  <c r="K28" i="14" s="1"/>
  <c r="L28" i="14" s="1"/>
  <c r="O14" i="5"/>
  <c r="P14" i="5" s="1"/>
  <c r="M14" i="5"/>
  <c r="I14" i="5"/>
  <c r="B26" i="5" s="1"/>
  <c r="I3" i="5"/>
  <c r="M3" i="5"/>
  <c r="O3" i="5"/>
  <c r="P3" i="5" s="1"/>
  <c r="I5" i="5"/>
  <c r="O5" i="5"/>
  <c r="P5" i="5" s="1"/>
  <c r="M5" i="5"/>
  <c r="O6" i="5"/>
  <c r="P6" i="5" s="1"/>
  <c r="I6" i="5"/>
  <c r="M6" i="5"/>
  <c r="M7" i="5"/>
  <c r="I7" i="5"/>
  <c r="B21" i="5" s="1"/>
  <c r="O7" i="5"/>
  <c r="P7" i="5" s="1"/>
  <c r="O13" i="5"/>
  <c r="P13" i="5" s="1"/>
  <c r="M13" i="5"/>
  <c r="I13" i="5"/>
  <c r="B25" i="5" s="1"/>
  <c r="I11" i="5"/>
  <c r="M11" i="5"/>
  <c r="O11" i="5"/>
  <c r="P11" i="5" s="1"/>
  <c r="O10" i="5"/>
  <c r="P10" i="5" s="1"/>
  <c r="M10" i="5"/>
  <c r="I10" i="5"/>
  <c r="I4" i="5"/>
  <c r="M4" i="5"/>
  <c r="O4" i="5"/>
  <c r="P4" i="5" s="1"/>
  <c r="I8" i="5"/>
  <c r="B22" i="5" s="1"/>
  <c r="O8" i="5"/>
  <c r="P8" i="5" s="1"/>
  <c r="M8" i="5"/>
  <c r="O9" i="5"/>
  <c r="P9" i="5" s="1"/>
  <c r="I9" i="5"/>
  <c r="M9" i="5"/>
  <c r="M12" i="5"/>
  <c r="I12" i="5"/>
  <c r="O12" i="5"/>
  <c r="P12" i="5" s="1"/>
  <c r="B23" i="5" l="1"/>
  <c r="B20" i="5"/>
  <c r="B19" i="5"/>
  <c r="B24" i="5"/>
  <c r="B27" i="5" l="1"/>
  <c r="B30" i="5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cellMetadata count="1">
    <bk>
      <rc t="1" v="0"/>
    </bk>
  </cellMetadata>
  <valueMetadata count="8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</valueMetadata>
</metadata>
</file>

<file path=xl/sharedStrings.xml><?xml version="1.0" encoding="utf-8"?>
<sst xmlns="http://schemas.openxmlformats.org/spreadsheetml/2006/main" count="721" uniqueCount="361">
  <si>
    <t>F_LCA_FORE_X</t>
  </si>
  <si>
    <t>C</t>
  </si>
  <si>
    <t>'Front Suspension'!</t>
  </si>
  <si>
    <t>F_LCA_FORE_Y</t>
  </si>
  <si>
    <t>D</t>
  </si>
  <si>
    <t>F_LCA_FORE_Z</t>
  </si>
  <si>
    <t>E</t>
  </si>
  <si>
    <t>F_LCA_AFT_X</t>
  </si>
  <si>
    <t>F_LCA_AFT_Y</t>
  </si>
  <si>
    <t>F_LCA_AFT_Z</t>
  </si>
  <si>
    <t>F_LCA_OUT_X</t>
  </si>
  <si>
    <t>F_LCA_OUT_Y</t>
  </si>
  <si>
    <t>F_LCA_OUT_Z</t>
  </si>
  <si>
    <t>F_UCA_FORE_X</t>
  </si>
  <si>
    <t>F_UCA_FORE_Y</t>
  </si>
  <si>
    <t>F_UCA_FORE_Z</t>
  </si>
  <si>
    <t>F_UCA_AFT_X</t>
  </si>
  <si>
    <t>F_UCA_AFT_Y</t>
  </si>
  <si>
    <t>F_UCA_AFT_Z</t>
  </si>
  <si>
    <t>F_UCA_OUT_X</t>
  </si>
  <si>
    <t>F_UCA_OUT_Y</t>
  </si>
  <si>
    <t>F_UCA_OUT_Z</t>
  </si>
  <si>
    <t>F_TIE_IN_X</t>
  </si>
  <si>
    <t>F_TIE_IN_Y</t>
  </si>
  <si>
    <t>F_TIE_IN_Z</t>
  </si>
  <si>
    <t>F_TIE_OUT_X</t>
  </si>
  <si>
    <t>F_TIE_OUT_Y</t>
  </si>
  <si>
    <t>F_TIE_OUT_Z</t>
  </si>
  <si>
    <t>F_PUSH_IN_X</t>
  </si>
  <si>
    <t>F_PUSH_IN_Y</t>
  </si>
  <si>
    <t>F_PUSH_IN_Z</t>
  </si>
  <si>
    <t>F_PUSH_OUT_X</t>
  </si>
  <si>
    <t>F_PUSH_OUT_Y</t>
  </si>
  <si>
    <t>F_PUSH_OUT_Z</t>
  </si>
  <si>
    <t>R_LCA_FORE_X</t>
  </si>
  <si>
    <t>'Rear Suspension'!</t>
  </si>
  <si>
    <t>R_LCA_FORE_Y</t>
  </si>
  <si>
    <t>R_LCA_FORE_Z</t>
  </si>
  <si>
    <t>R_LCA_AFT_X</t>
  </si>
  <si>
    <t>R_LCA_AFT_Y</t>
  </si>
  <si>
    <t>R_LCA_AFT_Z</t>
  </si>
  <si>
    <t>R_LCA_OUT_X</t>
  </si>
  <si>
    <t>R_LCA_OUT_Y</t>
  </si>
  <si>
    <t>R_LCA_OUT_Z</t>
  </si>
  <si>
    <t>R_UCA_FORE_X</t>
  </si>
  <si>
    <t>R_UCA_FORE_Y</t>
  </si>
  <si>
    <t>R_UCA_FORE_Z</t>
  </si>
  <si>
    <t>R_UCA_AFT_X</t>
  </si>
  <si>
    <t>R_UCA_AFT_Y</t>
  </si>
  <si>
    <t>R_UCA_AFT_Z</t>
  </si>
  <si>
    <t>R_UCA_OUT_X</t>
  </si>
  <si>
    <t>R_UCA_OUT_Y</t>
  </si>
  <si>
    <t>R_UCA_OUT_Z</t>
  </si>
  <si>
    <t>R_TIE_IN_X</t>
  </si>
  <si>
    <t>R_TIE_IN_Y</t>
  </si>
  <si>
    <t>R_TIE_IN_Z</t>
  </si>
  <si>
    <t>R_TIE_OUT_X</t>
  </si>
  <si>
    <t>R_TIE_OUT_Y</t>
  </si>
  <si>
    <t>R_TIE_OUT_Z</t>
  </si>
  <si>
    <t>R_PUSH_IN_X</t>
  </si>
  <si>
    <t>R_PUSH_IN_Y</t>
  </si>
  <si>
    <t>R_PUSH_IN_Z</t>
  </si>
  <si>
    <t>R_PUSH_OUT_X</t>
  </si>
  <si>
    <t>R_PUSH_OUT_Y</t>
  </si>
  <si>
    <t>R_PUSH_OUT_Z</t>
  </si>
  <si>
    <t>F_TIRE_CP_X</t>
  </si>
  <si>
    <t>F_TIRE_CP_Y</t>
  </si>
  <si>
    <t>F_TIRE_CP_Z</t>
  </si>
  <si>
    <t>R_TIRE_CP_X</t>
  </si>
  <si>
    <t>R_TIRE_CP_Y</t>
  </si>
  <si>
    <t>R_TIRE_CP_Z</t>
  </si>
  <si>
    <t>Name:</t>
  </si>
  <si>
    <t>Front 1 (2)</t>
  </si>
  <si>
    <t>Type:</t>
  </si>
  <si>
    <t>Suspension</t>
  </si>
  <si>
    <t>Created by:</t>
  </si>
  <si>
    <t>Zips Racing</t>
  </si>
  <si>
    <t>Created on:</t>
  </si>
  <si>
    <t>Version:</t>
  </si>
  <si>
    <t>2.0.1</t>
  </si>
  <si>
    <t>Modified by:</t>
  </si>
  <si>
    <t>Modified on:</t>
  </si>
  <si>
    <t>Comments:</t>
  </si>
  <si>
    <t>User Options</t>
  </si>
  <si>
    <t>Length</t>
  </si>
  <si>
    <t>millimetre</t>
  </si>
  <si>
    <t>mm</t>
  </si>
  <si>
    <t>Angle</t>
  </si>
  <si>
    <t>degree</t>
  </si>
  <si>
    <t>deg</t>
  </si>
  <si>
    <t>Coordinate System</t>
  </si>
  <si>
    <t>[[1,0,0]_x000D_
 [0,1,0]_x000D_
 [0,0,1]]</t>
  </si>
  <si>
    <t>Double A-Arm</t>
  </si>
  <si>
    <t>Point Name</t>
  </si>
  <si>
    <t>Left</t>
  </si>
  <si>
    <t>Right</t>
  </si>
  <si>
    <t>X</t>
  </si>
  <si>
    <t>Y</t>
  </si>
  <si>
    <t>Z</t>
  </si>
  <si>
    <t>CHAS_LowFor</t>
  </si>
  <si>
    <t>CHAS_LowAft</t>
  </si>
  <si>
    <t>CHAS_UppFor</t>
  </si>
  <si>
    <t>CHAS_UppAft</t>
  </si>
  <si>
    <t>UPRI_LowPnt</t>
  </si>
  <si>
    <t>UPRI_UppPnt</t>
  </si>
  <si>
    <t>CHAS_TiePnt</t>
  </si>
  <si>
    <t>UPRI_TiePnt</t>
  </si>
  <si>
    <t>Push Pull</t>
  </si>
  <si>
    <t>CHAS_AttPnt_L</t>
  </si>
  <si>
    <t>CHAS_RocAxi_L</t>
  </si>
  <si>
    <t>CHAS_RocPiv_L</t>
  </si>
  <si>
    <t>ROCK_RodPnt_L</t>
  </si>
  <si>
    <t>ROCK_CoiPnt_L</t>
  </si>
  <si>
    <t>Rack Pinion</t>
  </si>
  <si>
    <t>Steering Ratio</t>
  </si>
  <si>
    <t>Wheels</t>
  </si>
  <si>
    <t>Half Track</t>
  </si>
  <si>
    <t>Longitudinal Offset</t>
  </si>
  <si>
    <t>Lateral Offset</t>
  </si>
  <si>
    <t>Vertical Offset</t>
  </si>
  <si>
    <t>Static Camber</t>
  </si>
  <si>
    <t>Static Toe</t>
  </si>
  <si>
    <t>Rim Diameter</t>
  </si>
  <si>
    <t>Tire Diameter</t>
  </si>
  <si>
    <t>Tire Width</t>
  </si>
  <si>
    <t>Attachment</t>
  </si>
  <si>
    <t>Element</t>
  </si>
  <si>
    <t>Attached To</t>
  </si>
  <si>
    <t>NSMA_PPAttPnt</t>
  </si>
  <si>
    <t>UpperAArm</t>
  </si>
  <si>
    <t>Rear 1 (1)</t>
  </si>
  <si>
    <t>Tierod Attachment</t>
  </si>
  <si>
    <t>Chassis</t>
  </si>
  <si>
    <t>Units in Newtons!!!!!</t>
  </si>
  <si>
    <t>Load Case</t>
  </si>
  <si>
    <t>FL_1</t>
  </si>
  <si>
    <t>FL_2</t>
  </si>
  <si>
    <t>FL_3</t>
  </si>
  <si>
    <t>FR_1</t>
  </si>
  <si>
    <t>FR_2</t>
  </si>
  <si>
    <t>FR_3</t>
  </si>
  <si>
    <t>RL_1</t>
  </si>
  <si>
    <t>RL_2</t>
  </si>
  <si>
    <t>RL_3</t>
  </si>
  <si>
    <t>RR_1</t>
  </si>
  <si>
    <t>RR_2</t>
  </si>
  <si>
    <t>RR_3</t>
  </si>
  <si>
    <t>-1.6, 0, 1</t>
  </si>
  <si>
    <t>pos is braking</t>
  </si>
  <si>
    <t>pos up</t>
  </si>
  <si>
    <t>1.6, 0, 1</t>
  </si>
  <si>
    <t>Bearing Max Loads:</t>
  </si>
  <si>
    <t>max</t>
  </si>
  <si>
    <t>min</t>
  </si>
  <si>
    <t>0, 1.9, 1</t>
  </si>
  <si>
    <t>0, 0, 3</t>
  </si>
  <si>
    <t>max (lbs)</t>
  </si>
  <si>
    <t>-1.8, 1.8, 3</t>
  </si>
  <si>
    <t>min (lbs)</t>
  </si>
  <si>
    <t>2, 1, 3</t>
  </si>
  <si>
    <t>-1.75, 1.75, 1</t>
  </si>
  <si>
    <t>Right Hand Coords</t>
  </si>
  <si>
    <t>(Pointer)</t>
  </si>
  <si>
    <t>(Middle)</t>
  </si>
  <si>
    <t>(Thumb)</t>
  </si>
  <si>
    <t>Contact Patch Offset</t>
  </si>
  <si>
    <t>X(m)</t>
  </si>
  <si>
    <t>Y(m)</t>
  </si>
  <si>
    <t>Z(m)</t>
  </si>
  <si>
    <t>Nm</t>
  </si>
  <si>
    <t>Moment X</t>
  </si>
  <si>
    <t>Moment Y</t>
  </si>
  <si>
    <t>Moment Z</t>
  </si>
  <si>
    <t>r (CP to Mounting Center)</t>
  </si>
  <si>
    <t>Output of Suspension forces matlab script</t>
  </si>
  <si>
    <t>GET DATA ON BETTER LOAD CASES, THESE MIGHT BE WILDLY UNREALISTIC</t>
  </si>
  <si>
    <t>Units in Newtons!</t>
  </si>
  <si>
    <t>Load Cases:</t>
  </si>
  <si>
    <t>G's applied:</t>
  </si>
  <si>
    <t>Brake Bias (% Front)</t>
  </si>
  <si>
    <t>Travel Direction (1=Forward)</t>
  </si>
  <si>
    <t xml:space="preserve">Aero Downforce </t>
  </si>
  <si>
    <t>lcaFore</t>
  </si>
  <si>
    <t>lcaAft</t>
  </si>
  <si>
    <t>ucaFore</t>
  </si>
  <si>
    <t>ucaAft</t>
  </si>
  <si>
    <t>toe</t>
  </si>
  <si>
    <t>push</t>
  </si>
  <si>
    <t>1.6g break, FWD</t>
  </si>
  <si>
    <t>Front Left</t>
  </si>
  <si>
    <t>Rear Left</t>
  </si>
  <si>
    <t>2g accel, FWD</t>
  </si>
  <si>
    <t>2g break, RWD</t>
  </si>
  <si>
    <t>2g accel, RWD</t>
  </si>
  <si>
    <t>1.9g Corner</t>
  </si>
  <si>
    <t>3g bump</t>
  </si>
  <si>
    <t>2g brake, 1.75g corner, 3g bump, 50/50 bias</t>
  </si>
  <si>
    <t>backwards 2g brake, 1g corner, 3g bump, 50/50 bias</t>
  </si>
  <si>
    <t>normal braking and turn, for steering forces</t>
  </si>
  <si>
    <t>Front Right</t>
  </si>
  <si>
    <t>Rear Right</t>
  </si>
  <si>
    <t>max Tension</t>
  </si>
  <si>
    <t>max Compression</t>
  </si>
  <si>
    <t>max Abs</t>
  </si>
  <si>
    <t>max Tension (lbf)</t>
  </si>
  <si>
    <t>max Compression (lbf)</t>
  </si>
  <si>
    <t>max Abs (lbf)</t>
  </si>
  <si>
    <t>Bolts</t>
  </si>
  <si>
    <t>Rod End</t>
  </si>
  <si>
    <t>Thread</t>
  </si>
  <si>
    <t>Insert Diameter</t>
  </si>
  <si>
    <t>Insert Bore</t>
  </si>
  <si>
    <t>Front</t>
  </si>
  <si>
    <t>Length (mm)</t>
  </si>
  <si>
    <t>Length (in)</t>
  </si>
  <si>
    <t>Tube OD</t>
  </si>
  <si>
    <t>Tube Thickness</t>
  </si>
  <si>
    <t>Area</t>
  </si>
  <si>
    <t>Moment of Area</t>
  </si>
  <si>
    <t>Material</t>
  </si>
  <si>
    <t>Weight (kg)</t>
  </si>
  <si>
    <t>Max Tension (lbf)</t>
  </si>
  <si>
    <t>Max Compression (lbf)</t>
  </si>
  <si>
    <t>FS Yeild, Tension</t>
  </si>
  <si>
    <t>Deflection</t>
  </si>
  <si>
    <t>Buckling, K</t>
  </si>
  <si>
    <t>Buckling, Fcrit</t>
  </si>
  <si>
    <t>FS, buckling</t>
  </si>
  <si>
    <t>NAS Bolt Size</t>
  </si>
  <si>
    <t>Bolt Shear FS</t>
  </si>
  <si>
    <t>F_LCA_FORE</t>
  </si>
  <si>
    <t>NAS6203</t>
  </si>
  <si>
    <t xml:space="preserve">RXAM-3T </t>
  </si>
  <si>
    <t xml:space="preserve"> 1/4-28</t>
  </si>
  <si>
    <t>F_LCA_AFT</t>
  </si>
  <si>
    <t xml:space="preserve">RXAB-3T </t>
  </si>
  <si>
    <t>F_UCA_FORE</t>
  </si>
  <si>
    <t>RXAM-4</t>
  </si>
  <si>
    <t>F_UCA_AFT</t>
  </si>
  <si>
    <t>RXAB-4</t>
  </si>
  <si>
    <t>F_TIE</t>
  </si>
  <si>
    <t>HXAM-3</t>
  </si>
  <si>
    <t>F_PUSH</t>
  </si>
  <si>
    <t>R_LCA_FORE</t>
  </si>
  <si>
    <t xml:space="preserve">HXAM-3T </t>
  </si>
  <si>
    <t xml:space="preserve"> 5/16-24</t>
  </si>
  <si>
    <t>R_LCA_AFT</t>
  </si>
  <si>
    <t>R_UCA_FORE</t>
  </si>
  <si>
    <t>x`</t>
  </si>
  <si>
    <t>R_UCA_AFT</t>
  </si>
  <si>
    <t>R_TIE</t>
  </si>
  <si>
    <t>R_PUSH</t>
  </si>
  <si>
    <t>Weights (kg):</t>
  </si>
  <si>
    <t>Current:</t>
  </si>
  <si>
    <t>All Steel Round:</t>
  </si>
  <si>
    <t>All Ti:</t>
  </si>
  <si>
    <t>All Carbon</t>
  </si>
  <si>
    <t>steel values</t>
  </si>
  <si>
    <t>Carbon values</t>
  </si>
  <si>
    <t>Ti values</t>
  </si>
  <si>
    <t>F_LCA</t>
  </si>
  <si>
    <t>F_UCA</t>
  </si>
  <si>
    <t>CFRP</t>
  </si>
  <si>
    <t>R_LCA</t>
  </si>
  <si>
    <t>R_UCA</t>
  </si>
  <si>
    <t>Totals (L+R):</t>
  </si>
  <si>
    <t>Density (lb/in^3</t>
  </si>
  <si>
    <t>Yeild Stress (ksi)</t>
  </si>
  <si>
    <t>UTS (ksi)</t>
  </si>
  <si>
    <t>Heat Treatment</t>
  </si>
  <si>
    <t>Elastic Modulus (ksi)</t>
  </si>
  <si>
    <t>Possions Ratio</t>
  </si>
  <si>
    <t>annealed</t>
  </si>
  <si>
    <t>TI 3AL-2.5V</t>
  </si>
  <si>
    <t>N/a</t>
  </si>
  <si>
    <t>References for Calculations:</t>
  </si>
  <si>
    <t>NASA_STD-5020</t>
  </si>
  <si>
    <t>REQUIREMENTS FOR THREADED FASTENING SYSTEMS IN SPACEFLIGHT HARDWARE</t>
  </si>
  <si>
    <t>6.2.2b</t>
  </si>
  <si>
    <t>Ultimate Strength Analysis of bolts under shear loading shall be based on the assumption that no shear load is carried by friction between the faying surfaces</t>
  </si>
  <si>
    <t>based on assumption that preload is lost as bolt yeilds, therefore friction is not relevant (more info and test data in Appendix A-7)</t>
  </si>
  <si>
    <t>Eq. 6-12</t>
  </si>
  <si>
    <t>Allowable Ultimate Shear Load</t>
  </si>
  <si>
    <t xml:space="preserve">Installation practice from: </t>
  </si>
  <si>
    <t>AC 43.13-1B - Acceptable Methods, Techniques, and Practices - Aircraft Inspection and Repair</t>
  </si>
  <si>
    <t>(7-86)</t>
  </si>
  <si>
    <r>
      <t>Cadmium-plated steel washers are</t>
    </r>
    <r>
      <rPr>
        <b/>
        <i/>
        <sz val="11"/>
        <color theme="1"/>
        <rFont val="Aptos Narrow"/>
        <family val="2"/>
        <scheme val="minor"/>
      </rPr>
      <t xml:space="preserve"> recommended</t>
    </r>
    <r>
      <rPr>
        <sz val="11"/>
        <color theme="1"/>
        <rFont val="Aptos Narrow"/>
        <family val="2"/>
        <scheme val="minor"/>
      </rPr>
      <t xml:space="preserve"> for use under boltheads and nuts used on aluminum alloy or magnesium structures to prevent corrosion.</t>
    </r>
  </si>
  <si>
    <t>(emphasis ours), washers under bolt heads ommitted due to limited lifecyle of car (airframes may be in service 40+ years)</t>
  </si>
  <si>
    <t>(Table 7-1)</t>
  </si>
  <si>
    <t>Bolt Installation torque values taken from here</t>
  </si>
  <si>
    <t>NAS6200 Series:</t>
  </si>
  <si>
    <t>Min. Tensile Strength:</t>
  </si>
  <si>
    <t>ksi</t>
  </si>
  <si>
    <t>Min Shear Stress:</t>
  </si>
  <si>
    <t>psi</t>
  </si>
  <si>
    <t>need to implement on a per joint basis, probably in my matlab sus forces calculator thing</t>
  </si>
  <si>
    <t>Bolts in Single or Double Shear, no bending</t>
  </si>
  <si>
    <t>Eq. 6-14</t>
  </si>
  <si>
    <t>Bolt Type:</t>
  </si>
  <si>
    <t>Nom. Dia [in]</t>
  </si>
  <si>
    <t>Shear Area [in2]</t>
  </si>
  <si>
    <t>Allowable Ultimate Shear Load [lbf]</t>
  </si>
  <si>
    <t>Double Shear [lbf]</t>
  </si>
  <si>
    <t>Min MS</t>
  </si>
  <si>
    <t>NAS6204</t>
  </si>
  <si>
    <t>NAS6205</t>
  </si>
  <si>
    <t>NAS6206</t>
  </si>
  <si>
    <t>From NASA/TM—2017-219475</t>
  </si>
  <si>
    <t>yeild strength (psi)</t>
  </si>
  <si>
    <t>Length engaged (in)</t>
  </si>
  <si>
    <t>thread pitch diameter (in)</t>
  </si>
  <si>
    <t>pullout strength</t>
  </si>
  <si>
    <t>(this includes a 3x factor of safety already)</t>
  </si>
  <si>
    <t xml:space="preserve">Name </t>
  </si>
  <si>
    <t>FOS</t>
  </si>
  <si>
    <t>Weight (grams)</t>
  </si>
  <si>
    <t>Completed</t>
  </si>
  <si>
    <t>Notes</t>
  </si>
  <si>
    <t>Seeing artificial stress risers around bolt head and where a contraint ends.(rolling constriant)</t>
  </si>
  <si>
    <t>Bolt#</t>
  </si>
  <si>
    <t>Diameter</t>
  </si>
  <si>
    <t>Grip Length Dash #</t>
  </si>
  <si>
    <t>Difference from nominal</t>
  </si>
  <si>
    <t>Note</t>
  </si>
  <si>
    <t>AN dash num</t>
  </si>
  <si>
    <t>Nominal Grip Length</t>
  </si>
  <si>
    <t>AN Dash num</t>
  </si>
  <si>
    <t>NAS6203-x Quantity Required</t>
  </si>
  <si>
    <t>NAS6204-x Qty Required</t>
  </si>
  <si>
    <t>Hardware Required</t>
  </si>
  <si>
    <t>Rear Rocker</t>
  </si>
  <si>
    <t>AN690-3</t>
  </si>
  <si>
    <t>AN690-4L</t>
  </si>
  <si>
    <t>MS21042-3</t>
  </si>
  <si>
    <t>MS21042-4</t>
  </si>
  <si>
    <t>Rear Inboard Aft</t>
  </si>
  <si>
    <t>Rear Inboard Fore</t>
  </si>
  <si>
    <t>Push Rod Clamp Inboard</t>
  </si>
  <si>
    <t>Push Rod Clamp Outboard</t>
  </si>
  <si>
    <t>Front Rocker</t>
  </si>
  <si>
    <t>Front Inboard Aft</t>
  </si>
  <si>
    <t>Front Inboard Fore</t>
  </si>
  <si>
    <t>Rear Outboard</t>
  </si>
  <si>
    <t>Front Outboard</t>
  </si>
  <si>
    <t>Part/Drawing Name</t>
  </si>
  <si>
    <t>Insert Fore</t>
  </si>
  <si>
    <t>Insert Aft</t>
  </si>
  <si>
    <t>Qty</t>
  </si>
  <si>
    <t>Lower Control Arm Inserts</t>
  </si>
  <si>
    <t>Upper Control Arm Inserts</t>
  </si>
  <si>
    <t>Rear Tie Rod Inserts</t>
  </si>
  <si>
    <t>Rear Push Rod Inserts</t>
  </si>
  <si>
    <t>Rear</t>
  </si>
  <si>
    <t>ID</t>
  </si>
  <si>
    <t>OD</t>
  </si>
  <si>
    <t>Control Arms</t>
  </si>
  <si>
    <t xml:space="preserve">tie rod </t>
  </si>
  <si>
    <t xml:space="preserve">steering </t>
  </si>
  <si>
    <t>Bellcrank to ARB</t>
  </si>
  <si>
    <t xml:space="preserve">Torsion Bar </t>
  </si>
  <si>
    <t>NSMA_AttPnt_L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</si>
</sst>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"/>
    <numFmt numFmtId="166" formatCode="0.0000"/>
    <numFmt numFmtId="167" formatCode="0.0%"/>
  </numFmts>
  <fonts count="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FFFF"/>
      <name val="Aptos Narrow"/>
      <family val="2"/>
      <scheme val="minor"/>
    </font>
    <font>
      <sz val="10"/>
      <color theme="1"/>
      <name val="Consolas"/>
      <family val="3"/>
    </font>
    <font>
      <b/>
      <sz val="10"/>
      <color theme="1"/>
      <name val="Consolas"/>
      <family val="3"/>
    </font>
    <font>
      <b/>
      <i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ADD8E6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/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181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7" xfId="0" applyBorder="1"/>
    <xf numFmtId="164" fontId="1" fillId="2" borderId="6" xfId="0" applyNumberFormat="1" applyFont="1" applyFill="1" applyBorder="1" applyAlignment="1">
      <alignment horizontal="center" vertical="center"/>
    </xf>
    <xf numFmtId="164" fontId="1" fillId="4" borderId="6" xfId="0" applyNumberFormat="1" applyFont="1" applyFill="1" applyBorder="1" applyAlignment="1" applyProtection="1">
      <alignment horizontal="right" vertical="center"/>
      <protection locked="0"/>
    </xf>
    <xf numFmtId="0" fontId="0" fillId="0" borderId="8" xfId="0" applyBorder="1"/>
    <xf numFmtId="0" fontId="1" fillId="2" borderId="6" xfId="0" applyFont="1" applyFill="1" applyBorder="1" applyAlignment="1">
      <alignment vertical="center"/>
    </xf>
    <xf numFmtId="0" fontId="0" fillId="0" borderId="6" xfId="0" applyBorder="1" applyAlignment="1">
      <alignment vertical="center"/>
    </xf>
    <xf numFmtId="0" fontId="1" fillId="2" borderId="4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164" fontId="1" fillId="4" borderId="6" xfId="0" applyNumberFormat="1" applyFont="1" applyFill="1" applyBorder="1" applyAlignment="1">
      <alignment horizontal="center" vertical="center" wrapText="1"/>
    </xf>
    <xf numFmtId="164" fontId="1" fillId="4" borderId="6" xfId="0" applyNumberFormat="1" applyFont="1" applyFill="1" applyBorder="1" applyAlignment="1">
      <alignment horizontal="center" vertical="center"/>
    </xf>
    <xf numFmtId="164" fontId="1" fillId="2" borderId="6" xfId="0" applyNumberFormat="1" applyFont="1" applyFill="1" applyBorder="1" applyAlignment="1">
      <alignment horizontal="center" vertical="center" wrapText="1"/>
    </xf>
    <xf numFmtId="0" fontId="0" fillId="0" borderId="0" xfId="0" quotePrefix="1"/>
    <xf numFmtId="164" fontId="0" fillId="0" borderId="0" xfId="0" applyNumberFormat="1"/>
    <xf numFmtId="2" fontId="0" fillId="0" borderId="0" xfId="0" applyNumberFormat="1"/>
    <xf numFmtId="165" fontId="0" fillId="0" borderId="9" xfId="0" applyNumberFormat="1" applyBorder="1"/>
    <xf numFmtId="165" fontId="0" fillId="0" borderId="10" xfId="0" applyNumberFormat="1" applyBorder="1"/>
    <xf numFmtId="165" fontId="1" fillId="0" borderId="11" xfId="0" applyNumberFormat="1" applyFont="1" applyBorder="1"/>
    <xf numFmtId="0" fontId="0" fillId="0" borderId="10" xfId="0" applyBorder="1"/>
    <xf numFmtId="0" fontId="1" fillId="0" borderId="11" xfId="0" applyFont="1" applyBorder="1"/>
    <xf numFmtId="165" fontId="0" fillId="0" borderId="12" xfId="0" applyNumberFormat="1" applyBorder="1"/>
    <xf numFmtId="165" fontId="0" fillId="0" borderId="0" xfId="0" applyNumberFormat="1"/>
    <xf numFmtId="165" fontId="1" fillId="0" borderId="13" xfId="0" applyNumberFormat="1" applyFont="1" applyBorder="1"/>
    <xf numFmtId="0" fontId="1" fillId="0" borderId="13" xfId="0" applyFont="1" applyBorder="1"/>
    <xf numFmtId="165" fontId="0" fillId="0" borderId="14" xfId="0" applyNumberFormat="1" applyBorder="1"/>
    <xf numFmtId="165" fontId="0" fillId="0" borderId="15" xfId="0" applyNumberFormat="1" applyBorder="1"/>
    <xf numFmtId="165" fontId="1" fillId="0" borderId="16" xfId="0" applyNumberFormat="1" applyFont="1" applyBorder="1"/>
    <xf numFmtId="0" fontId="0" fillId="0" borderId="15" xfId="0" applyBorder="1"/>
    <xf numFmtId="0" fontId="1" fillId="0" borderId="16" xfId="0" applyFont="1" applyBorder="1"/>
    <xf numFmtId="0" fontId="1" fillId="0" borderId="0" xfId="0" applyFont="1"/>
    <xf numFmtId="0" fontId="3" fillId="0" borderId="0" xfId="0" applyFont="1" applyAlignment="1">
      <alignment horizontal="left" vertical="center" indent="2"/>
    </xf>
    <xf numFmtId="0" fontId="0" fillId="0" borderId="17" xfId="0" applyBorder="1"/>
    <xf numFmtId="0" fontId="4" fillId="0" borderId="0" xfId="0" applyFont="1" applyAlignment="1">
      <alignment horizontal="left" vertical="center" indent="2"/>
    </xf>
    <xf numFmtId="166" fontId="0" fillId="0" borderId="0" xfId="0" applyNumberFormat="1"/>
    <xf numFmtId="1" fontId="0" fillId="0" borderId="15" xfId="0" applyNumberFormat="1" applyBorder="1"/>
    <xf numFmtId="1" fontId="0" fillId="0" borderId="14" xfId="0" applyNumberFormat="1" applyBorder="1"/>
    <xf numFmtId="1" fontId="0" fillId="0" borderId="0" xfId="0" applyNumberFormat="1"/>
    <xf numFmtId="1" fontId="0" fillId="0" borderId="12" xfId="0" applyNumberFormat="1" applyBorder="1"/>
    <xf numFmtId="1" fontId="0" fillId="0" borderId="10" xfId="0" applyNumberFormat="1" applyBorder="1"/>
    <xf numFmtId="1" fontId="0" fillId="0" borderId="9" xfId="0" applyNumberFormat="1" applyBorder="1"/>
    <xf numFmtId="0" fontId="2" fillId="3" borderId="6" xfId="0" applyFont="1" applyFill="1" applyBorder="1" applyAlignment="1">
      <alignment horizontal="center" vertical="center"/>
    </xf>
    <xf numFmtId="0" fontId="0" fillId="0" borderId="16" xfId="0" applyBorder="1"/>
    <xf numFmtId="0" fontId="0" fillId="0" borderId="14" xfId="0" applyBorder="1"/>
    <xf numFmtId="2" fontId="0" fillId="0" borderId="13" xfId="0" applyNumberFormat="1" applyBorder="1"/>
    <xf numFmtId="2" fontId="0" fillId="0" borderId="12" xfId="0" applyNumberFormat="1" applyBorder="1"/>
    <xf numFmtId="2" fontId="0" fillId="0" borderId="11" xfId="0" applyNumberFormat="1" applyBorder="1"/>
    <xf numFmtId="2" fontId="0" fillId="0" borderId="10" xfId="0" applyNumberFormat="1" applyBorder="1"/>
    <xf numFmtId="2" fontId="0" fillId="0" borderId="9" xfId="0" applyNumberFormat="1" applyBorder="1"/>
    <xf numFmtId="0" fontId="0" fillId="0" borderId="11" xfId="0" applyBorder="1"/>
    <xf numFmtId="0" fontId="0" fillId="0" borderId="13" xfId="0" applyBorder="1"/>
    <xf numFmtId="0" fontId="0" fillId="0" borderId="12" xfId="0" applyBorder="1"/>
    <xf numFmtId="164" fontId="1" fillId="4" borderId="5" xfId="0" applyNumberFormat="1" applyFont="1" applyFill="1" applyBorder="1" applyAlignment="1" applyProtection="1">
      <alignment horizontal="right" vertical="center"/>
      <protection locked="0"/>
    </xf>
    <xf numFmtId="0" fontId="0" fillId="0" borderId="9" xfId="0" applyBorder="1"/>
    <xf numFmtId="0" fontId="1" fillId="0" borderId="15" xfId="0" applyFont="1" applyBorder="1"/>
    <xf numFmtId="0" fontId="1" fillId="0" borderId="18" xfId="0" applyFont="1" applyBorder="1"/>
    <xf numFmtId="2" fontId="0" fillId="0" borderId="19" xfId="0" applyNumberFormat="1" applyBorder="1"/>
    <xf numFmtId="2" fontId="0" fillId="0" borderId="20" xfId="0" applyNumberFormat="1" applyBorder="1"/>
    <xf numFmtId="167" fontId="0" fillId="0" borderId="0" xfId="1" applyNumberFormat="1" applyFont="1"/>
    <xf numFmtId="0" fontId="1" fillId="0" borderId="14" xfId="0" applyFont="1" applyBorder="1"/>
    <xf numFmtId="0" fontId="0" fillId="0" borderId="2" xfId="0" applyBorder="1"/>
    <xf numFmtId="0" fontId="0" fillId="5" borderId="0" xfId="0" applyFill="1"/>
    <xf numFmtId="2" fontId="0" fillId="6" borderId="0" xfId="0" applyNumberFormat="1" applyFill="1"/>
    <xf numFmtId="0" fontId="0" fillId="6" borderId="0" xfId="0" applyFill="1"/>
    <xf numFmtId="2" fontId="0" fillId="6" borderId="12" xfId="0" applyNumberFormat="1" applyFill="1" applyBorder="1"/>
    <xf numFmtId="2" fontId="0" fillId="6" borderId="13" xfId="0" applyNumberFormat="1" applyFill="1" applyBorder="1"/>
    <xf numFmtId="2" fontId="0" fillId="5" borderId="13" xfId="0" applyNumberFormat="1" applyFill="1" applyBorder="1"/>
    <xf numFmtId="2" fontId="0" fillId="5" borderId="0" xfId="0" applyNumberFormat="1" applyFill="1"/>
    <xf numFmtId="2" fontId="0" fillId="5" borderId="12" xfId="0" applyNumberFormat="1" applyFill="1" applyBorder="1"/>
    <xf numFmtId="0" fontId="0" fillId="7" borderId="0" xfId="0" applyFill="1"/>
    <xf numFmtId="2" fontId="0" fillId="7" borderId="13" xfId="0" applyNumberFormat="1" applyFill="1" applyBorder="1"/>
    <xf numFmtId="2" fontId="0" fillId="7" borderId="0" xfId="0" applyNumberFormat="1" applyFill="1"/>
    <xf numFmtId="2" fontId="0" fillId="7" borderId="12" xfId="0" applyNumberFormat="1" applyFill="1" applyBorder="1"/>
    <xf numFmtId="0" fontId="0" fillId="0" borderId="21" xfId="0" applyBorder="1"/>
    <xf numFmtId="0" fontId="0" fillId="0" borderId="22" xfId="0" applyBorder="1"/>
    <xf numFmtId="0" fontId="0" fillId="8" borderId="3" xfId="0" applyFill="1" applyBorder="1"/>
    <xf numFmtId="0" fontId="0" fillId="5" borderId="3" xfId="0" applyFill="1" applyBorder="1"/>
    <xf numFmtId="0" fontId="0" fillId="7" borderId="23" xfId="0" applyFill="1" applyBorder="1"/>
    <xf numFmtId="0" fontId="1" fillId="9" borderId="0" xfId="0" applyFont="1" applyFill="1"/>
    <xf numFmtId="165" fontId="0" fillId="9" borderId="0" xfId="0" applyNumberFormat="1" applyFill="1"/>
    <xf numFmtId="0" fontId="0" fillId="10" borderId="10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11" borderId="0" xfId="0" applyFill="1" applyAlignment="1">
      <alignment horizontal="center" vertical="center"/>
    </xf>
    <xf numFmtId="2" fontId="0" fillId="0" borderId="6" xfId="0" applyNumberFormat="1" applyBorder="1"/>
    <xf numFmtId="164" fontId="0" fillId="0" borderId="6" xfId="0" applyNumberForma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2" fontId="0" fillId="0" borderId="30" xfId="0" applyNumberFormat="1" applyBorder="1"/>
    <xf numFmtId="164" fontId="0" fillId="0" borderId="30" xfId="0" applyNumberFormat="1" applyBorder="1"/>
    <xf numFmtId="0" fontId="0" fillId="12" borderId="24" xfId="0" applyFill="1" applyBorder="1"/>
    <xf numFmtId="0" fontId="0" fillId="12" borderId="25" xfId="0" applyFill="1" applyBorder="1"/>
    <xf numFmtId="0" fontId="0" fillId="12" borderId="26" xfId="0" applyFill="1" applyBorder="1"/>
    <xf numFmtId="0" fontId="1" fillId="13" borderId="24" xfId="0" applyFont="1" applyFill="1" applyBorder="1"/>
    <xf numFmtId="0" fontId="1" fillId="13" borderId="25" xfId="0" applyFont="1" applyFill="1" applyBorder="1"/>
    <xf numFmtId="0" fontId="0" fillId="13" borderId="26" xfId="0" applyFill="1" applyBorder="1"/>
    <xf numFmtId="0" fontId="0" fillId="11" borderId="15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right"/>
    </xf>
    <xf numFmtId="0" fontId="1" fillId="0" borderId="0" xfId="0" applyFont="1" applyAlignment="1">
      <alignment horizontal="center" vertical="center" textRotation="90"/>
    </xf>
    <xf numFmtId="164" fontId="0" fillId="14" borderId="10" xfId="0" applyNumberFormat="1" applyFill="1" applyBorder="1" applyAlignment="1">
      <alignment horizontal="center" vertical="center"/>
    </xf>
    <xf numFmtId="0" fontId="0" fillId="14" borderId="10" xfId="0" applyFill="1" applyBorder="1" applyAlignment="1">
      <alignment horizontal="center" vertical="center"/>
    </xf>
    <xf numFmtId="0" fontId="1" fillId="15" borderId="10" xfId="0" applyFont="1" applyFill="1" applyBorder="1" applyAlignment="1">
      <alignment horizontal="center" vertical="center" textRotation="90"/>
    </xf>
    <xf numFmtId="164" fontId="0" fillId="15" borderId="0" xfId="0" applyNumberFormat="1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164" fontId="0" fillId="14" borderId="0" xfId="0" applyNumberFormat="1" applyFill="1" applyAlignment="1">
      <alignment horizontal="center" vertical="center"/>
    </xf>
    <xf numFmtId="164" fontId="0" fillId="15" borderId="15" xfId="0" applyNumberFormat="1" applyFill="1" applyBorder="1" applyAlignment="1">
      <alignment horizontal="center" vertical="center"/>
    </xf>
    <xf numFmtId="0" fontId="0" fillId="15" borderId="15" xfId="0" applyFill="1" applyBorder="1" applyAlignment="1">
      <alignment horizontal="center" vertical="center"/>
    </xf>
    <xf numFmtId="0" fontId="0" fillId="14" borderId="15" xfId="0" applyFill="1" applyBorder="1" applyAlignment="1">
      <alignment horizontal="center" vertical="center"/>
    </xf>
    <xf numFmtId="0" fontId="1" fillId="15" borderId="15" xfId="0" applyFont="1" applyFill="1" applyBorder="1" applyAlignment="1">
      <alignment horizontal="center" vertical="center" textRotation="90"/>
    </xf>
    <xf numFmtId="164" fontId="0" fillId="10" borderId="10" xfId="0" applyNumberFormat="1" applyFill="1" applyBorder="1" applyAlignment="1">
      <alignment horizontal="center" vertical="center"/>
    </xf>
    <xf numFmtId="164" fontId="0" fillId="11" borderId="0" xfId="0" applyNumberFormat="1" applyFill="1" applyAlignment="1">
      <alignment horizontal="center" vertical="center"/>
    </xf>
    <xf numFmtId="164" fontId="0" fillId="10" borderId="0" xfId="0" applyNumberFormat="1" applyFill="1" applyAlignment="1">
      <alignment horizontal="center" vertical="center"/>
    </xf>
    <xf numFmtId="164" fontId="0" fillId="11" borderId="15" xfId="0" applyNumberFormat="1" applyFill="1" applyBorder="1" applyAlignment="1">
      <alignment horizontal="center" vertical="center"/>
    </xf>
    <xf numFmtId="0" fontId="0" fillId="10" borderId="15" xfId="0" applyFill="1" applyBorder="1" applyAlignment="1">
      <alignment horizontal="center" vertical="center"/>
    </xf>
    <xf numFmtId="164" fontId="0" fillId="15" borderId="10" xfId="0" applyNumberFormat="1" applyFill="1" applyBorder="1" applyAlignment="1">
      <alignment horizontal="center" vertical="center"/>
    </xf>
    <xf numFmtId="0" fontId="0" fillId="15" borderId="10" xfId="0" applyFill="1" applyBorder="1" applyAlignment="1">
      <alignment horizontal="center" vertical="center"/>
    </xf>
    <xf numFmtId="164" fontId="0" fillId="14" borderId="15" xfId="0" applyNumberFormat="1" applyFill="1" applyBorder="1" applyAlignment="1">
      <alignment horizontal="center" vertical="center"/>
    </xf>
    <xf numFmtId="164" fontId="0" fillId="10" borderId="15" xfId="0" applyNumberFormat="1" applyFill="1" applyBorder="1" applyAlignment="1">
      <alignment horizontal="center" vertical="center"/>
    </xf>
    <xf numFmtId="164" fontId="0" fillId="11" borderId="10" xfId="0" applyNumberFormat="1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 textRotation="90"/>
    </xf>
    <xf numFmtId="0" fontId="1" fillId="0" borderId="0" xfId="0" applyFont="1" applyAlignment="1">
      <alignment horizontal="center" vertical="center"/>
    </xf>
    <xf numFmtId="0" fontId="0" fillId="9" borderId="0" xfId="0" applyFill="1"/>
    <xf numFmtId="0" fontId="2" fillId="3" borderId="5" xfId="0" applyFont="1" applyFill="1" applyBorder="1" applyAlignment="1">
      <alignment horizontal="center" vertical="center"/>
    </xf>
    <xf numFmtId="0" fontId="2" fillId="3" borderId="39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164" fontId="1" fillId="2" borderId="6" xfId="0" applyNumberFormat="1" applyFont="1" applyFill="1" applyBorder="1" applyAlignment="1">
      <alignment horizontal="center" vertical="center" wrapText="1"/>
    </xf>
    <xf numFmtId="164" fontId="1" fillId="2" borderId="6" xfId="0" applyNumberFormat="1" applyFont="1" applyFill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22" fontId="0" fillId="0" borderId="4" xfId="0" applyNumberFormat="1" applyBorder="1" applyAlignment="1">
      <alignment horizontal="left"/>
    </xf>
    <xf numFmtId="0" fontId="0" fillId="0" borderId="4" xfId="0" applyBorder="1" applyAlignment="1">
      <alignment horizontal="left"/>
    </xf>
    <xf numFmtId="22" fontId="0" fillId="0" borderId="5" xfId="0" applyNumberFormat="1" applyBorder="1" applyAlignment="1">
      <alignment horizontal="left"/>
    </xf>
    <xf numFmtId="0" fontId="0" fillId="0" borderId="5" xfId="0" applyBorder="1" applyAlignment="1">
      <alignment horizontal="left"/>
    </xf>
    <xf numFmtId="0" fontId="2" fillId="3" borderId="6" xfId="0" applyFont="1" applyFill="1" applyBorder="1" applyAlignment="1">
      <alignment horizontal="center" vertical="center"/>
    </xf>
    <xf numFmtId="0" fontId="0" fillId="0" borderId="6" xfId="0" applyBorder="1"/>
    <xf numFmtId="164" fontId="1" fillId="4" borderId="6" xfId="0" applyNumberFormat="1" applyFont="1" applyFill="1" applyBorder="1" applyAlignment="1" applyProtection="1">
      <alignment horizontal="right" vertical="center"/>
      <protection locked="0"/>
    </xf>
    <xf numFmtId="164" fontId="1" fillId="2" borderId="5" xfId="0" applyNumberFormat="1" applyFont="1" applyFill="1" applyBorder="1" applyAlignment="1">
      <alignment horizontal="center" vertical="center" wrapText="1"/>
    </xf>
    <xf numFmtId="164" fontId="1" fillId="2" borderId="4" xfId="0" applyNumberFormat="1" applyFont="1" applyFill="1" applyBorder="1" applyAlignment="1">
      <alignment horizontal="center" vertical="center" wrapText="1"/>
    </xf>
    <xf numFmtId="164" fontId="1" fillId="2" borderId="36" xfId="0" applyNumberFormat="1" applyFont="1" applyFill="1" applyBorder="1" applyAlignment="1">
      <alignment horizontal="center" vertical="center"/>
    </xf>
    <xf numFmtId="164" fontId="1" fillId="2" borderId="37" xfId="0" applyNumberFormat="1" applyFont="1" applyFill="1" applyBorder="1" applyAlignment="1">
      <alignment horizontal="center" vertical="center"/>
    </xf>
    <xf numFmtId="164" fontId="1" fillId="2" borderId="38" xfId="0" applyNumberFormat="1" applyFont="1" applyFill="1" applyBorder="1" applyAlignment="1">
      <alignment horizontal="center" vertical="center"/>
    </xf>
    <xf numFmtId="164" fontId="1" fillId="4" borderId="6" xfId="0" applyNumberFormat="1" applyFont="1" applyFill="1" applyBorder="1" applyAlignment="1">
      <alignment horizontal="center" vertical="center"/>
    </xf>
    <xf numFmtId="0" fontId="0" fillId="0" borderId="2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3" xfId="0" applyBorder="1" applyAlignment="1">
      <alignment horizontal="center"/>
    </xf>
    <xf numFmtId="0" fontId="0" fillId="0" borderId="1" xfId="0" applyBorder="1" applyAlignment="1">
      <alignment horizontal="center"/>
    </xf>
    <xf numFmtId="0" fontId="1" fillId="11" borderId="15" xfId="0" applyFont="1" applyFill="1" applyBorder="1" applyAlignment="1">
      <alignment horizontal="center" vertical="center" textRotation="90"/>
    </xf>
    <xf numFmtId="0" fontId="1" fillId="11" borderId="0" xfId="0" applyFont="1" applyFill="1" applyAlignment="1">
      <alignment horizontal="center" vertical="center" textRotation="90"/>
    </xf>
    <xf numFmtId="0" fontId="1" fillId="11" borderId="10" xfId="0" applyFont="1" applyFill="1" applyBorder="1" applyAlignment="1">
      <alignment horizontal="center" vertical="center" textRotation="90"/>
    </xf>
    <xf numFmtId="0" fontId="0" fillId="10" borderId="15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1" fillId="15" borderId="15" xfId="0" applyFont="1" applyFill="1" applyBorder="1" applyAlignment="1">
      <alignment horizontal="center" vertical="center" textRotation="90"/>
    </xf>
    <xf numFmtId="0" fontId="1" fillId="15" borderId="0" xfId="0" applyFont="1" applyFill="1" applyAlignment="1">
      <alignment horizontal="center" vertical="center" textRotation="90"/>
    </xf>
    <xf numFmtId="0" fontId="1" fillId="15" borderId="10" xfId="0" applyFont="1" applyFill="1" applyBorder="1" applyAlignment="1">
      <alignment horizontal="center" vertical="center" textRotation="90"/>
    </xf>
    <xf numFmtId="0" fontId="0" fillId="14" borderId="15" xfId="0" applyFill="1" applyBorder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4" borderId="10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</cellXfs>
  <cellStyles count="2">
    <cellStyle name="Normal" xfId="0" builtinId="0"/>
    <cellStyle name="Percent" xfId="1" builtinId="5"/>
  </cellStyles>
  <dxfs count="4">
    <dxf>
      <numFmt numFmtId="165" formatCode="0.0"/>
    </dxf>
    <dxf>
      <numFmt numFmtId="165" formatCode="0.0"/>
    </dxf>
    <dxf>
      <numFmt numFmtId="166" formatCode="0.00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microsoft.com/office/2017/06/relationships/rdRichValue" Target="richData/rdrichvalu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22/10/relationships/richValueRel" Target="richData/richValueRel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Structure" Target="richData/rdrichvaluestructure.xml"/><Relationship Id="rId27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952381</xdr:colOff>
      <xdr:row>2</xdr:row>
      <xdr:rowOff>165033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0AB33E-D2A0-D338-44CB-AA8E8A819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381" cy="5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952381</xdr:colOff>
      <xdr:row>2</xdr:row>
      <xdr:rowOff>165033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851F49-5775-45C1-85F5-807B1724F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381" cy="5238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85725</xdr:colOff>
      <xdr:row>0</xdr:row>
      <xdr:rowOff>123826</xdr:rowOff>
    </xdr:from>
    <xdr:to>
      <xdr:col>22</xdr:col>
      <xdr:colOff>518155</xdr:colOff>
      <xdr:row>12</xdr:row>
      <xdr:rowOff>106136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7F286C-FFAA-B09F-3ED7-42BB9AB7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39275" y="123826"/>
          <a:ext cx="5918830" cy="2268310"/>
        </a:xfrm>
        <a:prstGeom prst="rect">
          <a:avLst/>
        </a:prstGeom>
      </xdr:spPr>
    </xdr:pic>
    <xdr:clientData/>
  </xdr:twoCellAnchor>
  <xdr:twoCellAnchor editAs="oneCell">
    <xdr:from>
      <xdr:col>23</xdr:col>
      <xdr:colOff>299358</xdr:colOff>
      <xdr:row>1</xdr:row>
      <xdr:rowOff>27215</xdr:rowOff>
    </xdr:from>
    <xdr:to>
      <xdr:col>32</xdr:col>
      <xdr:colOff>352425</xdr:colOff>
      <xdr:row>12</xdr:row>
      <xdr:rowOff>144291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C2CBBA-D03F-D309-28E0-F2BCE6A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20333" y="217715"/>
          <a:ext cx="5539467" cy="2212576"/>
        </a:xfrm>
        <a:prstGeom prst="rect">
          <a:avLst/>
        </a:prstGeom>
      </xdr:spPr>
    </xdr:pic>
    <xdr:clientData/>
  </xdr:twoCellAnchor>
  <xdr:twoCellAnchor editAs="oneCell">
    <xdr:from>
      <xdr:col>13</xdr:col>
      <xdr:colOff>236271</xdr:colOff>
      <xdr:row>13</xdr:row>
      <xdr:rowOff>126390</xdr:rowOff>
    </xdr:from>
    <xdr:to>
      <xdr:col>22</xdr:col>
      <xdr:colOff>352425</xdr:colOff>
      <xdr:row>25</xdr:row>
      <xdr:rowOff>134388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499427-3341-582E-ED5B-89F619A2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61246" y="2602890"/>
          <a:ext cx="5602554" cy="2293998"/>
        </a:xfrm>
        <a:prstGeom prst="rect">
          <a:avLst/>
        </a:prstGeom>
      </xdr:spPr>
    </xdr:pic>
    <xdr:clientData/>
  </xdr:twoCellAnchor>
  <xdr:twoCellAnchor editAs="oneCell">
    <xdr:from>
      <xdr:col>23</xdr:col>
      <xdr:colOff>51709</xdr:colOff>
      <xdr:row>13</xdr:row>
      <xdr:rowOff>178984</xdr:rowOff>
    </xdr:from>
    <xdr:to>
      <xdr:col>30</xdr:col>
      <xdr:colOff>247650</xdr:colOff>
      <xdr:row>25</xdr:row>
      <xdr:rowOff>137554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6FD815-BC4C-9D02-1BDA-5217B5669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72684" y="2655484"/>
          <a:ext cx="4463141" cy="2244570"/>
        </a:xfrm>
        <a:prstGeom prst="rect">
          <a:avLst/>
        </a:prstGeom>
      </xdr:spPr>
    </xdr:pic>
    <xdr:clientData/>
  </xdr:twoCellAnchor>
  <xdr:twoCellAnchor editAs="oneCell">
    <xdr:from>
      <xdr:col>12</xdr:col>
      <xdr:colOff>552451</xdr:colOff>
      <xdr:row>26</xdr:row>
      <xdr:rowOff>72016</xdr:rowOff>
    </xdr:from>
    <xdr:to>
      <xdr:col>22</xdr:col>
      <xdr:colOff>133351</xdr:colOff>
      <xdr:row>41</xdr:row>
      <xdr:rowOff>1021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8739C30-3AA7-4F42-5424-E6AD9BC94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96401" y="5025016"/>
          <a:ext cx="5676900" cy="2776980"/>
        </a:xfrm>
        <a:prstGeom prst="rect">
          <a:avLst/>
        </a:prstGeom>
      </xdr:spPr>
    </xdr:pic>
    <xdr:clientData/>
  </xdr:twoCellAnchor>
  <xdr:twoCellAnchor editAs="oneCell">
    <xdr:from>
      <xdr:col>22</xdr:col>
      <xdr:colOff>247651</xdr:colOff>
      <xdr:row>26</xdr:row>
      <xdr:rowOff>129677</xdr:rowOff>
    </xdr:from>
    <xdr:to>
      <xdr:col>31</xdr:col>
      <xdr:colOff>117974</xdr:colOff>
      <xdr:row>40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E8FDB7B-AB65-AEA4-0AD7-F32B459CC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87601" y="5082677"/>
          <a:ext cx="5356723" cy="2661148"/>
        </a:xfrm>
        <a:prstGeom prst="rect">
          <a:avLst/>
        </a:prstGeom>
      </xdr:spPr>
    </xdr:pic>
    <xdr:clientData/>
  </xdr:twoCellAnchor>
  <xdr:twoCellAnchor editAs="oneCell">
    <xdr:from>
      <xdr:col>13</xdr:col>
      <xdr:colOff>183120</xdr:colOff>
      <xdr:row>41</xdr:row>
      <xdr:rowOff>57149</xdr:rowOff>
    </xdr:from>
    <xdr:to>
      <xdr:col>21</xdr:col>
      <xdr:colOff>268688</xdr:colOff>
      <xdr:row>54</xdr:row>
      <xdr:rowOff>86728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601DF64-6662-FA8D-6C15-D888C79F7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36670" y="7867649"/>
          <a:ext cx="4962368" cy="2506079"/>
        </a:xfrm>
        <a:prstGeom prst="rect">
          <a:avLst/>
        </a:prstGeom>
      </xdr:spPr>
    </xdr:pic>
    <xdr:clientData/>
  </xdr:twoCellAnchor>
  <xdr:twoCellAnchor editAs="oneCell">
    <xdr:from>
      <xdr:col>21</xdr:col>
      <xdr:colOff>495300</xdr:colOff>
      <xdr:row>41</xdr:row>
      <xdr:rowOff>172310</xdr:rowOff>
    </xdr:from>
    <xdr:to>
      <xdr:col>29</xdr:col>
      <xdr:colOff>583056</xdr:colOff>
      <xdr:row>55</xdr:row>
      <xdr:rowOff>20079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7C14C4D-AC0D-3171-6930-D05C2C07D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25650" y="7982810"/>
          <a:ext cx="4964556" cy="2514769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55</xdr:row>
      <xdr:rowOff>78664</xdr:rowOff>
    </xdr:from>
    <xdr:to>
      <xdr:col>20</xdr:col>
      <xdr:colOff>344873</xdr:colOff>
      <xdr:row>67</xdr:row>
      <xdr:rowOff>115299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189E59-F9C6-E5A8-4E6F-26E23D51A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2125" y="10556164"/>
          <a:ext cx="4583498" cy="2322635"/>
        </a:xfrm>
        <a:prstGeom prst="rect">
          <a:avLst/>
        </a:prstGeom>
      </xdr:spPr>
    </xdr:pic>
    <xdr:clientData/>
  </xdr:twoCellAnchor>
  <xdr:twoCellAnchor editAs="oneCell">
    <xdr:from>
      <xdr:col>20</xdr:col>
      <xdr:colOff>476250</xdr:colOff>
      <xdr:row>56</xdr:row>
      <xdr:rowOff>11948</xdr:rowOff>
    </xdr:from>
    <xdr:to>
      <xdr:col>28</xdr:col>
      <xdr:colOff>192414</xdr:colOff>
      <xdr:row>68</xdr:row>
      <xdr:rowOff>31999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4A160E-95CD-E18D-E853-6B55D6585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097000" y="10679948"/>
          <a:ext cx="4592964" cy="2306051"/>
        </a:xfrm>
        <a:prstGeom prst="rect">
          <a:avLst/>
        </a:prstGeom>
      </xdr:spPr>
    </xdr:pic>
    <xdr:clientData/>
  </xdr:twoCellAnchor>
  <xdr:twoCellAnchor editAs="oneCell">
    <xdr:from>
      <xdr:col>13</xdr:col>
      <xdr:colOff>88756</xdr:colOff>
      <xdr:row>69</xdr:row>
      <xdr:rowOff>95250</xdr:rowOff>
    </xdr:from>
    <xdr:to>
      <xdr:col>20</xdr:col>
      <xdr:colOff>487821</xdr:colOff>
      <xdr:row>81</xdr:row>
      <xdr:rowOff>77194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865204-027D-1737-EE9D-D17A73BEA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42306" y="13239750"/>
          <a:ext cx="4666265" cy="2267944"/>
        </a:xfrm>
        <a:prstGeom prst="rect">
          <a:avLst/>
        </a:prstGeom>
      </xdr:spPr>
    </xdr:pic>
    <xdr:clientData/>
  </xdr:twoCellAnchor>
  <xdr:twoCellAnchor editAs="oneCell">
    <xdr:from>
      <xdr:col>21</xdr:col>
      <xdr:colOff>95250</xdr:colOff>
      <xdr:row>69</xdr:row>
      <xdr:rowOff>66675</xdr:rowOff>
    </xdr:from>
    <xdr:to>
      <xdr:col>28</xdr:col>
      <xdr:colOff>563936</xdr:colOff>
      <xdr:row>81</xdr:row>
      <xdr:rowOff>78029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DE6F54C-506A-5A58-B240-2EF185A0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325600" y="13211175"/>
          <a:ext cx="4735886" cy="229735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azips.sharepoint.com/teams/ZipsRacingFSAE/Shared%20Documents/ZR25/Vehicle%20Dynamics/System/Analysis/ZR25_SuspensionDesign.xlsx" TargetMode="External"/><Relationship Id="rId1" Type="http://schemas.openxmlformats.org/officeDocument/2006/relationships/externalLinkPath" Target="https://uazips.sharepoint.com/teams/ZipsRacingFSAE/Shared%20Documents/ZR25/Vehicle%20Dynamics/System/Analysis/ZR25_SuspensionDesig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rameters"/>
      <sheetName val="constants"/>
      <sheetName val="Derived Parameters"/>
      <sheetName val="Rear ARB Sizing"/>
      <sheetName val="Front ARB Sizing"/>
      <sheetName val="Roll Analysis"/>
      <sheetName val="tracking"/>
      <sheetName val="Tires"/>
      <sheetName val="Sensitivities"/>
      <sheetName val="SS Cornering"/>
      <sheetName val="Ride Rates"/>
      <sheetName val="Swing Arms"/>
      <sheetName val="Basic Rules"/>
      <sheetName val="Wing Positio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aterials" displayName="Materials" ref="A2:G5" totalsRowShown="0">
  <autoFilter ref="A2:G5" xr:uid="{00000000-0009-0000-0100-000001000000}"/>
  <tableColumns count="7">
    <tableColumn id="1" xr3:uid="{00000000-0010-0000-0000-000001000000}" name="Material"/>
    <tableColumn id="2" xr3:uid="{00000000-0010-0000-0000-000002000000}" name="Density (lb/in^3"/>
    <tableColumn id="3" xr3:uid="{00000000-0010-0000-0000-000003000000}" name="Yeild Stress (ksi)"/>
    <tableColumn id="4" xr3:uid="{00000000-0010-0000-0000-000004000000}" name="UTS (ksi)"/>
    <tableColumn id="5" xr3:uid="{00000000-0010-0000-0000-000005000000}" name="Heat Treatment"/>
    <tableColumn id="6" xr3:uid="{00000000-0010-0000-0000-000006000000}" name="Elastic Modulus (ksi)"/>
    <tableColumn id="7" xr3:uid="{00000000-0010-0000-0000-000007000000}" name="Possions Rati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NAS_Shear" displayName="NAS_Shear" ref="A21:E25" totalsRowShown="0" headerRowDxfId="3">
  <autoFilter ref="A21:E25" xr:uid="{00000000-0009-0000-0100-000002000000}"/>
  <tableColumns count="5">
    <tableColumn id="1" xr3:uid="{00000000-0010-0000-0100-000001000000}" name="Bolt Type:"/>
    <tableColumn id="2" xr3:uid="{00000000-0010-0000-0100-000002000000}" name="Nom. Dia [in]"/>
    <tableColumn id="3" xr3:uid="{00000000-0010-0000-0100-000003000000}" name="Shear Area [in2]" dataDxfId="2">
      <calculatedColumnFormula>0.25*PI()*B22^2</calculatedColumnFormula>
    </tableColumn>
    <tableColumn id="4" xr3:uid="{00000000-0010-0000-0100-000004000000}" name="Allowable Ultimate Shear Load [lbf]" dataDxfId="1">
      <calculatedColumnFormula>$C$17*C22</calculatedColumnFormula>
    </tableColumn>
    <tableColumn id="5" xr3:uid="{00000000-0010-0000-0100-000005000000}" name="Double Shear [lbf]" dataDxfId="0">
      <calculatedColumnFormula>D22*2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3A3D7-6E5A-419B-8B04-89EE71FFF4C7}">
  <dimension ref="A1:E66"/>
  <sheetViews>
    <sheetView tabSelected="1"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3.5703125" customWidth="1"/>
    <col min="5" max="5" width="19.5703125" bestFit="1" customWidth="1"/>
  </cols>
  <sheetData>
    <row r="1" spans="1:5" x14ac:dyDescent="0.25">
      <c r="A1" t="s">
        <v>0</v>
      </c>
      <c r="B1" cm="1">
        <f t="array" aca="1" ref="B1" ca="1">INDIRECT(_xlfn.CONCAT(E1,C1,D1))</f>
        <v>880</v>
      </c>
      <c r="C1" t="s">
        <v>1</v>
      </c>
      <c r="D1">
        <v>14</v>
      </c>
      <c r="E1" s="14" t="s">
        <v>2</v>
      </c>
    </row>
    <row r="2" spans="1:5" x14ac:dyDescent="0.25">
      <c r="A2" t="s">
        <v>3</v>
      </c>
      <c r="B2" cm="1">
        <f t="array" aca="1" ref="B2" ca="1">INDIRECT(_xlfn.CONCAT(E2,C2,D2))</f>
        <v>135</v>
      </c>
      <c r="C2" t="s">
        <v>4</v>
      </c>
      <c r="D2">
        <v>14</v>
      </c>
      <c r="E2" s="14" t="s">
        <v>2</v>
      </c>
    </row>
    <row r="3" spans="1:5" x14ac:dyDescent="0.25">
      <c r="A3" t="s">
        <v>5</v>
      </c>
      <c r="B3" cm="1">
        <f t="array" aca="1" ref="B3" ca="1">INDIRECT(_xlfn.CONCAT(E3,C3,D3))</f>
        <v>105.336</v>
      </c>
      <c r="C3" t="s">
        <v>6</v>
      </c>
      <c r="D3">
        <v>14</v>
      </c>
      <c r="E3" s="14" t="s">
        <v>2</v>
      </c>
    </row>
    <row r="4" spans="1:5" x14ac:dyDescent="0.25">
      <c r="A4" t="s">
        <v>7</v>
      </c>
      <c r="B4" cm="1">
        <f t="array" aca="1" ref="B4" ca="1">INDIRECT(_xlfn.CONCAT(E4,C4,D4))</f>
        <v>645</v>
      </c>
      <c r="C4" t="s">
        <v>1</v>
      </c>
      <c r="D4">
        <v>15</v>
      </c>
      <c r="E4" s="14" t="s">
        <v>2</v>
      </c>
    </row>
    <row r="5" spans="1:5" x14ac:dyDescent="0.25">
      <c r="A5" t="s">
        <v>8</v>
      </c>
      <c r="B5" cm="1">
        <f t="array" aca="1" ref="B5" ca="1">INDIRECT(_xlfn.CONCAT(E5,C5,D5))</f>
        <v>140</v>
      </c>
      <c r="C5" t="s">
        <v>4</v>
      </c>
      <c r="D5">
        <v>15</v>
      </c>
      <c r="E5" s="14" t="s">
        <v>2</v>
      </c>
    </row>
    <row r="6" spans="1:5" x14ac:dyDescent="0.25">
      <c r="A6" t="s">
        <v>9</v>
      </c>
      <c r="B6" cm="1">
        <f t="array" aca="1" ref="B6" ca="1">INDIRECT(_xlfn.CONCAT(E6,C6,D6))</f>
        <v>105.292</v>
      </c>
      <c r="C6" t="s">
        <v>6</v>
      </c>
      <c r="D6">
        <v>15</v>
      </c>
      <c r="E6" s="14" t="s">
        <v>2</v>
      </c>
    </row>
    <row r="7" spans="1:5" x14ac:dyDescent="0.25">
      <c r="A7" t="s">
        <v>10</v>
      </c>
      <c r="B7" cm="1">
        <f t="array" aca="1" ref="B7" ca="1">INDIRECT(_xlfn.CONCAT(E7,C7,D7))</f>
        <v>817.649</v>
      </c>
      <c r="C7" t="s">
        <v>1</v>
      </c>
      <c r="D7">
        <v>18</v>
      </c>
      <c r="E7" s="14" t="s">
        <v>2</v>
      </c>
    </row>
    <row r="8" spans="1:5" x14ac:dyDescent="0.25">
      <c r="A8" t="s">
        <v>11</v>
      </c>
      <c r="B8" cm="1">
        <f t="array" aca="1" ref="B8" ca="1">INDIRECT(_xlfn.CONCAT(E8,C8,D8))</f>
        <v>577.02200000000005</v>
      </c>
      <c r="C8" t="s">
        <v>4</v>
      </c>
      <c r="D8">
        <v>18</v>
      </c>
      <c r="E8" s="14" t="s">
        <v>2</v>
      </c>
    </row>
    <row r="9" spans="1:5" x14ac:dyDescent="0.25">
      <c r="A9" t="s">
        <v>12</v>
      </c>
      <c r="B9" cm="1">
        <f t="array" aca="1" ref="B9" ca="1">INDIRECT(_xlfn.CONCAT(E9,C9,D9))</f>
        <v>130</v>
      </c>
      <c r="C9" t="s">
        <v>6</v>
      </c>
      <c r="D9">
        <v>18</v>
      </c>
      <c r="E9" s="14" t="s">
        <v>2</v>
      </c>
    </row>
    <row r="10" spans="1:5" x14ac:dyDescent="0.25">
      <c r="A10" t="s">
        <v>13</v>
      </c>
      <c r="B10" cm="1">
        <f t="array" aca="1" ref="B10" ca="1">INDIRECT(_xlfn.CONCAT(E10,C10,D10))</f>
        <v>960</v>
      </c>
      <c r="C10" t="s">
        <v>1</v>
      </c>
      <c r="D10">
        <v>16</v>
      </c>
      <c r="E10" s="14" t="s">
        <v>2</v>
      </c>
    </row>
    <row r="11" spans="1:5" x14ac:dyDescent="0.25">
      <c r="A11" t="s">
        <v>14</v>
      </c>
      <c r="B11" cm="1">
        <f t="array" aca="1" ref="B11" ca="1">INDIRECT(_xlfn.CONCAT(E11,C11,D11))</f>
        <v>246</v>
      </c>
      <c r="C11" t="s">
        <v>4</v>
      </c>
      <c r="D11">
        <v>16</v>
      </c>
      <c r="E11" s="14" t="s">
        <v>2</v>
      </c>
    </row>
    <row r="12" spans="1:5" x14ac:dyDescent="0.25">
      <c r="A12" t="s">
        <v>15</v>
      </c>
      <c r="B12" cm="1">
        <f t="array" aca="1" ref="B12" ca="1">INDIRECT(_xlfn.CONCAT(E12,C12,D12))</f>
        <v>281.59399999999999</v>
      </c>
      <c r="C12" t="s">
        <v>6</v>
      </c>
      <c r="D12">
        <v>16</v>
      </c>
      <c r="E12" s="14" t="s">
        <v>2</v>
      </c>
    </row>
    <row r="13" spans="1:5" x14ac:dyDescent="0.25">
      <c r="A13" t="s">
        <v>16</v>
      </c>
      <c r="B13" cm="1">
        <f t="array" aca="1" ref="B13" ca="1">INDIRECT(_xlfn.CONCAT(E13,C13,D13))</f>
        <v>685</v>
      </c>
      <c r="C13" t="s">
        <v>1</v>
      </c>
      <c r="D13">
        <v>17</v>
      </c>
      <c r="E13" s="14" t="s">
        <v>2</v>
      </c>
    </row>
    <row r="14" spans="1:5" x14ac:dyDescent="0.25">
      <c r="A14" t="s">
        <v>17</v>
      </c>
      <c r="B14" cm="1">
        <f t="array" aca="1" ref="B14" ca="1">INDIRECT(_xlfn.CONCAT(E14,C14,D14))</f>
        <v>254</v>
      </c>
      <c r="C14" t="s">
        <v>4</v>
      </c>
      <c r="D14">
        <v>17</v>
      </c>
      <c r="E14" s="14" t="s">
        <v>2</v>
      </c>
    </row>
    <row r="15" spans="1:5" x14ac:dyDescent="0.25">
      <c r="A15" t="s">
        <v>18</v>
      </c>
      <c r="B15" cm="1">
        <f t="array" aca="1" ref="B15" ca="1">INDIRECT(_xlfn.CONCAT(E15,C15,D15))</f>
        <v>252.70700000000002</v>
      </c>
      <c r="C15" t="s">
        <v>6</v>
      </c>
      <c r="D15">
        <v>17</v>
      </c>
      <c r="E15" s="14" t="s">
        <v>2</v>
      </c>
    </row>
    <row r="16" spans="1:5" x14ac:dyDescent="0.25">
      <c r="A16" t="s">
        <v>19</v>
      </c>
      <c r="B16" cm="1">
        <f t="array" aca="1" ref="B16" ca="1">INDIRECT(_xlfn.CONCAT(E16,C16,D16))</f>
        <v>804.80499999999995</v>
      </c>
      <c r="C16" t="s">
        <v>1</v>
      </c>
      <c r="D16">
        <v>19</v>
      </c>
      <c r="E16" s="14" t="s">
        <v>2</v>
      </c>
    </row>
    <row r="17" spans="1:5" x14ac:dyDescent="0.25">
      <c r="A17" t="s">
        <v>20</v>
      </c>
      <c r="B17" cm="1">
        <f t="array" aca="1" ref="B17" ca="1">INDIRECT(_xlfn.CONCAT(E17,C17,D17))</f>
        <v>554.95000000000005</v>
      </c>
      <c r="C17" t="s">
        <v>4</v>
      </c>
      <c r="D17">
        <v>19</v>
      </c>
      <c r="E17" s="14" t="s">
        <v>2</v>
      </c>
    </row>
    <row r="18" spans="1:5" x14ac:dyDescent="0.25">
      <c r="A18" t="s">
        <v>21</v>
      </c>
      <c r="B18" cm="1">
        <f t="array" aca="1" ref="B18" ca="1">INDIRECT(_xlfn.CONCAT(E18,C18,D18))</f>
        <v>340</v>
      </c>
      <c r="C18" t="s">
        <v>6</v>
      </c>
      <c r="D18">
        <v>19</v>
      </c>
      <c r="E18" s="14" t="s">
        <v>2</v>
      </c>
    </row>
    <row r="19" spans="1:5" x14ac:dyDescent="0.25">
      <c r="A19" t="s">
        <v>22</v>
      </c>
      <c r="B19" cm="1">
        <f t="array" aca="1" ref="B19" ca="1">INDIRECT(_xlfn.CONCAT(E19,C19,D19))</f>
        <v>870</v>
      </c>
      <c r="C19" t="s">
        <v>1</v>
      </c>
      <c r="D19">
        <v>20</v>
      </c>
      <c r="E19" s="14" t="s">
        <v>2</v>
      </c>
    </row>
    <row r="20" spans="1:5" x14ac:dyDescent="0.25">
      <c r="A20" t="s">
        <v>23</v>
      </c>
      <c r="B20" cm="1">
        <f t="array" aca="1" ref="B20" ca="1">INDIRECT(_xlfn.CONCAT(E20,C20,D20))</f>
        <v>192.08750000000001</v>
      </c>
      <c r="C20" t="s">
        <v>4</v>
      </c>
      <c r="D20">
        <v>20</v>
      </c>
      <c r="E20" s="14" t="s">
        <v>2</v>
      </c>
    </row>
    <row r="21" spans="1:5" x14ac:dyDescent="0.25">
      <c r="A21" t="s">
        <v>24</v>
      </c>
      <c r="B21" cm="1">
        <f t="array" aca="1" ref="B21" ca="1">INDIRECT(_xlfn.CONCAT(E21,C21,D21))</f>
        <v>170</v>
      </c>
      <c r="C21" t="s">
        <v>6</v>
      </c>
      <c r="D21">
        <v>20</v>
      </c>
      <c r="E21" s="14" t="s">
        <v>2</v>
      </c>
    </row>
    <row r="22" spans="1:5" x14ac:dyDescent="0.25">
      <c r="A22" t="s">
        <v>25</v>
      </c>
      <c r="B22" cm="1">
        <f t="array" aca="1" ref="B22" ca="1">INDIRECT(_xlfn.CONCAT(E22,C22,D22))</f>
        <v>891.34199999999998</v>
      </c>
      <c r="C22" t="s">
        <v>1</v>
      </c>
      <c r="D22">
        <v>21</v>
      </c>
      <c r="E22" s="14" t="s">
        <v>2</v>
      </c>
    </row>
    <row r="23" spans="1:5" x14ac:dyDescent="0.25">
      <c r="A23" t="s">
        <v>26</v>
      </c>
      <c r="B23" cm="1">
        <f t="array" aca="1" ref="B23" ca="1">INDIRECT(_xlfn.CONCAT(E23,C23,D23))</f>
        <v>578.45899999999995</v>
      </c>
      <c r="C23" t="s">
        <v>4</v>
      </c>
      <c r="D23">
        <v>21</v>
      </c>
      <c r="E23" s="14" t="s">
        <v>2</v>
      </c>
    </row>
    <row r="24" spans="1:5" x14ac:dyDescent="0.25">
      <c r="A24" t="s">
        <v>27</v>
      </c>
      <c r="B24" cm="1">
        <f t="array" aca="1" ref="B24" ca="1">INDIRECT(_xlfn.CONCAT(E24,C24,D24))</f>
        <v>170</v>
      </c>
      <c r="C24" t="s">
        <v>6</v>
      </c>
      <c r="D24">
        <v>21</v>
      </c>
      <c r="E24" s="14" t="s">
        <v>2</v>
      </c>
    </row>
    <row r="25" spans="1:5" x14ac:dyDescent="0.25">
      <c r="A25" t="s">
        <v>28</v>
      </c>
      <c r="B25" cm="1">
        <f t="array" aca="1" ref="B25" ca="1">INDIRECT(_xlfn.CONCAT(E25,C25,D25))</f>
        <v>880.32899999999995</v>
      </c>
      <c r="C25" t="s">
        <v>1</v>
      </c>
      <c r="D25">
        <v>29</v>
      </c>
      <c r="E25" s="14" t="s">
        <v>2</v>
      </c>
    </row>
    <row r="26" spans="1:5" x14ac:dyDescent="0.25">
      <c r="A26" t="s">
        <v>29</v>
      </c>
      <c r="B26" cm="1">
        <f t="array" aca="1" ref="B26" ca="1">INDIRECT(_xlfn.CONCAT(E26,C26,D26))</f>
        <v>224.172</v>
      </c>
      <c r="C26" t="s">
        <v>4</v>
      </c>
      <c r="D26">
        <v>29</v>
      </c>
      <c r="E26" s="14" t="s">
        <v>2</v>
      </c>
    </row>
    <row r="27" spans="1:5" x14ac:dyDescent="0.25">
      <c r="A27" t="s">
        <v>30</v>
      </c>
      <c r="B27" cm="1">
        <f t="array" aca="1" ref="B27" ca="1">INDIRECT(_xlfn.CONCAT(E27,C27,D27))</f>
        <v>537.36699999999996</v>
      </c>
      <c r="C27" t="s">
        <v>6</v>
      </c>
      <c r="D27">
        <v>29</v>
      </c>
      <c r="E27" s="14" t="s">
        <v>2</v>
      </c>
    </row>
    <row r="28" spans="1:5" x14ac:dyDescent="0.25">
      <c r="A28" t="s">
        <v>31</v>
      </c>
      <c r="B28" cm="1">
        <f t="array" aca="1" ref="B28" ca="1">INDIRECT(_xlfn.CONCAT(E28,C28,D28))</f>
        <v>1858.873</v>
      </c>
      <c r="C28" t="s">
        <v>1</v>
      </c>
      <c r="D28">
        <v>25</v>
      </c>
      <c r="E28" s="14" t="s">
        <v>2</v>
      </c>
    </row>
    <row r="29" spans="1:5" x14ac:dyDescent="0.25">
      <c r="A29" t="s">
        <v>32</v>
      </c>
      <c r="B29" cm="1">
        <f t="array" aca="1" ref="B29" ca="1">INDIRECT(_xlfn.CONCAT(E29,C29,D29))</f>
        <v>574.11599999999999</v>
      </c>
      <c r="C29" t="s">
        <v>4</v>
      </c>
      <c r="D29">
        <v>25</v>
      </c>
      <c r="E29" s="14" t="s">
        <v>2</v>
      </c>
    </row>
    <row r="30" spans="1:5" x14ac:dyDescent="0.25">
      <c r="A30" t="s">
        <v>33</v>
      </c>
      <c r="B30" cm="1">
        <f t="array" aca="1" ref="B30" ca="1">INDIRECT(_xlfn.CONCAT(E30,C30,D30))</f>
        <v>352.55399999999997</v>
      </c>
      <c r="C30" t="s">
        <v>6</v>
      </c>
      <c r="D30">
        <v>25</v>
      </c>
      <c r="E30" s="14" t="s">
        <v>2</v>
      </c>
    </row>
    <row r="31" spans="1:5" x14ac:dyDescent="0.25">
      <c r="A31" t="s">
        <v>34</v>
      </c>
      <c r="B31" cm="1">
        <f t="array" aca="1" ref="B31" ca="1">INDIRECT(_xlfn.CONCAT(E31,C31,D31))</f>
        <v>491.54804195081402</v>
      </c>
      <c r="C31" t="s">
        <v>1</v>
      </c>
      <c r="D31">
        <v>14</v>
      </c>
      <c r="E31" s="14" t="s">
        <v>35</v>
      </c>
    </row>
    <row r="32" spans="1:5" x14ac:dyDescent="0.25">
      <c r="A32" t="s">
        <v>36</v>
      </c>
      <c r="B32" cm="1">
        <f t="array" aca="1" ref="B32" ca="1">INDIRECT(_xlfn.CONCAT(E32,C32,D32))</f>
        <v>307.89516650151103</v>
      </c>
      <c r="C32" t="s">
        <v>4</v>
      </c>
      <c r="D32">
        <v>14</v>
      </c>
      <c r="E32" s="14" t="s">
        <v>35</v>
      </c>
    </row>
    <row r="33" spans="1:5" x14ac:dyDescent="0.25">
      <c r="A33" t="s">
        <v>37</v>
      </c>
      <c r="B33" cm="1">
        <f t="array" aca="1" ref="B33" ca="1">INDIRECT(_xlfn.CONCAT(E33,C33,D33))</f>
        <v>141.21810273194399</v>
      </c>
      <c r="C33" t="s">
        <v>6</v>
      </c>
      <c r="D33">
        <v>14</v>
      </c>
      <c r="E33" s="14" t="s">
        <v>35</v>
      </c>
    </row>
    <row r="34" spans="1:5" x14ac:dyDescent="0.25">
      <c r="A34" t="s">
        <v>38</v>
      </c>
      <c r="B34" cm="1">
        <f t="array" aca="1" ref="B34" ca="1">INDIRECT(_xlfn.CONCAT(E34,C34,D34))</f>
        <v>311.33333233376601</v>
      </c>
      <c r="C34" t="s">
        <v>1</v>
      </c>
      <c r="D34">
        <v>15</v>
      </c>
      <c r="E34" s="14" t="s">
        <v>35</v>
      </c>
    </row>
    <row r="35" spans="1:5" x14ac:dyDescent="0.25">
      <c r="A35" t="s">
        <v>39</v>
      </c>
      <c r="B35" cm="1">
        <f t="array" aca="1" ref="B35" ca="1">INDIRECT(_xlfn.CONCAT(E35,C35,D35))</f>
        <v>302</v>
      </c>
      <c r="C35" t="s">
        <v>4</v>
      </c>
      <c r="D35">
        <v>15</v>
      </c>
      <c r="E35" s="14" t="s">
        <v>35</v>
      </c>
    </row>
    <row r="36" spans="1:5" x14ac:dyDescent="0.25">
      <c r="A36" t="s">
        <v>40</v>
      </c>
      <c r="B36" cm="1">
        <f t="array" aca="1" ref="B36" ca="1">INDIRECT(_xlfn.CONCAT(E36,C36,D36))</f>
        <v>124.799595446059</v>
      </c>
      <c r="C36" t="s">
        <v>6</v>
      </c>
      <c r="D36">
        <v>15</v>
      </c>
      <c r="E36" s="14" t="s">
        <v>35</v>
      </c>
    </row>
    <row r="37" spans="1:5" x14ac:dyDescent="0.25">
      <c r="A37" t="s">
        <v>41</v>
      </c>
      <c r="B37" cm="1">
        <f t="array" aca="1" ref="B37" ca="1">INDIRECT(_xlfn.CONCAT(E37,C37,D37))</f>
        <v>372.84745987628202</v>
      </c>
      <c r="C37" t="s">
        <v>1</v>
      </c>
      <c r="D37">
        <v>18</v>
      </c>
      <c r="E37" s="14" t="s">
        <v>35</v>
      </c>
    </row>
    <row r="38" spans="1:5" x14ac:dyDescent="0.25">
      <c r="A38" t="s">
        <v>42</v>
      </c>
      <c r="B38" cm="1">
        <f t="array" aca="1" ref="B38" ca="1">INDIRECT(_xlfn.CONCAT(E38,C38,D38))</f>
        <v>573.08183100674796</v>
      </c>
      <c r="C38" t="s">
        <v>4</v>
      </c>
      <c r="D38">
        <v>18</v>
      </c>
      <c r="E38" s="14" t="s">
        <v>35</v>
      </c>
    </row>
    <row r="39" spans="1:5" x14ac:dyDescent="0.25">
      <c r="A39" t="s">
        <v>43</v>
      </c>
      <c r="B39" cm="1">
        <f t="array" aca="1" ref="B39" ca="1">INDIRECT(_xlfn.CONCAT(E39,C39,D39))</f>
        <v>149.41581340462699</v>
      </c>
      <c r="C39" t="s">
        <v>6</v>
      </c>
      <c r="D39">
        <v>18</v>
      </c>
      <c r="E39" s="14" t="s">
        <v>35</v>
      </c>
    </row>
    <row r="40" spans="1:5" x14ac:dyDescent="0.25">
      <c r="A40" t="s">
        <v>44</v>
      </c>
      <c r="B40" cm="1">
        <f t="array" aca="1" ref="B40" ca="1">INDIRECT(_xlfn.CONCAT(E40,C40,D40))</f>
        <v>402.14499999999998</v>
      </c>
      <c r="C40" t="s">
        <v>1</v>
      </c>
      <c r="D40">
        <v>16</v>
      </c>
      <c r="E40" s="14" t="s">
        <v>35</v>
      </c>
    </row>
    <row r="41" spans="1:5" x14ac:dyDescent="0.25">
      <c r="A41" t="s">
        <v>45</v>
      </c>
      <c r="B41" cm="1">
        <f t="array" aca="1" ref="B41" ca="1">INDIRECT(_xlfn.CONCAT(E41,C41,D41))</f>
        <v>312.13611223847499</v>
      </c>
      <c r="C41" t="s">
        <v>4</v>
      </c>
      <c r="D41">
        <v>16</v>
      </c>
      <c r="E41" s="14" t="s">
        <v>35</v>
      </c>
    </row>
    <row r="42" spans="1:5" x14ac:dyDescent="0.25">
      <c r="A42" t="s">
        <v>46</v>
      </c>
      <c r="B42" cm="1">
        <f t="array" aca="1" ref="B42" ca="1">INDIRECT(_xlfn.CONCAT(E42,C42,D42))</f>
        <v>263.63177748573099</v>
      </c>
      <c r="C42" t="s">
        <v>6</v>
      </c>
      <c r="D42">
        <v>16</v>
      </c>
      <c r="E42" s="14" t="s">
        <v>35</v>
      </c>
    </row>
    <row r="43" spans="1:5" x14ac:dyDescent="0.25">
      <c r="A43" t="s">
        <v>47</v>
      </c>
      <c r="B43" cm="1">
        <f t="array" aca="1" ref="B43" ca="1">INDIRECT(_xlfn.CONCAT(E43,C43,D43))</f>
        <v>259.36559197861698</v>
      </c>
      <c r="C43" t="s">
        <v>1</v>
      </c>
      <c r="D43">
        <v>17</v>
      </c>
      <c r="E43" s="14" t="s">
        <v>35</v>
      </c>
    </row>
    <row r="44" spans="1:5" x14ac:dyDescent="0.25">
      <c r="A44" t="s">
        <v>48</v>
      </c>
      <c r="B44" cm="1">
        <f t="array" aca="1" ref="B44" ca="1">INDIRECT(_xlfn.CONCAT(E44,C44,D44))</f>
        <v>309.98029738998599</v>
      </c>
      <c r="C44" t="s">
        <v>4</v>
      </c>
      <c r="D44">
        <v>17</v>
      </c>
      <c r="E44" s="14" t="s">
        <v>35</v>
      </c>
    </row>
    <row r="45" spans="1:5" x14ac:dyDescent="0.25">
      <c r="A45" t="s">
        <v>49</v>
      </c>
      <c r="B45" cm="1">
        <f t="array" aca="1" ref="B45" ca="1">INDIRECT(_xlfn.CONCAT(E45,C45,D45))</f>
        <v>260.648679407396</v>
      </c>
      <c r="C45" t="s">
        <v>6</v>
      </c>
      <c r="D45">
        <v>17</v>
      </c>
      <c r="E45" s="14" t="s">
        <v>35</v>
      </c>
    </row>
    <row r="46" spans="1:5" x14ac:dyDescent="0.25">
      <c r="A46" t="s">
        <v>50</v>
      </c>
      <c r="B46" cm="1">
        <f t="array" aca="1" ref="B46" ca="1">INDIRECT(_xlfn.CONCAT(E46,C46,D46))</f>
        <v>355.83</v>
      </c>
      <c r="C46" t="s">
        <v>1</v>
      </c>
      <c r="D46">
        <v>19</v>
      </c>
      <c r="E46" s="14" t="s">
        <v>35</v>
      </c>
    </row>
    <row r="47" spans="1:5" x14ac:dyDescent="0.25">
      <c r="A47" t="s">
        <v>51</v>
      </c>
      <c r="B47" cm="1">
        <f t="array" aca="1" ref="B47" ca="1">INDIRECT(_xlfn.CONCAT(E47,C47,D47))</f>
        <v>505.91000000000008</v>
      </c>
      <c r="C47" t="s">
        <v>4</v>
      </c>
      <c r="D47">
        <v>19</v>
      </c>
      <c r="E47" s="14" t="s">
        <v>35</v>
      </c>
    </row>
    <row r="48" spans="1:5" x14ac:dyDescent="0.25">
      <c r="A48" t="s">
        <v>52</v>
      </c>
      <c r="B48" cm="1">
        <f t="array" aca="1" ref="B48" ca="1">INDIRECT(_xlfn.CONCAT(E48,C48,D48))</f>
        <v>333.37380835748201</v>
      </c>
      <c r="C48" t="s">
        <v>6</v>
      </c>
      <c r="D48">
        <v>19</v>
      </c>
      <c r="E48" s="14" t="s">
        <v>35</v>
      </c>
    </row>
    <row r="49" spans="1:5" x14ac:dyDescent="0.25">
      <c r="A49" t="s">
        <v>53</v>
      </c>
      <c r="B49" cm="1">
        <f t="array" aca="1" ref="B49" ca="1">INDIRECT(_xlfn.CONCAT(E49,C49,D49))</f>
        <v>181.15600000000001</v>
      </c>
      <c r="C49" t="s">
        <v>1</v>
      </c>
      <c r="D49">
        <v>20</v>
      </c>
      <c r="E49" s="14" t="s">
        <v>35</v>
      </c>
    </row>
    <row r="50" spans="1:5" x14ac:dyDescent="0.25">
      <c r="A50" t="s">
        <v>54</v>
      </c>
      <c r="B50" cm="1">
        <f t="array" aca="1" ref="B50" ca="1">INDIRECT(_xlfn.CONCAT(E50,C50,D50))</f>
        <v>306.065</v>
      </c>
      <c r="C50" t="s">
        <v>4</v>
      </c>
      <c r="D50">
        <v>20</v>
      </c>
      <c r="E50" s="14" t="s">
        <v>35</v>
      </c>
    </row>
    <row r="51" spans="1:5" x14ac:dyDescent="0.25">
      <c r="A51" t="s">
        <v>55</v>
      </c>
      <c r="B51" cm="1">
        <f t="array" aca="1" ref="B51" ca="1">INDIRECT(_xlfn.CONCAT(E51,C51,D51))</f>
        <v>191</v>
      </c>
      <c r="C51" t="s">
        <v>6</v>
      </c>
      <c r="D51">
        <v>20</v>
      </c>
      <c r="E51" s="14" t="s">
        <v>35</v>
      </c>
    </row>
    <row r="52" spans="1:5" x14ac:dyDescent="0.25">
      <c r="A52" t="s">
        <v>56</v>
      </c>
      <c r="B52" cm="1">
        <f t="array" aca="1" ref="B52" ca="1">INDIRECT(_xlfn.CONCAT(E52,C52,D52))</f>
        <v>261.89800000000002</v>
      </c>
      <c r="C52" t="s">
        <v>1</v>
      </c>
      <c r="D52">
        <v>21</v>
      </c>
      <c r="E52" s="14" t="s">
        <v>35</v>
      </c>
    </row>
    <row r="53" spans="1:5" x14ac:dyDescent="0.25">
      <c r="A53" t="s">
        <v>57</v>
      </c>
      <c r="B53" cm="1">
        <f t="array" aca="1" ref="B53" ca="1">INDIRECT(_xlfn.CONCAT(E53,C53,D53))</f>
        <v>531.78599999999994</v>
      </c>
      <c r="C53" t="s">
        <v>4</v>
      </c>
      <c r="D53">
        <v>21</v>
      </c>
      <c r="E53" s="14" t="s">
        <v>35</v>
      </c>
    </row>
    <row r="54" spans="1:5" x14ac:dyDescent="0.25">
      <c r="A54" t="s">
        <v>58</v>
      </c>
      <c r="B54" cm="1">
        <f t="array" aca="1" ref="B54" ca="1">INDIRECT(_xlfn.CONCAT(E54,C54,D54))</f>
        <v>254</v>
      </c>
      <c r="C54" t="s">
        <v>6</v>
      </c>
      <c r="D54">
        <v>21</v>
      </c>
      <c r="E54" s="14" t="s">
        <v>35</v>
      </c>
    </row>
    <row r="55" spans="1:5" x14ac:dyDescent="0.25">
      <c r="A55" t="s">
        <v>59</v>
      </c>
      <c r="B55" cm="1">
        <f t="array" aca="1" ref="B55" ca="1">INDIRECT(_xlfn.CONCAT(E55,C55,D55))</f>
        <v>-752.31299999999999</v>
      </c>
      <c r="C55" t="s">
        <v>1</v>
      </c>
      <c r="D55">
        <v>30</v>
      </c>
      <c r="E55" s="14" t="s">
        <v>35</v>
      </c>
    </row>
    <row r="56" spans="1:5" x14ac:dyDescent="0.25">
      <c r="A56" t="s">
        <v>60</v>
      </c>
      <c r="B56" cm="1">
        <f t="array" aca="1" ref="B56" ca="1">INDIRECT(_xlfn.CONCAT(E56,C56,D56))</f>
        <v>276.65100000000001</v>
      </c>
      <c r="C56" t="s">
        <v>4</v>
      </c>
      <c r="D56">
        <v>30</v>
      </c>
      <c r="E56" s="14" t="s">
        <v>35</v>
      </c>
    </row>
    <row r="57" spans="1:5" x14ac:dyDescent="0.25">
      <c r="A57" t="s">
        <v>61</v>
      </c>
      <c r="B57" cm="1">
        <f t="array" aca="1" ref="B57" ca="1">INDIRECT(_xlfn.CONCAT(E57,C57,D57))</f>
        <v>495.32100000000003</v>
      </c>
      <c r="C57" t="s">
        <v>6</v>
      </c>
      <c r="D57">
        <v>30</v>
      </c>
      <c r="E57" s="14" t="s">
        <v>35</v>
      </c>
    </row>
    <row r="58" spans="1:5" x14ac:dyDescent="0.25">
      <c r="A58" t="s">
        <v>62</v>
      </c>
      <c r="B58" cm="1">
        <f t="array" aca="1" ref="B58" ca="1">INDIRECT(_xlfn.CONCAT(E58,C58,D58))</f>
        <v>355.83</v>
      </c>
      <c r="C58" t="s">
        <v>1</v>
      </c>
      <c r="D58">
        <v>26</v>
      </c>
      <c r="E58" s="14" t="s">
        <v>35</v>
      </c>
    </row>
    <row r="59" spans="1:5" x14ac:dyDescent="0.25">
      <c r="A59" t="s">
        <v>63</v>
      </c>
      <c r="B59" cm="1">
        <f t="array" aca="1" ref="B59" ca="1">INDIRECT(_xlfn.CONCAT(E59,C59,D59))</f>
        <v>505.91000000000008</v>
      </c>
      <c r="C59" t="s">
        <v>4</v>
      </c>
      <c r="D59">
        <v>26</v>
      </c>
      <c r="E59" s="14" t="s">
        <v>35</v>
      </c>
    </row>
    <row r="60" spans="1:5" x14ac:dyDescent="0.25">
      <c r="A60" t="s">
        <v>64</v>
      </c>
      <c r="B60" cm="1">
        <f t="array" aca="1" ref="B60" ca="1">INDIRECT(_xlfn.CONCAT(E60,C60,D60))</f>
        <v>333.3</v>
      </c>
      <c r="C60" t="s">
        <v>6</v>
      </c>
      <c r="D60">
        <v>26</v>
      </c>
      <c r="E60" s="14" t="s">
        <v>35</v>
      </c>
    </row>
    <row r="61" spans="1:5" x14ac:dyDescent="0.25">
      <c r="A61" t="s">
        <v>65</v>
      </c>
      <c r="B61" cm="1">
        <f t="array" aca="1" ref="B61" ca="1">INDIRECT(_xlfn.CONCAT(E61,C61,D61))</f>
        <v>1862.9</v>
      </c>
      <c r="C61" t="s">
        <v>1</v>
      </c>
      <c r="D61">
        <v>36</v>
      </c>
      <c r="E61" s="14" t="s">
        <v>2</v>
      </c>
    </row>
    <row r="62" spans="1:5" x14ac:dyDescent="0.25">
      <c r="A62" t="s">
        <v>66</v>
      </c>
      <c r="B62" cm="1">
        <f t="array" aca="1" ref="B62" ca="1">INDIRECT(_xlfn.CONCAT(E62,C62,D62))</f>
        <v>610</v>
      </c>
      <c r="C62" t="s">
        <v>1</v>
      </c>
      <c r="D62">
        <v>35</v>
      </c>
      <c r="E62" s="14" t="s">
        <v>2</v>
      </c>
    </row>
    <row r="63" spans="1:5" x14ac:dyDescent="0.25">
      <c r="A63" t="s">
        <v>67</v>
      </c>
      <c r="B63">
        <v>0</v>
      </c>
      <c r="C63" t="s">
        <v>1</v>
      </c>
    </row>
    <row r="64" spans="1:5" x14ac:dyDescent="0.25">
      <c r="A64" t="s">
        <v>68</v>
      </c>
      <c r="B64" cm="1">
        <f t="array" aca="1" ref="B64" ca="1">INDIRECT(_xlfn.CONCAT(E64,C64,D64))</f>
        <v>336</v>
      </c>
      <c r="C64" t="s">
        <v>1</v>
      </c>
      <c r="D64">
        <v>35</v>
      </c>
      <c r="E64" s="14" t="s">
        <v>35</v>
      </c>
    </row>
    <row r="65" spans="1:5" x14ac:dyDescent="0.25">
      <c r="A65" t="s">
        <v>69</v>
      </c>
      <c r="B65" cm="1">
        <f t="array" aca="1" ref="B65" ca="1">INDIRECT(_xlfn.CONCAT(E65,C65,D65))</f>
        <v>600</v>
      </c>
      <c r="C65" t="s">
        <v>1</v>
      </c>
      <c r="D65">
        <v>34</v>
      </c>
      <c r="E65" s="14" t="s">
        <v>35</v>
      </c>
    </row>
    <row r="66" spans="1:5" x14ac:dyDescent="0.25">
      <c r="A66" t="s">
        <v>70</v>
      </c>
      <c r="B66">
        <v>0</v>
      </c>
      <c r="C66" t="s">
        <v>1</v>
      </c>
      <c r="E66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87EF2-36C2-4FC3-8F78-06D90C88105A}">
  <dimension ref="A1:J46"/>
  <sheetViews>
    <sheetView showGridLines="0" topLeftCell="A19" workbookViewId="0">
      <selection activeCell="M40" sqref="M40"/>
    </sheetView>
  </sheetViews>
  <sheetFormatPr defaultRowHeight="15" x14ac:dyDescent="0.25"/>
  <cols>
    <col min="1" max="1" width="15.5703125" customWidth="1"/>
    <col min="2" max="9" width="17.42578125" customWidth="1"/>
  </cols>
  <sheetData>
    <row r="1" spans="1:9" x14ac:dyDescent="0.25">
      <c r="A1" s="146"/>
      <c r="B1" s="7" t="s">
        <v>71</v>
      </c>
      <c r="C1" s="155" t="s">
        <v>72</v>
      </c>
      <c r="D1" s="155"/>
      <c r="E1" s="155"/>
      <c r="F1" s="155"/>
      <c r="G1" s="155"/>
      <c r="H1" s="155"/>
      <c r="I1" s="155"/>
    </row>
    <row r="2" spans="1:9" x14ac:dyDescent="0.25">
      <c r="A2" s="147"/>
      <c r="B2" s="7" t="s">
        <v>73</v>
      </c>
      <c r="C2" s="8" t="s">
        <v>74</v>
      </c>
      <c r="D2" s="9" t="s">
        <v>75</v>
      </c>
      <c r="E2" s="148" t="s">
        <v>76</v>
      </c>
      <c r="F2" s="148"/>
      <c r="G2" s="9" t="s">
        <v>77</v>
      </c>
      <c r="H2" s="150">
        <v>45553.751493055555</v>
      </c>
      <c r="I2" s="151"/>
    </row>
    <row r="3" spans="1:9" x14ac:dyDescent="0.25">
      <c r="A3" s="2"/>
      <c r="B3" s="7" t="s">
        <v>78</v>
      </c>
      <c r="C3" s="8" t="s">
        <v>79</v>
      </c>
      <c r="D3" s="10" t="s">
        <v>80</v>
      </c>
      <c r="E3" s="149" t="s">
        <v>76</v>
      </c>
      <c r="F3" s="149"/>
      <c r="G3" s="10" t="s">
        <v>81</v>
      </c>
      <c r="H3" s="152">
        <v>45555.957384259258</v>
      </c>
      <c r="I3" s="153"/>
    </row>
    <row r="4" spans="1:9" x14ac:dyDescent="0.25">
      <c r="A4" s="154" t="s">
        <v>82</v>
      </c>
      <c r="B4" s="155"/>
      <c r="C4" s="155"/>
      <c r="D4" s="155"/>
      <c r="E4" s="155"/>
      <c r="F4" s="155"/>
      <c r="G4" s="155"/>
      <c r="H4" s="155"/>
      <c r="I4" s="155"/>
    </row>
    <row r="5" spans="1:9" x14ac:dyDescent="0.25">
      <c r="A5" s="154"/>
      <c r="B5" s="155"/>
      <c r="C5" s="155"/>
      <c r="D5" s="155"/>
      <c r="E5" s="155"/>
      <c r="F5" s="155"/>
      <c r="G5" s="155"/>
      <c r="H5" s="155"/>
      <c r="I5" s="155"/>
    </row>
    <row r="6" spans="1:9" x14ac:dyDescent="0.25">
      <c r="A6" s="154"/>
      <c r="B6" s="155"/>
      <c r="C6" s="155"/>
      <c r="D6" s="155"/>
      <c r="E6" s="155"/>
      <c r="F6" s="155"/>
      <c r="G6" s="155"/>
      <c r="H6" s="155"/>
      <c r="I6" s="155"/>
    </row>
    <row r="7" spans="1:9" x14ac:dyDescent="0.25">
      <c r="A7" s="2"/>
      <c r="I7" s="3"/>
    </row>
    <row r="8" spans="1:9" x14ac:dyDescent="0.25">
      <c r="A8" s="154" t="s">
        <v>83</v>
      </c>
      <c r="B8" s="4" t="s">
        <v>84</v>
      </c>
      <c r="C8" s="11" t="s">
        <v>85</v>
      </c>
      <c r="D8" s="12" t="s">
        <v>86</v>
      </c>
      <c r="I8" s="3"/>
    </row>
    <row r="9" spans="1:9" x14ac:dyDescent="0.25">
      <c r="A9" s="154"/>
      <c r="B9" s="4" t="s">
        <v>87</v>
      </c>
      <c r="C9" s="11" t="s">
        <v>88</v>
      </c>
      <c r="D9" s="12" t="s">
        <v>89</v>
      </c>
      <c r="I9" s="3"/>
    </row>
    <row r="10" spans="1:9" ht="45" x14ac:dyDescent="0.25">
      <c r="A10" s="154"/>
      <c r="B10" s="4" t="s">
        <v>90</v>
      </c>
      <c r="C10" s="11" t="s">
        <v>91</v>
      </c>
      <c r="I10" s="3"/>
    </row>
    <row r="11" spans="1:9" x14ac:dyDescent="0.25">
      <c r="A11" s="2"/>
      <c r="I11" s="3"/>
    </row>
    <row r="12" spans="1:9" x14ac:dyDescent="0.25">
      <c r="A12" s="154" t="s">
        <v>92</v>
      </c>
      <c r="B12" s="144" t="s">
        <v>93</v>
      </c>
      <c r="C12" s="145" t="s">
        <v>94</v>
      </c>
      <c r="D12" s="145"/>
      <c r="E12" s="145"/>
      <c r="G12" s="145" t="s">
        <v>95</v>
      </c>
      <c r="H12" s="145"/>
      <c r="I12" s="145"/>
    </row>
    <row r="13" spans="1:9" x14ac:dyDescent="0.25">
      <c r="A13" s="154"/>
      <c r="B13" s="144"/>
      <c r="C13" s="4" t="s">
        <v>96</v>
      </c>
      <c r="D13" s="4" t="s">
        <v>97</v>
      </c>
      <c r="E13" s="4" t="s">
        <v>98</v>
      </c>
      <c r="G13" s="4" t="s">
        <v>96</v>
      </c>
      <c r="H13" s="4" t="s">
        <v>97</v>
      </c>
      <c r="I13" s="4" t="s">
        <v>98</v>
      </c>
    </row>
    <row r="14" spans="1:9" x14ac:dyDescent="0.25">
      <c r="A14" s="154"/>
      <c r="B14" s="11" t="s">
        <v>99</v>
      </c>
      <c r="C14" s="5">
        <v>880</v>
      </c>
      <c r="D14" s="5">
        <v>135</v>
      </c>
      <c r="E14" s="5">
        <v>105.336</v>
      </c>
      <c r="G14" s="5">
        <v>880</v>
      </c>
      <c r="H14" s="5">
        <v>-155</v>
      </c>
      <c r="I14" s="5">
        <v>100.27352999999999</v>
      </c>
    </row>
    <row r="15" spans="1:9" x14ac:dyDescent="0.25">
      <c r="A15" s="154"/>
      <c r="B15" s="11" t="s">
        <v>100</v>
      </c>
      <c r="C15" s="5">
        <v>645</v>
      </c>
      <c r="D15" s="5">
        <v>140</v>
      </c>
      <c r="E15" s="5">
        <v>105.292</v>
      </c>
      <c r="G15" s="5">
        <v>645</v>
      </c>
      <c r="H15" s="5">
        <v>-160</v>
      </c>
      <c r="I15" s="5">
        <v>103.78728</v>
      </c>
    </row>
    <row r="16" spans="1:9" x14ac:dyDescent="0.25">
      <c r="A16" s="154"/>
      <c r="B16" s="11" t="s">
        <v>101</v>
      </c>
      <c r="C16" s="5">
        <v>960</v>
      </c>
      <c r="D16" s="5">
        <v>246</v>
      </c>
      <c r="E16" s="5">
        <v>281.59399999999999</v>
      </c>
      <c r="G16" s="5">
        <v>960</v>
      </c>
      <c r="H16" s="5">
        <v>-246</v>
      </c>
      <c r="I16" s="5">
        <v>271.34463</v>
      </c>
    </row>
    <row r="17" spans="1:10" x14ac:dyDescent="0.25">
      <c r="A17" s="154"/>
      <c r="B17" s="11" t="s">
        <v>102</v>
      </c>
      <c r="C17" s="5">
        <v>685</v>
      </c>
      <c r="D17" s="5">
        <v>254</v>
      </c>
      <c r="E17" s="5">
        <v>252.70700000000002</v>
      </c>
      <c r="G17" s="5">
        <v>665</v>
      </c>
      <c r="H17" s="5">
        <v>-254</v>
      </c>
      <c r="I17" s="5">
        <v>245.32517000000001</v>
      </c>
    </row>
    <row r="18" spans="1:10" x14ac:dyDescent="0.25">
      <c r="A18" s="154"/>
      <c r="B18" s="11" t="s">
        <v>103</v>
      </c>
      <c r="C18" s="5">
        <v>817.649</v>
      </c>
      <c r="D18" s="5">
        <v>577.02200000000005</v>
      </c>
      <c r="E18" s="5">
        <v>130</v>
      </c>
      <c r="G18" s="5">
        <v>813.08241999999996</v>
      </c>
      <c r="H18" s="5">
        <v>-616.29585999999995</v>
      </c>
      <c r="I18" s="5">
        <v>130</v>
      </c>
    </row>
    <row r="19" spans="1:10" x14ac:dyDescent="0.25">
      <c r="A19" s="154"/>
      <c r="B19" s="11" t="s">
        <v>104</v>
      </c>
      <c r="C19" s="5">
        <v>804.80499999999995</v>
      </c>
      <c r="D19" s="5">
        <v>554.95000000000005</v>
      </c>
      <c r="E19" s="5">
        <v>340</v>
      </c>
      <c r="G19" s="5">
        <v>792.86171999999999</v>
      </c>
      <c r="H19" s="5">
        <v>-586.78228999999999</v>
      </c>
      <c r="I19" s="5">
        <v>340</v>
      </c>
    </row>
    <row r="20" spans="1:10" x14ac:dyDescent="0.25">
      <c r="A20" s="154"/>
      <c r="B20" s="11" t="s">
        <v>105</v>
      </c>
      <c r="C20" s="5">
        <v>870</v>
      </c>
      <c r="D20" s="5">
        <v>192.08750000000001</v>
      </c>
      <c r="E20" s="5">
        <v>170</v>
      </c>
      <c r="G20" s="5">
        <v>870</v>
      </c>
      <c r="H20" s="5">
        <v>-192.08750000000001</v>
      </c>
      <c r="I20" s="5">
        <v>170</v>
      </c>
    </row>
    <row r="21" spans="1:10" x14ac:dyDescent="0.25">
      <c r="A21" s="154"/>
      <c r="B21" s="11" t="s">
        <v>106</v>
      </c>
      <c r="C21" s="5">
        <v>891.34199999999998</v>
      </c>
      <c r="D21" s="5">
        <v>578.45899999999995</v>
      </c>
      <c r="E21" s="5">
        <v>170</v>
      </c>
      <c r="G21" s="5">
        <v>880.51769999999999</v>
      </c>
      <c r="H21" s="5">
        <v>-642.01648999999998</v>
      </c>
      <c r="I21" s="5">
        <v>170</v>
      </c>
    </row>
    <row r="22" spans="1:10" x14ac:dyDescent="0.25">
      <c r="A22" s="2"/>
      <c r="I22" s="3"/>
    </row>
    <row r="23" spans="1:10" x14ac:dyDescent="0.25">
      <c r="A23" s="141" t="s">
        <v>107</v>
      </c>
      <c r="B23" s="144" t="s">
        <v>93</v>
      </c>
      <c r="C23" s="145" t="s">
        <v>94</v>
      </c>
      <c r="D23" s="145"/>
      <c r="E23" s="145"/>
      <c r="G23" s="145" t="s">
        <v>95</v>
      </c>
      <c r="H23" s="145"/>
      <c r="I23" s="145"/>
    </row>
    <row r="24" spans="1:10" x14ac:dyDescent="0.25">
      <c r="A24" s="142"/>
      <c r="B24" s="144"/>
      <c r="C24" s="4" t="s">
        <v>96</v>
      </c>
      <c r="D24" s="4" t="s">
        <v>97</v>
      </c>
      <c r="E24" s="4" t="s">
        <v>98</v>
      </c>
      <c r="G24" s="4" t="s">
        <v>96</v>
      </c>
      <c r="H24" s="4" t="s">
        <v>97</v>
      </c>
      <c r="I24" s="4" t="s">
        <v>98</v>
      </c>
    </row>
    <row r="25" spans="1:10" x14ac:dyDescent="0.25">
      <c r="A25" s="142"/>
      <c r="B25" s="11" t="s">
        <v>360</v>
      </c>
      <c r="C25" s="5">
        <v>1858.873</v>
      </c>
      <c r="D25" s="5">
        <v>574.11599999999999</v>
      </c>
      <c r="E25" s="5">
        <v>352.55399999999997</v>
      </c>
      <c r="G25" s="5">
        <v>1858.873</v>
      </c>
      <c r="H25" s="5">
        <v>-574.11599999999999</v>
      </c>
      <c r="I25" s="5">
        <v>352.55399999999997</v>
      </c>
    </row>
    <row r="26" spans="1:10" x14ac:dyDescent="0.25">
      <c r="A26" s="142"/>
      <c r="B26" s="11" t="s">
        <v>108</v>
      </c>
      <c r="C26" s="5">
        <v>1800</v>
      </c>
      <c r="D26" s="5">
        <v>230</v>
      </c>
      <c r="E26" s="5">
        <v>550</v>
      </c>
      <c r="G26" s="5">
        <v>1800</v>
      </c>
      <c r="H26" s="5">
        <v>-230</v>
      </c>
      <c r="I26" s="5">
        <v>550</v>
      </c>
    </row>
    <row r="27" spans="1:10" x14ac:dyDescent="0.25">
      <c r="A27" s="142"/>
      <c r="B27" s="11" t="s">
        <v>109</v>
      </c>
      <c r="C27" s="5">
        <v>835</v>
      </c>
      <c r="D27" s="5">
        <v>213.24799999999999</v>
      </c>
      <c r="E27" s="5">
        <v>567.17499999999995</v>
      </c>
      <c r="G27" s="5">
        <v>835</v>
      </c>
      <c r="H27" s="5">
        <v>-213.67471</v>
      </c>
      <c r="I27" s="5">
        <v>570.09631999999999</v>
      </c>
      <c r="J27" s="140"/>
    </row>
    <row r="28" spans="1:10" x14ac:dyDescent="0.25">
      <c r="A28" s="142"/>
      <c r="B28" s="11" t="s">
        <v>110</v>
      </c>
      <c r="C28" s="5">
        <v>835</v>
      </c>
      <c r="D28" s="5">
        <v>203</v>
      </c>
      <c r="E28" s="5">
        <v>550</v>
      </c>
      <c r="G28" s="5">
        <v>835</v>
      </c>
      <c r="H28" s="5">
        <v>-203.96411000000001</v>
      </c>
      <c r="I28" s="5">
        <v>552.61192000000005</v>
      </c>
      <c r="J28" s="140"/>
    </row>
    <row r="29" spans="1:10" x14ac:dyDescent="0.25">
      <c r="A29" s="142"/>
      <c r="B29" s="11" t="s">
        <v>111</v>
      </c>
      <c r="C29" s="5">
        <v>880.32899999999995</v>
      </c>
      <c r="D29" s="5">
        <v>224.172</v>
      </c>
      <c r="E29" s="5">
        <v>537.36699999999996</v>
      </c>
      <c r="G29" s="5">
        <v>880.01283000000001</v>
      </c>
      <c r="H29" s="5">
        <v>-224.92435</v>
      </c>
      <c r="I29" s="5">
        <v>540.97089000000005</v>
      </c>
      <c r="J29" s="140"/>
    </row>
    <row r="30" spans="1:10" x14ac:dyDescent="0.25">
      <c r="A30" s="143"/>
      <c r="B30" s="11" t="s">
        <v>112</v>
      </c>
      <c r="C30" s="5">
        <v>850.51</v>
      </c>
      <c r="D30" s="5">
        <v>139.547</v>
      </c>
      <c r="E30" s="5">
        <v>587.86099999999999</v>
      </c>
      <c r="G30" s="5">
        <v>848.59594000000004</v>
      </c>
      <c r="H30" s="5">
        <v>-138.81733</v>
      </c>
      <c r="I30" s="5">
        <v>588.79354000000001</v>
      </c>
      <c r="J30" s="140"/>
    </row>
    <row r="31" spans="1:10" x14ac:dyDescent="0.25">
      <c r="A31" s="2"/>
      <c r="I31" s="3"/>
    </row>
    <row r="32" spans="1:10" x14ac:dyDescent="0.25">
      <c r="A32" s="42" t="s">
        <v>113</v>
      </c>
      <c r="B32" s="11" t="s">
        <v>114</v>
      </c>
      <c r="C32" s="156">
        <v>0</v>
      </c>
      <c r="D32" s="156"/>
      <c r="E32" s="156"/>
      <c r="F32" s="156"/>
      <c r="G32" s="156"/>
      <c r="H32" s="156"/>
      <c r="I32" s="156"/>
    </row>
    <row r="33" spans="1:9" x14ac:dyDescent="0.25">
      <c r="A33" s="2"/>
      <c r="I33" s="3"/>
    </row>
    <row r="34" spans="1:9" x14ac:dyDescent="0.25">
      <c r="A34" s="154" t="s">
        <v>115</v>
      </c>
      <c r="B34" s="13" t="s">
        <v>93</v>
      </c>
      <c r="C34" s="145" t="s">
        <v>94</v>
      </c>
      <c r="D34" s="145"/>
      <c r="E34" s="145"/>
      <c r="G34" s="145" t="s">
        <v>95</v>
      </c>
      <c r="H34" s="145"/>
      <c r="I34" s="145"/>
    </row>
    <row r="35" spans="1:9" x14ac:dyDescent="0.25">
      <c r="A35" s="154"/>
      <c r="B35" s="11" t="s">
        <v>116</v>
      </c>
      <c r="C35" s="156">
        <v>610</v>
      </c>
      <c r="D35" s="156"/>
      <c r="E35" s="156"/>
      <c r="G35" s="156">
        <v>610</v>
      </c>
      <c r="H35" s="156"/>
      <c r="I35" s="156"/>
    </row>
    <row r="36" spans="1:9" ht="30" x14ac:dyDescent="0.25">
      <c r="A36" s="154"/>
      <c r="B36" s="11" t="s">
        <v>117</v>
      </c>
      <c r="C36" s="156">
        <v>1862.9</v>
      </c>
      <c r="D36" s="156"/>
      <c r="E36" s="156"/>
      <c r="G36" s="156">
        <v>1862.9</v>
      </c>
      <c r="H36" s="156"/>
      <c r="I36" s="156"/>
    </row>
    <row r="37" spans="1:9" x14ac:dyDescent="0.25">
      <c r="A37" s="154"/>
      <c r="B37" s="11" t="s">
        <v>118</v>
      </c>
      <c r="C37" s="156">
        <v>0</v>
      </c>
      <c r="D37" s="156"/>
      <c r="E37" s="156"/>
      <c r="G37" s="156">
        <v>0</v>
      </c>
      <c r="H37" s="156"/>
      <c r="I37" s="156"/>
    </row>
    <row r="38" spans="1:9" x14ac:dyDescent="0.25">
      <c r="A38" s="154"/>
      <c r="B38" s="11" t="s">
        <v>119</v>
      </c>
      <c r="C38" s="156">
        <v>0</v>
      </c>
      <c r="D38" s="156"/>
      <c r="E38" s="156"/>
      <c r="G38" s="156">
        <v>0</v>
      </c>
      <c r="H38" s="156"/>
      <c r="I38" s="156"/>
    </row>
    <row r="39" spans="1:9" x14ac:dyDescent="0.25">
      <c r="A39" s="154"/>
      <c r="B39" s="11" t="s">
        <v>120</v>
      </c>
      <c r="C39" s="156">
        <v>0</v>
      </c>
      <c r="D39" s="156"/>
      <c r="E39" s="156"/>
      <c r="G39" s="156">
        <v>0</v>
      </c>
      <c r="H39" s="156"/>
      <c r="I39" s="156"/>
    </row>
    <row r="40" spans="1:9" x14ac:dyDescent="0.25">
      <c r="A40" s="154"/>
      <c r="B40" s="11" t="s">
        <v>121</v>
      </c>
      <c r="C40" s="156">
        <v>0</v>
      </c>
      <c r="D40" s="156"/>
      <c r="E40" s="156"/>
      <c r="G40" s="156">
        <v>0</v>
      </c>
      <c r="H40" s="156"/>
      <c r="I40" s="156"/>
    </row>
    <row r="41" spans="1:9" x14ac:dyDescent="0.25">
      <c r="A41" s="154"/>
      <c r="B41" s="11" t="s">
        <v>122</v>
      </c>
      <c r="C41" s="156">
        <v>330.2</v>
      </c>
      <c r="D41" s="156"/>
      <c r="E41" s="156"/>
      <c r="G41" s="156">
        <v>330.2</v>
      </c>
      <c r="H41" s="156"/>
      <c r="I41" s="156"/>
    </row>
    <row r="42" spans="1:9" x14ac:dyDescent="0.25">
      <c r="A42" s="154"/>
      <c r="B42" s="11" t="s">
        <v>123</v>
      </c>
      <c r="C42" s="156">
        <v>508</v>
      </c>
      <c r="D42" s="156"/>
      <c r="E42" s="156"/>
      <c r="G42" s="156">
        <v>508</v>
      </c>
      <c r="H42" s="156"/>
      <c r="I42" s="156"/>
    </row>
    <row r="43" spans="1:9" x14ac:dyDescent="0.25">
      <c r="A43" s="154"/>
      <c r="B43" s="11" t="s">
        <v>124</v>
      </c>
      <c r="C43" s="156">
        <v>177.8</v>
      </c>
      <c r="D43" s="156"/>
      <c r="E43" s="156"/>
      <c r="G43" s="156">
        <v>177.8</v>
      </c>
      <c r="H43" s="156"/>
      <c r="I43" s="156"/>
    </row>
    <row r="44" spans="1:9" x14ac:dyDescent="0.25">
      <c r="A44" s="2"/>
      <c r="I44" s="3"/>
    </row>
    <row r="45" spans="1:9" x14ac:dyDescent="0.25">
      <c r="A45" s="154" t="s">
        <v>125</v>
      </c>
      <c r="B45" s="144" t="s">
        <v>126</v>
      </c>
      <c r="C45" s="144"/>
      <c r="D45" s="144" t="s">
        <v>127</v>
      </c>
      <c r="E45" s="144"/>
      <c r="I45" s="3"/>
    </row>
    <row r="46" spans="1:9" x14ac:dyDescent="0.25">
      <c r="A46" s="154"/>
      <c r="B46" s="11" t="s">
        <v>107</v>
      </c>
      <c r="C46" s="11" t="s">
        <v>128</v>
      </c>
      <c r="D46" s="11" t="s">
        <v>92</v>
      </c>
      <c r="E46" s="11" t="s">
        <v>129</v>
      </c>
      <c r="F46" s="1"/>
      <c r="G46" s="1"/>
      <c r="H46" s="1"/>
      <c r="I46" s="6"/>
    </row>
  </sheetData>
  <mergeCells count="42">
    <mergeCell ref="G40:I40"/>
    <mergeCell ref="A45:A46"/>
    <mergeCell ref="B45:C45"/>
    <mergeCell ref="D45:E45"/>
    <mergeCell ref="C41:E41"/>
    <mergeCell ref="G41:I41"/>
    <mergeCell ref="C42:E42"/>
    <mergeCell ref="G42:I42"/>
    <mergeCell ref="C43:E43"/>
    <mergeCell ref="G43:I43"/>
    <mergeCell ref="G12:I12"/>
    <mergeCell ref="C32:I32"/>
    <mergeCell ref="A34:A43"/>
    <mergeCell ref="C34:E34"/>
    <mergeCell ref="G34:I34"/>
    <mergeCell ref="C35:E35"/>
    <mergeCell ref="G35:I35"/>
    <mergeCell ref="C36:E36"/>
    <mergeCell ref="G36:I36"/>
    <mergeCell ref="C37:E37"/>
    <mergeCell ref="G37:I37"/>
    <mergeCell ref="C38:E38"/>
    <mergeCell ref="G38:I38"/>
    <mergeCell ref="C39:E39"/>
    <mergeCell ref="G39:I39"/>
    <mergeCell ref="C40:E40"/>
    <mergeCell ref="A23:A30"/>
    <mergeCell ref="B23:B24"/>
    <mergeCell ref="C23:E23"/>
    <mergeCell ref="G23:I23"/>
    <mergeCell ref="A1:A2"/>
    <mergeCell ref="E2:F2"/>
    <mergeCell ref="E3:F3"/>
    <mergeCell ref="H2:I2"/>
    <mergeCell ref="H3:I3"/>
    <mergeCell ref="A4:A6"/>
    <mergeCell ref="B4:I6"/>
    <mergeCell ref="C1:I1"/>
    <mergeCell ref="A8:A10"/>
    <mergeCell ref="A12:A21"/>
    <mergeCell ref="B12:B13"/>
    <mergeCell ref="C12: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1CB38-AE03-4466-90B8-753869AA58A3}">
  <dimension ref="A1:M45"/>
  <sheetViews>
    <sheetView showGridLines="0" topLeftCell="A11" workbookViewId="0">
      <selection activeCell="P30" sqref="P30"/>
    </sheetView>
  </sheetViews>
  <sheetFormatPr defaultRowHeight="15" x14ac:dyDescent="0.25"/>
  <cols>
    <col min="1" max="1" width="15.5703125" customWidth="1"/>
    <col min="2" max="9" width="17.42578125" customWidth="1"/>
  </cols>
  <sheetData>
    <row r="1" spans="1:9" x14ac:dyDescent="0.25">
      <c r="A1" s="146"/>
      <c r="B1" s="7" t="s">
        <v>71</v>
      </c>
      <c r="C1" s="155" t="s">
        <v>130</v>
      </c>
      <c r="D1" s="155"/>
      <c r="E1" s="155"/>
      <c r="F1" s="155"/>
      <c r="G1" s="155"/>
      <c r="H1" s="155"/>
      <c r="I1" s="155"/>
    </row>
    <row r="2" spans="1:9" x14ac:dyDescent="0.25">
      <c r="A2" s="147"/>
      <c r="B2" s="7" t="s">
        <v>73</v>
      </c>
      <c r="C2" s="8" t="s">
        <v>74</v>
      </c>
      <c r="D2" s="9" t="s">
        <v>75</v>
      </c>
      <c r="E2" s="148" t="s">
        <v>76</v>
      </c>
      <c r="F2" s="148"/>
      <c r="G2" s="9" t="s">
        <v>77</v>
      </c>
      <c r="H2" s="150">
        <v>45540.87804398148</v>
      </c>
      <c r="I2" s="151"/>
    </row>
    <row r="3" spans="1:9" x14ac:dyDescent="0.25">
      <c r="A3" s="2"/>
      <c r="B3" s="7" t="s">
        <v>78</v>
      </c>
      <c r="C3" s="8" t="s">
        <v>79</v>
      </c>
      <c r="D3" s="10" t="s">
        <v>80</v>
      </c>
      <c r="E3" s="149" t="s">
        <v>76</v>
      </c>
      <c r="F3" s="149"/>
      <c r="G3" s="10" t="s">
        <v>81</v>
      </c>
      <c r="H3" s="152">
        <v>45555.951585648145</v>
      </c>
      <c r="I3" s="153"/>
    </row>
    <row r="4" spans="1:9" x14ac:dyDescent="0.25">
      <c r="A4" s="154" t="s">
        <v>82</v>
      </c>
      <c r="B4" s="155"/>
      <c r="C4" s="155"/>
      <c r="D4" s="155"/>
      <c r="E4" s="155"/>
      <c r="F4" s="155"/>
      <c r="G4" s="155"/>
      <c r="H4" s="155"/>
      <c r="I4" s="155"/>
    </row>
    <row r="5" spans="1:9" x14ac:dyDescent="0.25">
      <c r="A5" s="154"/>
      <c r="B5" s="155"/>
      <c r="C5" s="155"/>
      <c r="D5" s="155"/>
      <c r="E5" s="155"/>
      <c r="F5" s="155"/>
      <c r="G5" s="155"/>
      <c r="H5" s="155"/>
      <c r="I5" s="155"/>
    </row>
    <row r="6" spans="1:9" x14ac:dyDescent="0.25">
      <c r="A6" s="154"/>
      <c r="B6" s="155"/>
      <c r="C6" s="155"/>
      <c r="D6" s="155"/>
      <c r="E6" s="155"/>
      <c r="F6" s="155"/>
      <c r="G6" s="155"/>
      <c r="H6" s="155"/>
      <c r="I6" s="155"/>
    </row>
    <row r="7" spans="1:9" x14ac:dyDescent="0.25">
      <c r="A7" s="2"/>
      <c r="I7" s="3"/>
    </row>
    <row r="8" spans="1:9" x14ac:dyDescent="0.25">
      <c r="A8" s="154" t="s">
        <v>83</v>
      </c>
      <c r="B8" s="4" t="s">
        <v>84</v>
      </c>
      <c r="C8" s="11" t="s">
        <v>85</v>
      </c>
      <c r="D8" s="12" t="s">
        <v>86</v>
      </c>
      <c r="I8" s="3"/>
    </row>
    <row r="9" spans="1:9" x14ac:dyDescent="0.25">
      <c r="A9" s="154"/>
      <c r="B9" s="4" t="s">
        <v>87</v>
      </c>
      <c r="C9" s="11" t="s">
        <v>88</v>
      </c>
      <c r="D9" s="12" t="s">
        <v>89</v>
      </c>
      <c r="I9" s="3"/>
    </row>
    <row r="10" spans="1:9" ht="45" x14ac:dyDescent="0.25">
      <c r="A10" s="154"/>
      <c r="B10" s="4" t="s">
        <v>90</v>
      </c>
      <c r="C10" s="11" t="s">
        <v>91</v>
      </c>
      <c r="I10" s="3"/>
    </row>
    <row r="11" spans="1:9" x14ac:dyDescent="0.25">
      <c r="A11" s="2"/>
      <c r="I11" s="3"/>
    </row>
    <row r="12" spans="1:9" x14ac:dyDescent="0.25">
      <c r="A12" s="154" t="s">
        <v>92</v>
      </c>
      <c r="B12" s="157" t="s">
        <v>93</v>
      </c>
      <c r="C12" s="159" t="s">
        <v>94</v>
      </c>
      <c r="D12" s="160"/>
      <c r="E12" s="161"/>
      <c r="G12" s="159" t="s">
        <v>95</v>
      </c>
      <c r="H12" s="160"/>
      <c r="I12" s="161"/>
    </row>
    <row r="13" spans="1:9" x14ac:dyDescent="0.25">
      <c r="A13" s="154"/>
      <c r="B13" s="158"/>
      <c r="C13" s="4" t="s">
        <v>96</v>
      </c>
      <c r="D13" s="4" t="s">
        <v>97</v>
      </c>
      <c r="E13" s="4" t="s">
        <v>98</v>
      </c>
      <c r="G13" s="4" t="s">
        <v>96</v>
      </c>
      <c r="H13" s="4" t="s">
        <v>97</v>
      </c>
      <c r="I13" s="4" t="s">
        <v>98</v>
      </c>
    </row>
    <row r="14" spans="1:9" x14ac:dyDescent="0.25">
      <c r="A14" s="154"/>
      <c r="B14" s="11" t="s">
        <v>99</v>
      </c>
      <c r="C14" s="5">
        <v>491.54804195081402</v>
      </c>
      <c r="D14" s="5">
        <v>307.89516650151103</v>
      </c>
      <c r="E14" s="5">
        <v>141.21810273194399</v>
      </c>
      <c r="G14" s="5">
        <v>491.54804195081402</v>
      </c>
      <c r="H14" s="5">
        <v>-307.89516650151103</v>
      </c>
      <c r="I14" s="5">
        <v>141.21810273194399</v>
      </c>
    </row>
    <row r="15" spans="1:9" x14ac:dyDescent="0.25">
      <c r="A15" s="154"/>
      <c r="B15" s="11" t="s">
        <v>100</v>
      </c>
      <c r="C15" s="5">
        <v>311.33333233376601</v>
      </c>
      <c r="D15" s="5">
        <v>302</v>
      </c>
      <c r="E15" s="5">
        <v>124.799595446059</v>
      </c>
      <c r="G15" s="5">
        <v>311.33333233376601</v>
      </c>
      <c r="H15" s="5">
        <v>-302</v>
      </c>
      <c r="I15" s="5">
        <v>124.799595446059</v>
      </c>
    </row>
    <row r="16" spans="1:9" x14ac:dyDescent="0.25">
      <c r="A16" s="154"/>
      <c r="B16" s="11" t="s">
        <v>101</v>
      </c>
      <c r="C16" s="5">
        <v>402.14499999999998</v>
      </c>
      <c r="D16" s="5">
        <v>312.13611223847499</v>
      </c>
      <c r="E16" s="5">
        <v>263.63177748573099</v>
      </c>
      <c r="G16" s="5">
        <v>402.14499999999998</v>
      </c>
      <c r="H16" s="5">
        <v>-312.13611223847499</v>
      </c>
      <c r="I16" s="5">
        <v>263.63177748573099</v>
      </c>
    </row>
    <row r="17" spans="1:13" x14ac:dyDescent="0.25">
      <c r="A17" s="154"/>
      <c r="B17" s="11" t="s">
        <v>102</v>
      </c>
      <c r="C17" s="5">
        <v>259.36559197861698</v>
      </c>
      <c r="D17" s="5">
        <v>309.98029738998599</v>
      </c>
      <c r="E17" s="5">
        <v>260.648679407396</v>
      </c>
      <c r="G17" s="5">
        <v>259.36559197861698</v>
      </c>
      <c r="H17" s="5">
        <v>-309.98029738998599</v>
      </c>
      <c r="I17" s="5">
        <v>260.648679407396</v>
      </c>
    </row>
    <row r="18" spans="1:13" x14ac:dyDescent="0.25">
      <c r="A18" s="154"/>
      <c r="B18" s="11" t="s">
        <v>103</v>
      </c>
      <c r="C18" s="5">
        <v>372.84745987628202</v>
      </c>
      <c r="D18" s="5">
        <v>573.08183100674796</v>
      </c>
      <c r="E18" s="5">
        <v>149.41581340462699</v>
      </c>
      <c r="G18" s="5">
        <v>372.84745987628202</v>
      </c>
      <c r="H18" s="5">
        <v>-573.08183100674796</v>
      </c>
      <c r="I18" s="5">
        <v>149.41581340462699</v>
      </c>
    </row>
    <row r="19" spans="1:13" x14ac:dyDescent="0.25">
      <c r="A19" s="154"/>
      <c r="B19" s="11" t="s">
        <v>104</v>
      </c>
      <c r="C19" s="5">
        <v>355.83</v>
      </c>
      <c r="D19" s="5">
        <v>505.91000000000008</v>
      </c>
      <c r="E19" s="5">
        <v>333.37380835748201</v>
      </c>
      <c r="G19" s="5">
        <v>355.83</v>
      </c>
      <c r="H19" s="5">
        <v>-505.91000000000008</v>
      </c>
      <c r="I19" s="5">
        <v>333.37380835748201</v>
      </c>
    </row>
    <row r="20" spans="1:13" x14ac:dyDescent="0.25">
      <c r="A20" s="154"/>
      <c r="B20" s="11" t="s">
        <v>105</v>
      </c>
      <c r="C20" s="5">
        <v>181.15600000000001</v>
      </c>
      <c r="D20" s="5">
        <v>306.065</v>
      </c>
      <c r="E20" s="5">
        <v>191</v>
      </c>
      <c r="G20" s="5">
        <v>181.155770426114</v>
      </c>
      <c r="H20" s="5">
        <v>-306.064664747287</v>
      </c>
      <c r="I20" s="5">
        <v>235.86663779435</v>
      </c>
    </row>
    <row r="21" spans="1:13" x14ac:dyDescent="0.25">
      <c r="A21" s="154"/>
      <c r="B21" s="11" t="s">
        <v>106</v>
      </c>
      <c r="C21" s="53">
        <v>261.89800000000002</v>
      </c>
      <c r="D21" s="53">
        <v>531.78599999999994</v>
      </c>
      <c r="E21" s="53">
        <v>254</v>
      </c>
      <c r="G21" s="53">
        <v>261.89834221293899</v>
      </c>
      <c r="H21" s="53">
        <v>-531.78594065121899</v>
      </c>
      <c r="I21" s="53">
        <v>310.43852356246498</v>
      </c>
    </row>
    <row r="22" spans="1:13" ht="30" x14ac:dyDescent="0.25">
      <c r="A22" s="154"/>
      <c r="B22" s="11" t="s">
        <v>131</v>
      </c>
      <c r="C22" s="162" t="s">
        <v>132</v>
      </c>
      <c r="D22" s="162"/>
      <c r="E22" s="162"/>
      <c r="F22" s="162"/>
      <c r="G22" s="162"/>
      <c r="H22" s="162"/>
      <c r="I22" s="162"/>
    </row>
    <row r="23" spans="1:13" x14ac:dyDescent="0.25">
      <c r="A23" s="2"/>
      <c r="I23" s="3"/>
    </row>
    <row r="24" spans="1:13" x14ac:dyDescent="0.25">
      <c r="A24" s="154" t="s">
        <v>107</v>
      </c>
      <c r="B24" s="157" t="s">
        <v>93</v>
      </c>
      <c r="C24" s="159" t="s">
        <v>94</v>
      </c>
      <c r="D24" s="160"/>
      <c r="E24" s="161"/>
      <c r="G24" s="159" t="s">
        <v>95</v>
      </c>
      <c r="H24" s="160"/>
      <c r="I24" s="161"/>
    </row>
    <row r="25" spans="1:13" x14ac:dyDescent="0.25">
      <c r="A25" s="154"/>
      <c r="B25" s="158"/>
      <c r="C25" s="4" t="s">
        <v>96</v>
      </c>
      <c r="D25" s="4" t="s">
        <v>97</v>
      </c>
      <c r="E25" s="4" t="s">
        <v>98</v>
      </c>
      <c r="G25" s="4" t="s">
        <v>96</v>
      </c>
      <c r="H25" s="4" t="s">
        <v>97</v>
      </c>
      <c r="I25" s="4" t="s">
        <v>98</v>
      </c>
    </row>
    <row r="26" spans="1:13" x14ac:dyDescent="0.25">
      <c r="A26" s="154"/>
      <c r="B26" s="11" t="s">
        <v>360</v>
      </c>
      <c r="C26" s="5">
        <v>355.83</v>
      </c>
      <c r="D26" s="5">
        <v>505.91000000000008</v>
      </c>
      <c r="E26" s="5">
        <v>333.3</v>
      </c>
      <c r="G26" s="5">
        <v>355.83</v>
      </c>
      <c r="H26" s="5">
        <v>-505.91000000000008</v>
      </c>
      <c r="I26" s="5">
        <v>333.3</v>
      </c>
    </row>
    <row r="27" spans="1:13" x14ac:dyDescent="0.25">
      <c r="A27" s="154"/>
      <c r="B27" s="11" t="s">
        <v>108</v>
      </c>
      <c r="C27" s="5">
        <v>333.87200000000001</v>
      </c>
      <c r="D27" s="5">
        <v>260</v>
      </c>
      <c r="E27" s="5">
        <v>500</v>
      </c>
      <c r="G27" s="5">
        <v>333.87200000000001</v>
      </c>
      <c r="H27" s="5">
        <v>-260</v>
      </c>
      <c r="I27" s="5">
        <v>500</v>
      </c>
    </row>
    <row r="28" spans="1:13" x14ac:dyDescent="0.25">
      <c r="A28" s="154"/>
      <c r="B28" s="11" t="s">
        <v>109</v>
      </c>
      <c r="C28" s="5">
        <v>-695.21189000000004</v>
      </c>
      <c r="D28" s="5">
        <v>265.83524</v>
      </c>
      <c r="E28" s="5">
        <v>526.80930000000001</v>
      </c>
      <c r="G28" s="5">
        <v>-695.21189000000004</v>
      </c>
      <c r="H28" s="5">
        <v>-265.83524</v>
      </c>
      <c r="I28" s="5">
        <v>526.80930000000001</v>
      </c>
      <c r="J28" s="140"/>
    </row>
    <row r="29" spans="1:13" x14ac:dyDescent="0.25">
      <c r="A29" s="154"/>
      <c r="B29" s="11" t="s">
        <v>110</v>
      </c>
      <c r="C29" s="5">
        <v>-695</v>
      </c>
      <c r="D29" s="5">
        <v>255</v>
      </c>
      <c r="E29" s="5">
        <v>510</v>
      </c>
      <c r="G29" s="5">
        <v>-695</v>
      </c>
      <c r="H29" s="5">
        <v>-255</v>
      </c>
      <c r="I29" s="5">
        <v>510</v>
      </c>
      <c r="J29" s="140"/>
    </row>
    <row r="30" spans="1:13" x14ac:dyDescent="0.25">
      <c r="A30" s="154"/>
      <c r="B30" s="11" t="s">
        <v>111</v>
      </c>
      <c r="C30" s="5">
        <v>-752.31299999999999</v>
      </c>
      <c r="D30" s="5">
        <v>276.65100000000001</v>
      </c>
      <c r="E30" s="5">
        <v>495.32100000000003</v>
      </c>
      <c r="G30" s="5">
        <v>-755.13319999999999</v>
      </c>
      <c r="H30" s="5">
        <v>-277.71615000000003</v>
      </c>
      <c r="I30" s="5">
        <v>494.59919000000002</v>
      </c>
      <c r="J30" s="140"/>
      <c r="K30">
        <f>(C26-C30)/(SQRT(SUM(($C$30-$C$26)^2,($D$30-$D$26)^2,($E$30-$E$26)^2)))</f>
        <v>0.96937691527889236</v>
      </c>
      <c r="L30">
        <f t="shared" ref="L30:M30" si="0">(D26-D30)/(SQRT(SUM(($C$30-$C$26)^2,($D$30-$D$26)^2,($E$30-$E$26)^2)))</f>
        <v>0.2005502739447198</v>
      </c>
      <c r="M30">
        <f t="shared" si="0"/>
        <v>-0.141732084388388</v>
      </c>
    </row>
    <row r="31" spans="1:13" x14ac:dyDescent="0.25">
      <c r="A31" s="154"/>
      <c r="B31" s="11" t="s">
        <v>112</v>
      </c>
      <c r="C31" s="5">
        <v>-698.64889000000005</v>
      </c>
      <c r="D31" s="5">
        <v>175.18932000000001</v>
      </c>
      <c r="E31" s="5">
        <v>561.39981</v>
      </c>
      <c r="G31" s="5">
        <v>-698.64889000000005</v>
      </c>
      <c r="H31" s="5">
        <v>-175.18932000000001</v>
      </c>
      <c r="I31" s="5">
        <v>561.39981</v>
      </c>
      <c r="J31" s="140"/>
      <c r="K31" s="35">
        <f>K30*'Link Calcs'!$K$14</f>
        <v>-939.25866110681204</v>
      </c>
      <c r="L31" s="35">
        <f>L30*'Link Calcs'!$K$14</f>
        <v>-194.31923622374248</v>
      </c>
      <c r="M31" s="35">
        <f>M30*'Link Calcs'!$K$14</f>
        <v>137.32851042797438</v>
      </c>
    </row>
    <row r="32" spans="1:13" x14ac:dyDescent="0.25">
      <c r="A32" s="2"/>
      <c r="I32" s="3"/>
    </row>
    <row r="33" spans="1:9" x14ac:dyDescent="0.25">
      <c r="A33" s="154" t="s">
        <v>115</v>
      </c>
      <c r="B33" s="13" t="s">
        <v>93</v>
      </c>
      <c r="C33" s="145" t="s">
        <v>94</v>
      </c>
      <c r="D33" s="145"/>
      <c r="E33" s="145"/>
      <c r="G33" s="145" t="s">
        <v>95</v>
      </c>
      <c r="H33" s="145"/>
      <c r="I33" s="145"/>
    </row>
    <row r="34" spans="1:9" x14ac:dyDescent="0.25">
      <c r="A34" s="154"/>
      <c r="B34" s="11" t="s">
        <v>116</v>
      </c>
      <c r="C34" s="156">
        <v>600</v>
      </c>
      <c r="D34" s="156"/>
      <c r="E34" s="156"/>
      <c r="G34" s="156">
        <v>600</v>
      </c>
      <c r="H34" s="156"/>
      <c r="I34" s="156"/>
    </row>
    <row r="35" spans="1:9" ht="30" x14ac:dyDescent="0.25">
      <c r="A35" s="154"/>
      <c r="B35" s="11" t="s">
        <v>117</v>
      </c>
      <c r="C35" s="156">
        <v>336</v>
      </c>
      <c r="D35" s="156"/>
      <c r="E35" s="156"/>
      <c r="G35" s="156">
        <v>336</v>
      </c>
      <c r="H35" s="156"/>
      <c r="I35" s="156"/>
    </row>
    <row r="36" spans="1:9" x14ac:dyDescent="0.25">
      <c r="A36" s="154"/>
      <c r="B36" s="11" t="s">
        <v>118</v>
      </c>
      <c r="C36" s="156">
        <v>0</v>
      </c>
      <c r="D36" s="156"/>
      <c r="E36" s="156"/>
      <c r="G36" s="156">
        <v>0</v>
      </c>
      <c r="H36" s="156"/>
      <c r="I36" s="156"/>
    </row>
    <row r="37" spans="1:9" x14ac:dyDescent="0.25">
      <c r="A37" s="154"/>
      <c r="B37" s="11" t="s">
        <v>119</v>
      </c>
      <c r="C37" s="156">
        <v>0</v>
      </c>
      <c r="D37" s="156"/>
      <c r="E37" s="156"/>
      <c r="G37" s="156">
        <v>0</v>
      </c>
      <c r="H37" s="156"/>
      <c r="I37" s="156"/>
    </row>
    <row r="38" spans="1:9" x14ac:dyDescent="0.25">
      <c r="A38" s="154"/>
      <c r="B38" s="11" t="s">
        <v>120</v>
      </c>
      <c r="C38" s="156">
        <v>0</v>
      </c>
      <c r="D38" s="156"/>
      <c r="E38" s="156"/>
      <c r="G38" s="156">
        <v>0</v>
      </c>
      <c r="H38" s="156"/>
      <c r="I38" s="156"/>
    </row>
    <row r="39" spans="1:9" x14ac:dyDescent="0.25">
      <c r="A39" s="154"/>
      <c r="B39" s="11" t="s">
        <v>121</v>
      </c>
      <c r="C39" s="156">
        <v>0</v>
      </c>
      <c r="D39" s="156"/>
      <c r="E39" s="156"/>
      <c r="G39" s="156">
        <v>0</v>
      </c>
      <c r="H39" s="156"/>
      <c r="I39" s="156"/>
    </row>
    <row r="40" spans="1:9" x14ac:dyDescent="0.25">
      <c r="A40" s="154"/>
      <c r="B40" s="11" t="s">
        <v>122</v>
      </c>
      <c r="C40" s="156">
        <v>330.2</v>
      </c>
      <c r="D40" s="156"/>
      <c r="E40" s="156"/>
      <c r="G40" s="156">
        <v>330.2</v>
      </c>
      <c r="H40" s="156"/>
      <c r="I40" s="156"/>
    </row>
    <row r="41" spans="1:9" x14ac:dyDescent="0.25">
      <c r="A41" s="154"/>
      <c r="B41" s="11" t="s">
        <v>123</v>
      </c>
      <c r="C41" s="156">
        <v>508</v>
      </c>
      <c r="D41" s="156"/>
      <c r="E41" s="156"/>
      <c r="G41" s="156">
        <v>508</v>
      </c>
      <c r="H41" s="156"/>
      <c r="I41" s="156"/>
    </row>
    <row r="42" spans="1:9" x14ac:dyDescent="0.25">
      <c r="A42" s="154"/>
      <c r="B42" s="11" t="s">
        <v>124</v>
      </c>
      <c r="C42" s="156">
        <v>177.8</v>
      </c>
      <c r="D42" s="156"/>
      <c r="E42" s="156"/>
      <c r="G42" s="156">
        <v>177.8</v>
      </c>
      <c r="H42" s="156"/>
      <c r="I42" s="156"/>
    </row>
    <row r="43" spans="1:9" x14ac:dyDescent="0.25">
      <c r="A43" s="2"/>
      <c r="I43" s="3"/>
    </row>
    <row r="44" spans="1:9" x14ac:dyDescent="0.25">
      <c r="A44" s="154" t="s">
        <v>125</v>
      </c>
      <c r="B44" s="144" t="s">
        <v>126</v>
      </c>
      <c r="C44" s="144"/>
      <c r="D44" s="144" t="s">
        <v>127</v>
      </c>
      <c r="E44" s="144"/>
      <c r="I44" s="3"/>
    </row>
    <row r="45" spans="1:9" x14ac:dyDescent="0.25">
      <c r="A45" s="154"/>
      <c r="B45" s="11" t="s">
        <v>107</v>
      </c>
      <c r="C45" s="11" t="s">
        <v>128</v>
      </c>
      <c r="D45" s="11" t="s">
        <v>92</v>
      </c>
      <c r="E45" s="11" t="s">
        <v>129</v>
      </c>
      <c r="F45" s="1"/>
      <c r="G45" s="1"/>
      <c r="H45" s="1"/>
      <c r="I45" s="6"/>
    </row>
  </sheetData>
  <mergeCells count="42">
    <mergeCell ref="A1:A2"/>
    <mergeCell ref="C1:I1"/>
    <mergeCell ref="E2:F2"/>
    <mergeCell ref="H2:I2"/>
    <mergeCell ref="E3:F3"/>
    <mergeCell ref="H3:I3"/>
    <mergeCell ref="A4:A6"/>
    <mergeCell ref="B4:I6"/>
    <mergeCell ref="A8:A10"/>
    <mergeCell ref="A12:A22"/>
    <mergeCell ref="B12:B13"/>
    <mergeCell ref="C12:E12"/>
    <mergeCell ref="G12:I12"/>
    <mergeCell ref="C22:I22"/>
    <mergeCell ref="A24:A31"/>
    <mergeCell ref="B24:B25"/>
    <mergeCell ref="C24:E24"/>
    <mergeCell ref="G24:I24"/>
    <mergeCell ref="A33:A42"/>
    <mergeCell ref="C33:E33"/>
    <mergeCell ref="G33:I33"/>
    <mergeCell ref="C34:E34"/>
    <mergeCell ref="G34:I34"/>
    <mergeCell ref="C35:E35"/>
    <mergeCell ref="G35:I35"/>
    <mergeCell ref="C36:E36"/>
    <mergeCell ref="G36:I36"/>
    <mergeCell ref="C37:E37"/>
    <mergeCell ref="G37:I37"/>
    <mergeCell ref="C39:E39"/>
    <mergeCell ref="G39:I39"/>
    <mergeCell ref="C40:E40"/>
    <mergeCell ref="G40:I40"/>
    <mergeCell ref="C38:E38"/>
    <mergeCell ref="G38:I38"/>
    <mergeCell ref="C41:E41"/>
    <mergeCell ref="G41:I41"/>
    <mergeCell ref="C42:E42"/>
    <mergeCell ref="G42:I42"/>
    <mergeCell ref="A44:A45"/>
    <mergeCell ref="B44:C44"/>
    <mergeCell ref="D44:E4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5CDD9-C3B1-48B1-98C8-C01D1BA9358A}">
  <dimension ref="A1:W17"/>
  <sheetViews>
    <sheetView workbookViewId="0">
      <selection activeCell="I17" sqref="I17"/>
    </sheetView>
  </sheetViews>
  <sheetFormatPr defaultRowHeight="15" x14ac:dyDescent="0.25"/>
  <cols>
    <col min="2" max="2" width="9.7109375" bestFit="1" customWidth="1"/>
    <col min="3" max="3" width="3.7109375" bestFit="1" customWidth="1"/>
    <col min="4" max="4" width="2.28515625" customWidth="1"/>
    <col min="5" max="6" width="8.42578125" customWidth="1"/>
    <col min="7" max="7" width="7.7109375" customWidth="1"/>
    <col min="8" max="8" width="8.42578125" customWidth="1"/>
    <col min="9" max="9" width="7.42578125" bestFit="1" customWidth="1"/>
    <col min="10" max="10" width="7.7109375" customWidth="1"/>
    <col min="11" max="12" width="8.42578125" customWidth="1"/>
    <col min="13" max="13" width="7.7109375" customWidth="1"/>
    <col min="14" max="14" width="8.42578125" customWidth="1"/>
    <col min="15" max="15" width="7.42578125" customWidth="1"/>
    <col min="16" max="16" width="7.7109375" customWidth="1"/>
    <col min="20" max="20" width="11.7109375" bestFit="1" customWidth="1"/>
  </cols>
  <sheetData>
    <row r="1" spans="1:23" ht="15.75" thickBot="1" x14ac:dyDescent="0.3">
      <c r="E1" t="s">
        <v>133</v>
      </c>
    </row>
    <row r="2" spans="1:23" ht="15.75" thickBot="1" x14ac:dyDescent="0.3">
      <c r="A2" t="s">
        <v>134</v>
      </c>
      <c r="B2" t="s">
        <v>96</v>
      </c>
      <c r="C2" t="s">
        <v>97</v>
      </c>
      <c r="D2" t="s">
        <v>96</v>
      </c>
      <c r="E2" s="43" t="s">
        <v>135</v>
      </c>
      <c r="F2" s="29" t="s">
        <v>136</v>
      </c>
      <c r="G2" s="44" t="s">
        <v>137</v>
      </c>
      <c r="H2" s="43" t="s">
        <v>138</v>
      </c>
      <c r="I2" s="29" t="s">
        <v>139</v>
      </c>
      <c r="J2" s="44" t="s">
        <v>140</v>
      </c>
      <c r="K2" s="43" t="s">
        <v>141</v>
      </c>
      <c r="L2" s="29" t="s">
        <v>142</v>
      </c>
      <c r="M2" s="44" t="s">
        <v>143</v>
      </c>
      <c r="N2" s="43" t="s">
        <v>144</v>
      </c>
      <c r="O2" s="29" t="s">
        <v>145</v>
      </c>
      <c r="P2" s="44" t="s">
        <v>146</v>
      </c>
    </row>
    <row r="3" spans="1:23" x14ac:dyDescent="0.25">
      <c r="A3">
        <v>1</v>
      </c>
      <c r="B3" t="s">
        <v>147</v>
      </c>
      <c r="C3">
        <v>0</v>
      </c>
      <c r="D3">
        <v>1</v>
      </c>
      <c r="E3" s="45">
        <v>-2254.4735563636364</v>
      </c>
      <c r="F3" s="16">
        <v>0</v>
      </c>
      <c r="G3" s="46">
        <v>1299.3073425949201</v>
      </c>
      <c r="H3" s="45">
        <v>-2254.4735563636364</v>
      </c>
      <c r="I3" s="16">
        <v>0</v>
      </c>
      <c r="J3" s="46">
        <v>1299.3073425949196</v>
      </c>
      <c r="K3" s="45">
        <v>0</v>
      </c>
      <c r="L3" s="16">
        <v>0</v>
      </c>
      <c r="M3" s="46">
        <v>871.99181763235299</v>
      </c>
      <c r="N3" s="45">
        <v>0</v>
      </c>
      <c r="O3" s="16">
        <v>0</v>
      </c>
      <c r="P3" s="46">
        <v>871.99181763235299</v>
      </c>
      <c r="R3" s="43"/>
      <c r="S3" s="29"/>
      <c r="T3" s="29" t="s">
        <v>148</v>
      </c>
      <c r="U3" s="29"/>
      <c r="V3" s="44" t="s">
        <v>149</v>
      </c>
    </row>
    <row r="4" spans="1:23" x14ac:dyDescent="0.25">
      <c r="A4">
        <v>2</v>
      </c>
      <c r="B4" t="s">
        <v>150</v>
      </c>
      <c r="C4">
        <v>0</v>
      </c>
      <c r="D4">
        <v>1</v>
      </c>
      <c r="E4" s="45">
        <v>2254.4735563636364</v>
      </c>
      <c r="F4" s="16">
        <v>0</v>
      </c>
      <c r="G4" s="46">
        <v>263.75867097326204</v>
      </c>
      <c r="H4" s="45">
        <v>2254.4735563636364</v>
      </c>
      <c r="I4" s="16">
        <v>0</v>
      </c>
      <c r="J4" s="46">
        <v>263.75867097326204</v>
      </c>
      <c r="K4" s="45">
        <v>0</v>
      </c>
      <c r="L4" s="16">
        <v>0</v>
      </c>
      <c r="M4" s="46">
        <v>1145.2873017540107</v>
      </c>
      <c r="N4" s="45">
        <v>0</v>
      </c>
      <c r="O4" s="16">
        <v>0</v>
      </c>
      <c r="P4" s="46">
        <v>1145.2873017540107</v>
      </c>
      <c r="R4" s="51" t="s">
        <v>151</v>
      </c>
      <c r="T4" t="s">
        <v>96</v>
      </c>
      <c r="U4" t="s">
        <v>97</v>
      </c>
      <c r="V4" s="52" t="s">
        <v>98</v>
      </c>
    </row>
    <row r="5" spans="1:23" x14ac:dyDescent="0.25">
      <c r="A5">
        <v>3</v>
      </c>
      <c r="B5" t="s">
        <v>147</v>
      </c>
      <c r="C5">
        <v>0</v>
      </c>
      <c r="D5">
        <v>1</v>
      </c>
      <c r="E5" s="45">
        <v>0</v>
      </c>
      <c r="F5" s="16">
        <v>0</v>
      </c>
      <c r="G5" s="46">
        <v>1299.3073425949196</v>
      </c>
      <c r="H5" s="45">
        <v>0</v>
      </c>
      <c r="I5" s="16">
        <v>0</v>
      </c>
      <c r="J5" s="46">
        <v>1299.3073425949196</v>
      </c>
      <c r="K5" s="45">
        <v>-2254.4735563636364</v>
      </c>
      <c r="L5" s="16">
        <v>0</v>
      </c>
      <c r="M5" s="46">
        <v>871.99181763235299</v>
      </c>
      <c r="N5" s="45">
        <v>-2254.4735563636364</v>
      </c>
      <c r="O5" s="16">
        <v>0</v>
      </c>
      <c r="P5" s="46">
        <v>871.99181763235299</v>
      </c>
      <c r="R5" s="51"/>
      <c r="S5" t="s">
        <v>152</v>
      </c>
      <c r="T5" s="16">
        <f>MAX(E3:E11,H3:H11,K3:K11,N3:N11)</f>
        <v>2254.4735563636364</v>
      </c>
      <c r="U5" s="16">
        <f>MAX(F3:F11,I3:I11,L3:L11,O3:O11)</f>
        <v>0</v>
      </c>
      <c r="V5" s="46">
        <f>MAX(G3:G11,J3:J11,M3:M11,P3:P11)</f>
        <v>2999.5005782694743</v>
      </c>
    </row>
    <row r="6" spans="1:23" x14ac:dyDescent="0.25">
      <c r="A6">
        <v>4</v>
      </c>
      <c r="B6" t="s">
        <v>150</v>
      </c>
      <c r="C6">
        <v>0</v>
      </c>
      <c r="D6">
        <v>1</v>
      </c>
      <c r="E6" s="45">
        <v>0</v>
      </c>
      <c r="F6" s="16">
        <v>0</v>
      </c>
      <c r="G6" s="46">
        <v>263.75867097326204</v>
      </c>
      <c r="H6" s="45">
        <v>0</v>
      </c>
      <c r="I6" s="16">
        <v>0</v>
      </c>
      <c r="J6" s="46">
        <v>263.75867097326204</v>
      </c>
      <c r="K6" s="45">
        <v>2254.4735563636364</v>
      </c>
      <c r="L6" s="16">
        <v>0</v>
      </c>
      <c r="M6" s="46">
        <v>1145.2873017540107</v>
      </c>
      <c r="N6" s="45">
        <v>2254.4735563636364</v>
      </c>
      <c r="O6" s="16">
        <v>0</v>
      </c>
      <c r="P6" s="46">
        <v>1145.2873017540107</v>
      </c>
      <c r="R6" s="51"/>
      <c r="S6" t="s">
        <v>153</v>
      </c>
      <c r="T6" s="16">
        <f>MIN(E3:E11,H3:H11,K3:K11,N3:N11)</f>
        <v>-2314.6588975432915</v>
      </c>
      <c r="U6" s="16">
        <f>MIN(F3:F11,I3:I11,L3:L11,O3:O11)</f>
        <v>-2220.0735814415898</v>
      </c>
      <c r="V6" s="46">
        <f>MIN(G3:G11,J3:J11,M3:M11,P3:P11)</f>
        <v>241.5288865522308</v>
      </c>
    </row>
    <row r="7" spans="1:23" ht="15.75" thickBot="1" x14ac:dyDescent="0.3">
      <c r="A7" s="64">
        <v>5</v>
      </c>
      <c r="B7" t="s">
        <v>154</v>
      </c>
      <c r="C7">
        <v>1.9</v>
      </c>
      <c r="D7">
        <v>1</v>
      </c>
      <c r="E7" s="66">
        <v>0</v>
      </c>
      <c r="F7" s="63">
        <v>-2220.0735814415898</v>
      </c>
      <c r="G7" s="46">
        <v>1531.9190067659511</v>
      </c>
      <c r="H7" s="45">
        <v>0</v>
      </c>
      <c r="I7" s="16">
        <v>-350.02627281295548</v>
      </c>
      <c r="J7" s="46">
        <v>241.5288865522308</v>
      </c>
      <c r="K7" s="45">
        <v>0</v>
      </c>
      <c r="L7" s="16">
        <v>-2058.9438876496697</v>
      </c>
      <c r="M7" s="65">
        <v>1899.8614965748043</v>
      </c>
      <c r="N7" s="45">
        <v>0</v>
      </c>
      <c r="O7" s="16">
        <v>-725.33095445942138</v>
      </c>
      <c r="P7" s="46">
        <v>669.2889305615596</v>
      </c>
      <c r="R7" s="51"/>
      <c r="V7" s="52"/>
    </row>
    <row r="8" spans="1:23" x14ac:dyDescent="0.25">
      <c r="A8" s="62">
        <v>6</v>
      </c>
      <c r="B8" t="s">
        <v>155</v>
      </c>
      <c r="C8">
        <v>0</v>
      </c>
      <c r="D8">
        <v>3</v>
      </c>
      <c r="E8" s="45">
        <v>0</v>
      </c>
      <c r="F8" s="16">
        <v>0</v>
      </c>
      <c r="G8" s="46">
        <v>1924.1068324772727</v>
      </c>
      <c r="H8" s="45">
        <v>0</v>
      </c>
      <c r="I8" s="16">
        <v>0</v>
      </c>
      <c r="J8" s="46">
        <v>1924.1068324772727</v>
      </c>
      <c r="K8" s="45">
        <v>0</v>
      </c>
      <c r="L8" s="16">
        <v>0</v>
      </c>
      <c r="M8" s="46">
        <v>2408.4066732045458</v>
      </c>
      <c r="N8" s="67">
        <v>0</v>
      </c>
      <c r="O8" s="68">
        <v>0</v>
      </c>
      <c r="P8" s="69">
        <v>2408.4066732045458</v>
      </c>
      <c r="R8" s="51"/>
      <c r="S8" s="43" t="s">
        <v>156</v>
      </c>
      <c r="T8" s="27">
        <f>T5/4.448</f>
        <v>506.85106932635705</v>
      </c>
      <c r="U8" s="27">
        <f t="shared" ref="U8:V9" si="0">U5/4.448</f>
        <v>0</v>
      </c>
      <c r="V8" s="26">
        <f t="shared" si="0"/>
        <v>674.34815158936021</v>
      </c>
    </row>
    <row r="9" spans="1:23" ht="15.75" thickBot="1" x14ac:dyDescent="0.3">
      <c r="A9" s="70">
        <v>7</v>
      </c>
      <c r="B9" t="s">
        <v>157</v>
      </c>
      <c r="C9">
        <v>1.8</v>
      </c>
      <c r="D9">
        <v>3</v>
      </c>
      <c r="E9" s="45">
        <v>-1592.7017022292662</v>
      </c>
      <c r="F9" s="16">
        <v>-1528.9936341400955</v>
      </c>
      <c r="G9" s="73">
        <v>2999.5005782694743</v>
      </c>
      <c r="H9" s="45">
        <v>-943.5810486798249</v>
      </c>
      <c r="I9" s="16">
        <v>-905.83780673263175</v>
      </c>
      <c r="J9" s="46">
        <v>1777.0257275406864</v>
      </c>
      <c r="K9" s="71">
        <v>-1648.3409471947043</v>
      </c>
      <c r="L9" s="72">
        <v>-1714.2745850824924</v>
      </c>
      <c r="M9" s="46">
        <v>2527.1531472040651</v>
      </c>
      <c r="N9" s="45">
        <v>-887.94180371438688</v>
      </c>
      <c r="O9" s="16">
        <v>-923.45947586296245</v>
      </c>
      <c r="P9" s="46">
        <v>1361.3475583494117</v>
      </c>
      <c r="R9" s="50"/>
      <c r="S9" s="50" t="s">
        <v>158</v>
      </c>
      <c r="T9" s="18">
        <f>T6/4.448</f>
        <v>-520.38194639012841</v>
      </c>
      <c r="U9" s="18">
        <f t="shared" si="0"/>
        <v>-499.11726201474585</v>
      </c>
      <c r="V9" s="17">
        <f t="shared" si="0"/>
        <v>54.300559027030303</v>
      </c>
    </row>
    <row r="10" spans="1:23" x14ac:dyDescent="0.25">
      <c r="A10">
        <v>8</v>
      </c>
      <c r="B10" t="s">
        <v>159</v>
      </c>
      <c r="C10">
        <v>1</v>
      </c>
      <c r="D10">
        <v>3</v>
      </c>
      <c r="E10" s="45">
        <v>-1808.4453041721636</v>
      </c>
      <c r="F10" s="16">
        <v>-868.0537460026386</v>
      </c>
      <c r="G10" s="46">
        <v>1537.5720552321495</v>
      </c>
      <c r="H10" s="45">
        <v>-1009.646641282382</v>
      </c>
      <c r="I10" s="16">
        <v>-484.63038781554349</v>
      </c>
      <c r="J10" s="46">
        <v>858.41936038282336</v>
      </c>
      <c r="K10" s="45">
        <v>-1601.3930825984451</v>
      </c>
      <c r="L10" s="16">
        <v>-832.72440295119156</v>
      </c>
      <c r="M10" s="46">
        <v>2696.0994961672909</v>
      </c>
      <c r="N10" s="45">
        <v>-1216.6988628561005</v>
      </c>
      <c r="O10" s="16">
        <v>-632.68340868517237</v>
      </c>
      <c r="P10" s="46">
        <v>2048.4297245813727</v>
      </c>
    </row>
    <row r="11" spans="1:23" ht="15.75" thickBot="1" x14ac:dyDescent="0.3">
      <c r="A11">
        <v>9</v>
      </c>
      <c r="B11" t="s">
        <v>160</v>
      </c>
      <c r="C11">
        <v>1.75</v>
      </c>
      <c r="D11">
        <v>1</v>
      </c>
      <c r="E11" s="47">
        <v>-2314.6588975432915</v>
      </c>
      <c r="F11" s="48">
        <v>-1709.2865704935077</v>
      </c>
      <c r="G11" s="49">
        <v>1932.2456439570644</v>
      </c>
      <c r="H11" s="47">
        <v>-890.92069041125387</v>
      </c>
      <c r="I11" s="48">
        <v>-657.91066368831048</v>
      </c>
      <c r="J11" s="49">
        <v>743.72842797074304</v>
      </c>
      <c r="K11" s="47">
        <v>-1449.9692094748582</v>
      </c>
      <c r="L11" s="48">
        <v>-2154.2399683626468</v>
      </c>
      <c r="M11" s="49">
        <v>1400.0231744010475</v>
      </c>
      <c r="N11" s="47">
        <v>-276.11210711605088</v>
      </c>
      <c r="O11" s="48">
        <v>-410.22370200098987</v>
      </c>
      <c r="P11" s="49">
        <v>266.60107412569056</v>
      </c>
      <c r="R11" s="61"/>
      <c r="S11" s="163" t="s">
        <v>161</v>
      </c>
      <c r="T11" s="163"/>
      <c r="U11" s="74" t="s">
        <v>162</v>
      </c>
      <c r="V11" s="74" t="s">
        <v>163</v>
      </c>
      <c r="W11" s="75" t="s">
        <v>164</v>
      </c>
    </row>
    <row r="12" spans="1:23" x14ac:dyDescent="0.25">
      <c r="R12" s="164" t="s">
        <v>165</v>
      </c>
      <c r="S12" s="165"/>
      <c r="T12" s="165"/>
      <c r="U12" t="s">
        <v>166</v>
      </c>
      <c r="V12" t="s">
        <v>167</v>
      </c>
      <c r="W12" s="3" t="s">
        <v>168</v>
      </c>
    </row>
    <row r="13" spans="1:23" x14ac:dyDescent="0.25">
      <c r="C13" s="61" t="s">
        <v>169</v>
      </c>
      <c r="D13" s="74"/>
      <c r="E13" s="74" t="s">
        <v>170</v>
      </c>
      <c r="F13" s="74" t="s">
        <v>171</v>
      </c>
      <c r="G13" s="75" t="s">
        <v>172</v>
      </c>
      <c r="R13" s="166" t="s">
        <v>173</v>
      </c>
      <c r="S13" s="167"/>
      <c r="T13" s="167"/>
      <c r="U13" s="1">
        <v>0</v>
      </c>
      <c r="V13" s="1">
        <v>6.3500000000000001E-2</v>
      </c>
      <c r="W13" s="6">
        <v>0.25900000000000001</v>
      </c>
    </row>
    <row r="14" spans="1:23" x14ac:dyDescent="0.25">
      <c r="C14" s="2"/>
      <c r="G14" s="3"/>
    </row>
    <row r="15" spans="1:23" x14ac:dyDescent="0.25">
      <c r="C15" s="76">
        <v>5</v>
      </c>
      <c r="E15">
        <f>(($V$13*G7)-(F7*$W$13))</f>
        <v>672.27591452300965</v>
      </c>
      <c r="F15">
        <f>-(($U$13*G7)-(E7*W13))</f>
        <v>0</v>
      </c>
      <c r="G15" s="3">
        <f>((U13*F7)-(E7*V13))</f>
        <v>0</v>
      </c>
    </row>
    <row r="16" spans="1:23" x14ac:dyDescent="0.25">
      <c r="C16" s="77">
        <v>6</v>
      </c>
      <c r="E16">
        <f t="shared" ref="E16" si="1">(($V$13*G8)-(F8*$W$13))</f>
        <v>122.18078386230682</v>
      </c>
      <c r="F16">
        <f t="shared" ref="F16:F17" si="2">-(($U$13*G8)-(E8*W14))</f>
        <v>0</v>
      </c>
      <c r="G16" s="3">
        <f t="shared" ref="G16:G17" si="3">((U14*F8)-(E8*V14))</f>
        <v>0</v>
      </c>
    </row>
    <row r="17" spans="3:7" x14ac:dyDescent="0.25">
      <c r="C17" s="78">
        <v>7</v>
      </c>
      <c r="D17" s="1"/>
      <c r="E17" s="1">
        <f>(($V$13*G9)-(F9*$W$13))</f>
        <v>586.47763796239633</v>
      </c>
      <c r="F17" s="1">
        <f t="shared" si="2"/>
        <v>0</v>
      </c>
      <c r="G17" s="6">
        <f t="shared" si="3"/>
        <v>0</v>
      </c>
    </row>
  </sheetData>
  <mergeCells count="3">
    <mergeCell ref="S11:T11"/>
    <mergeCell ref="R12:T12"/>
    <mergeCell ref="R13:T1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8DD0B-C378-4DAC-A72E-D4A892CA1C7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B1789-11FE-4573-9B26-7580B91A96AC}">
  <dimension ref="A1:V27"/>
  <sheetViews>
    <sheetView zoomScale="110" zoomScaleNormal="110" workbookViewId="0">
      <selection activeCell="J31" sqref="J31"/>
    </sheetView>
  </sheetViews>
  <sheetFormatPr defaultRowHeight="15" x14ac:dyDescent="0.25"/>
  <cols>
    <col min="1" max="1" width="12" customWidth="1"/>
    <col min="2" max="2" width="43.28515625" bestFit="1" customWidth="1"/>
    <col min="3" max="3" width="13.28515625" bestFit="1" customWidth="1"/>
    <col min="4" max="4" width="3.7109375" customWidth="1"/>
    <col min="5" max="5" width="2.7109375" bestFit="1" customWidth="1"/>
    <col min="6" max="6" width="2.28515625" bestFit="1" customWidth="1"/>
    <col min="8" max="8" width="14.7109375" bestFit="1" customWidth="1"/>
    <col min="9" max="9" width="9.7109375" customWidth="1"/>
    <col min="10" max="11" width="6.28515625" bestFit="1" customWidth="1"/>
    <col min="12" max="12" width="5.28515625" bestFit="1" customWidth="1"/>
    <col min="13" max="13" width="6.28515625" bestFit="1" customWidth="1"/>
    <col min="14" max="14" width="5" bestFit="1" customWidth="1"/>
    <col min="15" max="15" width="6.28515625" customWidth="1"/>
    <col min="16" max="16" width="14.7109375" bestFit="1" customWidth="1"/>
    <col min="17" max="20" width="7.42578125" bestFit="1" customWidth="1"/>
    <col min="21" max="21" width="6.42578125" customWidth="1"/>
    <col min="22" max="22" width="7.42578125" customWidth="1"/>
  </cols>
  <sheetData>
    <row r="1" spans="1:22" x14ac:dyDescent="0.25">
      <c r="A1" t="s">
        <v>174</v>
      </c>
    </row>
    <row r="2" spans="1:22" x14ac:dyDescent="0.25">
      <c r="B2" t="s">
        <v>175</v>
      </c>
      <c r="I2" t="s">
        <v>176</v>
      </c>
    </row>
    <row r="3" spans="1:22" ht="15.75" thickBot="1" x14ac:dyDescent="0.3">
      <c r="A3" s="31" t="s">
        <v>177</v>
      </c>
      <c r="B3" s="31"/>
      <c r="C3" s="31" t="s">
        <v>178</v>
      </c>
      <c r="D3" s="31" t="s">
        <v>179</v>
      </c>
      <c r="E3" s="31" t="s">
        <v>180</v>
      </c>
      <c r="F3" s="31" t="s">
        <v>181</v>
      </c>
      <c r="I3" s="31" t="s">
        <v>134</v>
      </c>
      <c r="J3" s="34" t="s">
        <v>182</v>
      </c>
      <c r="K3" s="31" t="s">
        <v>183</v>
      </c>
      <c r="L3" s="31" t="s">
        <v>184</v>
      </c>
      <c r="M3" s="31" t="s">
        <v>185</v>
      </c>
      <c r="N3" s="31" t="s">
        <v>186</v>
      </c>
      <c r="O3" s="31" t="s">
        <v>187</v>
      </c>
      <c r="Q3" s="34" t="s">
        <v>182</v>
      </c>
      <c r="R3" s="31" t="s">
        <v>183</v>
      </c>
      <c r="S3" s="31" t="s">
        <v>184</v>
      </c>
      <c r="T3" s="31" t="s">
        <v>185</v>
      </c>
      <c r="U3" s="31" t="s">
        <v>186</v>
      </c>
      <c r="V3" s="31" t="s">
        <v>187</v>
      </c>
    </row>
    <row r="4" spans="1:22" x14ac:dyDescent="0.25">
      <c r="A4">
        <v>1</v>
      </c>
      <c r="B4" t="s">
        <v>188</v>
      </c>
      <c r="C4" s="32" t="s">
        <v>147</v>
      </c>
      <c r="D4">
        <v>1</v>
      </c>
      <c r="E4">
        <v>1</v>
      </c>
      <c r="F4">
        <v>1</v>
      </c>
      <c r="H4" s="30" t="s">
        <v>189</v>
      </c>
      <c r="I4" s="29">
        <v>1</v>
      </c>
      <c r="J4" s="36">
        <v>6936.3432328142799</v>
      </c>
      <c r="K4" s="36">
        <v>-7542.1048395971875</v>
      </c>
      <c r="L4" s="36">
        <v>-838.93702749458305</v>
      </c>
      <c r="M4" s="36">
        <v>2008.8221937721592</v>
      </c>
      <c r="N4" s="36">
        <v>643.25545628590294</v>
      </c>
      <c r="O4" s="37">
        <v>-1849.0635680067141</v>
      </c>
      <c r="P4" s="30" t="s">
        <v>190</v>
      </c>
      <c r="Q4" s="27">
        <v>607.99514280468998</v>
      </c>
      <c r="R4" s="27">
        <v>-327.01493020771591</v>
      </c>
      <c r="S4" s="27">
        <v>-265.26649961046166</v>
      </c>
      <c r="T4" s="27">
        <v>1313.1268884697931</v>
      </c>
      <c r="U4" s="27">
        <v>-51.076903982198068</v>
      </c>
      <c r="V4" s="26">
        <v>-1344.2997905889065</v>
      </c>
    </row>
    <row r="5" spans="1:22" ht="15.75" thickBot="1" x14ac:dyDescent="0.3">
      <c r="A5">
        <v>2</v>
      </c>
      <c r="B5" t="s">
        <v>191</v>
      </c>
      <c r="C5" s="32" t="s">
        <v>150</v>
      </c>
      <c r="D5">
        <v>1</v>
      </c>
      <c r="E5">
        <v>1</v>
      </c>
      <c r="F5">
        <v>0</v>
      </c>
      <c r="H5" s="25"/>
      <c r="I5">
        <v>2</v>
      </c>
      <c r="J5" s="38">
        <v>-6423.1111326622258</v>
      </c>
      <c r="K5" s="38">
        <v>7558.3172174249266</v>
      </c>
      <c r="L5" s="38">
        <v>2113.0958533032576</v>
      </c>
      <c r="M5" s="38">
        <v>-1508.5347246105348</v>
      </c>
      <c r="N5" s="38">
        <v>-740.48373966800784</v>
      </c>
      <c r="O5" s="39">
        <v>-520.60848529990244</v>
      </c>
      <c r="P5" s="25"/>
      <c r="Q5" s="23">
        <v>798.5500580418402</v>
      </c>
      <c r="R5" s="23">
        <v>-429.50637778665094</v>
      </c>
      <c r="S5" s="23">
        <v>-348.4050508747859</v>
      </c>
      <c r="T5" s="23">
        <v>1724.6808061108215</v>
      </c>
      <c r="U5" s="23">
        <v>-67.08518171942508</v>
      </c>
      <c r="V5" s="22">
        <v>-1765.6237693748367</v>
      </c>
    </row>
    <row r="6" spans="1:22" ht="15.75" thickBot="1" x14ac:dyDescent="0.3">
      <c r="A6">
        <v>3</v>
      </c>
      <c r="B6" s="33" t="s">
        <v>192</v>
      </c>
      <c r="C6" s="32" t="s">
        <v>147</v>
      </c>
      <c r="D6">
        <v>0</v>
      </c>
      <c r="E6">
        <v>1</v>
      </c>
      <c r="F6">
        <v>1</v>
      </c>
      <c r="H6" s="25"/>
      <c r="I6">
        <v>3</v>
      </c>
      <c r="J6" s="38">
        <v>426.62704607125988</v>
      </c>
      <c r="K6" s="38">
        <v>13.47662950230122</v>
      </c>
      <c r="L6" s="38">
        <v>1059.1516312392248</v>
      </c>
      <c r="M6" s="38">
        <v>415.86674935503163</v>
      </c>
      <c r="N6" s="38">
        <v>-80.821552902854648</v>
      </c>
      <c r="O6" s="39">
        <v>-1969.8031123936048</v>
      </c>
      <c r="P6" s="25"/>
      <c r="Q6" s="23">
        <v>6528.4309753914413</v>
      </c>
      <c r="R6" s="23">
        <v>-6056.3116820241266</v>
      </c>
      <c r="S6" s="23">
        <v>-2048.4334979883783</v>
      </c>
      <c r="T6" s="23">
        <v>4142.670137607287</v>
      </c>
      <c r="U6" s="23">
        <v>-572.43665691173942</v>
      </c>
      <c r="V6" s="22">
        <v>-1709.5954922806638</v>
      </c>
    </row>
    <row r="7" spans="1:22" x14ac:dyDescent="0.25">
      <c r="A7">
        <v>4</v>
      </c>
      <c r="B7" t="s">
        <v>193</v>
      </c>
      <c r="C7" s="32" t="s">
        <v>150</v>
      </c>
      <c r="D7">
        <v>0</v>
      </c>
      <c r="E7">
        <v>1</v>
      </c>
      <c r="F7">
        <v>0</v>
      </c>
      <c r="H7" s="25"/>
      <c r="I7">
        <v>4</v>
      </c>
      <c r="J7" s="38">
        <v>86.605054080790637</v>
      </c>
      <c r="K7" s="38">
        <v>2.7357483254316621</v>
      </c>
      <c r="L7" s="38">
        <v>215.00719456944984</v>
      </c>
      <c r="M7" s="38">
        <v>84.420719806592246</v>
      </c>
      <c r="N7" s="38">
        <v>-16.406730479236941</v>
      </c>
      <c r="O7" s="39">
        <v>-399.86894091301372</v>
      </c>
      <c r="P7" s="25"/>
      <c r="Q7" s="23">
        <v>-5121.8857745449122</v>
      </c>
      <c r="R7" s="23">
        <v>5299.7903740297579</v>
      </c>
      <c r="S7" s="23">
        <v>1434.7619475031256</v>
      </c>
      <c r="T7" s="23">
        <v>-1104.8624430266811</v>
      </c>
      <c r="U7" s="23">
        <v>454.27457121012964</v>
      </c>
      <c r="V7" s="22">
        <v>-1400.3280676830789</v>
      </c>
    </row>
    <row r="8" spans="1:22" x14ac:dyDescent="0.25">
      <c r="A8">
        <v>5</v>
      </c>
      <c r="B8" t="s">
        <v>194</v>
      </c>
      <c r="C8" s="32" t="s">
        <v>154</v>
      </c>
      <c r="D8">
        <v>0.5</v>
      </c>
      <c r="E8">
        <v>1</v>
      </c>
      <c r="F8">
        <v>1</v>
      </c>
      <c r="H8" s="25"/>
      <c r="I8">
        <v>5</v>
      </c>
      <c r="J8" s="38">
        <v>-2640.7042997175822</v>
      </c>
      <c r="K8" s="38">
        <v>-1246.1310989542681</v>
      </c>
      <c r="L8" s="38">
        <v>1825.8055786290388</v>
      </c>
      <c r="M8" s="38">
        <v>1175.9210282257693</v>
      </c>
      <c r="N8" s="38">
        <v>784.42542496065323</v>
      </c>
      <c r="O8" s="39">
        <v>-2253.2049804631242</v>
      </c>
      <c r="P8" s="25"/>
      <c r="Q8" s="23">
        <v>-214.90331192851622</v>
      </c>
      <c r="R8" s="23">
        <v>-2835.611033972561</v>
      </c>
      <c r="S8" s="23">
        <v>228.88703444594483</v>
      </c>
      <c r="T8" s="23">
        <v>3249.807953015958</v>
      </c>
      <c r="U8" s="23">
        <v>-9.7802014527585257</v>
      </c>
      <c r="V8" s="22">
        <v>-2666.5806027834433</v>
      </c>
    </row>
    <row r="9" spans="1:22" x14ac:dyDescent="0.25">
      <c r="A9">
        <v>6</v>
      </c>
      <c r="B9" t="s">
        <v>195</v>
      </c>
      <c r="C9" s="32" t="s">
        <v>155</v>
      </c>
      <c r="D9">
        <v>0.5</v>
      </c>
      <c r="E9">
        <v>1</v>
      </c>
      <c r="F9">
        <v>1</v>
      </c>
      <c r="H9" s="25"/>
      <c r="I9">
        <v>6</v>
      </c>
      <c r="J9" s="38">
        <v>631.77970858372214</v>
      </c>
      <c r="K9" s="38">
        <v>19.957152595133451</v>
      </c>
      <c r="L9" s="38">
        <v>1568.4671543738045</v>
      </c>
      <c r="M9" s="38">
        <v>615.84509499966236</v>
      </c>
      <c r="N9" s="38">
        <v>-119.68631058548033</v>
      </c>
      <c r="O9" s="39">
        <v>-2917.0247122763785</v>
      </c>
      <c r="P9" s="25"/>
      <c r="Q9" s="23">
        <v>1679.2583710047375</v>
      </c>
      <c r="R9" s="23">
        <v>-903.20221385590958</v>
      </c>
      <c r="S9" s="23">
        <v>-732.65550767909099</v>
      </c>
      <c r="T9" s="23">
        <v>3626.8041706422982</v>
      </c>
      <c r="U9" s="23">
        <v>-141.07237465985727</v>
      </c>
      <c r="V9" s="22">
        <v>-3712.9024848336749</v>
      </c>
    </row>
    <row r="10" spans="1:22" x14ac:dyDescent="0.25">
      <c r="A10">
        <v>7</v>
      </c>
      <c r="B10" t="s">
        <v>196</v>
      </c>
      <c r="C10" s="32" t="s">
        <v>157</v>
      </c>
      <c r="D10">
        <v>0.5</v>
      </c>
      <c r="E10">
        <v>1</v>
      </c>
      <c r="F10">
        <v>1</v>
      </c>
      <c r="H10" s="25"/>
      <c r="I10">
        <v>7</v>
      </c>
      <c r="J10" s="38">
        <v>3418.6435459939471</v>
      </c>
      <c r="K10" s="38">
        <v>-6175.795851970086</v>
      </c>
      <c r="L10" s="38">
        <v>1501.575658571147</v>
      </c>
      <c r="M10" s="38">
        <v>2557.5915599829755</v>
      </c>
      <c r="N10" s="38">
        <v>930.82589158128542</v>
      </c>
      <c r="O10" s="39">
        <v>-4414.3763825583992</v>
      </c>
      <c r="P10" s="25"/>
      <c r="Q10" s="23">
        <v>4808.8830751146497</v>
      </c>
      <c r="R10" s="23">
        <v>-6904.3763903999934</v>
      </c>
      <c r="S10" s="23">
        <v>-1400.7543318157116</v>
      </c>
      <c r="T10" s="23">
        <v>6198.1524981078701</v>
      </c>
      <c r="U10" s="23">
        <v>-444.70385675269142</v>
      </c>
      <c r="V10" s="22">
        <v>-3944.6371062906887</v>
      </c>
    </row>
    <row r="11" spans="1:22" x14ac:dyDescent="0.25">
      <c r="A11">
        <v>8</v>
      </c>
      <c r="B11" t="s">
        <v>197</v>
      </c>
      <c r="C11" s="32" t="s">
        <v>159</v>
      </c>
      <c r="D11">
        <v>0.5</v>
      </c>
      <c r="E11">
        <v>-1</v>
      </c>
      <c r="F11">
        <v>0</v>
      </c>
      <c r="H11" s="25"/>
      <c r="I11">
        <v>8</v>
      </c>
      <c r="J11" s="38">
        <v>4497.4884754756558</v>
      </c>
      <c r="K11" s="38">
        <v>-6538.2793545094564</v>
      </c>
      <c r="L11" s="38">
        <v>-43.5684319443425</v>
      </c>
      <c r="M11" s="38">
        <v>2038.0027437961342</v>
      </c>
      <c r="N11" s="38">
        <v>829.15314321317464</v>
      </c>
      <c r="O11" s="39">
        <v>-2207.0942006038163</v>
      </c>
      <c r="P11" s="25"/>
      <c r="Q11" s="23">
        <v>5462.5725155697246</v>
      </c>
      <c r="R11" s="23">
        <v>-5939.3968755113756</v>
      </c>
      <c r="S11" s="23">
        <v>-1760.4693206366073</v>
      </c>
      <c r="T11" s="23">
        <v>6227.1691753216737</v>
      </c>
      <c r="U11" s="23">
        <v>-487.20258681843183</v>
      </c>
      <c r="V11" s="22">
        <v>-4309.8019550023319</v>
      </c>
    </row>
    <row r="12" spans="1:22" ht="15.75" thickBot="1" x14ac:dyDescent="0.3">
      <c r="A12">
        <v>9</v>
      </c>
      <c r="B12" t="s">
        <v>198</v>
      </c>
      <c r="C12" s="32" t="s">
        <v>160</v>
      </c>
      <c r="D12">
        <v>0.65</v>
      </c>
      <c r="E12">
        <v>1</v>
      </c>
      <c r="F12">
        <v>1</v>
      </c>
      <c r="H12" s="21"/>
      <c r="I12" s="20">
        <v>9</v>
      </c>
      <c r="J12" s="40">
        <v>4897.5361037290622</v>
      </c>
      <c r="K12" s="40">
        <v>-8708.9024497407427</v>
      </c>
      <c r="L12" s="40">
        <v>70.615762387941018</v>
      </c>
      <c r="M12" s="40">
        <v>2781.7925597658727</v>
      </c>
      <c r="N12" s="40">
        <v>1300.5284851809529</v>
      </c>
      <c r="O12" s="41">
        <v>-2752.085845653442</v>
      </c>
      <c r="P12" s="21"/>
      <c r="Q12" s="18">
        <v>3173.0674842738717</v>
      </c>
      <c r="R12" s="18">
        <v>-6431.2366732611845</v>
      </c>
      <c r="S12" s="18">
        <v>-728.56210093685422</v>
      </c>
      <c r="T12" s="18">
        <v>4334.9271387583876</v>
      </c>
      <c r="U12" s="18">
        <v>-311.11774252550447</v>
      </c>
      <c r="V12" s="17">
        <v>-2118.8076554545764</v>
      </c>
    </row>
    <row r="13" spans="1:22" x14ac:dyDescent="0.25">
      <c r="C13" s="32"/>
      <c r="H13" s="30" t="s">
        <v>199</v>
      </c>
      <c r="I13" s="29">
        <v>1</v>
      </c>
      <c r="J13" s="36">
        <v>6936.3432328142835</v>
      </c>
      <c r="K13" s="36">
        <v>-7542.1048395971875</v>
      </c>
      <c r="L13" s="36">
        <v>-838.93702749458305</v>
      </c>
      <c r="M13" s="36">
        <v>2008.8221937721592</v>
      </c>
      <c r="N13" s="36">
        <v>643.25545628590294</v>
      </c>
      <c r="O13" s="37">
        <v>-1849.0635680067141</v>
      </c>
      <c r="P13" s="30" t="s">
        <v>200</v>
      </c>
      <c r="Q13" s="27">
        <v>607.99514280468986</v>
      </c>
      <c r="R13" s="27">
        <v>-327.01493020771591</v>
      </c>
      <c r="S13" s="27">
        <v>-265.26649961046166</v>
      </c>
      <c r="T13" s="27">
        <v>1313.1268884697931</v>
      </c>
      <c r="U13" s="27">
        <v>-51.076903982198068</v>
      </c>
      <c r="V13" s="26">
        <v>-1344.2997905889065</v>
      </c>
    </row>
    <row r="14" spans="1:22" x14ac:dyDescent="0.25">
      <c r="C14" s="32"/>
      <c r="H14" s="25"/>
      <c r="I14">
        <v>2</v>
      </c>
      <c r="J14" s="38">
        <v>-6423.1111326622258</v>
      </c>
      <c r="K14" s="38">
        <v>7558.3172174249266</v>
      </c>
      <c r="L14" s="38">
        <v>2113.0958533032576</v>
      </c>
      <c r="M14" s="38">
        <v>-1508.5347246105348</v>
      </c>
      <c r="N14" s="38">
        <v>-740.48373966800784</v>
      </c>
      <c r="O14" s="39">
        <v>-520.60848529990244</v>
      </c>
      <c r="P14" s="25"/>
      <c r="Q14" s="23">
        <v>798.5500580418402</v>
      </c>
      <c r="R14" s="23">
        <v>-429.50637778665094</v>
      </c>
      <c r="S14" s="23">
        <v>-348.4050508747859</v>
      </c>
      <c r="T14" s="23">
        <v>1724.6808061108215</v>
      </c>
      <c r="U14" s="23">
        <v>-67.08518171942508</v>
      </c>
      <c r="V14" s="22">
        <v>-1765.6237693748367</v>
      </c>
    </row>
    <row r="15" spans="1:22" x14ac:dyDescent="0.25">
      <c r="H15" s="25"/>
      <c r="I15">
        <v>3</v>
      </c>
      <c r="J15" s="38">
        <v>426.62704607125988</v>
      </c>
      <c r="K15" s="38">
        <v>13.47662950230122</v>
      </c>
      <c r="L15" s="38">
        <v>1059.1516312392248</v>
      </c>
      <c r="M15" s="38">
        <v>415.86674935503163</v>
      </c>
      <c r="N15" s="38">
        <v>-80.821552902854648</v>
      </c>
      <c r="O15" s="39">
        <v>-1969.8031123936048</v>
      </c>
      <c r="P15" s="25"/>
      <c r="Q15" s="23">
        <v>6528.4309753914413</v>
      </c>
      <c r="R15" s="23">
        <v>-6056.3116820241266</v>
      </c>
      <c r="S15" s="23">
        <v>-2048.4334979883783</v>
      </c>
      <c r="T15" s="23">
        <v>4142.670137607287</v>
      </c>
      <c r="U15" s="23">
        <v>-572.43665691173942</v>
      </c>
      <c r="V15" s="22">
        <v>-1709.5954922806638</v>
      </c>
    </row>
    <row r="16" spans="1:22" x14ac:dyDescent="0.25">
      <c r="H16" s="25"/>
      <c r="I16">
        <v>4</v>
      </c>
      <c r="J16" s="38">
        <v>86.605054080790637</v>
      </c>
      <c r="K16" s="38">
        <v>2.7357483254316621</v>
      </c>
      <c r="L16" s="38">
        <v>215.00719456944984</v>
      </c>
      <c r="M16" s="38">
        <v>84.420719806592246</v>
      </c>
      <c r="N16" s="38">
        <v>-16.406730479236941</v>
      </c>
      <c r="O16" s="39">
        <v>-399.86894091301372</v>
      </c>
      <c r="P16" s="25"/>
      <c r="Q16" s="23">
        <v>-5121.8857745449122</v>
      </c>
      <c r="R16" s="23">
        <v>5299.7903740297579</v>
      </c>
      <c r="S16" s="23">
        <v>1434.7619475031256</v>
      </c>
      <c r="T16" s="23">
        <v>-1104.8624430266811</v>
      </c>
      <c r="U16" s="23">
        <v>454.27457121012964</v>
      </c>
      <c r="V16" s="22">
        <v>-1400.3280676830789</v>
      </c>
    </row>
    <row r="17" spans="8:22" x14ac:dyDescent="0.25">
      <c r="H17" s="25"/>
      <c r="I17">
        <v>5</v>
      </c>
      <c r="J17" s="38">
        <v>574.95653300204651</v>
      </c>
      <c r="K17" s="38">
        <v>201.48070037902735</v>
      </c>
      <c r="L17" s="38">
        <v>105.9081470936013</v>
      </c>
      <c r="M17" s="38">
        <v>-30.789373656394691</v>
      </c>
      <c r="N17" s="38">
        <v>-153.72377639276775</v>
      </c>
      <c r="O17" s="39">
        <v>-377.08544518055288</v>
      </c>
      <c r="P17" s="25"/>
      <c r="Q17" s="23">
        <v>1009.0284312281317</v>
      </c>
      <c r="R17" s="23">
        <v>496.94326893615795</v>
      </c>
      <c r="S17" s="23">
        <v>-487.83851344211627</v>
      </c>
      <c r="T17" s="23">
        <v>870.90368602727187</v>
      </c>
      <c r="U17" s="23">
        <v>-74.961773698174127</v>
      </c>
      <c r="V17" s="22">
        <v>-1124.2176959393221</v>
      </c>
    </row>
    <row r="18" spans="8:22" x14ac:dyDescent="0.25">
      <c r="H18" s="25"/>
      <c r="I18">
        <v>6</v>
      </c>
      <c r="J18" s="38">
        <v>631.77970858372214</v>
      </c>
      <c r="K18" s="38">
        <v>19.957152595133451</v>
      </c>
      <c r="L18" s="38">
        <v>1568.4671543738045</v>
      </c>
      <c r="M18" s="38">
        <v>615.84509499966236</v>
      </c>
      <c r="N18" s="38">
        <v>-119.68631058548033</v>
      </c>
      <c r="O18" s="39">
        <v>-2917.0247122763785</v>
      </c>
      <c r="P18" s="25"/>
      <c r="Q18" s="23">
        <v>1679.2583710047375</v>
      </c>
      <c r="R18" s="23">
        <v>-903.20221385590958</v>
      </c>
      <c r="S18" s="23">
        <v>-732.65550767909099</v>
      </c>
      <c r="T18" s="23">
        <v>3626.8041706422982</v>
      </c>
      <c r="U18" s="23">
        <v>-141.07237465985727</v>
      </c>
      <c r="V18" s="22">
        <v>-3712.9024848336749</v>
      </c>
    </row>
    <row r="19" spans="8:22" x14ac:dyDescent="0.25">
      <c r="H19" s="25"/>
      <c r="I19">
        <v>7</v>
      </c>
      <c r="J19" s="38">
        <v>4590.7451266245771</v>
      </c>
      <c r="K19" s="38">
        <v>-2628.9288122960706</v>
      </c>
      <c r="L19" s="38">
        <v>418.70746221361571</v>
      </c>
      <c r="M19" s="38">
        <v>955.7395782583684</v>
      </c>
      <c r="N19" s="38">
        <v>-166.42734402385781</v>
      </c>
      <c r="O19" s="39">
        <v>-2671.7639865881833</v>
      </c>
      <c r="P19" s="25"/>
      <c r="Q19" s="23">
        <v>3971.5257055538259</v>
      </c>
      <c r="R19" s="23">
        <v>-1814.8162924507092</v>
      </c>
      <c r="S19" s="23">
        <v>-1478.3227685987383</v>
      </c>
      <c r="T19" s="23">
        <v>2990.0924414691972</v>
      </c>
      <c r="U19" s="23">
        <v>-330.60821997855328</v>
      </c>
      <c r="V19" s="22">
        <v>-2360.2425909654644</v>
      </c>
    </row>
    <row r="20" spans="8:22" x14ac:dyDescent="0.25">
      <c r="H20" s="25"/>
      <c r="I20">
        <v>8</v>
      </c>
      <c r="J20" s="38">
        <v>3883.4374077725515</v>
      </c>
      <c r="K20" s="38">
        <v>-3099.3062556205728</v>
      </c>
      <c r="L20" s="38">
        <v>-276.25222756802157</v>
      </c>
      <c r="M20" s="38">
        <v>838.48056035045443</v>
      </c>
      <c r="N20" s="38">
        <v>78.837497714174333</v>
      </c>
      <c r="O20" s="39">
        <v>-1262.4429584492125</v>
      </c>
      <c r="P20" s="25"/>
      <c r="Q20" s="23">
        <v>5096.507969948696</v>
      </c>
      <c r="R20" s="23">
        <v>-3207.7969764924687</v>
      </c>
      <c r="S20" s="23">
        <v>-1833.4209121139131</v>
      </c>
      <c r="T20" s="23">
        <v>4492.2925192864595</v>
      </c>
      <c r="U20" s="23">
        <v>-432.54596474119217</v>
      </c>
      <c r="V20" s="22">
        <v>-3435.6994277454151</v>
      </c>
    </row>
    <row r="21" spans="8:22" ht="15.75" thickBot="1" x14ac:dyDescent="0.3">
      <c r="H21" s="21"/>
      <c r="I21" s="20">
        <v>9</v>
      </c>
      <c r="J21" s="40">
        <v>3748.3330290496324</v>
      </c>
      <c r="K21" s="40">
        <v>-2604.0982187747281</v>
      </c>
      <c r="L21" s="40">
        <v>-314.82518040229041</v>
      </c>
      <c r="M21" s="40">
        <v>664.37044511632951</v>
      </c>
      <c r="N21" s="40">
        <v>-20.82319162809458</v>
      </c>
      <c r="O21" s="41">
        <v>-1100.330076285635</v>
      </c>
      <c r="P21" s="21"/>
      <c r="Q21" s="18">
        <v>1217.7262562844212</v>
      </c>
      <c r="R21" s="18">
        <v>-378.65409278054233</v>
      </c>
      <c r="S21" s="18">
        <v>-460.24639157972473</v>
      </c>
      <c r="T21" s="18">
        <v>670.5472717425032</v>
      </c>
      <c r="U21" s="18">
        <v>-99.692311228604993</v>
      </c>
      <c r="V21" s="17">
        <v>-508.0084299810174</v>
      </c>
    </row>
    <row r="22" spans="8:22" x14ac:dyDescent="0.25">
      <c r="H22" s="31" t="s">
        <v>201</v>
      </c>
      <c r="J22" s="38">
        <f>MAX(J4:J21)</f>
        <v>6936.3432328142835</v>
      </c>
      <c r="K22" s="38">
        <f t="shared" ref="K22:V22" si="0">MAX(K4:K21)</f>
        <v>7558.3172174249266</v>
      </c>
      <c r="L22" s="38">
        <f t="shared" si="0"/>
        <v>2113.0958533032576</v>
      </c>
      <c r="M22" s="38">
        <f t="shared" si="0"/>
        <v>2781.7925597658727</v>
      </c>
      <c r="N22" s="38">
        <f t="shared" si="0"/>
        <v>1300.5284851809529</v>
      </c>
      <c r="O22" s="38">
        <f t="shared" si="0"/>
        <v>-377.08544518055288</v>
      </c>
      <c r="P22" s="31" t="s">
        <v>201</v>
      </c>
      <c r="Q22" s="23">
        <f t="shared" si="0"/>
        <v>6528.4309753914413</v>
      </c>
      <c r="R22" s="23">
        <f t="shared" si="0"/>
        <v>5299.7903740297579</v>
      </c>
      <c r="S22" s="23">
        <f t="shared" si="0"/>
        <v>1434.7619475031256</v>
      </c>
      <c r="T22" s="23">
        <f t="shared" si="0"/>
        <v>6227.1691753216737</v>
      </c>
      <c r="U22" s="23">
        <f t="shared" si="0"/>
        <v>454.27457121012964</v>
      </c>
      <c r="V22" s="23">
        <f t="shared" si="0"/>
        <v>-508.0084299810174</v>
      </c>
    </row>
    <row r="23" spans="8:22" x14ac:dyDescent="0.25">
      <c r="H23" s="31" t="s">
        <v>202</v>
      </c>
      <c r="J23" s="38">
        <f>MIN(J4:J21)</f>
        <v>-6423.1111326622258</v>
      </c>
      <c r="K23" s="38">
        <f t="shared" ref="K23:V23" si="1">MIN(K4:K21)</f>
        <v>-8708.9024497407427</v>
      </c>
      <c r="L23" s="38">
        <f t="shared" si="1"/>
        <v>-838.93702749458305</v>
      </c>
      <c r="M23" s="38">
        <f t="shared" si="1"/>
        <v>-1508.5347246105348</v>
      </c>
      <c r="N23" s="38">
        <f t="shared" si="1"/>
        <v>-740.48373966800784</v>
      </c>
      <c r="O23" s="38">
        <f t="shared" si="1"/>
        <v>-4414.3763825583992</v>
      </c>
      <c r="P23" s="31" t="s">
        <v>202</v>
      </c>
      <c r="Q23" s="23">
        <f t="shared" si="1"/>
        <v>-5121.8857745449122</v>
      </c>
      <c r="R23" s="23">
        <f t="shared" si="1"/>
        <v>-6904.3763903999934</v>
      </c>
      <c r="S23" s="23">
        <f t="shared" si="1"/>
        <v>-2048.4334979883783</v>
      </c>
      <c r="T23" s="23">
        <f t="shared" si="1"/>
        <v>-1104.8624430266811</v>
      </c>
      <c r="U23" s="23">
        <f t="shared" si="1"/>
        <v>-572.43665691173942</v>
      </c>
      <c r="V23" s="23">
        <f t="shared" si="1"/>
        <v>-4309.8019550023319</v>
      </c>
    </row>
    <row r="24" spans="8:22" ht="15.75" thickBot="1" x14ac:dyDescent="0.3">
      <c r="H24" s="31" t="s">
        <v>203</v>
      </c>
      <c r="J24" s="38" cm="1">
        <f t="array" ref="J24">MAX(ABS(J4:J21))</f>
        <v>6936.3432328142835</v>
      </c>
      <c r="K24" s="38" cm="1">
        <f t="array" ref="K24">MAX(ABS(K4:K21))</f>
        <v>8708.9024497407427</v>
      </c>
      <c r="L24" s="38" cm="1">
        <f t="array" ref="L24">MAX(ABS(L4:L21))</f>
        <v>2113.0958533032576</v>
      </c>
      <c r="M24" s="38" cm="1">
        <f t="array" ref="M24">MAX(ABS(M4:M21))</f>
        <v>2781.7925597658727</v>
      </c>
      <c r="N24" s="38" cm="1">
        <f t="array" ref="N24">MAX(ABS(N4:N21))</f>
        <v>1300.5284851809529</v>
      </c>
      <c r="O24" s="38" cm="1">
        <f t="array" ref="O24">MAX(ABS(O4:O21))</f>
        <v>4414.3763825583992</v>
      </c>
      <c r="P24" s="31" t="s">
        <v>203</v>
      </c>
      <c r="Q24" s="23" cm="1">
        <f t="array" ref="Q24">MAX(ABS(Q4:Q21))</f>
        <v>6528.4309753914413</v>
      </c>
      <c r="R24" s="23" cm="1">
        <f t="array" ref="R24">MAX(ABS(R4:R21))</f>
        <v>6904.3763903999934</v>
      </c>
      <c r="S24" s="23" cm="1">
        <f t="array" ref="S24">MAX(ABS(S4:S21))</f>
        <v>2048.4334979883783</v>
      </c>
      <c r="T24" s="23" cm="1">
        <f t="array" ref="T24">MAX(ABS(T4:T21))</f>
        <v>6227.1691753216737</v>
      </c>
      <c r="U24" s="23" cm="1">
        <f t="array" ref="U24">MAX(ABS(U4:U21))</f>
        <v>572.43665691173942</v>
      </c>
      <c r="V24" s="23" cm="1">
        <f t="array" ref="V24">MAX(ABS(V4:V21))</f>
        <v>4309.8019550023319</v>
      </c>
    </row>
    <row r="25" spans="8:22" x14ac:dyDescent="0.25">
      <c r="H25" s="30" t="s">
        <v>204</v>
      </c>
      <c r="I25" s="29"/>
      <c r="J25" s="36">
        <f t="shared" ref="J25:O27" si="2">J22/4.448</f>
        <v>1559.4296836363046</v>
      </c>
      <c r="K25" s="36">
        <f>K22/4.448</f>
        <v>1699.2619643491291</v>
      </c>
      <c r="L25" s="36">
        <f t="shared" si="2"/>
        <v>475.06651378220715</v>
      </c>
      <c r="M25" s="36">
        <f t="shared" si="2"/>
        <v>625.40300354448573</v>
      </c>
      <c r="N25" s="36">
        <f t="shared" si="2"/>
        <v>292.38500116478252</v>
      </c>
      <c r="O25" s="36">
        <f t="shared" si="2"/>
        <v>-84.776404042390482</v>
      </c>
      <c r="P25" s="28" t="s">
        <v>204</v>
      </c>
      <c r="Q25" s="27">
        <f t="shared" ref="Q25:V27" si="3">Q22/4.448</f>
        <v>1467.72279123009</v>
      </c>
      <c r="R25" s="27">
        <f t="shared" si="3"/>
        <v>1191.499634449136</v>
      </c>
      <c r="S25" s="27">
        <f t="shared" si="3"/>
        <v>322.56338747822065</v>
      </c>
      <c r="T25" s="27">
        <f t="shared" si="3"/>
        <v>1399.9930699913834</v>
      </c>
      <c r="U25" s="27">
        <f t="shared" si="3"/>
        <v>102.13007446270899</v>
      </c>
      <c r="V25" s="26">
        <f t="shared" si="3"/>
        <v>-114.21052832307045</v>
      </c>
    </row>
    <row r="26" spans="8:22" x14ac:dyDescent="0.25">
      <c r="H26" s="25" t="s">
        <v>205</v>
      </c>
      <c r="J26" s="38">
        <f t="shared" si="2"/>
        <v>-1444.0447690337737</v>
      </c>
      <c r="K26" s="38">
        <f t="shared" si="2"/>
        <v>-1957.9367018302028</v>
      </c>
      <c r="L26" s="38">
        <f t="shared" si="2"/>
        <v>-188.60994323169581</v>
      </c>
      <c r="M26" s="38">
        <f t="shared" si="2"/>
        <v>-339.14899384229648</v>
      </c>
      <c r="N26" s="38">
        <f t="shared" si="2"/>
        <v>-166.47566089658449</v>
      </c>
      <c r="O26" s="38">
        <f t="shared" si="2"/>
        <v>-992.44073348884865</v>
      </c>
      <c r="P26" s="24" t="s">
        <v>205</v>
      </c>
      <c r="Q26" s="23">
        <f t="shared" si="3"/>
        <v>-1151.5030967951691</v>
      </c>
      <c r="R26" s="23">
        <f t="shared" si="3"/>
        <v>-1552.2428935251783</v>
      </c>
      <c r="S26" s="23">
        <f t="shared" si="3"/>
        <v>-460.52911375637996</v>
      </c>
      <c r="T26" s="23">
        <f t="shared" si="3"/>
        <v>-248.39533341427182</v>
      </c>
      <c r="U26" s="23">
        <f t="shared" si="3"/>
        <v>-128.69529157188384</v>
      </c>
      <c r="V26" s="22">
        <f t="shared" si="3"/>
        <v>-968.93029563901337</v>
      </c>
    </row>
    <row r="27" spans="8:22" ht="15.75" thickBot="1" x14ac:dyDescent="0.3">
      <c r="H27" s="21" t="s">
        <v>206</v>
      </c>
      <c r="I27" s="20"/>
      <c r="J27" s="40">
        <f t="shared" si="2"/>
        <v>1559.4296836363046</v>
      </c>
      <c r="K27" s="40">
        <f t="shared" si="2"/>
        <v>1957.9367018302028</v>
      </c>
      <c r="L27" s="40">
        <f t="shared" si="2"/>
        <v>475.06651378220715</v>
      </c>
      <c r="M27" s="40">
        <f t="shared" si="2"/>
        <v>625.40300354448573</v>
      </c>
      <c r="N27" s="40">
        <f t="shared" si="2"/>
        <v>292.38500116478252</v>
      </c>
      <c r="O27" s="40">
        <f t="shared" si="2"/>
        <v>992.44073348884865</v>
      </c>
      <c r="P27" s="19" t="s">
        <v>206</v>
      </c>
      <c r="Q27" s="18">
        <f t="shared" si="3"/>
        <v>1467.72279123009</v>
      </c>
      <c r="R27" s="18">
        <f t="shared" si="3"/>
        <v>1552.2428935251783</v>
      </c>
      <c r="S27" s="18">
        <f t="shared" si="3"/>
        <v>460.52911375637996</v>
      </c>
      <c r="T27" s="18">
        <f t="shared" si="3"/>
        <v>1399.9930699913834</v>
      </c>
      <c r="U27" s="18">
        <f t="shared" si="3"/>
        <v>128.69529157188384</v>
      </c>
      <c r="V27" s="17">
        <f t="shared" si="3"/>
        <v>968.93029563901337</v>
      </c>
    </row>
  </sheetData>
  <conditionalFormatting sqref="J25:O2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Q25:V2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F6E7A-101B-4AC3-8F1F-53DFD25645A6}">
  <dimension ref="A1:X30"/>
  <sheetViews>
    <sheetView workbookViewId="0">
      <pane xSplit="1" topLeftCell="L1" activePane="topRight" state="frozen"/>
      <selection pane="topRight" activeCell="L13" sqref="L13"/>
    </sheetView>
  </sheetViews>
  <sheetFormatPr defaultRowHeight="15" x14ac:dyDescent="0.25"/>
  <cols>
    <col min="1" max="2" width="12.5703125" bestFit="1" customWidth="1"/>
    <col min="3" max="3" width="14.7109375" bestFit="1" customWidth="1"/>
    <col min="4" max="4" width="8.7109375" bestFit="1" customWidth="1"/>
    <col min="5" max="5" width="14.7109375" bestFit="1" customWidth="1"/>
    <col min="6" max="6" width="5.28515625" bestFit="1" customWidth="1"/>
    <col min="7" max="7" width="7.7109375" customWidth="1"/>
    <col min="8" max="8" width="7.28515625" bestFit="1" customWidth="1"/>
    <col min="9" max="9" width="11.28515625" bestFit="1" customWidth="1"/>
    <col min="10" max="10" width="16.5703125" bestFit="1" customWidth="1"/>
    <col min="11" max="11" width="21.7109375" bestFit="1" customWidth="1"/>
    <col min="12" max="12" width="15.28515625" bestFit="1" customWidth="1"/>
    <col min="13" max="13" width="10.42578125" bestFit="1" customWidth="1"/>
    <col min="14" max="14" width="9.7109375" bestFit="1" customWidth="1"/>
    <col min="15" max="15" width="7.7109375" customWidth="1"/>
    <col min="16" max="16" width="10.7109375" bestFit="1" customWidth="1"/>
    <col min="17" max="17" width="11" bestFit="1" customWidth="1"/>
    <col min="18" max="18" width="12.7109375" bestFit="1" customWidth="1"/>
    <col min="19" max="19" width="14.7109375" bestFit="1" customWidth="1"/>
    <col min="20" max="20" width="7.7109375" bestFit="1" customWidth="1"/>
    <col min="21" max="21" width="15.28515625" bestFit="1" customWidth="1"/>
    <col min="24" max="24" width="11.7109375" bestFit="1" customWidth="1"/>
  </cols>
  <sheetData>
    <row r="1" spans="1:24" ht="15.75" thickBot="1" x14ac:dyDescent="0.3">
      <c r="Q1" t="s">
        <v>207</v>
      </c>
      <c r="S1" t="s">
        <v>208</v>
      </c>
      <c r="T1" t="s">
        <v>209</v>
      </c>
      <c r="U1" t="s">
        <v>210</v>
      </c>
      <c r="V1" t="s">
        <v>211</v>
      </c>
    </row>
    <row r="2" spans="1:24" x14ac:dyDescent="0.25">
      <c r="A2" s="31" t="s">
        <v>212</v>
      </c>
      <c r="B2" s="31" t="s">
        <v>213</v>
      </c>
      <c r="C2" s="31" t="s">
        <v>214</v>
      </c>
      <c r="D2" s="30" t="s">
        <v>215</v>
      </c>
      <c r="E2" s="60" t="s">
        <v>216</v>
      </c>
      <c r="F2" s="31" t="s">
        <v>217</v>
      </c>
      <c r="G2" s="31" t="s">
        <v>218</v>
      </c>
      <c r="H2" s="31" t="s">
        <v>219</v>
      </c>
      <c r="I2" s="31" t="s">
        <v>220</v>
      </c>
      <c r="J2" s="79" t="s">
        <v>221</v>
      </c>
      <c r="K2" s="79" t="s">
        <v>222</v>
      </c>
      <c r="L2" s="56" t="s">
        <v>223</v>
      </c>
      <c r="M2" s="31" t="s">
        <v>224</v>
      </c>
      <c r="N2" s="31" t="s">
        <v>225</v>
      </c>
      <c r="O2" s="31" t="s">
        <v>226</v>
      </c>
      <c r="P2" s="56" t="s">
        <v>227</v>
      </c>
      <c r="Q2" s="30" t="s">
        <v>228</v>
      </c>
      <c r="R2" s="55" t="s">
        <v>229</v>
      </c>
      <c r="S2" s="29"/>
      <c r="T2" s="29"/>
      <c r="U2" s="29"/>
      <c r="V2" s="29"/>
      <c r="W2" s="29"/>
      <c r="X2" s="44"/>
    </row>
    <row r="3" spans="1:24" x14ac:dyDescent="0.25">
      <c r="A3" t="s">
        <v>230</v>
      </c>
      <c r="B3" s="16">
        <f ca="1">SQRT((F_LCA_FORE_X-F_LCA_OUT_X)^2+(F_LCA_FORE_Y-F_LCA_OUT_Y)^2+(F_LCA_FORE_Z-F_LCA_OUT_Z)^2)</f>
        <v>447.07874986516646</v>
      </c>
      <c r="C3" s="15">
        <f ca="1">B3/25.4</f>
        <v>17.601525585242776</v>
      </c>
      <c r="D3">
        <v>0.625</v>
      </c>
      <c r="E3">
        <v>5.8000000000000003E-2</v>
      </c>
      <c r="F3" s="15">
        <f>0.25*PI()*(D3^2-(D3-2*E3)^2)</f>
        <v>0.10331441600595394</v>
      </c>
      <c r="G3" s="35">
        <f>0.25*PI()*((D3/2)^4-(D3/2-E3)^4)</f>
        <v>4.1952497478477688E-3</v>
      </c>
      <c r="H3">
        <v>4130</v>
      </c>
      <c r="I3" s="15">
        <f ca="1">VLOOKUP(H3,Materials[],2,FALSE)*F3*C3/2.2</f>
        <v>0.23475069982250577</v>
      </c>
      <c r="J3" s="80">
        <f>'Suspension Forces'!J25</f>
        <v>1559.4296836363046</v>
      </c>
      <c r="K3" s="80">
        <f>'Suspension Forces'!J26</f>
        <v>-1444.0447690337737</v>
      </c>
      <c r="L3" s="57">
        <f>VLOOKUP(H3,Materials[],3,FALSE)/(J3/F3/1000)</f>
        <v>4.418969075622833</v>
      </c>
      <c r="M3" s="15">
        <f ca="1">J3/1000*C3/(VLOOKUP(H3,Materials[],6,FALSE)*F3)</f>
        <v>8.9453787513408614E-3</v>
      </c>
      <c r="N3">
        <v>1</v>
      </c>
      <c r="O3" s="23">
        <f ca="1">(PI()^2*VLOOKUP(H3,Materials[],6,FALSE)*G3)/(N3*C3)^2*1000</f>
        <v>3969.2951377437171</v>
      </c>
      <c r="P3" s="57">
        <f ca="1">-O3/K3</f>
        <v>2.7487341271279395</v>
      </c>
      <c r="Q3" s="51" t="s">
        <v>231</v>
      </c>
      <c r="R3" s="16" cm="1">
        <f t="array" ref="R3">VLOOKUP(Q3,NAS_Shear[],5,FALSE)/MAX(ABS(J3:K3))</f>
        <v>3.1871252707977948</v>
      </c>
      <c r="S3" t="s">
        <v>232</v>
      </c>
      <c r="T3" t="s">
        <v>233</v>
      </c>
      <c r="U3" s="15">
        <f>(D3-2*E3)-0.002</f>
        <v>0.50700000000000001</v>
      </c>
      <c r="V3">
        <v>0.219</v>
      </c>
      <c r="X3" s="52"/>
    </row>
    <row r="4" spans="1:24" x14ac:dyDescent="0.25">
      <c r="A4" t="s">
        <v>234</v>
      </c>
      <c r="B4" s="16">
        <f ca="1">SQRT((F_LCA_AFT_X-F_LCA_OUT_X)^2+(F_LCA_AFT_Y-F_LCA_OUT_Y)^2+(F_LCA_AFT_Z-F_LCA_OUT_Z)^2)</f>
        <v>470.53840539216355</v>
      </c>
      <c r="C4" s="15">
        <f ca="1">B4/25.4</f>
        <v>18.52513407055762</v>
      </c>
      <c r="D4">
        <v>0.625</v>
      </c>
      <c r="E4">
        <v>6.5000000000000002E-2</v>
      </c>
      <c r="F4" s="15">
        <f>0.25*PI()*(D4^2-(D4-2*E4)^2)</f>
        <v>0.11435397259066847</v>
      </c>
      <c r="G4" s="35">
        <f t="shared" ref="G4:G14" si="0">0.25*PI()*((D4/2)^4-(D4/2-E4)^4)</f>
        <v>4.5430689173286513E-3</v>
      </c>
      <c r="H4">
        <v>4130</v>
      </c>
      <c r="I4" s="15">
        <f ca="1">VLOOKUP(H4,Materials[],2,FALSE)*F4*C4/2.2</f>
        <v>0.27346910879227876</v>
      </c>
      <c r="J4" s="80">
        <f>'Suspension Forces'!K25</f>
        <v>1699.2619643491291</v>
      </c>
      <c r="K4" s="80">
        <f>'Suspension Forces'!K26</f>
        <v>-1957.9367018302028</v>
      </c>
      <c r="L4" s="57">
        <f>VLOOKUP(H4,Materials[],3,FALSE)/(J4/F4/1000)</f>
        <v>4.4886604489609256</v>
      </c>
      <c r="M4" s="15">
        <f ca="1">J4/1000*C4/(VLOOKUP(H4,Materials[],6,FALSE)*F4)</f>
        <v>9.2685968109702324E-3</v>
      </c>
      <c r="N4">
        <v>1</v>
      </c>
      <c r="O4" s="23">
        <f ca="1">(PI()^2*VLOOKUP(H4,Materials[],6,FALSE)*G4)/(N4*C4)^2*1000</f>
        <v>3880.4563290818714</v>
      </c>
      <c r="P4" s="57">
        <f t="shared" ref="P4:P14" ca="1" si="1">-O4/K4</f>
        <v>1.9819110216661102</v>
      </c>
      <c r="Q4" s="51" t="s">
        <v>231</v>
      </c>
      <c r="R4" s="16" cm="1">
        <f t="array" ref="R4">VLOOKUP(Q4,NAS_Shear[],5,FALSE)/MAX(ABS(J4:K4))</f>
        <v>2.5384363795334259</v>
      </c>
      <c r="S4" t="s">
        <v>235</v>
      </c>
      <c r="T4" t="s">
        <v>233</v>
      </c>
      <c r="U4" s="15">
        <f t="shared" ref="U4:U13" si="2">(D4-2*E4)-0.002</f>
        <v>0.49299999999999999</v>
      </c>
      <c r="V4">
        <v>0.219</v>
      </c>
      <c r="X4" s="52"/>
    </row>
    <row r="5" spans="1:24" x14ac:dyDescent="0.25">
      <c r="A5" t="s">
        <v>236</v>
      </c>
      <c r="B5" s="16">
        <f ca="1">SQRT((F_UCA_FORE_X-F_UCA_OUT_X)^2+(F_UCA_FORE_Y-F_UCA_OUT_Y)^2+(F_UCA_FORE_Z-F_UCA_OUT_Z)^2)</f>
        <v>350.63777800031767</v>
      </c>
      <c r="C5" s="15">
        <f ca="1">B5/25.4</f>
        <v>13.804636929146366</v>
      </c>
      <c r="D5">
        <v>0.5</v>
      </c>
      <c r="E5">
        <v>2.8000000000000001E-2</v>
      </c>
      <c r="F5" s="15">
        <f>0.25*PI()*(D5^2-(D5-2*E5)^2)</f>
        <v>4.1519288509842704E-2</v>
      </c>
      <c r="G5" s="35">
        <f t="shared" si="0"/>
        <v>1.1602980366960643E-3</v>
      </c>
      <c r="H5">
        <v>4130</v>
      </c>
      <c r="I5" s="15">
        <f ca="1">VLOOKUP(H5,Materials[],2,FALSE)*F5*C5/2.2</f>
        <v>7.3989578079772425E-2</v>
      </c>
      <c r="J5" s="80">
        <f>'Suspension Forces'!L25</f>
        <v>475.06651378220715</v>
      </c>
      <c r="K5" s="80">
        <f>'Suspension Forces'!L26</f>
        <v>-188.60994323169581</v>
      </c>
      <c r="L5" s="57">
        <f>VLOOKUP(H5,Materials[],3,FALSE)/(J5/F5/1000)</f>
        <v>5.8293659166979364</v>
      </c>
      <c r="M5" s="15">
        <f ca="1">J5/1000*C5/(VLOOKUP(H5,Materials[],6,FALSE)*F5)</f>
        <v>5.3183027467873954E-3</v>
      </c>
      <c r="N5">
        <v>1</v>
      </c>
      <c r="O5" s="23">
        <f ca="1">(PI()^2*VLOOKUP(H5,Materials[],6,FALSE)*G5)/(N5*C5)^2*1000</f>
        <v>1784.7433576100973</v>
      </c>
      <c r="P5" s="57">
        <f t="shared" ca="1" si="1"/>
        <v>9.4626154222296162</v>
      </c>
      <c r="Q5" s="51" t="s">
        <v>231</v>
      </c>
      <c r="R5" s="16" cm="1">
        <f t="array" ref="R5">VLOOKUP(Q5,NAS_Shear[],5,FALSE)/MAX(ABS(J5:K5))</f>
        <v>10.461898720624211</v>
      </c>
      <c r="S5" t="s">
        <v>237</v>
      </c>
      <c r="T5" t="s">
        <v>233</v>
      </c>
      <c r="U5" s="15">
        <f t="shared" si="2"/>
        <v>0.442</v>
      </c>
      <c r="V5">
        <v>0.219</v>
      </c>
      <c r="X5" s="52"/>
    </row>
    <row r="6" spans="1:24" x14ac:dyDescent="0.25">
      <c r="A6" t="s">
        <v>238</v>
      </c>
      <c r="B6" s="16">
        <f ca="1">SQRT((F_UCA_AFT_X-F_UCA_OUT_X)^2+(F_UCA_AFT_Y-F_UCA_OUT_Y)^2+(F_UCA_AFT_Z-F_UCA_OUT_Z)^2)</f>
        <v>335.47609210493675</v>
      </c>
      <c r="C6" s="15">
        <f t="shared" ref="C6" ca="1" si="3">B6/25.4</f>
        <v>13.207720161611684</v>
      </c>
      <c r="D6">
        <v>0.5</v>
      </c>
      <c r="E6">
        <v>2.8000000000000001E-2</v>
      </c>
      <c r="F6" s="15">
        <f t="shared" ref="F6" si="4">0.25*PI()*(D6^2-(D6-2*E6)^2)</f>
        <v>4.1519288509842704E-2</v>
      </c>
      <c r="G6" s="35">
        <f t="shared" si="0"/>
        <v>1.1602980366960643E-3</v>
      </c>
      <c r="H6">
        <v>4130</v>
      </c>
      <c r="I6" s="15">
        <f ca="1">VLOOKUP(H6,Materials[],2,FALSE)*F6*C6/2.2</f>
        <v>7.0790245855004985E-2</v>
      </c>
      <c r="J6" s="80">
        <f>'Suspension Forces'!M25</f>
        <v>625.40300354448573</v>
      </c>
      <c r="K6" s="80">
        <f>'Suspension Forces'!M26</f>
        <v>-339.14899384229648</v>
      </c>
      <c r="L6" s="57">
        <f>VLOOKUP(H6,Materials[],3,FALSE)/(J6/F6/1000)</f>
        <v>4.428083216599906</v>
      </c>
      <c r="M6" s="15">
        <f ca="1">J6/1000*C6/(VLOOKUP(H6,Materials[],6,FALSE)*F6)</f>
        <v>6.6985602719959259E-3</v>
      </c>
      <c r="N6">
        <v>1</v>
      </c>
      <c r="O6" s="23">
        <f ca="1">(PI()^2*VLOOKUP(H6,Materials[],6,FALSE)*G6)/(N6*C6)^2*1000</f>
        <v>1949.7100692772142</v>
      </c>
      <c r="P6" s="57">
        <f t="shared" ca="1" si="1"/>
        <v>5.7488304688405618</v>
      </c>
      <c r="Q6" s="51" t="s">
        <v>231</v>
      </c>
      <c r="R6" s="16" cm="1">
        <f t="array" ref="R6">VLOOKUP(Q6,NAS_Shear[],5,FALSE)/MAX(ABS(J6:K6))</f>
        <v>7.9470321130236581</v>
      </c>
      <c r="S6" t="s">
        <v>239</v>
      </c>
      <c r="T6" t="s">
        <v>233</v>
      </c>
      <c r="U6" s="15">
        <f t="shared" si="2"/>
        <v>0.442</v>
      </c>
      <c r="V6">
        <v>0.219</v>
      </c>
      <c r="X6" s="52"/>
    </row>
    <row r="7" spans="1:24" x14ac:dyDescent="0.25">
      <c r="A7" t="s">
        <v>240</v>
      </c>
      <c r="B7" s="16">
        <f ca="1">SQRT((F_TIE_IN_X-F_TIE_OUT_X)^2+(F_TIE_IN_Y-F_TIE_OUT_Y)^2+(F_TIE_IN_Z-F_TIE_OUT_Z)^2)</f>
        <v>386.96048503206362</v>
      </c>
      <c r="C7" s="15">
        <f t="shared" ref="C7:C14" ca="1" si="5">B7/25.4</f>
        <v>15.234664765041876</v>
      </c>
      <c r="D7">
        <v>0.375</v>
      </c>
      <c r="E7">
        <v>2.8000000000000001E-2</v>
      </c>
      <c r="F7" s="15">
        <f t="shared" ref="F7:F14" si="6">0.25*PI()*(D7^2-(D7-2*E7)^2)</f>
        <v>3.0523714222278425E-2</v>
      </c>
      <c r="G7" s="35">
        <f t="shared" si="0"/>
        <v>4.6240756221757368E-4</v>
      </c>
      <c r="H7">
        <v>4130</v>
      </c>
      <c r="I7" s="15">
        <f ca="1">VLOOKUP(H7,Materials[],2,FALSE)*F7*C7/2.2</f>
        <v>6.0029667823245529E-2</v>
      </c>
      <c r="J7" s="80">
        <f>'Suspension Forces'!N25</f>
        <v>292.38500116478252</v>
      </c>
      <c r="K7" s="80">
        <f>'Suspension Forces'!N26</f>
        <v>-166.47566089658449</v>
      </c>
      <c r="L7" s="57">
        <f>VLOOKUP(H7,Materials[],3,FALSE)/(J7/F7/1000)</f>
        <v>6.963188024404027</v>
      </c>
      <c r="M7" s="15">
        <f ca="1">J7/1000*C7/(VLOOKUP(H7,Materials[],6,FALSE)*F7)</f>
        <v>4.9135362483370137E-3</v>
      </c>
      <c r="N7">
        <v>1</v>
      </c>
      <c r="O7" s="23">
        <f ca="1">(PI()^2*VLOOKUP(H7,Materials[],6,FALSE)*G7)/(N7*C7)^2*1000</f>
        <v>584.00332315444325</v>
      </c>
      <c r="P7" s="57">
        <f ca="1">-O7/K7</f>
        <v>3.5080402745313566</v>
      </c>
      <c r="Q7" s="51" t="s">
        <v>231</v>
      </c>
      <c r="R7" s="16" cm="1">
        <f t="array" ref="R7">VLOOKUP(Q7,NAS_Shear[],5,FALSE)/MAX(ABS(J7:K7))</f>
        <v>16.998470280451993</v>
      </c>
      <c r="S7" t="s">
        <v>241</v>
      </c>
      <c r="T7" t="s">
        <v>233</v>
      </c>
      <c r="U7" s="15">
        <f t="shared" si="2"/>
        <v>0.317</v>
      </c>
      <c r="V7">
        <v>0.219</v>
      </c>
      <c r="X7" s="52"/>
    </row>
    <row r="8" spans="1:24" x14ac:dyDescent="0.25">
      <c r="A8" t="s">
        <v>242</v>
      </c>
      <c r="B8" s="16">
        <f ca="1">SQRT((F_PUSH_IN_X-F_PUSH_OUT_X)^2+(F_PUSH_IN_Y-F_PUSH_OUT_Y)^2+(F_PUSH_IN_Z-F_PUSH_OUT_Z)^2)</f>
        <v>1055.5401498953038</v>
      </c>
      <c r="C8" s="15">
        <f t="shared" ca="1" si="5"/>
        <v>41.556698814775743</v>
      </c>
      <c r="D8">
        <v>0.625</v>
      </c>
      <c r="E8">
        <v>2.8000000000000001E-2</v>
      </c>
      <c r="F8" s="15">
        <f t="shared" si="6"/>
        <v>5.2514862797407011E-2</v>
      </c>
      <c r="G8" s="35">
        <f t="shared" si="0"/>
        <v>2.3447426733992755E-3</v>
      </c>
      <c r="H8">
        <v>4130</v>
      </c>
      <c r="I8" s="15">
        <f ca="1">VLOOKUP(H8,Materials[],2,FALSE)*F8*C8/2.2</f>
        <v>0.28172081435736201</v>
      </c>
      <c r="J8" s="80">
        <f>'Suspension Forces'!O25</f>
        <v>-84.776404042390482</v>
      </c>
      <c r="K8" s="80">
        <f>'Suspension Forces'!O26</f>
        <v>-992.44073348884865</v>
      </c>
      <c r="L8" s="57"/>
      <c r="M8" s="15">
        <f ca="1">K8/1000*C8/(VLOOKUP(H8,Materials[],6,FALSE)*F8)</f>
        <v>-2.6442769377229069E-2</v>
      </c>
      <c r="N8">
        <v>1</v>
      </c>
      <c r="O8" s="23">
        <f ca="1">(PI()^2*VLOOKUP(H8,Materials[],6,FALSE)*G8)/(N8*C8)^2*1000</f>
        <v>397.98737976070402</v>
      </c>
      <c r="P8" s="57">
        <f t="shared" ca="1" si="1"/>
        <v>0.40101878765254845</v>
      </c>
      <c r="Q8" s="51" t="s">
        <v>231</v>
      </c>
      <c r="R8" s="16" cm="1">
        <f t="array" ref="R8">VLOOKUP(Q8,NAS_Shear[],5,FALSE)/MAX(ABS(J8:K8))</f>
        <v>5.0079542133236332</v>
      </c>
      <c r="S8" t="s">
        <v>241</v>
      </c>
      <c r="T8" t="s">
        <v>233</v>
      </c>
      <c r="U8" s="15">
        <f t="shared" si="2"/>
        <v>0.56699999999999995</v>
      </c>
      <c r="V8">
        <v>0.219</v>
      </c>
      <c r="X8" s="52"/>
    </row>
    <row r="9" spans="1:24" x14ac:dyDescent="0.25">
      <c r="A9" t="s">
        <v>243</v>
      </c>
      <c r="B9" s="16">
        <f ca="1">SQRT((R_LCA_FORE_X-R_LCA_OUT_X)^2+(R_LCA_FORE_Y-R_LCA_OUT_Y)^2+(R_LCA_FORE_Z-R_LCA_OUT_Z)^2)</f>
        <v>290.65615024719301</v>
      </c>
      <c r="C9" s="15">
        <f t="shared" ca="1" si="5"/>
        <v>11.443155521543032</v>
      </c>
      <c r="D9">
        <v>0.625</v>
      </c>
      <c r="E9">
        <v>2.8000000000000001E-2</v>
      </c>
      <c r="F9" s="15">
        <f t="shared" si="6"/>
        <v>5.2514862797407011E-2</v>
      </c>
      <c r="G9" s="35">
        <f t="shared" si="0"/>
        <v>2.3447426733992755E-3</v>
      </c>
      <c r="H9">
        <v>4130</v>
      </c>
      <c r="I9" s="15">
        <f ca="1">VLOOKUP(H9,Materials[],2,FALSE)*F9*C9/2.2</f>
        <v>7.7575341263652384E-2</v>
      </c>
      <c r="J9" s="80">
        <f>'Suspension Forces'!Q25</f>
        <v>1467.72279123009</v>
      </c>
      <c r="K9" s="80">
        <f>'Suspension Forces'!Q26</f>
        <v>-1151.5030967951691</v>
      </c>
      <c r="L9" s="57">
        <f>VLOOKUP(H9,Materials[],3,FALSE)/(J9/F9/1000)</f>
        <v>2.3865142447310643</v>
      </c>
      <c r="M9" s="15">
        <f ca="1">J9/1000*C9/(VLOOKUP(H9,Materials[],6,FALSE)*F9)</f>
        <v>1.0768399372116511E-2</v>
      </c>
      <c r="N9">
        <v>1</v>
      </c>
      <c r="O9" s="23">
        <f ca="1">(PI()^2*VLOOKUP(H9,Materials[],6,FALSE)*G9)/(N9*C9)^2*1000</f>
        <v>5248.797059300703</v>
      </c>
      <c r="P9" s="57">
        <f t="shared" ca="1" si="1"/>
        <v>4.5582135852773709</v>
      </c>
      <c r="Q9" s="51" t="s">
        <v>231</v>
      </c>
      <c r="R9" s="16" cm="1">
        <f t="array" ref="R9">VLOOKUP(Q9,NAS_Shear[],5,FALSE)/MAX(ABS(J9:K9))</f>
        <v>3.3862646151212701</v>
      </c>
      <c r="S9" t="s">
        <v>244</v>
      </c>
      <c r="T9" t="s">
        <v>245</v>
      </c>
      <c r="U9" s="15">
        <f t="shared" si="2"/>
        <v>0.56699999999999995</v>
      </c>
      <c r="V9">
        <v>0.27560000000000001</v>
      </c>
      <c r="X9" s="52"/>
    </row>
    <row r="10" spans="1:24" x14ac:dyDescent="0.25">
      <c r="A10" t="s">
        <v>246</v>
      </c>
      <c r="B10" s="16">
        <f ca="1">SQRT((R_LCA_AFT_X-R_LCA_OUT_X)^2+(R_LCA_AFT_Y-R_LCA_OUT_Y)^2+(R_LCA_AFT_Z-R_LCA_OUT_Z)^2)</f>
        <v>279.06147203774242</v>
      </c>
      <c r="C10" s="15">
        <f t="shared" ca="1" si="5"/>
        <v>10.986672127470175</v>
      </c>
      <c r="D10">
        <v>0.625</v>
      </c>
      <c r="E10">
        <v>2.8000000000000001E-2</v>
      </c>
      <c r="F10" s="15">
        <f t="shared" si="6"/>
        <v>5.2514862797407011E-2</v>
      </c>
      <c r="G10" s="35">
        <f t="shared" si="0"/>
        <v>2.3447426733992755E-3</v>
      </c>
      <c r="H10">
        <v>4130</v>
      </c>
      <c r="I10" s="15">
        <f ca="1">VLOOKUP(H10,Materials[],2,FALSE)*F10*C10/2.2</f>
        <v>7.448075297375932E-2</v>
      </c>
      <c r="J10" s="80">
        <f>'Suspension Forces'!R25</f>
        <v>1191.499634449136</v>
      </c>
      <c r="K10" s="80">
        <f>'Suspension Forces'!R26</f>
        <v>-1552.2428935251783</v>
      </c>
      <c r="L10" s="57">
        <f>VLOOKUP(H10,Materials[],3,FALSE)/(J10/F10/1000)</f>
        <v>2.9397754286399458</v>
      </c>
      <c r="M10" s="15">
        <f ca="1">J10/1000*C10/(VLOOKUP(H10,Materials[],6,FALSE)*F10)</f>
        <v>8.3930805883584945E-3</v>
      </c>
      <c r="N10">
        <v>1</v>
      </c>
      <c r="O10" s="23">
        <f ca="1">(PI()^2*VLOOKUP(H10,Materials[],6,FALSE)*G10)/(N10*C10)^2*1000</f>
        <v>5694.0208602699449</v>
      </c>
      <c r="P10" s="57">
        <f t="shared" ca="1" si="1"/>
        <v>3.6682537791097221</v>
      </c>
      <c r="Q10" s="51" t="s">
        <v>231</v>
      </c>
      <c r="R10" s="16" cm="1">
        <f t="array" ref="R10">VLOOKUP(Q10,NAS_Shear[],5,FALSE)/MAX(ABS(J10:K10))</f>
        <v>3.2018814667994864</v>
      </c>
      <c r="S10" t="s">
        <v>244</v>
      </c>
      <c r="T10" t="s">
        <v>245</v>
      </c>
      <c r="U10" s="15">
        <f t="shared" si="2"/>
        <v>0.56699999999999995</v>
      </c>
      <c r="V10">
        <v>0.27560000000000001</v>
      </c>
      <c r="X10" s="52"/>
    </row>
    <row r="11" spans="1:24" x14ac:dyDescent="0.25">
      <c r="A11" t="s">
        <v>247</v>
      </c>
      <c r="B11" s="16">
        <f ca="1">SQRT((R_UCA_FORE_X-R_UCA_OUT_X)^2+(R_UCA_FORE_Y-R_UCA_OUT_Y)^2+(R_UCA_FORE_Z-R_UCA_OUT_Z)^2)</f>
        <v>211.0861190920246</v>
      </c>
      <c r="C11" s="15">
        <f t="shared" ca="1" si="5"/>
        <v>8.3104771296072677</v>
      </c>
      <c r="D11">
        <v>0.5</v>
      </c>
      <c r="E11">
        <v>2.8000000000000001E-2</v>
      </c>
      <c r="F11" s="15">
        <f t="shared" si="6"/>
        <v>4.1519288509842704E-2</v>
      </c>
      <c r="G11" s="35">
        <f t="shared" si="0"/>
        <v>1.1602980366960643E-3</v>
      </c>
      <c r="H11">
        <v>4130</v>
      </c>
      <c r="I11" s="15">
        <f ca="1">VLOOKUP(H11,Materials[],2,FALSE)*F11*C11/2.2</f>
        <v>4.4542185326366474E-2</v>
      </c>
      <c r="J11" s="80">
        <f>'Suspension Forces'!S25</f>
        <v>322.56338747822065</v>
      </c>
      <c r="K11" s="80">
        <f>'Suspension Forces'!S26</f>
        <v>-460.52911375637996</v>
      </c>
      <c r="L11" s="57">
        <f>VLOOKUP(H11,Materials[],3,FALSE)/(J11/F11/1000)</f>
        <v>8.5854025940668581</v>
      </c>
      <c r="M11" s="15">
        <f ca="1">J11/1000*C11/(VLOOKUP(H11,Materials[],6,FALSE)*F11)</f>
        <v>2.1738755499850731E-3</v>
      </c>
      <c r="N11">
        <v>1</v>
      </c>
      <c r="O11" s="23">
        <f ca="1">(PI()^2*VLOOKUP(H11,Materials[],6,FALSE)*G11)/(N11*C11)^2*1000</f>
        <v>4924.6325895579239</v>
      </c>
      <c r="P11" s="57">
        <f t="shared" ca="1" si="1"/>
        <v>10.693422939951319</v>
      </c>
      <c r="Q11" s="51" t="s">
        <v>231</v>
      </c>
      <c r="R11" s="16" cm="1">
        <f t="array" ref="R11">VLOOKUP(Q11,NAS_Shear[],5,FALSE)/MAX(ABS(J11:K11))</f>
        <v>10.792146694505529</v>
      </c>
      <c r="S11" t="s">
        <v>244</v>
      </c>
      <c r="T11" t="s">
        <v>245</v>
      </c>
      <c r="U11" s="15" t="s">
        <v>248</v>
      </c>
      <c r="V11">
        <v>0.27560000000000001</v>
      </c>
      <c r="X11" s="52"/>
    </row>
    <row r="12" spans="1:24" x14ac:dyDescent="0.25">
      <c r="A12" t="s">
        <v>249</v>
      </c>
      <c r="B12" s="16">
        <f ca="1">SQRT((R_UCA_AFT_X-R_UCA_OUT_X)^2+(R_UCA_AFT_Y-R_UCA_OUT_Y)^2+(R_UCA_AFT_Z-R_UCA_OUT_Z)^2)</f>
        <v>230.17987479484617</v>
      </c>
      <c r="C12" s="15">
        <f t="shared" ca="1" si="5"/>
        <v>9.0621997950726847</v>
      </c>
      <c r="D12">
        <v>0.5</v>
      </c>
      <c r="E12">
        <v>2.8000000000000001E-2</v>
      </c>
      <c r="F12" s="15">
        <f t="shared" si="6"/>
        <v>4.1519288509842704E-2</v>
      </c>
      <c r="G12" s="35">
        <f t="shared" si="0"/>
        <v>1.1602980366960643E-3</v>
      </c>
      <c r="H12">
        <v>4130</v>
      </c>
      <c r="I12" s="15">
        <f ca="1">VLOOKUP(H12,Materials[],2,FALSE)*F12*C12/2.2</f>
        <v>4.8571240428377585E-2</v>
      </c>
      <c r="J12" s="80">
        <f>'Suspension Forces'!T25</f>
        <v>1399.9930699913834</v>
      </c>
      <c r="K12" s="80">
        <f>'Suspension Forces'!T26</f>
        <v>-248.39533341427182</v>
      </c>
      <c r="L12" s="57">
        <f>VLOOKUP(H12,Materials[],3,FALSE)/(J12/F12/1000)</f>
        <v>1.9781073227909285</v>
      </c>
      <c r="M12" s="15">
        <f ca="1">J12/1000*C12/(VLOOKUP(H12,Materials[],6,FALSE)*F12)</f>
        <v>1.0288526174945307E-2</v>
      </c>
      <c r="N12">
        <v>1</v>
      </c>
      <c r="O12" s="23">
        <f ca="1">(PI()^2*VLOOKUP(H12,Materials[],6,FALSE)*G12)/(N12*C12)^2*1000</f>
        <v>4141.5078258399562</v>
      </c>
      <c r="P12" s="57">
        <f ca="1">-O12/K12</f>
        <v>16.673050048540087</v>
      </c>
      <c r="Q12" s="51" t="s">
        <v>231</v>
      </c>
      <c r="R12" s="16" cm="1">
        <f t="array" ref="R12">VLOOKUP(Q12,NAS_Shear[],5,FALSE)/MAX(ABS(J12:K12))</f>
        <v>3.550087396346945</v>
      </c>
      <c r="S12" t="s">
        <v>244</v>
      </c>
      <c r="T12" t="s">
        <v>245</v>
      </c>
      <c r="U12" s="15">
        <f t="shared" si="2"/>
        <v>0.442</v>
      </c>
      <c r="V12">
        <v>0.27560000000000001</v>
      </c>
      <c r="X12" s="52"/>
    </row>
    <row r="13" spans="1:24" x14ac:dyDescent="0.25">
      <c r="A13" t="s">
        <v>250</v>
      </c>
      <c r="B13" s="16">
        <f ca="1">SQRT((R_TIE_IN_X-R_TIE_OUT_X)^2+(R_TIE_IN_Y-R_TIE_OUT_Y)^2+(R_TIE_IN_Z-R_TIE_OUT_Z)^2)</f>
        <v>247.86738471408452</v>
      </c>
      <c r="C13" s="15">
        <f t="shared" ca="1" si="5"/>
        <v>9.7585584533104139</v>
      </c>
      <c r="D13">
        <v>0.5</v>
      </c>
      <c r="E13">
        <v>2.8000000000000001E-2</v>
      </c>
      <c r="F13" s="15">
        <f t="shared" si="6"/>
        <v>4.1519288509842704E-2</v>
      </c>
      <c r="G13" s="35">
        <f t="shared" si="0"/>
        <v>1.1602980366960643E-3</v>
      </c>
      <c r="H13">
        <v>4130</v>
      </c>
      <c r="I13" s="15">
        <f ca="1">VLOOKUP(H13,Materials[],2,FALSE)*F13*C13/2.2</f>
        <v>5.2303557589607849E-2</v>
      </c>
      <c r="J13" s="80">
        <f>'Suspension Forces'!U25</f>
        <v>102.13007446270899</v>
      </c>
      <c r="K13" s="80">
        <f>'Suspension Forces'!U26</f>
        <v>-128.69529157188384</v>
      </c>
      <c r="L13" s="57">
        <f>VLOOKUP(H13,Materials[],3,FALSE)/(J13/F13/1000)</f>
        <v>27.115779149046674</v>
      </c>
      <c r="M13" s="15">
        <f ca="1">J13/1000*C13/(VLOOKUP(H13,Materials[],6,FALSE)*F13)</f>
        <v>8.082262739168677E-4</v>
      </c>
      <c r="N13">
        <v>1</v>
      </c>
      <c r="O13" s="23">
        <f ca="1">(PI()^2*VLOOKUP(H13,Materials[],6,FALSE)*G13)/(N13*C13)^2*1000</f>
        <v>3571.530936744784</v>
      </c>
      <c r="P13" s="57">
        <f ca="1">-O13/K13</f>
        <v>27.75183841710227</v>
      </c>
      <c r="Q13" s="51" t="s">
        <v>231</v>
      </c>
      <c r="R13" s="16" cm="1">
        <f t="array" ref="R13">VLOOKUP(Q13,NAS_Shear[],5,FALSE)/MAX(ABS(J13:K13))</f>
        <v>38.619111018318698</v>
      </c>
      <c r="S13" t="s">
        <v>244</v>
      </c>
      <c r="T13" t="s">
        <v>245</v>
      </c>
      <c r="U13" s="15">
        <f t="shared" si="2"/>
        <v>0.442</v>
      </c>
      <c r="V13">
        <v>0.27560000000000001</v>
      </c>
      <c r="X13" s="52"/>
    </row>
    <row r="14" spans="1:24" ht="15.75" thickBot="1" x14ac:dyDescent="0.3">
      <c r="A14" t="s">
        <v>251</v>
      </c>
      <c r="B14" s="16">
        <f ca="1">SQRT((R_PUSH_IN_X-R_PUSH_OUT_X)^2+(R_PUSH_IN_Y-R_PUSH_OUT_Y)^2+(R_PUSH_IN_Z-R_PUSH_OUT_Z)^2)</f>
        <v>1143.149772326881</v>
      </c>
      <c r="C14" s="15">
        <f t="shared" ca="1" si="5"/>
        <v>45.005896548302402</v>
      </c>
      <c r="D14">
        <v>0.5</v>
      </c>
      <c r="E14">
        <v>2.8000000000000001E-2</v>
      </c>
      <c r="F14" s="15">
        <f t="shared" si="6"/>
        <v>4.1519288509842704E-2</v>
      </c>
      <c r="G14" s="35">
        <f t="shared" si="0"/>
        <v>1.1602980366960643E-3</v>
      </c>
      <c r="H14">
        <v>4130</v>
      </c>
      <c r="I14" s="15">
        <f ca="1">VLOOKUP(H14,Materials[],2,FALSE)*F14*C14/2.2</f>
        <v>0.24122092553409125</v>
      </c>
      <c r="J14" s="80">
        <f>'Suspension Forces'!V25</f>
        <v>-114.21052832307045</v>
      </c>
      <c r="K14" s="80">
        <f>'Suspension Forces'!V26</f>
        <v>-968.93029563901337</v>
      </c>
      <c r="L14" s="57"/>
      <c r="M14" s="15">
        <f ca="1">K14/1000*C14/(VLOOKUP(H14,Materials[],6,FALSE)*F14)</f>
        <v>-3.5363529258460029E-2</v>
      </c>
      <c r="N14">
        <v>1</v>
      </c>
      <c r="O14" s="23">
        <f ca="1">(PI()^2*VLOOKUP(H14,Materials[],6,FALSE)*G14)/(N14*C14)^2*1000</f>
        <v>167.9140036999496</v>
      </c>
      <c r="P14" s="58">
        <f t="shared" ca="1" si="1"/>
        <v>0.17329833162994418</v>
      </c>
      <c r="Q14" s="50" t="s">
        <v>231</v>
      </c>
      <c r="R14" s="48" cm="1">
        <f t="array" ref="R14">VLOOKUP(Q14,NAS_Shear[],5,FALSE)/MAX(ABS(J14:K14))</f>
        <v>5.129468832917107</v>
      </c>
      <c r="S14" s="20"/>
      <c r="T14" s="20"/>
      <c r="U14" s="15">
        <f>(D14-2*E14)-0.002</f>
        <v>0.442</v>
      </c>
      <c r="V14" s="20"/>
      <c r="W14" s="20"/>
      <c r="X14" s="54"/>
    </row>
    <row r="17" spans="1:24" ht="15.75" thickBot="1" x14ac:dyDescent="0.3">
      <c r="A17" t="s">
        <v>252</v>
      </c>
    </row>
    <row r="18" spans="1:24" x14ac:dyDescent="0.25">
      <c r="B18" t="s">
        <v>253</v>
      </c>
      <c r="C18" t="s">
        <v>254</v>
      </c>
      <c r="D18" t="s">
        <v>255</v>
      </c>
      <c r="E18" t="s">
        <v>256</v>
      </c>
      <c r="J18" t="s">
        <v>257</v>
      </c>
      <c r="L18" t="s">
        <v>258</v>
      </c>
      <c r="O18" t="s">
        <v>259</v>
      </c>
      <c r="R18" s="30" t="s">
        <v>215</v>
      </c>
      <c r="S18" s="60" t="s">
        <v>216</v>
      </c>
      <c r="T18" s="31" t="s">
        <v>217</v>
      </c>
      <c r="U18" s="31" t="s">
        <v>218</v>
      </c>
      <c r="V18" s="31" t="s">
        <v>219</v>
      </c>
      <c r="X18" t="s">
        <v>252</v>
      </c>
    </row>
    <row r="19" spans="1:24" x14ac:dyDescent="0.25">
      <c r="A19" t="s">
        <v>260</v>
      </c>
      <c r="B19" s="15">
        <f ca="1">(I3+I4)</f>
        <v>0.50821980861478455</v>
      </c>
      <c r="C19" s="15">
        <v>0.52827009207959896</v>
      </c>
      <c r="D19" s="15">
        <v>0.28709862048202928</v>
      </c>
      <c r="E19" s="15">
        <v>0.22792982159704794</v>
      </c>
      <c r="I19" t="s">
        <v>230</v>
      </c>
      <c r="J19">
        <v>0.625</v>
      </c>
      <c r="K19">
        <v>5.8000000000000003E-2</v>
      </c>
      <c r="L19">
        <v>0.74399999999999999</v>
      </c>
      <c r="M19">
        <v>0.122</v>
      </c>
      <c r="O19">
        <v>0.75</v>
      </c>
      <c r="P19">
        <v>4.7E-2</v>
      </c>
      <c r="R19" s="51">
        <v>0.625</v>
      </c>
      <c r="S19" s="52">
        <v>5.8000000000000003E-2</v>
      </c>
      <c r="T19" s="15">
        <f>0.25*PI()*(R19^2-(R19-2*S19)^2)</f>
        <v>0.10331441600595394</v>
      </c>
      <c r="U19" s="35">
        <f>0.25*PI()*((R19/2)^4-(R19/2-S19)^4)</f>
        <v>4.1952497478477688E-3</v>
      </c>
      <c r="V19">
        <v>4130</v>
      </c>
    </row>
    <row r="20" spans="1:24" x14ac:dyDescent="0.25">
      <c r="A20" t="s">
        <v>261</v>
      </c>
      <c r="B20" s="15">
        <f ca="1">(I5+I6)</f>
        <v>0.1447798239347774</v>
      </c>
      <c r="C20" s="15">
        <v>0.15922705465947534</v>
      </c>
      <c r="D20" s="15">
        <v>0.1235603240595796</v>
      </c>
      <c r="E20" s="15">
        <v>8.575226433797481E-2</v>
      </c>
      <c r="I20" t="s">
        <v>234</v>
      </c>
      <c r="J20">
        <v>0.625</v>
      </c>
      <c r="K20">
        <v>6.5000000000000002E-2</v>
      </c>
      <c r="L20">
        <v>0.74399999999999999</v>
      </c>
      <c r="M20">
        <v>0.122</v>
      </c>
      <c r="O20">
        <v>0.75</v>
      </c>
      <c r="P20">
        <v>4.7E-2</v>
      </c>
      <c r="R20" s="51">
        <v>0.625</v>
      </c>
      <c r="S20" s="52">
        <v>6.5000000000000002E-2</v>
      </c>
      <c r="T20" s="15">
        <f>0.25*PI()*(R20^2-(R20-2*S20)^2)</f>
        <v>0.11435397259066847</v>
      </c>
      <c r="U20" s="35">
        <f t="shared" ref="U20:U30" si="7">0.25*PI()*((R20/2)^4-(R20/2-S20)^4)</f>
        <v>4.5430689173286513E-3</v>
      </c>
      <c r="V20">
        <v>4130</v>
      </c>
      <c r="X20" t="s">
        <v>260</v>
      </c>
    </row>
    <row r="21" spans="1:24" x14ac:dyDescent="0.25">
      <c r="A21" t="s">
        <v>240</v>
      </c>
      <c r="B21" s="15">
        <f ca="1">(I7)</f>
        <v>6.0029667823245529E-2</v>
      </c>
      <c r="C21" s="15">
        <v>6.981711948079343E-2</v>
      </c>
      <c r="D21" s="15">
        <v>3.9825258295382165E-2</v>
      </c>
      <c r="E21" s="15">
        <v>3.9809672219271265E-2</v>
      </c>
      <c r="I21" t="s">
        <v>236</v>
      </c>
      <c r="J21">
        <v>0.5</v>
      </c>
      <c r="K21">
        <v>2.8000000000000001E-2</v>
      </c>
      <c r="L21" s="51">
        <v>0.628</v>
      </c>
      <c r="M21" s="52">
        <v>6.4000000000000001E-2</v>
      </c>
      <c r="O21">
        <v>0.5</v>
      </c>
      <c r="P21">
        <v>3.9E-2</v>
      </c>
      <c r="R21" s="51">
        <v>0.628</v>
      </c>
      <c r="S21" s="52">
        <v>6.4000000000000001E-2</v>
      </c>
      <c r="T21" s="15">
        <f>0.25*PI()*(R21^2-(R21-2*S21)^2)</f>
        <v>0.11339892842397718</v>
      </c>
      <c r="U21" s="35">
        <f t="shared" si="7"/>
        <v>4.5670284433472564E-3</v>
      </c>
      <c r="V21" t="s">
        <v>262</v>
      </c>
      <c r="X21" t="s">
        <v>261</v>
      </c>
    </row>
    <row r="22" spans="1:24" x14ac:dyDescent="0.25">
      <c r="A22" t="s">
        <v>242</v>
      </c>
      <c r="B22" s="15">
        <f ca="1">(I8)</f>
        <v>0.28172081435736201</v>
      </c>
      <c r="C22" s="15">
        <v>0.10711423218679579</v>
      </c>
      <c r="D22" s="15">
        <v>6.1100371881200433E-2</v>
      </c>
      <c r="E22" s="15">
        <v>4.5229461946265696E-2</v>
      </c>
      <c r="I22" t="s">
        <v>238</v>
      </c>
      <c r="J22">
        <v>0.5</v>
      </c>
      <c r="K22">
        <v>2.8000000000000001E-2</v>
      </c>
      <c r="L22" s="51">
        <v>0.628</v>
      </c>
      <c r="M22" s="52">
        <v>6.4000000000000001E-2</v>
      </c>
      <c r="O22">
        <v>0.5</v>
      </c>
      <c r="P22">
        <v>3.9E-2</v>
      </c>
      <c r="R22" s="51">
        <v>0.628</v>
      </c>
      <c r="S22" s="52">
        <v>6.4000000000000001E-2</v>
      </c>
      <c r="T22" s="15">
        <f t="shared" ref="T22:T30" si="8">0.25*PI()*(R22^2-(R22-2*S22)^2)</f>
        <v>0.11339892842397718</v>
      </c>
      <c r="U22" s="35">
        <f t="shared" si="7"/>
        <v>4.5670284433472564E-3</v>
      </c>
      <c r="V22" t="s">
        <v>262</v>
      </c>
      <c r="X22" t="s">
        <v>240</v>
      </c>
    </row>
    <row r="23" spans="1:24" x14ac:dyDescent="0.25">
      <c r="A23" t="s">
        <v>263</v>
      </c>
      <c r="B23" s="15">
        <f ca="1">(I9+I10)</f>
        <v>0.1520560942374117</v>
      </c>
      <c r="C23" s="15">
        <v>0.15799111144613298</v>
      </c>
      <c r="D23" s="15">
        <v>0.11281244197638857</v>
      </c>
      <c r="E23" s="15">
        <v>0.11450545481140552</v>
      </c>
      <c r="I23" t="s">
        <v>240</v>
      </c>
      <c r="J23">
        <v>0.375</v>
      </c>
      <c r="K23">
        <v>2.8000000000000001E-2</v>
      </c>
      <c r="L23" s="51">
        <v>0.503</v>
      </c>
      <c r="M23" s="52">
        <v>6.4000000000000001E-2</v>
      </c>
      <c r="O23">
        <v>0.375</v>
      </c>
      <c r="P23">
        <v>2.8000000000000001E-2</v>
      </c>
      <c r="R23" s="51">
        <v>0.503</v>
      </c>
      <c r="S23" s="52">
        <v>6.4000000000000001E-2</v>
      </c>
      <c r="T23" s="15">
        <f t="shared" si="8"/>
        <v>8.8266187195258819E-2</v>
      </c>
      <c r="U23" s="35">
        <f t="shared" si="7"/>
        <v>2.1715357706511571E-3</v>
      </c>
      <c r="V23" t="s">
        <v>262</v>
      </c>
      <c r="X23" t="s">
        <v>242</v>
      </c>
    </row>
    <row r="24" spans="1:24" x14ac:dyDescent="0.25">
      <c r="A24" t="s">
        <v>264</v>
      </c>
      <c r="B24" s="15">
        <f ca="1">(I12+I11)</f>
        <v>9.3113425754744059E-2</v>
      </c>
      <c r="C24" s="15">
        <v>0.10966147685248243</v>
      </c>
      <c r="D24" s="15">
        <v>8.5097395324698913E-2</v>
      </c>
      <c r="E24" s="15">
        <v>5.9058556165958564E-2</v>
      </c>
      <c r="I24" t="s">
        <v>242</v>
      </c>
      <c r="J24">
        <v>0.63</v>
      </c>
      <c r="K24">
        <v>2.8000000000000001E-2</v>
      </c>
      <c r="L24" s="51">
        <v>0.628</v>
      </c>
      <c r="M24" s="52">
        <v>6.4000000000000001E-2</v>
      </c>
      <c r="O24">
        <v>0.63</v>
      </c>
      <c r="P24">
        <v>2.8000000000000001E-2</v>
      </c>
      <c r="R24" s="51">
        <v>0.628</v>
      </c>
      <c r="S24" s="52">
        <v>6.4000000000000001E-2</v>
      </c>
      <c r="T24" s="15">
        <f t="shared" si="8"/>
        <v>0.11339892842397718</v>
      </c>
      <c r="U24" s="35">
        <f t="shared" si="7"/>
        <v>4.5670284433472564E-3</v>
      </c>
      <c r="V24" t="s">
        <v>262</v>
      </c>
      <c r="X24" t="s">
        <v>263</v>
      </c>
    </row>
    <row r="25" spans="1:24" x14ac:dyDescent="0.25">
      <c r="A25" t="s">
        <v>250</v>
      </c>
      <c r="B25" s="15">
        <f ca="1">(I13)</f>
        <v>5.2303557589607849E-2</v>
      </c>
      <c r="C25" s="15">
        <v>3.8487684023269207E-2</v>
      </c>
      <c r="D25" s="15">
        <v>2.6889201658096416E-2</v>
      </c>
      <c r="E25" s="15">
        <v>1.4762698949543129E-2</v>
      </c>
      <c r="I25" t="s">
        <v>243</v>
      </c>
      <c r="J25">
        <v>0.5</v>
      </c>
      <c r="K25">
        <v>3.5000000000000003E-2</v>
      </c>
      <c r="L25">
        <v>0.61899999999999999</v>
      </c>
      <c r="M25">
        <v>0.122</v>
      </c>
      <c r="O25">
        <v>0.625</v>
      </c>
      <c r="P25">
        <v>3.5000000000000003E-2</v>
      </c>
      <c r="R25" s="51">
        <v>0.625</v>
      </c>
      <c r="S25" s="52">
        <v>3.5000000000000003E-2</v>
      </c>
      <c r="T25" s="15">
        <f t="shared" si="8"/>
        <v>6.4873888296629281E-2</v>
      </c>
      <c r="U25" s="35">
        <f t="shared" si="7"/>
        <v>2.8327588786525026E-3</v>
      </c>
      <c r="V25">
        <v>4130</v>
      </c>
      <c r="X25" t="s">
        <v>264</v>
      </c>
    </row>
    <row r="26" spans="1:24" x14ac:dyDescent="0.25">
      <c r="A26" t="s">
        <v>251</v>
      </c>
      <c r="B26" s="15">
        <f ca="1">(I14)</f>
        <v>0.24122092553409125</v>
      </c>
      <c r="C26" s="15">
        <v>6.4582558705728668E-2</v>
      </c>
      <c r="D26" s="15">
        <v>4.5366250776797699E-2</v>
      </c>
      <c r="E26" s="15">
        <v>3.4781153602321299E-2</v>
      </c>
      <c r="I26" t="s">
        <v>246</v>
      </c>
      <c r="J26">
        <v>0.625</v>
      </c>
      <c r="K26">
        <v>2.8000000000000001E-2</v>
      </c>
      <c r="L26">
        <v>0.61899999999999999</v>
      </c>
      <c r="M26">
        <v>0.122</v>
      </c>
      <c r="O26">
        <v>0.625</v>
      </c>
      <c r="P26">
        <v>3.5000000000000003E-2</v>
      </c>
      <c r="R26" s="51">
        <v>0.625</v>
      </c>
      <c r="S26" s="52">
        <v>3.5000000000000003E-2</v>
      </c>
      <c r="T26" s="15">
        <f t="shared" si="8"/>
        <v>6.4873888296629281E-2</v>
      </c>
      <c r="U26" s="35">
        <f t="shared" si="7"/>
        <v>2.8327588786525026E-3</v>
      </c>
      <c r="V26">
        <v>4130</v>
      </c>
      <c r="X26" t="s">
        <v>250</v>
      </c>
    </row>
    <row r="27" spans="1:24" x14ac:dyDescent="0.25">
      <c r="A27" t="s">
        <v>265</v>
      </c>
      <c r="B27" s="15">
        <f ca="1">2*SUM(B19:B26)</f>
        <v>3.0668882356920486</v>
      </c>
      <c r="C27" s="15">
        <f t="shared" ref="C27:E27" si="9">2*SUM(C19:C26)</f>
        <v>2.4703026588685537</v>
      </c>
      <c r="D27" s="15">
        <f t="shared" si="9"/>
        <v>1.5634997289083461</v>
      </c>
      <c r="E27" s="15">
        <f t="shared" si="9"/>
        <v>1.2436581672595763</v>
      </c>
      <c r="I27" t="s">
        <v>247</v>
      </c>
      <c r="J27">
        <v>0.5</v>
      </c>
      <c r="K27">
        <v>2.8000000000000001E-2</v>
      </c>
      <c r="L27" s="51">
        <v>0.628</v>
      </c>
      <c r="M27" s="52">
        <v>6.4000000000000001E-2</v>
      </c>
      <c r="O27">
        <v>0.5</v>
      </c>
      <c r="P27">
        <v>3.9E-2</v>
      </c>
      <c r="R27" s="51">
        <v>0.628</v>
      </c>
      <c r="S27" s="52">
        <v>6.4000000000000001E-2</v>
      </c>
      <c r="T27" s="15">
        <f t="shared" si="8"/>
        <v>0.11339892842397718</v>
      </c>
      <c r="U27" s="35">
        <f t="shared" si="7"/>
        <v>4.5670284433472564E-3</v>
      </c>
      <c r="V27" t="s">
        <v>262</v>
      </c>
      <c r="X27" t="s">
        <v>251</v>
      </c>
    </row>
    <row r="28" spans="1:24" x14ac:dyDescent="0.25">
      <c r="I28" t="s">
        <v>249</v>
      </c>
      <c r="J28">
        <v>0.5</v>
      </c>
      <c r="K28">
        <v>2.8000000000000001E-2</v>
      </c>
      <c r="L28" s="51">
        <v>0.628</v>
      </c>
      <c r="M28" s="52">
        <v>6.4000000000000001E-2</v>
      </c>
      <c r="O28">
        <v>0.5</v>
      </c>
      <c r="P28">
        <v>3.9E-2</v>
      </c>
      <c r="R28" s="51">
        <v>0.628</v>
      </c>
      <c r="S28" s="52">
        <v>6.4000000000000001E-2</v>
      </c>
      <c r="T28" s="15">
        <f t="shared" si="8"/>
        <v>0.11339892842397718</v>
      </c>
      <c r="U28" s="35">
        <f t="shared" si="7"/>
        <v>4.5670284433472564E-3</v>
      </c>
      <c r="V28" t="s">
        <v>262</v>
      </c>
      <c r="X28" t="s">
        <v>265</v>
      </c>
    </row>
    <row r="29" spans="1:24" x14ac:dyDescent="0.25">
      <c r="I29" t="s">
        <v>250</v>
      </c>
      <c r="J29">
        <v>0.375</v>
      </c>
      <c r="K29">
        <v>2.8000000000000001E-2</v>
      </c>
      <c r="L29" s="51">
        <v>0.375</v>
      </c>
      <c r="M29" s="52">
        <v>0.06</v>
      </c>
      <c r="O29">
        <v>0.375</v>
      </c>
      <c r="P29">
        <v>3.5000000000000003E-2</v>
      </c>
      <c r="R29" s="51">
        <v>0.375</v>
      </c>
      <c r="S29" s="52">
        <v>0.06</v>
      </c>
      <c r="T29" s="15">
        <f t="shared" si="8"/>
        <v>5.937610115284709E-2</v>
      </c>
      <c r="U29" s="35">
        <f t="shared" si="7"/>
        <v>7.6316845013018784E-4</v>
      </c>
      <c r="V29" t="s">
        <v>262</v>
      </c>
    </row>
    <row r="30" spans="1:24" x14ac:dyDescent="0.25">
      <c r="B30" s="59">
        <f ca="1">B27/C27</f>
        <v>1.241503029874381</v>
      </c>
      <c r="D30" s="59">
        <f>D27/C27</f>
        <v>0.63291828768239233</v>
      </c>
      <c r="E30" s="59">
        <f>E27/C27</f>
        <v>0.50344364193381708</v>
      </c>
      <c r="I30" t="s">
        <v>251</v>
      </c>
      <c r="J30">
        <v>0.5</v>
      </c>
      <c r="K30">
        <v>2.8000000000000001E-2</v>
      </c>
      <c r="L30" s="51">
        <v>0.628</v>
      </c>
      <c r="M30" s="52">
        <v>6.4000000000000001E-2</v>
      </c>
      <c r="O30">
        <v>0.5</v>
      </c>
      <c r="P30">
        <v>3.5000000000000003E-2</v>
      </c>
      <c r="R30" s="51">
        <v>0.628</v>
      </c>
      <c r="S30" s="52">
        <v>6.4000000000000001E-2</v>
      </c>
      <c r="T30" s="15">
        <f t="shared" si="8"/>
        <v>0.11339892842397718</v>
      </c>
      <c r="U30" s="35">
        <f t="shared" si="7"/>
        <v>4.5670284433472564E-3</v>
      </c>
      <c r="V30" t="s">
        <v>262</v>
      </c>
    </row>
  </sheetData>
  <phoneticPr fontId="6" type="noConversion"/>
  <conditionalFormatting sqref="P3:P14">
    <cfRule type="colorScale" priority="1">
      <colorScale>
        <cfvo type="num" val="1"/>
        <cfvo type="num" val="1.9"/>
        <cfvo type="num" val="3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V19:V30 H3:H14" xr:uid="{00000000-0002-0000-0600-000000000000}">
      <formula1>matlChoices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32D2AB7-C7EC-4C81-978E-5B34F9F60C82}">
          <x14:formula1>
            <xm:f>'Bolt Shear Calcs'!$A$22:$A$25</xm:f>
          </x14:formula1>
          <xm:sqref>Q3:Q14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7B5BD-ED84-4BDB-8DE1-82FC9DAE32CB}">
  <dimension ref="A2:G5"/>
  <sheetViews>
    <sheetView workbookViewId="0">
      <selection activeCell="F6" sqref="F6"/>
    </sheetView>
  </sheetViews>
  <sheetFormatPr defaultRowHeight="15" x14ac:dyDescent="0.25"/>
  <cols>
    <col min="1" max="1" width="9.42578125" bestFit="1" customWidth="1"/>
    <col min="2" max="2" width="15.28515625" customWidth="1"/>
    <col min="3" max="3" width="16.28515625" bestFit="1" customWidth="1"/>
    <col min="4" max="4" width="9.7109375" bestFit="1" customWidth="1"/>
    <col min="5" max="5" width="14.7109375" customWidth="1"/>
    <col min="6" max="6" width="15.7109375" customWidth="1"/>
    <col min="7" max="7" width="14.28515625" customWidth="1"/>
  </cols>
  <sheetData>
    <row r="2" spans="1:7" x14ac:dyDescent="0.25">
      <c r="A2" t="s">
        <v>219</v>
      </c>
      <c r="B2" t="s">
        <v>266</v>
      </c>
      <c r="C2" t="s">
        <v>267</v>
      </c>
      <c r="D2" t="s">
        <v>268</v>
      </c>
      <c r="E2" t="s">
        <v>269</v>
      </c>
      <c r="F2" t="s">
        <v>270</v>
      </c>
      <c r="G2" t="s">
        <v>271</v>
      </c>
    </row>
    <row r="3" spans="1:7" x14ac:dyDescent="0.25">
      <c r="A3">
        <v>4130</v>
      </c>
      <c r="B3">
        <v>0.28399999999999997</v>
      </c>
      <c r="C3">
        <v>66.7</v>
      </c>
      <c r="D3">
        <v>106</v>
      </c>
      <c r="E3" t="s">
        <v>272</v>
      </c>
      <c r="F3">
        <v>29700</v>
      </c>
      <c r="G3">
        <v>0.28999999999999998</v>
      </c>
    </row>
    <row r="4" spans="1:7" x14ac:dyDescent="0.25">
      <c r="A4" t="s">
        <v>273</v>
      </c>
      <c r="B4">
        <v>0.16200000000000001</v>
      </c>
      <c r="C4">
        <v>72.5</v>
      </c>
      <c r="D4">
        <v>89.9</v>
      </c>
      <c r="E4" t="s">
        <v>272</v>
      </c>
      <c r="F4">
        <v>16679</v>
      </c>
      <c r="G4">
        <v>0.3</v>
      </c>
    </row>
    <row r="5" spans="1:7" x14ac:dyDescent="0.25">
      <c r="A5" t="s">
        <v>262</v>
      </c>
      <c r="B5">
        <v>5.6000000000000001E-2</v>
      </c>
      <c r="C5">
        <v>275</v>
      </c>
      <c r="D5">
        <v>275</v>
      </c>
      <c r="E5" t="s">
        <v>274</v>
      </c>
      <c r="F5">
        <v>25000</v>
      </c>
      <c r="G5">
        <v>0.3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89441-EE8D-4297-947F-4B983F3C4397}">
  <dimension ref="A1:G25"/>
  <sheetViews>
    <sheetView topLeftCell="A9" workbookViewId="0">
      <selection activeCell="E30" sqref="E30"/>
    </sheetView>
  </sheetViews>
  <sheetFormatPr defaultRowHeight="15" x14ac:dyDescent="0.25"/>
  <cols>
    <col min="1" max="1" width="10.42578125" customWidth="1"/>
    <col min="2" max="2" width="12.7109375" customWidth="1"/>
    <col min="3" max="3" width="15.28515625" customWidth="1"/>
    <col min="4" max="4" width="30.5703125" customWidth="1"/>
    <col min="5" max="5" width="16.7109375" customWidth="1"/>
  </cols>
  <sheetData>
    <row r="1" spans="1:4" x14ac:dyDescent="0.25">
      <c r="A1" t="s">
        <v>275</v>
      </c>
    </row>
    <row r="3" spans="1:4" x14ac:dyDescent="0.25">
      <c r="A3" t="s">
        <v>276</v>
      </c>
      <c r="C3" t="s">
        <v>277</v>
      </c>
    </row>
    <row r="4" spans="1:4" x14ac:dyDescent="0.25">
      <c r="A4" t="s">
        <v>278</v>
      </c>
      <c r="B4" t="s">
        <v>279</v>
      </c>
    </row>
    <row r="5" spans="1:4" x14ac:dyDescent="0.25">
      <c r="C5" t="s">
        <v>280</v>
      </c>
    </row>
    <row r="6" spans="1:4" x14ac:dyDescent="0.25">
      <c r="A6" t="s">
        <v>281</v>
      </c>
      <c r="B6" t="s">
        <v>282</v>
      </c>
    </row>
    <row r="9" spans="1:4" x14ac:dyDescent="0.25">
      <c r="A9" t="s">
        <v>283</v>
      </c>
    </row>
    <row r="10" spans="1:4" x14ac:dyDescent="0.25">
      <c r="A10" t="s">
        <v>284</v>
      </c>
    </row>
    <row r="11" spans="1:4" x14ac:dyDescent="0.25">
      <c r="A11" t="s">
        <v>285</v>
      </c>
      <c r="B11" t="s">
        <v>286</v>
      </c>
    </row>
    <row r="12" spans="1:4" x14ac:dyDescent="0.25">
      <c r="C12" t="s">
        <v>287</v>
      </c>
    </row>
    <row r="13" spans="1:4" x14ac:dyDescent="0.25">
      <c r="A13" t="s">
        <v>288</v>
      </c>
      <c r="B13" t="s">
        <v>289</v>
      </c>
    </row>
    <row r="15" spans="1:4" x14ac:dyDescent="0.25">
      <c r="A15" t="s">
        <v>290</v>
      </c>
    </row>
    <row r="16" spans="1:4" x14ac:dyDescent="0.25">
      <c r="A16" t="s">
        <v>291</v>
      </c>
      <c r="C16">
        <v>160000</v>
      </c>
      <c r="D16" t="s">
        <v>292</v>
      </c>
    </row>
    <row r="17" spans="1:7" x14ac:dyDescent="0.25">
      <c r="A17" t="s">
        <v>293</v>
      </c>
      <c r="C17">
        <v>90000</v>
      </c>
      <c r="D17" t="s">
        <v>294</v>
      </c>
    </row>
    <row r="19" spans="1:7" x14ac:dyDescent="0.25">
      <c r="G19" t="s">
        <v>295</v>
      </c>
    </row>
    <row r="20" spans="1:7" x14ac:dyDescent="0.25">
      <c r="A20" s="31" t="s">
        <v>296</v>
      </c>
      <c r="D20" t="s">
        <v>281</v>
      </c>
      <c r="G20" t="s">
        <v>297</v>
      </c>
    </row>
    <row r="21" spans="1:7" x14ac:dyDescent="0.25">
      <c r="A21" s="31" t="s">
        <v>298</v>
      </c>
      <c r="B21" s="31" t="s">
        <v>299</v>
      </c>
      <c r="C21" s="31" t="s">
        <v>300</v>
      </c>
      <c r="D21" s="31" t="s">
        <v>301</v>
      </c>
      <c r="E21" s="31" t="s">
        <v>302</v>
      </c>
      <c r="G21" s="31" t="s">
        <v>303</v>
      </c>
    </row>
    <row r="22" spans="1:7" x14ac:dyDescent="0.25">
      <c r="A22" t="s">
        <v>231</v>
      </c>
      <c r="B22">
        <f>3/16</f>
        <v>0.1875</v>
      </c>
      <c r="C22" s="35">
        <f>0.25*PI()*B22^2</f>
        <v>2.7611654181941541E-2</v>
      </c>
      <c r="D22" s="23">
        <f>$C$17*C22</f>
        <v>2485.0488763747385</v>
      </c>
      <c r="E22" s="23">
        <f>D22*2</f>
        <v>4970.097752749477</v>
      </c>
    </row>
    <row r="23" spans="1:7" x14ac:dyDescent="0.25">
      <c r="A23" t="s">
        <v>304</v>
      </c>
      <c r="B23">
        <f>4/16</f>
        <v>0.25</v>
      </c>
      <c r="C23" s="35">
        <f t="shared" ref="C23:C25" si="0">0.25*PI()*B23^2</f>
        <v>4.9087385212340517E-2</v>
      </c>
      <c r="D23" s="23">
        <f t="shared" ref="D23:D25" si="1">$C$17*C23</f>
        <v>4417.8646691106469</v>
      </c>
      <c r="E23" s="23">
        <f t="shared" ref="E23:E25" si="2">D23*2</f>
        <v>8835.7293382212938</v>
      </c>
    </row>
    <row r="24" spans="1:7" x14ac:dyDescent="0.25">
      <c r="A24" t="s">
        <v>305</v>
      </c>
      <c r="B24">
        <f>5/16</f>
        <v>0.3125</v>
      </c>
      <c r="C24" s="35">
        <f t="shared" si="0"/>
        <v>7.6699039394282062E-2</v>
      </c>
      <c r="D24" s="23">
        <f>$C$17*C24</f>
        <v>6902.9135454853858</v>
      </c>
      <c r="E24" s="23">
        <f t="shared" si="2"/>
        <v>13805.827090970772</v>
      </c>
    </row>
    <row r="25" spans="1:7" x14ac:dyDescent="0.25">
      <c r="A25" t="s">
        <v>306</v>
      </c>
      <c r="B25">
        <f>6/16</f>
        <v>0.375</v>
      </c>
      <c r="C25" s="35">
        <f t="shared" si="0"/>
        <v>0.11044661672776616</v>
      </c>
      <c r="D25" s="23">
        <f t="shared" si="1"/>
        <v>9940.1955054989539</v>
      </c>
      <c r="E25" s="23">
        <f t="shared" si="2"/>
        <v>19880.391010997908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CCE7A-B431-4498-A0BC-B8757A845C93}">
  <dimension ref="B2:E10"/>
  <sheetViews>
    <sheetView workbookViewId="0">
      <selection activeCell="C7" sqref="C7"/>
    </sheetView>
  </sheetViews>
  <sheetFormatPr defaultRowHeight="15" x14ac:dyDescent="0.25"/>
  <cols>
    <col min="2" max="2" width="20.5703125" bestFit="1" customWidth="1"/>
  </cols>
  <sheetData>
    <row r="2" spans="2:5" x14ac:dyDescent="0.25">
      <c r="B2" t="s">
        <v>307</v>
      </c>
    </row>
    <row r="5" spans="2:5" x14ac:dyDescent="0.25">
      <c r="B5" t="s">
        <v>308</v>
      </c>
      <c r="C5">
        <f>144000*0.6</f>
        <v>86400</v>
      </c>
    </row>
    <row r="6" spans="2:5" x14ac:dyDescent="0.25">
      <c r="B6" t="s">
        <v>309</v>
      </c>
      <c r="C6">
        <v>0.3</v>
      </c>
    </row>
    <row r="7" spans="2:5" x14ac:dyDescent="0.25">
      <c r="B7" t="s">
        <v>310</v>
      </c>
      <c r="C7">
        <v>0.2268</v>
      </c>
    </row>
    <row r="10" spans="2:5" x14ac:dyDescent="0.25">
      <c r="B10" t="s">
        <v>311</v>
      </c>
      <c r="C10">
        <f>PI()*C7*C5*C6/3</f>
        <v>6156.1141675271865</v>
      </c>
      <c r="E10" t="s">
        <v>312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5C6DA-5532-4C30-A404-93DA84CD87A3}">
  <dimension ref="A1:E70"/>
  <sheetViews>
    <sheetView topLeftCell="D74" zoomScale="70" zoomScaleNormal="70" workbookViewId="0">
      <selection activeCell="T98" sqref="T98"/>
    </sheetView>
  </sheetViews>
  <sheetFormatPr defaultRowHeight="15" x14ac:dyDescent="0.25"/>
  <cols>
    <col min="1" max="1" width="11.7109375" bestFit="1" customWidth="1"/>
    <col min="3" max="3" width="18.42578125" customWidth="1"/>
    <col min="4" max="4" width="18.5703125" customWidth="1"/>
  </cols>
  <sheetData>
    <row r="1" spans="1:5" x14ac:dyDescent="0.25">
      <c r="A1" t="s">
        <v>313</v>
      </c>
      <c r="B1" t="s">
        <v>314</v>
      </c>
      <c r="C1" t="s">
        <v>315</v>
      </c>
      <c r="D1" t="s">
        <v>316</v>
      </c>
      <c r="E1" t="s">
        <v>317</v>
      </c>
    </row>
    <row r="2" spans="1:5" x14ac:dyDescent="0.25">
      <c r="A2" t="s">
        <v>234</v>
      </c>
      <c r="B2">
        <v>1.6</v>
      </c>
      <c r="C2">
        <v>42.79</v>
      </c>
      <c r="E2" t="s">
        <v>318</v>
      </c>
    </row>
    <row r="14" spans="1:5" s="74" customFormat="1" x14ac:dyDescent="0.25">
      <c r="A14" s="74" t="s">
        <v>230</v>
      </c>
      <c r="B14" s="74">
        <v>1.1000000000000001</v>
      </c>
      <c r="C14" s="74">
        <v>33.18</v>
      </c>
      <c r="E14" s="74" t="s">
        <v>318</v>
      </c>
    </row>
    <row r="27" spans="1:3" s="74" customFormat="1" x14ac:dyDescent="0.25">
      <c r="A27" s="74" t="s">
        <v>236</v>
      </c>
      <c r="B27" s="74">
        <v>3.2</v>
      </c>
      <c r="C27" s="74">
        <v>20.54</v>
      </c>
    </row>
    <row r="42" spans="1:5" s="74" customFormat="1" x14ac:dyDescent="0.25">
      <c r="A42" s="74" t="s">
        <v>238</v>
      </c>
      <c r="B42" s="74">
        <v>2.8</v>
      </c>
      <c r="C42" s="74">
        <v>18.96</v>
      </c>
      <c r="E42" s="74" t="s">
        <v>318</v>
      </c>
    </row>
    <row r="56" spans="1:5" s="74" customFormat="1" x14ac:dyDescent="0.25">
      <c r="A56" t="s">
        <v>249</v>
      </c>
      <c r="B56" s="74">
        <v>0.53</v>
      </c>
      <c r="C56" s="74">
        <v>76.8</v>
      </c>
      <c r="E56" s="74" t="s">
        <v>318</v>
      </c>
    </row>
    <row r="70" spans="1:5" s="74" customFormat="1" x14ac:dyDescent="0.25">
      <c r="A70" s="74" t="s">
        <v>247</v>
      </c>
      <c r="B70" s="74">
        <v>0.89</v>
      </c>
      <c r="C70" s="74">
        <v>22.17</v>
      </c>
      <c r="E70" s="74" t="s">
        <v>318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FC9AD-EE1B-4D32-8A3B-2BDC30E7ABB5}">
  <dimension ref="A1:R68"/>
  <sheetViews>
    <sheetView topLeftCell="A50" zoomScale="70" zoomScaleNormal="70" workbookViewId="0">
      <selection activeCell="J30" sqref="J30"/>
    </sheetView>
  </sheetViews>
  <sheetFormatPr defaultRowHeight="15" x14ac:dyDescent="0.25"/>
  <cols>
    <col min="1" max="1" width="4.42578125" style="114" customWidth="1"/>
    <col min="2" max="2" width="29.28515625" style="112" customWidth="1"/>
    <col min="3" max="3" width="4.7109375" style="82" customWidth="1"/>
    <col min="4" max="4" width="7.7109375" style="111" customWidth="1"/>
    <col min="5" max="5" width="8.42578125" style="111" customWidth="1"/>
    <col min="6" max="6" width="16.42578125" bestFit="1" customWidth="1"/>
    <col min="7" max="7" width="1.42578125" customWidth="1"/>
    <col min="10" max="10" width="11.28515625" bestFit="1" customWidth="1"/>
    <col min="11" max="11" width="17.28515625" bestFit="1" customWidth="1"/>
    <col min="12" max="12" width="11.5703125" bestFit="1" customWidth="1"/>
    <col min="13" max="13" width="24.7109375" bestFit="1" customWidth="1"/>
    <col min="17" max="17" width="10.42578125" customWidth="1"/>
  </cols>
  <sheetData>
    <row r="1" spans="1:18" ht="15.75" thickBot="1" x14ac:dyDescent="0.3">
      <c r="A1" s="138"/>
      <c r="B1" s="137"/>
      <c r="C1" s="137" t="s">
        <v>319</v>
      </c>
      <c r="D1" s="137" t="s">
        <v>84</v>
      </c>
      <c r="E1" s="137" t="s">
        <v>320</v>
      </c>
      <c r="F1" s="139" t="s">
        <v>321</v>
      </c>
      <c r="G1" s="139" t="s">
        <v>322</v>
      </c>
      <c r="H1" s="139" t="s">
        <v>323</v>
      </c>
      <c r="J1" t="s">
        <v>324</v>
      </c>
      <c r="K1" t="s">
        <v>325</v>
      </c>
      <c r="L1" t="s">
        <v>326</v>
      </c>
      <c r="M1" t="s">
        <v>327</v>
      </c>
      <c r="N1" t="s">
        <v>328</v>
      </c>
      <c r="Q1" t="s">
        <v>329</v>
      </c>
    </row>
    <row r="2" spans="1:18" x14ac:dyDescent="0.25">
      <c r="A2" s="169" t="s">
        <v>330</v>
      </c>
      <c r="B2" s="172" t="e" vm="1">
        <v>#VALUE!</v>
      </c>
      <c r="C2" s="86">
        <v>1</v>
      </c>
      <c r="D2" s="127">
        <v>0.45</v>
      </c>
      <c r="E2" s="127">
        <v>0.23599999999999999</v>
      </c>
      <c r="F2">
        <f t="shared" ref="F2:F58" si="0">VLOOKUP(D2,$K$2:$L$25,2,TRUE)</f>
        <v>7</v>
      </c>
      <c r="G2" s="15" t="str">
        <f t="shared" ref="G2:G33" si="1">IF(D2-VLOOKUP(F2,AN_DashTable,2,FALSE)-0.02&lt;0," ",D2-VLOOKUP(F2,AN_DashTable,2,FALSE)-0.02)</f>
        <v xml:space="preserve"> </v>
      </c>
      <c r="J2">
        <v>1</v>
      </c>
      <c r="K2">
        <f t="shared" ref="K2:K25" si="2">J2/16</f>
        <v>6.25E-2</v>
      </c>
      <c r="L2">
        <v>1</v>
      </c>
      <c r="M2" t="str">
        <f t="shared" ref="M2:M25" si="3">IF(AND(NOT(COUNTIF($F$2:$F$58,J2)=0),E2=0.191),COUNTIF($F$2:$F$58,J2)," ")</f>
        <v xml:space="preserve"> </v>
      </c>
      <c r="N2" t="str">
        <f>IF(AND(NOT(COUNTIF($F$2:$F$58,J2)=0),E2=0.25),COUNTIF($F$2:$F$58,J2)," ")</f>
        <v xml:space="preserve"> </v>
      </c>
      <c r="Q2" t="s">
        <v>331</v>
      </c>
      <c r="R2">
        <f>COUNTIF($E$2:$E$58,0.191)</f>
        <v>22</v>
      </c>
    </row>
    <row r="3" spans="1:18" x14ac:dyDescent="0.25">
      <c r="A3" s="169"/>
      <c r="B3" s="172"/>
      <c r="C3" s="110">
        <v>2</v>
      </c>
      <c r="D3" s="128">
        <v>0.83699999999999997</v>
      </c>
      <c r="E3" s="128">
        <v>0.23599999999999999</v>
      </c>
      <c r="F3">
        <v>14</v>
      </c>
      <c r="G3" s="15" t="str">
        <f t="shared" si="1"/>
        <v xml:space="preserve"> </v>
      </c>
      <c r="J3">
        <v>2</v>
      </c>
      <c r="K3">
        <f t="shared" si="2"/>
        <v>0.125</v>
      </c>
      <c r="L3">
        <v>2</v>
      </c>
      <c r="M3" t="str">
        <f t="shared" si="3"/>
        <v xml:space="preserve"> </v>
      </c>
      <c r="N3" t="str">
        <f t="shared" ref="N3:N25" si="4">IF(AND(NOT(COUNTIF($F$2:$F$58,J3)=0),E3=0.25),COUNTIF($F$2:$F$58,J3)," ")</f>
        <v xml:space="preserve"> </v>
      </c>
      <c r="Q3" t="s">
        <v>332</v>
      </c>
      <c r="R3">
        <f>COUNTIF($E$2:$E$58,0.25)</f>
        <v>29</v>
      </c>
    </row>
    <row r="4" spans="1:18" x14ac:dyDescent="0.25">
      <c r="A4" s="169"/>
      <c r="B4" s="172"/>
      <c r="C4" s="86">
        <v>3</v>
      </c>
      <c r="D4" s="127">
        <v>0.65900000000000003</v>
      </c>
      <c r="E4" s="127">
        <v>0.13600000000000001</v>
      </c>
      <c r="F4">
        <v>11</v>
      </c>
      <c r="G4" s="15" t="str">
        <f t="shared" si="1"/>
        <v xml:space="preserve"> </v>
      </c>
      <c r="J4">
        <v>3</v>
      </c>
      <c r="K4">
        <f t="shared" si="2"/>
        <v>0.1875</v>
      </c>
      <c r="L4">
        <v>3</v>
      </c>
      <c r="M4" t="str">
        <f t="shared" si="3"/>
        <v xml:space="preserve"> </v>
      </c>
      <c r="N4" t="str">
        <f t="shared" si="4"/>
        <v xml:space="preserve"> </v>
      </c>
      <c r="Q4" t="s">
        <v>333</v>
      </c>
      <c r="R4">
        <f>R2</f>
        <v>22</v>
      </c>
    </row>
    <row r="5" spans="1:18" x14ac:dyDescent="0.25">
      <c r="A5" s="169"/>
      <c r="B5" s="172"/>
      <c r="C5" s="110">
        <v>4</v>
      </c>
      <c r="D5" s="128">
        <v>0.83699999999999997</v>
      </c>
      <c r="E5" s="128">
        <v>0.191</v>
      </c>
      <c r="F5">
        <v>14</v>
      </c>
      <c r="G5" s="15" t="str">
        <f t="shared" si="1"/>
        <v xml:space="preserve"> </v>
      </c>
      <c r="J5">
        <v>4</v>
      </c>
      <c r="K5">
        <f t="shared" si="2"/>
        <v>0.25</v>
      </c>
      <c r="L5">
        <v>4</v>
      </c>
      <c r="M5">
        <f t="shared" si="3"/>
        <v>4</v>
      </c>
      <c r="N5" t="str">
        <f t="shared" si="4"/>
        <v xml:space="preserve"> </v>
      </c>
      <c r="Q5" t="s">
        <v>334</v>
      </c>
      <c r="R5">
        <f>R3</f>
        <v>29</v>
      </c>
    </row>
    <row r="6" spans="1:18" x14ac:dyDescent="0.25">
      <c r="A6" s="169"/>
      <c r="B6" s="172"/>
      <c r="C6" s="86">
        <v>5</v>
      </c>
      <c r="D6" s="127">
        <v>0.83699999999999997</v>
      </c>
      <c r="E6" s="127">
        <v>0.25</v>
      </c>
      <c r="F6">
        <v>14</v>
      </c>
      <c r="G6" s="15" t="str">
        <f t="shared" si="1"/>
        <v xml:space="preserve"> </v>
      </c>
      <c r="J6">
        <v>5</v>
      </c>
      <c r="K6">
        <f t="shared" si="2"/>
        <v>0.3125</v>
      </c>
      <c r="L6">
        <v>5</v>
      </c>
      <c r="M6" t="str">
        <f t="shared" si="3"/>
        <v xml:space="preserve"> </v>
      </c>
      <c r="N6" t="str">
        <f t="shared" si="4"/>
        <v xml:space="preserve"> </v>
      </c>
    </row>
    <row r="7" spans="1:18" x14ac:dyDescent="0.25">
      <c r="A7" s="169"/>
      <c r="B7" s="172"/>
      <c r="C7" s="110">
        <v>6</v>
      </c>
      <c r="D7" s="128">
        <v>1.03</v>
      </c>
      <c r="E7" s="128">
        <v>0.25</v>
      </c>
      <c r="F7">
        <v>17</v>
      </c>
      <c r="G7" s="15" t="str">
        <f t="shared" si="1"/>
        <v xml:space="preserve"> </v>
      </c>
      <c r="J7">
        <v>6</v>
      </c>
      <c r="K7">
        <f t="shared" si="2"/>
        <v>0.375</v>
      </c>
      <c r="L7">
        <v>6</v>
      </c>
      <c r="M7" t="str">
        <f t="shared" si="3"/>
        <v xml:space="preserve"> </v>
      </c>
      <c r="N7" t="str">
        <f t="shared" si="4"/>
        <v xml:space="preserve"> </v>
      </c>
    </row>
    <row r="8" spans="1:18" x14ac:dyDescent="0.25">
      <c r="A8" s="169"/>
      <c r="B8" s="172"/>
      <c r="C8" s="86">
        <v>7</v>
      </c>
      <c r="D8" s="127">
        <v>1.03</v>
      </c>
      <c r="E8" s="127">
        <v>0.25</v>
      </c>
      <c r="F8">
        <v>17</v>
      </c>
      <c r="G8" s="15" t="str">
        <f t="shared" si="1"/>
        <v xml:space="preserve"> </v>
      </c>
      <c r="J8">
        <v>7</v>
      </c>
      <c r="K8">
        <f t="shared" si="2"/>
        <v>0.4375</v>
      </c>
      <c r="L8">
        <v>7</v>
      </c>
      <c r="M8" t="str">
        <f t="shared" si="3"/>
        <v xml:space="preserve"> </v>
      </c>
      <c r="N8">
        <f t="shared" si="4"/>
        <v>1</v>
      </c>
    </row>
    <row r="9" spans="1:18" ht="15.75" thickBot="1" x14ac:dyDescent="0.3">
      <c r="A9" s="170"/>
      <c r="B9" s="173"/>
      <c r="C9" s="81">
        <v>8</v>
      </c>
      <c r="D9" s="126">
        <v>1.03</v>
      </c>
      <c r="E9" s="126">
        <v>0.25</v>
      </c>
      <c r="F9">
        <v>17</v>
      </c>
      <c r="G9" s="15" t="str">
        <f t="shared" si="1"/>
        <v xml:space="preserve"> </v>
      </c>
      <c r="J9">
        <v>8</v>
      </c>
      <c r="K9">
        <f t="shared" si="2"/>
        <v>0.5</v>
      </c>
      <c r="L9">
        <v>8</v>
      </c>
      <c r="M9" t="str">
        <f t="shared" si="3"/>
        <v xml:space="preserve"> </v>
      </c>
      <c r="N9">
        <f t="shared" si="4"/>
        <v>4</v>
      </c>
    </row>
    <row r="10" spans="1:18" x14ac:dyDescent="0.25">
      <c r="A10" s="168" t="s">
        <v>335</v>
      </c>
      <c r="B10" s="171" t="e" vm="2">
        <v>#VALUE!</v>
      </c>
      <c r="C10" s="109">
        <v>9</v>
      </c>
      <c r="D10" s="129">
        <v>1.127</v>
      </c>
      <c r="E10" s="129">
        <v>0.25</v>
      </c>
      <c r="F10">
        <f t="shared" si="0"/>
        <v>18</v>
      </c>
      <c r="G10" s="15" t="str">
        <f t="shared" si="1"/>
        <v xml:space="preserve"> </v>
      </c>
      <c r="J10">
        <v>9</v>
      </c>
      <c r="K10">
        <f t="shared" si="2"/>
        <v>0.5625</v>
      </c>
      <c r="L10">
        <v>9</v>
      </c>
      <c r="M10" t="str">
        <f t="shared" si="3"/>
        <v xml:space="preserve"> </v>
      </c>
      <c r="N10">
        <f t="shared" si="4"/>
        <v>2</v>
      </c>
    </row>
    <row r="11" spans="1:18" x14ac:dyDescent="0.25">
      <c r="A11" s="169"/>
      <c r="B11" s="172"/>
      <c r="C11" s="110">
        <v>10</v>
      </c>
      <c r="D11" s="128">
        <v>0.82</v>
      </c>
      <c r="E11" s="128">
        <v>0.191</v>
      </c>
      <c r="F11">
        <f t="shared" si="0"/>
        <v>13</v>
      </c>
      <c r="G11" s="15" t="str">
        <f t="shared" si="1"/>
        <v xml:space="preserve"> </v>
      </c>
      <c r="J11">
        <v>10</v>
      </c>
      <c r="K11">
        <f t="shared" si="2"/>
        <v>0.625</v>
      </c>
      <c r="L11">
        <v>10</v>
      </c>
      <c r="M11">
        <f t="shared" si="3"/>
        <v>1</v>
      </c>
      <c r="N11" t="str">
        <f t="shared" si="4"/>
        <v xml:space="preserve"> </v>
      </c>
    </row>
    <row r="12" spans="1:18" x14ac:dyDescent="0.25">
      <c r="A12" s="169"/>
      <c r="B12" s="172"/>
      <c r="C12" s="86">
        <v>11</v>
      </c>
      <c r="D12" s="127">
        <v>0.82</v>
      </c>
      <c r="E12" s="127">
        <v>0.191</v>
      </c>
      <c r="F12">
        <f t="shared" si="0"/>
        <v>13</v>
      </c>
      <c r="G12" s="15" t="str">
        <f t="shared" si="1"/>
        <v xml:space="preserve"> </v>
      </c>
      <c r="J12">
        <v>11</v>
      </c>
      <c r="K12">
        <f t="shared" si="2"/>
        <v>0.6875</v>
      </c>
      <c r="L12">
        <v>11</v>
      </c>
      <c r="M12">
        <f t="shared" si="3"/>
        <v>4</v>
      </c>
      <c r="N12" t="str">
        <f t="shared" si="4"/>
        <v xml:space="preserve"> </v>
      </c>
    </row>
    <row r="13" spans="1:18" x14ac:dyDescent="0.25">
      <c r="A13" s="169"/>
      <c r="B13" s="172"/>
      <c r="C13" s="110">
        <v>12</v>
      </c>
      <c r="D13" s="128">
        <v>1.127</v>
      </c>
      <c r="E13" s="128">
        <v>0.25</v>
      </c>
      <c r="F13">
        <f t="shared" si="0"/>
        <v>18</v>
      </c>
      <c r="G13" s="15" t="str">
        <f t="shared" si="1"/>
        <v xml:space="preserve"> </v>
      </c>
      <c r="J13">
        <v>12</v>
      </c>
      <c r="K13">
        <f t="shared" si="2"/>
        <v>0.75</v>
      </c>
      <c r="L13">
        <v>12</v>
      </c>
      <c r="M13" t="str">
        <f t="shared" si="3"/>
        <v xml:space="preserve"> </v>
      </c>
      <c r="N13">
        <f t="shared" si="4"/>
        <v>1</v>
      </c>
    </row>
    <row r="14" spans="1:18" x14ac:dyDescent="0.25">
      <c r="A14" s="169"/>
      <c r="B14" s="172"/>
      <c r="C14" s="86">
        <v>13</v>
      </c>
      <c r="D14" s="127">
        <v>1.1539999999999999</v>
      </c>
      <c r="E14" s="127">
        <v>0.25</v>
      </c>
      <c r="F14">
        <v>19</v>
      </c>
      <c r="G14" s="15" t="str">
        <f t="shared" si="1"/>
        <v xml:space="preserve"> </v>
      </c>
      <c r="J14">
        <v>13</v>
      </c>
      <c r="K14">
        <f t="shared" si="2"/>
        <v>0.8125</v>
      </c>
      <c r="L14">
        <v>13</v>
      </c>
      <c r="M14" t="str">
        <f t="shared" si="3"/>
        <v xml:space="preserve"> </v>
      </c>
      <c r="N14">
        <f t="shared" si="4"/>
        <v>8</v>
      </c>
    </row>
    <row r="15" spans="1:18" x14ac:dyDescent="0.25">
      <c r="A15" s="169"/>
      <c r="B15" s="172"/>
      <c r="C15" s="110">
        <v>14</v>
      </c>
      <c r="D15" s="128">
        <v>0.8</v>
      </c>
      <c r="E15" s="128">
        <v>0.191</v>
      </c>
      <c r="F15">
        <v>13</v>
      </c>
      <c r="G15" s="15" t="str">
        <f t="shared" si="1"/>
        <v xml:space="preserve"> </v>
      </c>
      <c r="J15">
        <v>14</v>
      </c>
      <c r="K15">
        <f t="shared" si="2"/>
        <v>0.875</v>
      </c>
      <c r="L15">
        <v>14</v>
      </c>
      <c r="M15">
        <f>IF(AND(NOT(COUNTIF($F$2:$F$58,J15)=0),E15=0.191),COUNTIF($F$2:$F$58,J15)," ")</f>
        <v>4</v>
      </c>
      <c r="N15" t="str">
        <f t="shared" si="4"/>
        <v xml:space="preserve"> </v>
      </c>
    </row>
    <row r="16" spans="1:18" ht="15.75" thickBot="1" x14ac:dyDescent="0.3">
      <c r="A16" s="170"/>
      <c r="B16" s="173"/>
      <c r="C16" s="136">
        <v>15</v>
      </c>
      <c r="D16" s="135">
        <v>1.1359999999999999</v>
      </c>
      <c r="E16" s="135">
        <v>0.25</v>
      </c>
      <c r="F16">
        <f t="shared" si="0"/>
        <v>18</v>
      </c>
      <c r="G16" s="15" t="str">
        <f t="shared" si="1"/>
        <v xml:space="preserve"> </v>
      </c>
      <c r="J16">
        <v>15</v>
      </c>
      <c r="K16">
        <f t="shared" si="2"/>
        <v>0.9375</v>
      </c>
      <c r="L16">
        <v>15</v>
      </c>
      <c r="M16" t="str">
        <f t="shared" si="3"/>
        <v xml:space="preserve"> </v>
      </c>
      <c r="N16">
        <f t="shared" si="4"/>
        <v>4</v>
      </c>
    </row>
    <row r="17" spans="1:14" x14ac:dyDescent="0.25">
      <c r="A17" s="168" t="s">
        <v>336</v>
      </c>
      <c r="B17" s="171" t="e" vm="3">
        <v>#VALUE!</v>
      </c>
      <c r="C17" s="130">
        <v>16</v>
      </c>
      <c r="D17" s="134">
        <v>1.0509999999999999</v>
      </c>
      <c r="E17" s="134">
        <v>0.25</v>
      </c>
      <c r="F17">
        <v>17</v>
      </c>
      <c r="G17" s="15" t="str">
        <f t="shared" si="1"/>
        <v xml:space="preserve"> </v>
      </c>
      <c r="J17">
        <v>16</v>
      </c>
      <c r="K17">
        <f t="shared" si="2"/>
        <v>1</v>
      </c>
      <c r="L17">
        <v>16</v>
      </c>
      <c r="M17" t="str">
        <f t="shared" si="3"/>
        <v xml:space="preserve"> </v>
      </c>
      <c r="N17">
        <f t="shared" si="4"/>
        <v>1</v>
      </c>
    </row>
    <row r="18" spans="1:14" x14ac:dyDescent="0.25">
      <c r="A18" s="169"/>
      <c r="B18" s="172"/>
      <c r="C18" s="86">
        <v>17</v>
      </c>
      <c r="D18" s="127">
        <v>0.82</v>
      </c>
      <c r="E18" s="127">
        <v>0.191</v>
      </c>
      <c r="F18">
        <f t="shared" si="0"/>
        <v>13</v>
      </c>
      <c r="G18" s="15" t="str">
        <f t="shared" si="1"/>
        <v xml:space="preserve"> </v>
      </c>
      <c r="J18">
        <v>17</v>
      </c>
      <c r="K18">
        <f t="shared" si="2"/>
        <v>1.0625</v>
      </c>
      <c r="L18">
        <v>17</v>
      </c>
      <c r="M18">
        <f t="shared" si="3"/>
        <v>15</v>
      </c>
      <c r="N18" t="str">
        <f t="shared" si="4"/>
        <v xml:space="preserve"> </v>
      </c>
    </row>
    <row r="19" spans="1:14" x14ac:dyDescent="0.25">
      <c r="A19" s="169"/>
      <c r="B19" s="172"/>
      <c r="C19" s="110">
        <v>18</v>
      </c>
      <c r="D19" s="128">
        <v>1.1060000000000001</v>
      </c>
      <c r="E19" s="128">
        <v>0.25</v>
      </c>
      <c r="F19">
        <v>18</v>
      </c>
      <c r="G19" s="15" t="str">
        <f t="shared" si="1"/>
        <v xml:space="preserve"> </v>
      </c>
      <c r="J19">
        <v>18</v>
      </c>
      <c r="K19">
        <f t="shared" si="2"/>
        <v>1.125</v>
      </c>
      <c r="L19">
        <v>18</v>
      </c>
      <c r="M19" t="str">
        <f t="shared" si="3"/>
        <v xml:space="preserve"> </v>
      </c>
      <c r="N19">
        <f t="shared" si="4"/>
        <v>6</v>
      </c>
    </row>
    <row r="20" spans="1:14" x14ac:dyDescent="0.25">
      <c r="A20" s="169"/>
      <c r="B20" s="172"/>
      <c r="C20" s="86">
        <v>19</v>
      </c>
      <c r="D20" s="127">
        <v>1.028</v>
      </c>
      <c r="E20" s="127">
        <v>0.25</v>
      </c>
      <c r="F20">
        <v>17</v>
      </c>
      <c r="G20" s="15" t="str">
        <f t="shared" si="1"/>
        <v xml:space="preserve"> </v>
      </c>
      <c r="J20">
        <v>19</v>
      </c>
      <c r="K20">
        <f t="shared" si="2"/>
        <v>1.1875</v>
      </c>
      <c r="L20">
        <v>19</v>
      </c>
      <c r="M20" t="str">
        <f t="shared" si="3"/>
        <v xml:space="preserve"> </v>
      </c>
      <c r="N20">
        <f t="shared" si="4"/>
        <v>1</v>
      </c>
    </row>
    <row r="21" spans="1:14" x14ac:dyDescent="0.25">
      <c r="A21" s="169"/>
      <c r="B21" s="172"/>
      <c r="C21" s="110">
        <v>20</v>
      </c>
      <c r="D21" s="128">
        <v>1.0209999999999999</v>
      </c>
      <c r="E21" s="128">
        <v>0.25</v>
      </c>
      <c r="F21">
        <v>17</v>
      </c>
      <c r="G21" s="15" t="str">
        <f t="shared" si="1"/>
        <v xml:space="preserve"> </v>
      </c>
      <c r="J21">
        <v>20</v>
      </c>
      <c r="K21">
        <f t="shared" si="2"/>
        <v>1.25</v>
      </c>
      <c r="L21">
        <v>20</v>
      </c>
      <c r="M21" t="str">
        <f t="shared" si="3"/>
        <v xml:space="preserve"> </v>
      </c>
      <c r="N21" t="str">
        <f t="shared" si="4"/>
        <v xml:space="preserve"> </v>
      </c>
    </row>
    <row r="22" spans="1:14" x14ac:dyDescent="0.25">
      <c r="A22" s="169"/>
      <c r="B22" s="172"/>
      <c r="C22" s="86">
        <v>21</v>
      </c>
      <c r="D22" s="127">
        <v>0.9</v>
      </c>
      <c r="E22" s="127">
        <v>0.191</v>
      </c>
      <c r="F22">
        <v>15</v>
      </c>
      <c r="G22" s="15" t="str">
        <f t="shared" si="1"/>
        <v xml:space="preserve"> </v>
      </c>
      <c r="J22">
        <v>21</v>
      </c>
      <c r="K22">
        <f t="shared" si="2"/>
        <v>1.3125</v>
      </c>
      <c r="L22">
        <v>21</v>
      </c>
      <c r="M22" t="str">
        <f t="shared" si="3"/>
        <v xml:space="preserve"> </v>
      </c>
      <c r="N22" t="str">
        <f t="shared" si="4"/>
        <v xml:space="preserve"> </v>
      </c>
    </row>
    <row r="23" spans="1:14" ht="15.75" thickBot="1" x14ac:dyDescent="0.3">
      <c r="A23" s="170"/>
      <c r="B23" s="173"/>
      <c r="C23" s="81">
        <v>22</v>
      </c>
      <c r="D23" s="126">
        <v>1.0349999999999999</v>
      </c>
      <c r="E23" s="126">
        <v>0.25</v>
      </c>
      <c r="F23">
        <v>17</v>
      </c>
      <c r="G23" s="15" t="str">
        <f t="shared" si="1"/>
        <v xml:space="preserve"> </v>
      </c>
      <c r="J23">
        <v>22</v>
      </c>
      <c r="K23">
        <f t="shared" si="2"/>
        <v>1.375</v>
      </c>
      <c r="L23">
        <v>22</v>
      </c>
      <c r="M23" t="str">
        <f t="shared" si="3"/>
        <v xml:space="preserve"> </v>
      </c>
      <c r="N23" t="str">
        <f t="shared" si="4"/>
        <v xml:space="preserve"> </v>
      </c>
    </row>
    <row r="24" spans="1:14" x14ac:dyDescent="0.25">
      <c r="A24" s="168"/>
      <c r="B24" s="130" t="s">
        <v>337</v>
      </c>
      <c r="C24" s="109">
        <v>23</v>
      </c>
      <c r="D24" s="129">
        <v>0.25</v>
      </c>
      <c r="E24" s="129">
        <v>0.191</v>
      </c>
      <c r="F24">
        <f t="shared" si="0"/>
        <v>4</v>
      </c>
      <c r="G24" s="15" t="str">
        <f t="shared" si="1"/>
        <v xml:space="preserve"> </v>
      </c>
      <c r="J24">
        <v>23</v>
      </c>
      <c r="K24">
        <f t="shared" si="2"/>
        <v>1.4375</v>
      </c>
      <c r="L24">
        <v>23</v>
      </c>
      <c r="M24" t="str">
        <f t="shared" si="3"/>
        <v xml:space="preserve"> </v>
      </c>
      <c r="N24" t="str">
        <f t="shared" si="4"/>
        <v xml:space="preserve"> </v>
      </c>
    </row>
    <row r="25" spans="1:14" ht="15.75" thickBot="1" x14ac:dyDescent="0.3">
      <c r="A25" s="170"/>
      <c r="B25" s="81" t="s">
        <v>338</v>
      </c>
      <c r="C25" s="81">
        <v>24</v>
      </c>
      <c r="D25" s="126">
        <v>0.25</v>
      </c>
      <c r="E25" s="126">
        <v>0.191</v>
      </c>
      <c r="F25">
        <f t="shared" si="0"/>
        <v>4</v>
      </c>
      <c r="G25" s="15" t="str">
        <f t="shared" si="1"/>
        <v xml:space="preserve"> </v>
      </c>
      <c r="J25">
        <v>24</v>
      </c>
      <c r="K25">
        <f t="shared" si="2"/>
        <v>1.5</v>
      </c>
      <c r="L25">
        <v>24</v>
      </c>
      <c r="M25" t="str">
        <f t="shared" si="3"/>
        <v xml:space="preserve"> </v>
      </c>
      <c r="N25" t="str">
        <f t="shared" si="4"/>
        <v xml:space="preserve"> </v>
      </c>
    </row>
    <row r="26" spans="1:14" x14ac:dyDescent="0.25">
      <c r="A26" s="174" t="s">
        <v>339</v>
      </c>
      <c r="B26" s="177" t="e" vm="4">
        <v>#VALUE!</v>
      </c>
      <c r="C26" s="123">
        <v>25</v>
      </c>
      <c r="D26" s="122">
        <v>0.56699999999999995</v>
      </c>
      <c r="E26" s="122">
        <v>0.191</v>
      </c>
      <c r="F26">
        <f t="shared" si="0"/>
        <v>9</v>
      </c>
      <c r="G26" s="15" t="str">
        <f t="shared" si="1"/>
        <v xml:space="preserve"> </v>
      </c>
    </row>
    <row r="27" spans="1:14" x14ac:dyDescent="0.25">
      <c r="A27" s="175"/>
      <c r="B27" s="178"/>
      <c r="C27" s="120">
        <v>26</v>
      </c>
      <c r="D27" s="121">
        <v>0.71499999999999997</v>
      </c>
      <c r="E27" s="121">
        <v>0.23599999999999999</v>
      </c>
      <c r="F27">
        <v>12</v>
      </c>
      <c r="G27" s="15" t="str">
        <f t="shared" si="1"/>
        <v xml:space="preserve"> </v>
      </c>
    </row>
    <row r="28" spans="1:14" x14ac:dyDescent="0.25">
      <c r="A28" s="175"/>
      <c r="B28" s="178"/>
      <c r="C28" s="119">
        <v>27</v>
      </c>
      <c r="D28" s="118">
        <v>0.53100000000000003</v>
      </c>
      <c r="E28" s="118">
        <v>0.191</v>
      </c>
      <c r="F28">
        <v>9</v>
      </c>
      <c r="G28" s="15" t="str">
        <f t="shared" si="1"/>
        <v xml:space="preserve"> </v>
      </c>
    </row>
    <row r="29" spans="1:14" x14ac:dyDescent="0.25">
      <c r="A29" s="175"/>
      <c r="B29" s="178"/>
      <c r="C29" s="120">
        <v>28</v>
      </c>
      <c r="D29" s="121">
        <v>0.8</v>
      </c>
      <c r="E29" s="121">
        <v>0.23599999999999999</v>
      </c>
      <c r="F29">
        <v>13</v>
      </c>
      <c r="G29" s="15" t="str">
        <f t="shared" si="1"/>
        <v xml:space="preserve"> </v>
      </c>
    </row>
    <row r="30" spans="1:14" x14ac:dyDescent="0.25">
      <c r="A30" s="175"/>
      <c r="B30" s="178"/>
      <c r="C30" s="119">
        <v>29</v>
      </c>
      <c r="D30" s="118">
        <v>0.7</v>
      </c>
      <c r="E30" s="118">
        <v>0.16500000000000001</v>
      </c>
      <c r="F30">
        <f t="shared" si="0"/>
        <v>11</v>
      </c>
      <c r="G30" s="15" t="str">
        <f t="shared" si="1"/>
        <v xml:space="preserve"> </v>
      </c>
    </row>
    <row r="31" spans="1:14" x14ac:dyDescent="0.25">
      <c r="A31" s="175"/>
      <c r="B31" s="178"/>
      <c r="C31" s="120">
        <v>30</v>
      </c>
      <c r="D31" s="121">
        <v>0.51900000000000002</v>
      </c>
      <c r="E31" s="121">
        <v>0.25</v>
      </c>
      <c r="F31">
        <f t="shared" si="0"/>
        <v>8</v>
      </c>
      <c r="G31" s="15" t="str">
        <f t="shared" si="1"/>
        <v xml:space="preserve"> </v>
      </c>
    </row>
    <row r="32" spans="1:14" x14ac:dyDescent="0.25">
      <c r="A32" s="175"/>
      <c r="B32" s="178"/>
      <c r="C32" s="119">
        <v>31</v>
      </c>
      <c r="D32" s="118">
        <v>0.51900000000000002</v>
      </c>
      <c r="E32" s="118">
        <v>0.25</v>
      </c>
      <c r="F32">
        <f t="shared" si="0"/>
        <v>8</v>
      </c>
      <c r="G32" s="15" t="str">
        <f t="shared" si="1"/>
        <v xml:space="preserve"> </v>
      </c>
    </row>
    <row r="33" spans="1:7" x14ac:dyDescent="0.25">
      <c r="A33" s="175"/>
      <c r="B33" s="178"/>
      <c r="C33" s="120">
        <v>32</v>
      </c>
      <c r="D33" s="121">
        <v>0.51900000000000002</v>
      </c>
      <c r="E33" s="121">
        <v>0.25</v>
      </c>
      <c r="F33">
        <f t="shared" si="0"/>
        <v>8</v>
      </c>
      <c r="G33" s="15" t="str">
        <f t="shared" si="1"/>
        <v xml:space="preserve"> </v>
      </c>
    </row>
    <row r="34" spans="1:7" x14ac:dyDescent="0.25">
      <c r="A34" s="175"/>
      <c r="B34" s="178"/>
      <c r="C34" s="119">
        <v>33</v>
      </c>
      <c r="D34" s="118">
        <v>0.8</v>
      </c>
      <c r="E34" s="118">
        <v>0.25</v>
      </c>
      <c r="F34">
        <v>13</v>
      </c>
      <c r="G34" s="15" t="str">
        <f t="shared" ref="G34:G58" si="5">IF(D34-VLOOKUP(F34,AN_DashTable,2,FALSE)-0.02&lt;0," ",D34-VLOOKUP(F34,AN_DashTable,2,FALSE)-0.02)</f>
        <v xml:space="preserve"> </v>
      </c>
    </row>
    <row r="35" spans="1:7" ht="15.75" thickBot="1" x14ac:dyDescent="0.3">
      <c r="A35" s="176"/>
      <c r="B35" s="179"/>
      <c r="C35" s="116">
        <v>34</v>
      </c>
      <c r="D35" s="115">
        <v>0.8</v>
      </c>
      <c r="E35" s="115">
        <v>0.191</v>
      </c>
      <c r="F35">
        <v>13</v>
      </c>
      <c r="G35" s="15" t="str">
        <f t="shared" si="5"/>
        <v xml:space="preserve"> </v>
      </c>
    </row>
    <row r="36" spans="1:7" x14ac:dyDescent="0.25">
      <c r="A36" s="174" t="s">
        <v>340</v>
      </c>
      <c r="B36" s="177" t="e" vm="5">
        <v>#VALUE!</v>
      </c>
      <c r="C36" s="123">
        <v>35</v>
      </c>
      <c r="D36" s="122">
        <v>1.052</v>
      </c>
      <c r="E36" s="122">
        <v>0.25</v>
      </c>
      <c r="F36">
        <v>17</v>
      </c>
      <c r="G36" s="15" t="str">
        <f t="shared" si="5"/>
        <v xml:space="preserve"> </v>
      </c>
    </row>
    <row r="37" spans="1:7" x14ac:dyDescent="0.25">
      <c r="A37" s="175"/>
      <c r="B37" s="178"/>
      <c r="C37" s="120">
        <v>36</v>
      </c>
      <c r="D37" s="121">
        <v>0.9</v>
      </c>
      <c r="E37" s="121">
        <v>0.191</v>
      </c>
      <c r="F37">
        <v>15</v>
      </c>
      <c r="G37" s="15" t="str">
        <f t="shared" si="5"/>
        <v xml:space="preserve"> </v>
      </c>
    </row>
    <row r="38" spans="1:7" x14ac:dyDescent="0.25">
      <c r="A38" s="175"/>
      <c r="B38" s="178"/>
      <c r="C38" s="119">
        <v>37</v>
      </c>
      <c r="D38" s="118">
        <v>1.0529999999999999</v>
      </c>
      <c r="E38" s="118">
        <v>0.25</v>
      </c>
      <c r="F38">
        <v>17</v>
      </c>
      <c r="G38" s="15" t="str">
        <f t="shared" si="5"/>
        <v xml:space="preserve"> </v>
      </c>
    </row>
    <row r="39" spans="1:7" x14ac:dyDescent="0.25">
      <c r="A39" s="175"/>
      <c r="B39" s="178"/>
      <c r="C39" s="120">
        <v>38</v>
      </c>
      <c r="D39" s="121">
        <v>0.9</v>
      </c>
      <c r="E39" s="121">
        <v>0.191</v>
      </c>
      <c r="F39">
        <v>15</v>
      </c>
      <c r="G39" s="15" t="str">
        <f t="shared" si="5"/>
        <v xml:space="preserve"> </v>
      </c>
    </row>
    <row r="40" spans="1:7" x14ac:dyDescent="0.25">
      <c r="A40" s="175"/>
      <c r="B40" s="178"/>
      <c r="C40" s="119">
        <v>39</v>
      </c>
      <c r="D40" s="118">
        <v>1.06</v>
      </c>
      <c r="E40" s="118">
        <v>0.25</v>
      </c>
      <c r="F40">
        <v>17</v>
      </c>
      <c r="G40" s="15" t="str">
        <f t="shared" si="5"/>
        <v xml:space="preserve"> </v>
      </c>
    </row>
    <row r="41" spans="1:7" ht="15.75" thickBot="1" x14ac:dyDescent="0.3">
      <c r="A41" s="176"/>
      <c r="B41" s="179"/>
      <c r="C41" s="116">
        <v>40</v>
      </c>
      <c r="D41" s="115">
        <v>1.06</v>
      </c>
      <c r="E41" s="115">
        <v>0.25</v>
      </c>
      <c r="F41">
        <v>17</v>
      </c>
      <c r="G41" s="15" t="str">
        <f t="shared" si="5"/>
        <v xml:space="preserve"> </v>
      </c>
    </row>
    <row r="42" spans="1:7" x14ac:dyDescent="0.25">
      <c r="A42" s="174" t="s">
        <v>341</v>
      </c>
      <c r="B42" s="177" t="e" vm="6">
        <v>#VALUE!</v>
      </c>
      <c r="C42" s="123">
        <v>41</v>
      </c>
      <c r="D42" s="122">
        <v>1.0529999999999999</v>
      </c>
      <c r="E42" s="122">
        <v>0.25</v>
      </c>
      <c r="F42">
        <v>17</v>
      </c>
      <c r="G42" s="15" t="str">
        <f t="shared" si="5"/>
        <v xml:space="preserve"> </v>
      </c>
    </row>
    <row r="43" spans="1:7" x14ac:dyDescent="0.25">
      <c r="A43" s="175"/>
      <c r="B43" s="178"/>
      <c r="C43" s="120">
        <v>42</v>
      </c>
      <c r="D43" s="121">
        <v>0.82</v>
      </c>
      <c r="E43" s="121">
        <v>0.191</v>
      </c>
      <c r="F43">
        <f t="shared" si="0"/>
        <v>13</v>
      </c>
      <c r="G43" s="15" t="str">
        <f t="shared" si="5"/>
        <v xml:space="preserve"> </v>
      </c>
    </row>
    <row r="44" spans="1:7" x14ac:dyDescent="0.25">
      <c r="A44" s="175"/>
      <c r="B44" s="178"/>
      <c r="C44" s="119">
        <v>43</v>
      </c>
      <c r="D44" s="118">
        <v>1.0640000000000001</v>
      </c>
      <c r="E44" s="118">
        <v>0.25</v>
      </c>
      <c r="F44">
        <f t="shared" si="0"/>
        <v>17</v>
      </c>
      <c r="G44" s="15" t="str">
        <f t="shared" si="5"/>
        <v xml:space="preserve"> </v>
      </c>
    </row>
    <row r="45" spans="1:7" x14ac:dyDescent="0.25">
      <c r="A45" s="175"/>
      <c r="B45" s="178"/>
      <c r="C45" s="120">
        <v>44</v>
      </c>
      <c r="D45" s="121">
        <v>0.66500000000000004</v>
      </c>
      <c r="E45" s="121">
        <v>0.191</v>
      </c>
      <c r="F45">
        <v>11</v>
      </c>
      <c r="G45" s="15" t="str">
        <f t="shared" si="5"/>
        <v xml:space="preserve"> </v>
      </c>
    </row>
    <row r="46" spans="1:7" x14ac:dyDescent="0.25">
      <c r="A46" s="175"/>
      <c r="B46" s="178"/>
      <c r="C46" s="119">
        <v>45</v>
      </c>
      <c r="D46" s="118">
        <v>1.022</v>
      </c>
      <c r="E46" s="118">
        <v>0.25</v>
      </c>
      <c r="F46">
        <v>17</v>
      </c>
      <c r="G46" s="15" t="str">
        <f t="shared" si="5"/>
        <v xml:space="preserve"> </v>
      </c>
    </row>
    <row r="47" spans="1:7" x14ac:dyDescent="0.25">
      <c r="A47" s="175"/>
      <c r="B47" s="178"/>
      <c r="C47" s="120">
        <v>46</v>
      </c>
      <c r="D47" s="121">
        <v>1.022</v>
      </c>
      <c r="E47" s="121">
        <v>0.25</v>
      </c>
      <c r="F47">
        <v>17</v>
      </c>
      <c r="G47" s="15" t="str">
        <f t="shared" si="5"/>
        <v xml:space="preserve"> </v>
      </c>
    </row>
    <row r="48" spans="1:7" ht="15.75" thickBot="1" x14ac:dyDescent="0.3">
      <c r="A48" s="176"/>
      <c r="B48" s="179"/>
      <c r="C48" s="132">
        <v>47</v>
      </c>
      <c r="D48" s="131">
        <v>0.84</v>
      </c>
      <c r="E48" s="131">
        <v>0.191</v>
      </c>
      <c r="F48">
        <v>14</v>
      </c>
      <c r="G48" s="15" t="str">
        <f t="shared" si="5"/>
        <v xml:space="preserve"> </v>
      </c>
    </row>
    <row r="49" spans="1:7" x14ac:dyDescent="0.25">
      <c r="A49" s="125"/>
      <c r="B49" s="124" t="s">
        <v>337</v>
      </c>
      <c r="C49" s="124">
        <v>48</v>
      </c>
      <c r="D49" s="133">
        <v>0.25</v>
      </c>
      <c r="E49" s="133">
        <v>0.191</v>
      </c>
      <c r="F49">
        <f t="shared" si="0"/>
        <v>4</v>
      </c>
      <c r="G49" s="15" t="str">
        <f t="shared" si="5"/>
        <v xml:space="preserve"> </v>
      </c>
    </row>
    <row r="50" spans="1:7" ht="15.75" thickBot="1" x14ac:dyDescent="0.3">
      <c r="A50" s="117"/>
      <c r="B50" s="116" t="s">
        <v>338</v>
      </c>
      <c r="C50" s="132">
        <v>49</v>
      </c>
      <c r="D50" s="131">
        <v>0.25</v>
      </c>
      <c r="E50" s="131">
        <v>0.191</v>
      </c>
      <c r="F50">
        <f t="shared" si="0"/>
        <v>4</v>
      </c>
      <c r="G50" s="15" t="str">
        <f t="shared" si="5"/>
        <v xml:space="preserve"> </v>
      </c>
    </row>
    <row r="51" spans="1:7" ht="18" customHeight="1" x14ac:dyDescent="0.25">
      <c r="A51" s="168" t="s">
        <v>342</v>
      </c>
      <c r="B51" s="171" t="e" vm="7">
        <v>#VALUE!</v>
      </c>
      <c r="C51" s="109">
        <v>50</v>
      </c>
      <c r="D51" s="129">
        <v>1.014</v>
      </c>
      <c r="E51" s="129">
        <v>0.25</v>
      </c>
      <c r="F51">
        <f t="shared" si="0"/>
        <v>16</v>
      </c>
      <c r="G51" s="15" t="str">
        <f t="shared" si="5"/>
        <v xml:space="preserve"> </v>
      </c>
    </row>
    <row r="52" spans="1:7" ht="18" customHeight="1" x14ac:dyDescent="0.25">
      <c r="A52" s="169"/>
      <c r="B52" s="172"/>
      <c r="C52" s="110">
        <v>51</v>
      </c>
      <c r="D52" s="128">
        <v>0.51</v>
      </c>
      <c r="E52" s="128">
        <v>0.191</v>
      </c>
      <c r="F52">
        <f t="shared" si="0"/>
        <v>8</v>
      </c>
      <c r="G52" s="15" t="str">
        <f t="shared" si="5"/>
        <v xml:space="preserve"> </v>
      </c>
    </row>
    <row r="53" spans="1:7" ht="18" customHeight="1" x14ac:dyDescent="0.25">
      <c r="A53" s="169"/>
      <c r="B53" s="172"/>
      <c r="C53" s="86">
        <v>52</v>
      </c>
      <c r="D53" s="127">
        <v>0.67200000000000004</v>
      </c>
      <c r="E53" s="127">
        <v>0.191</v>
      </c>
      <c r="F53">
        <v>11</v>
      </c>
      <c r="G53" s="15" t="str">
        <f t="shared" si="5"/>
        <v xml:space="preserve"> </v>
      </c>
    </row>
    <row r="54" spans="1:7" ht="18" customHeight="1" thickBot="1" x14ac:dyDescent="0.3">
      <c r="A54" s="170"/>
      <c r="B54" s="173"/>
      <c r="C54" s="81">
        <v>53</v>
      </c>
      <c r="D54" s="126">
        <v>1.1399999999999999</v>
      </c>
      <c r="E54" s="126">
        <v>0.25</v>
      </c>
      <c r="F54">
        <f t="shared" si="0"/>
        <v>18</v>
      </c>
      <c r="G54" s="15" t="str">
        <f t="shared" si="5"/>
        <v xml:space="preserve"> </v>
      </c>
    </row>
    <row r="55" spans="1:7" ht="18.600000000000001" customHeight="1" x14ac:dyDescent="0.25">
      <c r="A55" s="174" t="s">
        <v>343</v>
      </c>
      <c r="B55" s="177" t="e" vm="8">
        <v>#VALUE!</v>
      </c>
      <c r="C55" s="123">
        <v>54</v>
      </c>
      <c r="D55" s="122">
        <v>0.63</v>
      </c>
      <c r="E55" s="122">
        <v>0.191</v>
      </c>
      <c r="F55">
        <f t="shared" si="0"/>
        <v>10</v>
      </c>
      <c r="G55" s="15" t="str">
        <f t="shared" si="5"/>
        <v xml:space="preserve"> </v>
      </c>
    </row>
    <row r="56" spans="1:7" ht="18.600000000000001" customHeight="1" x14ac:dyDescent="0.25">
      <c r="A56" s="175"/>
      <c r="B56" s="178"/>
      <c r="C56" s="120">
        <v>55</v>
      </c>
      <c r="D56" s="121">
        <v>1.087</v>
      </c>
      <c r="E56" s="121">
        <v>0.25</v>
      </c>
      <c r="F56">
        <v>18</v>
      </c>
      <c r="G56" s="15" t="str">
        <f t="shared" si="5"/>
        <v xml:space="preserve"> </v>
      </c>
    </row>
    <row r="57" spans="1:7" ht="18.600000000000001" customHeight="1" x14ac:dyDescent="0.25">
      <c r="A57" s="175"/>
      <c r="B57" s="178"/>
      <c r="C57" s="119">
        <v>56</v>
      </c>
      <c r="D57" s="118"/>
      <c r="E57" s="118">
        <v>0.191</v>
      </c>
      <c r="F57" t="e">
        <f t="shared" si="0"/>
        <v>#N/A</v>
      </c>
      <c r="G57" s="15" t="e">
        <f t="shared" si="5"/>
        <v>#N/A</v>
      </c>
    </row>
    <row r="58" spans="1:7" ht="18.600000000000001" customHeight="1" thickBot="1" x14ac:dyDescent="0.3">
      <c r="A58" s="176"/>
      <c r="B58" s="179"/>
      <c r="C58" s="116">
        <v>57</v>
      </c>
      <c r="D58" s="115">
        <v>0.94499999999999995</v>
      </c>
      <c r="E58" s="115">
        <v>0.25</v>
      </c>
      <c r="F58">
        <f t="shared" si="0"/>
        <v>15</v>
      </c>
      <c r="G58" s="15" t="str">
        <f t="shared" si="5"/>
        <v xml:space="preserve"> </v>
      </c>
    </row>
    <row r="59" spans="1:7" x14ac:dyDescent="0.25">
      <c r="D59" s="113"/>
      <c r="E59" s="113"/>
    </row>
    <row r="60" spans="1:7" x14ac:dyDescent="0.25">
      <c r="D60" s="113"/>
      <c r="E60" s="113"/>
    </row>
    <row r="61" spans="1:7" x14ac:dyDescent="0.25">
      <c r="D61" s="113"/>
      <c r="E61" s="113"/>
    </row>
    <row r="62" spans="1:7" x14ac:dyDescent="0.25">
      <c r="D62" s="113"/>
      <c r="E62" s="113"/>
    </row>
    <row r="63" spans="1:7" x14ac:dyDescent="0.25">
      <c r="D63" s="113"/>
      <c r="E63" s="113"/>
    </row>
    <row r="64" spans="1:7" x14ac:dyDescent="0.25">
      <c r="D64" s="113"/>
      <c r="E64" s="113"/>
    </row>
    <row r="65" spans="4:5" x14ac:dyDescent="0.25">
      <c r="D65" s="113"/>
      <c r="E65" s="113"/>
    </row>
    <row r="66" spans="4:5" x14ac:dyDescent="0.25">
      <c r="D66" s="113"/>
      <c r="E66" s="113"/>
    </row>
    <row r="67" spans="4:5" x14ac:dyDescent="0.25">
      <c r="D67" s="113"/>
      <c r="E67" s="113"/>
    </row>
    <row r="68" spans="4:5" x14ac:dyDescent="0.25">
      <c r="D68" s="113"/>
      <c r="E68" s="113"/>
    </row>
  </sheetData>
  <mergeCells count="17">
    <mergeCell ref="A2:A9"/>
    <mergeCell ref="B2:B9"/>
    <mergeCell ref="A10:A16"/>
    <mergeCell ref="B10:B16"/>
    <mergeCell ref="A17:A23"/>
    <mergeCell ref="B17:B23"/>
    <mergeCell ref="A51:A54"/>
    <mergeCell ref="B51:B54"/>
    <mergeCell ref="A55:A58"/>
    <mergeCell ref="B55:B58"/>
    <mergeCell ref="A24:A25"/>
    <mergeCell ref="A26:A35"/>
    <mergeCell ref="B26:B35"/>
    <mergeCell ref="A36:A41"/>
    <mergeCell ref="B36:B41"/>
    <mergeCell ref="A42:A48"/>
    <mergeCell ref="B42:B48"/>
  </mergeCells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F40CA-C01F-45B1-B044-5DA35827095A}">
  <dimension ref="B1:L46"/>
  <sheetViews>
    <sheetView workbookViewId="0">
      <selection activeCell="M32" sqref="M32"/>
    </sheetView>
  </sheetViews>
  <sheetFormatPr defaultRowHeight="15" x14ac:dyDescent="0.25"/>
  <cols>
    <col min="2" max="2" width="11.5703125" bestFit="1" customWidth="1"/>
    <col min="3" max="3" width="17.7109375" bestFit="1" customWidth="1"/>
    <col min="4" max="4" width="10.28515625" bestFit="1" customWidth="1"/>
    <col min="5" max="5" width="8.28515625" bestFit="1" customWidth="1"/>
    <col min="6" max="6" width="14.28515625" customWidth="1"/>
  </cols>
  <sheetData>
    <row r="1" spans="2:7" x14ac:dyDescent="0.25">
      <c r="B1" s="89"/>
      <c r="C1" s="90" t="s">
        <v>344</v>
      </c>
      <c r="D1" s="90"/>
      <c r="E1" s="90"/>
      <c r="F1" s="90"/>
      <c r="G1" s="91"/>
    </row>
    <row r="2" spans="2:7" x14ac:dyDescent="0.25">
      <c r="B2" s="92"/>
      <c r="C2" s="85" t="s">
        <v>345</v>
      </c>
      <c r="D2" s="85" t="s">
        <v>346</v>
      </c>
      <c r="E2" s="85" t="s">
        <v>347</v>
      </c>
      <c r="F2" s="85"/>
      <c r="G2" s="93"/>
    </row>
    <row r="3" spans="2:7" x14ac:dyDescent="0.25">
      <c r="B3" s="92" t="s">
        <v>260</v>
      </c>
      <c r="C3" s="85"/>
      <c r="D3" s="85"/>
      <c r="E3" s="85"/>
      <c r="F3" s="85"/>
      <c r="G3" s="93"/>
    </row>
    <row r="4" spans="2:7" x14ac:dyDescent="0.25">
      <c r="B4" s="92" t="s">
        <v>261</v>
      </c>
      <c r="C4" s="85"/>
      <c r="D4" s="85"/>
      <c r="E4" s="85"/>
      <c r="F4" s="85"/>
      <c r="G4" s="93"/>
    </row>
    <row r="5" spans="2:7" x14ac:dyDescent="0.25">
      <c r="B5" s="92" t="s">
        <v>240</v>
      </c>
      <c r="C5" s="85"/>
      <c r="D5" s="85"/>
      <c r="E5" s="85"/>
      <c r="F5" s="85"/>
      <c r="G5" s="93"/>
    </row>
    <row r="6" spans="2:7" x14ac:dyDescent="0.25">
      <c r="B6" s="92" t="s">
        <v>242</v>
      </c>
      <c r="C6" s="85"/>
      <c r="D6" s="85"/>
      <c r="E6" s="85"/>
      <c r="F6" s="85"/>
      <c r="G6" s="93"/>
    </row>
    <row r="7" spans="2:7" x14ac:dyDescent="0.25">
      <c r="B7" s="92" t="s">
        <v>263</v>
      </c>
      <c r="C7" s="180" t="s">
        <v>348</v>
      </c>
      <c r="D7" s="180"/>
      <c r="E7" s="85">
        <v>4</v>
      </c>
      <c r="F7" s="85"/>
      <c r="G7" s="93"/>
    </row>
    <row r="8" spans="2:7" x14ac:dyDescent="0.25">
      <c r="B8" s="92" t="s">
        <v>264</v>
      </c>
      <c r="C8" s="180" t="s">
        <v>349</v>
      </c>
      <c r="D8" s="180"/>
      <c r="E8" s="85">
        <v>4</v>
      </c>
      <c r="F8" s="85"/>
      <c r="G8" s="93"/>
    </row>
    <row r="9" spans="2:7" x14ac:dyDescent="0.25">
      <c r="B9" s="92" t="s">
        <v>250</v>
      </c>
      <c r="C9" s="180" t="s">
        <v>350</v>
      </c>
      <c r="D9" s="180"/>
      <c r="E9" s="85">
        <v>4</v>
      </c>
      <c r="F9" s="85"/>
      <c r="G9" s="93"/>
    </row>
    <row r="10" spans="2:7" x14ac:dyDescent="0.25">
      <c r="B10" s="92" t="s">
        <v>251</v>
      </c>
      <c r="C10" s="180" t="s">
        <v>351</v>
      </c>
      <c r="D10" s="180"/>
      <c r="E10" s="85">
        <v>2</v>
      </c>
      <c r="F10" s="85"/>
      <c r="G10" s="93"/>
    </row>
    <row r="11" spans="2:7" x14ac:dyDescent="0.25">
      <c r="B11" s="92"/>
      <c r="C11" s="85"/>
      <c r="D11" s="85"/>
      <c r="E11" s="85"/>
      <c r="F11" s="85"/>
      <c r="G11" s="93"/>
    </row>
    <row r="12" spans="2:7" x14ac:dyDescent="0.25">
      <c r="B12" s="92"/>
      <c r="C12" s="85"/>
      <c r="D12" s="85"/>
      <c r="E12" s="85"/>
      <c r="F12" s="85"/>
      <c r="G12" s="93"/>
    </row>
    <row r="13" spans="2:7" x14ac:dyDescent="0.25">
      <c r="B13" s="92"/>
      <c r="C13" s="85"/>
      <c r="D13" s="85"/>
      <c r="E13" s="85"/>
      <c r="F13" s="85"/>
      <c r="G13" s="93"/>
    </row>
    <row r="14" spans="2:7" x14ac:dyDescent="0.25">
      <c r="B14" s="92"/>
      <c r="C14" s="85"/>
      <c r="D14" s="85"/>
      <c r="E14" s="85"/>
      <c r="F14" s="85"/>
      <c r="G14" s="93"/>
    </row>
    <row r="15" spans="2:7" x14ac:dyDescent="0.25">
      <c r="B15" s="92"/>
      <c r="C15" s="85"/>
      <c r="D15" s="85"/>
      <c r="E15" s="85"/>
      <c r="F15" s="85"/>
      <c r="G15" s="93"/>
    </row>
    <row r="16" spans="2:7" ht="15.75" thickBot="1" x14ac:dyDescent="0.3">
      <c r="B16" s="97"/>
      <c r="C16" s="84"/>
      <c r="D16" s="84"/>
      <c r="E16" s="84"/>
      <c r="F16" s="84"/>
      <c r="G16" s="98"/>
    </row>
    <row r="17" spans="2:12" x14ac:dyDescent="0.25">
      <c r="B17" s="106" t="s">
        <v>212</v>
      </c>
      <c r="C17" s="107" t="s">
        <v>213</v>
      </c>
      <c r="D17" s="107" t="s">
        <v>214</v>
      </c>
      <c r="E17" s="107" t="s">
        <v>215</v>
      </c>
      <c r="F17" s="107" t="s">
        <v>216</v>
      </c>
      <c r="G17" s="108"/>
    </row>
    <row r="18" spans="2:12" x14ac:dyDescent="0.25">
      <c r="B18" s="92" t="s">
        <v>230</v>
      </c>
      <c r="C18" s="87">
        <f ca="1">SQRT((F_LCA_FORE_X-F_LCA_OUT_X)^2+(F_LCA_FORE_Y-F_LCA_OUT_Y)^2+(F_LCA_FORE_Z-F_LCA_OUT_Z)^2)</f>
        <v>447.07874986516646</v>
      </c>
      <c r="D18" s="88">
        <f ca="1">C18/25.4</f>
        <v>17.601525585242776</v>
      </c>
      <c r="E18" s="85">
        <v>0.625</v>
      </c>
      <c r="F18" s="85">
        <v>5.8000000000000003E-2</v>
      </c>
      <c r="G18" s="93"/>
    </row>
    <row r="19" spans="2:12" x14ac:dyDescent="0.25">
      <c r="B19" s="92" t="s">
        <v>234</v>
      </c>
      <c r="C19" s="87">
        <f ca="1">SQRT((F_LCA_AFT_X-F_LCA_OUT_X)^2+(F_LCA_AFT_Y-F_LCA_OUT_Y)^2+(F_LCA_AFT_Z-F_LCA_OUT_Z)^2)</f>
        <v>470.53840539216355</v>
      </c>
      <c r="D19" s="88">
        <f ca="1">C19/25.4</f>
        <v>18.52513407055762</v>
      </c>
      <c r="E19" s="85">
        <v>0.625</v>
      </c>
      <c r="F19" s="85">
        <v>6.5000000000000002E-2</v>
      </c>
      <c r="G19" s="93"/>
    </row>
    <row r="20" spans="2:12" x14ac:dyDescent="0.25">
      <c r="B20" s="92" t="s">
        <v>236</v>
      </c>
      <c r="C20" s="87">
        <f ca="1">SQRT((F_UCA_FORE_X-F_UCA_OUT_X)^2+(F_UCA_FORE_Y-F_UCA_OUT_Y)^2+(F_UCA_FORE_Z-F_UCA_OUT_Z)^2)</f>
        <v>350.63777800031767</v>
      </c>
      <c r="D20" s="88">
        <f ca="1">C20/25.4</f>
        <v>13.804636929146366</v>
      </c>
      <c r="E20" s="85">
        <v>0.5</v>
      </c>
      <c r="F20" s="85">
        <v>2.8000000000000001E-2</v>
      </c>
      <c r="G20" s="93"/>
    </row>
    <row r="21" spans="2:12" x14ac:dyDescent="0.25">
      <c r="B21" s="92" t="s">
        <v>238</v>
      </c>
      <c r="C21" s="87">
        <f ca="1">SQRT((F_UCA_AFT_X-F_UCA_OUT_X)^2+(F_UCA_AFT_Y-F_UCA_OUT_Y)^2+(F_UCA_AFT_Z-F_UCA_OUT_Z)^2)</f>
        <v>335.47609210493675</v>
      </c>
      <c r="D21" s="88">
        <f t="shared" ref="D21:D29" ca="1" si="0">C21/25.4</f>
        <v>13.207720161611684</v>
      </c>
      <c r="E21" s="85">
        <v>0.5</v>
      </c>
      <c r="F21" s="85">
        <v>2.8000000000000001E-2</v>
      </c>
      <c r="G21" s="93"/>
    </row>
    <row r="22" spans="2:12" x14ac:dyDescent="0.25">
      <c r="B22" s="92" t="s">
        <v>240</v>
      </c>
      <c r="C22" s="87">
        <f ca="1">SQRT((F_TIE_IN_X-F_TIE_OUT_X)^2+(F_TIE_IN_Y-F_TIE_OUT_Y)^2+(F_TIE_IN_Z-F_TIE_OUT_Z)^2)</f>
        <v>386.96048503206362</v>
      </c>
      <c r="D22" s="88">
        <f t="shared" ca="1" si="0"/>
        <v>15.234664765041876</v>
      </c>
      <c r="E22" s="85">
        <v>0.375</v>
      </c>
      <c r="F22" s="85">
        <v>2.8000000000000001E-2</v>
      </c>
      <c r="G22" s="93"/>
    </row>
    <row r="23" spans="2:12" x14ac:dyDescent="0.25">
      <c r="B23" s="92" t="s">
        <v>242</v>
      </c>
      <c r="C23" s="87">
        <f ca="1">SQRT((F_PUSH_IN_X-F_PUSH_OUT_X)^2+(F_PUSH_IN_Y-F_PUSH_OUT_Y)^2+(F_PUSH_IN_Z-F_PUSH_OUT_Z)^2)</f>
        <v>1055.5401498953038</v>
      </c>
      <c r="D23" s="88">
        <f t="shared" ca="1" si="0"/>
        <v>41.556698814775743</v>
      </c>
      <c r="E23" s="85">
        <v>0.625</v>
      </c>
      <c r="F23" s="85">
        <v>2.8000000000000001E-2</v>
      </c>
      <c r="G23" s="93"/>
    </row>
    <row r="24" spans="2:12" x14ac:dyDescent="0.25">
      <c r="B24" s="92" t="s">
        <v>243</v>
      </c>
      <c r="C24" s="87">
        <f ca="1">SQRT((R_LCA_FORE_X-R_LCA_OUT_X)^2+(R_LCA_FORE_Y-R_LCA_OUT_Y)^2+(R_LCA_FORE_Z-R_LCA_OUT_Z)^2)</f>
        <v>290.65615024719301</v>
      </c>
      <c r="D24" s="88">
        <f t="shared" ca="1" si="0"/>
        <v>11.443155521543032</v>
      </c>
      <c r="E24" s="85">
        <v>0.625</v>
      </c>
      <c r="F24" s="85">
        <v>2.8000000000000001E-2</v>
      </c>
      <c r="G24" s="93"/>
    </row>
    <row r="25" spans="2:12" x14ac:dyDescent="0.25">
      <c r="B25" s="92" t="s">
        <v>246</v>
      </c>
      <c r="C25" s="87">
        <f ca="1">SQRT((R_LCA_AFT_X-R_LCA_OUT_X)^2+(R_LCA_AFT_Y-R_LCA_OUT_Y)^2+(R_LCA_AFT_Z-R_LCA_OUT_Z)^2)</f>
        <v>279.06147203774242</v>
      </c>
      <c r="D25" s="88">
        <f t="shared" ca="1" si="0"/>
        <v>10.986672127470175</v>
      </c>
      <c r="E25" s="85">
        <v>0.625</v>
      </c>
      <c r="F25" s="85">
        <v>2.8000000000000001E-2</v>
      </c>
      <c r="G25" s="93"/>
    </row>
    <row r="26" spans="2:12" x14ac:dyDescent="0.25">
      <c r="B26" s="92" t="s">
        <v>247</v>
      </c>
      <c r="C26" s="87">
        <f ca="1">SQRT((R_UCA_FORE_X-R_UCA_OUT_X)^2+(R_UCA_FORE_Y-R_UCA_OUT_Y)^2+(R_UCA_FORE_Z-R_UCA_OUT_Z)^2)</f>
        <v>211.0861190920246</v>
      </c>
      <c r="D26" s="88">
        <f t="shared" ca="1" si="0"/>
        <v>8.3104771296072677</v>
      </c>
      <c r="E26" s="85">
        <v>0.5</v>
      </c>
      <c r="F26" s="85">
        <v>2.8000000000000001E-2</v>
      </c>
      <c r="G26" s="93"/>
    </row>
    <row r="27" spans="2:12" x14ac:dyDescent="0.25">
      <c r="B27" s="92" t="s">
        <v>249</v>
      </c>
      <c r="C27" s="87">
        <f ca="1">SQRT((R_UCA_AFT_X-R_UCA_OUT_X)^2+(R_UCA_AFT_Y-R_UCA_OUT_Y)^2+(R_UCA_AFT_Z-R_UCA_OUT_Z)^2)</f>
        <v>230.17987479484617</v>
      </c>
      <c r="D27" s="88">
        <f t="shared" ca="1" si="0"/>
        <v>9.0621997950726847</v>
      </c>
      <c r="E27" s="85">
        <v>0.5</v>
      </c>
      <c r="F27" s="85">
        <v>2.8000000000000001E-2</v>
      </c>
      <c r="G27" s="93"/>
    </row>
    <row r="28" spans="2:12" x14ac:dyDescent="0.25">
      <c r="B28" s="92" t="s">
        <v>250</v>
      </c>
      <c r="C28" s="87">
        <f ca="1">SQRT((R_TIE_IN_X-R_TIE_OUT_X)^2+(R_TIE_IN_Y-R_TIE_OUT_Y)^2+(R_TIE_IN_Z-R_TIE_OUT_Z)^2)</f>
        <v>247.86738471408452</v>
      </c>
      <c r="D28" s="88">
        <f t="shared" ca="1" si="0"/>
        <v>9.7585584533104139</v>
      </c>
      <c r="E28" s="85">
        <v>0.5</v>
      </c>
      <c r="F28" s="85">
        <v>2.8000000000000001E-2</v>
      </c>
      <c r="G28" s="93"/>
      <c r="J28" s="15">
        <f ca="1">D20+D21+D26+D27+D28+D29</f>
        <v>99.149489017050826</v>
      </c>
      <c r="K28">
        <f ca="1">J28/12</f>
        <v>8.2624574180875694</v>
      </c>
      <c r="L28">
        <f ca="1">K28*2</f>
        <v>16.524914836175139</v>
      </c>
    </row>
    <row r="29" spans="2:12" ht="15.75" thickBot="1" x14ac:dyDescent="0.3">
      <c r="B29" s="94" t="s">
        <v>251</v>
      </c>
      <c r="C29" s="101">
        <f ca="1">SQRT((R_PUSH_IN_X-R_PUSH_OUT_X)^2+(R_PUSH_IN_Y-R_PUSH_OUT_Y)^2+(R_PUSH_IN_Z-R_PUSH_OUT_Z)^2)</f>
        <v>1143.149772326881</v>
      </c>
      <c r="D29" s="102">
        <f t="shared" ca="1" si="0"/>
        <v>45.005896548302402</v>
      </c>
      <c r="E29" s="95">
        <v>0.5</v>
      </c>
      <c r="F29" s="95">
        <v>2.8000000000000001E-2</v>
      </c>
      <c r="G29" s="96"/>
    </row>
    <row r="30" spans="2:12" x14ac:dyDescent="0.25">
      <c r="B30" s="99"/>
      <c r="C30" s="83"/>
      <c r="D30" s="83"/>
      <c r="E30" s="83"/>
      <c r="F30" s="83"/>
      <c r="G30" s="100"/>
    </row>
    <row r="31" spans="2:12" ht="15.75" thickBot="1" x14ac:dyDescent="0.3">
      <c r="B31" s="97"/>
      <c r="C31" s="84"/>
      <c r="D31" s="84"/>
      <c r="E31" s="84"/>
      <c r="F31" s="84"/>
      <c r="G31" s="98"/>
    </row>
    <row r="32" spans="2:12" x14ac:dyDescent="0.25">
      <c r="B32" s="103" t="s">
        <v>352</v>
      </c>
      <c r="C32" s="104" t="s">
        <v>353</v>
      </c>
      <c r="D32" s="104" t="s">
        <v>354</v>
      </c>
      <c r="E32" s="104" t="s">
        <v>212</v>
      </c>
      <c r="F32" s="104" t="s">
        <v>353</v>
      </c>
      <c r="G32" s="105" t="s">
        <v>354</v>
      </c>
    </row>
    <row r="33" spans="2:7" x14ac:dyDescent="0.25">
      <c r="B33" s="92" t="s">
        <v>355</v>
      </c>
      <c r="C33" s="85"/>
      <c r="D33" s="85"/>
      <c r="E33" s="85" t="s">
        <v>355</v>
      </c>
      <c r="F33" s="85"/>
      <c r="G33" s="93"/>
    </row>
    <row r="34" spans="2:7" x14ac:dyDescent="0.25">
      <c r="B34" s="92">
        <v>9.3826999999999998</v>
      </c>
      <c r="C34" s="85"/>
      <c r="D34" s="85"/>
      <c r="E34" s="85">
        <v>12.5</v>
      </c>
      <c r="F34" s="85"/>
      <c r="G34" s="93"/>
    </row>
    <row r="35" spans="2:7" x14ac:dyDescent="0.25">
      <c r="B35" s="92">
        <v>9.1801999999999992</v>
      </c>
      <c r="C35" s="85"/>
      <c r="D35" s="85"/>
      <c r="E35" s="85">
        <v>11.9</v>
      </c>
      <c r="F35" s="85"/>
      <c r="G35" s="93"/>
    </row>
    <row r="36" spans="2:7" x14ac:dyDescent="0.25">
      <c r="B36" s="92">
        <v>9.1564999999999994</v>
      </c>
      <c r="C36" s="85"/>
      <c r="D36" s="85"/>
      <c r="E36" s="85">
        <v>17.086300000000001</v>
      </c>
      <c r="F36" s="85"/>
      <c r="G36" s="93"/>
    </row>
    <row r="37" spans="2:7" x14ac:dyDescent="0.25">
      <c r="B37" s="92">
        <v>8.5216999999999992</v>
      </c>
      <c r="C37" s="85"/>
      <c r="D37" s="85"/>
      <c r="E37" s="85">
        <v>16.162700000000001</v>
      </c>
      <c r="F37" s="85"/>
      <c r="G37" s="93"/>
    </row>
    <row r="38" spans="2:7" x14ac:dyDescent="0.25">
      <c r="B38" s="92"/>
      <c r="C38" s="85"/>
      <c r="D38" s="85"/>
      <c r="E38" s="85"/>
      <c r="F38" s="85"/>
      <c r="G38" s="93"/>
    </row>
    <row r="39" spans="2:7" x14ac:dyDescent="0.25">
      <c r="B39" s="92" t="s">
        <v>356</v>
      </c>
      <c r="C39" s="85"/>
      <c r="D39" s="85"/>
      <c r="E39" s="85" t="s">
        <v>357</v>
      </c>
      <c r="F39" s="85"/>
      <c r="G39" s="93"/>
    </row>
    <row r="40" spans="2:7" x14ac:dyDescent="0.25">
      <c r="B40" s="92">
        <v>7.1227999999999998</v>
      </c>
      <c r="C40" s="85"/>
      <c r="D40" s="85"/>
      <c r="E40" s="85">
        <v>14.037000000000001</v>
      </c>
      <c r="F40" s="85"/>
      <c r="G40" s="93"/>
    </row>
    <row r="41" spans="2:7" x14ac:dyDescent="0.25">
      <c r="B41" s="92"/>
      <c r="C41" s="85"/>
      <c r="D41" s="85"/>
      <c r="E41" s="85"/>
      <c r="F41" s="85"/>
      <c r="G41" s="93"/>
    </row>
    <row r="42" spans="2:7" x14ac:dyDescent="0.25">
      <c r="B42" s="92" t="s">
        <v>358</v>
      </c>
      <c r="C42" s="85"/>
      <c r="D42" s="85"/>
      <c r="E42" s="85" t="s">
        <v>358</v>
      </c>
      <c r="F42" s="85"/>
      <c r="G42" s="93"/>
    </row>
    <row r="43" spans="2:7" x14ac:dyDescent="0.25">
      <c r="B43" s="92">
        <v>6.33</v>
      </c>
      <c r="C43" s="85"/>
      <c r="D43" s="85"/>
      <c r="E43" s="85">
        <v>3.3250000000000002</v>
      </c>
      <c r="F43" s="85"/>
      <c r="G43" s="93"/>
    </row>
    <row r="44" spans="2:7" x14ac:dyDescent="0.25">
      <c r="B44" s="92" t="s">
        <v>359</v>
      </c>
      <c r="C44" s="85"/>
      <c r="D44" s="85"/>
      <c r="E44" s="85" t="s">
        <v>359</v>
      </c>
      <c r="F44" s="85"/>
      <c r="G44" s="93"/>
    </row>
    <row r="45" spans="2:7" x14ac:dyDescent="0.25">
      <c r="B45" s="92">
        <v>6.33</v>
      </c>
      <c r="C45" s="85"/>
      <c r="D45" s="85"/>
      <c r="E45" s="85">
        <v>15.6417</v>
      </c>
      <c r="F45" s="85"/>
      <c r="G45" s="93"/>
    </row>
    <row r="46" spans="2:7" ht="15.75" thickBot="1" x14ac:dyDescent="0.3">
      <c r="B46" s="94"/>
      <c r="C46" s="95"/>
      <c r="D46" s="95"/>
      <c r="E46" s="95"/>
      <c r="F46" s="95"/>
      <c r="G46" s="96"/>
    </row>
  </sheetData>
  <mergeCells count="4">
    <mergeCell ref="C8:D8"/>
    <mergeCell ref="C7:D7"/>
    <mergeCell ref="C10:D10"/>
    <mergeCell ref="C9:D9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A0215-AF04-4CCA-87D5-21F73CC70C33}">
  <dimension ref="A1"/>
  <sheetViews>
    <sheetView topLeftCell="A4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0fbd615-6736-438a-9dea-3a44b9017499">
      <Terms xmlns="http://schemas.microsoft.com/office/infopath/2007/PartnerControls"/>
    </lcf76f155ced4ddcb4097134ff3c332f>
    <TaxCatchAll xmlns="a940e585-78e5-4959-ae16-967e4a26c034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737A5A2592634E8FED2FAC952B8D28" ma:contentTypeVersion="23" ma:contentTypeDescription="Create a new document." ma:contentTypeScope="" ma:versionID="b0da1de9bdbca373357e2ea71548f425">
  <xsd:schema xmlns:xsd="http://www.w3.org/2001/XMLSchema" xmlns:xs="http://www.w3.org/2001/XMLSchema" xmlns:p="http://schemas.microsoft.com/office/2006/metadata/properties" xmlns:ns2="e0fbd615-6736-438a-9dea-3a44b9017499" xmlns:ns3="a940e585-78e5-4959-ae16-967e4a26c034" targetNamespace="http://schemas.microsoft.com/office/2006/metadata/properties" ma:root="true" ma:fieldsID="a28a606a56eb1cabbc9664e5ee22e24d" ns2:_="" ns3:_="">
    <xsd:import namespace="e0fbd615-6736-438a-9dea-3a44b9017499"/>
    <xsd:import namespace="a940e585-78e5-4959-ae16-967e4a26c03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3:TaxCatchAll" minOccurs="0"/>
                <xsd:element ref="ns2:lcf76f155ced4ddcb4097134ff3c332f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fbd615-6736-438a-9dea-3a44b901749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29ed93d0-1c55-4ba2-8313-8535d6655d9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40e585-78e5-4959-ae16-967e4a26c034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b68c91a0-05a7-4c5e-a9cd-9819d8acf107}" ma:internalName="TaxCatchAll" ma:showField="CatchAllData" ma:web="a940e585-78e5-4959-ae16-967e4a26c03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13BC876-B3F6-43CC-8332-4E09D8D17708}">
  <ds:schemaRefs>
    <ds:schemaRef ds:uri="http://schemas.microsoft.com/office/2006/metadata/properties"/>
    <ds:schemaRef ds:uri="http://schemas.microsoft.com/office/infopath/2007/PartnerControls"/>
    <ds:schemaRef ds:uri="e0fbd615-6736-438a-9dea-3a44b9017499"/>
    <ds:schemaRef ds:uri="a940e585-78e5-4959-ae16-967e4a26c034"/>
  </ds:schemaRefs>
</ds:datastoreItem>
</file>

<file path=customXml/itemProps2.xml><?xml version="1.0" encoding="utf-8"?>
<ds:datastoreItem xmlns:ds="http://schemas.openxmlformats.org/officeDocument/2006/customXml" ds:itemID="{9B21C28D-C26B-402F-B1A8-F62B94FCCC2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9CBDC9B-1BD1-493C-B832-C3F079E656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0fbd615-6736-438a-9dea-3a44b9017499"/>
    <ds:schemaRef ds:uri="a940e585-78e5-4959-ae16-967e4a26c03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68</vt:i4>
      </vt:variant>
    </vt:vector>
  </HeadingPairs>
  <TitlesOfParts>
    <vt:vector size="82" baseType="lpstr">
      <vt:lpstr>points</vt:lpstr>
      <vt:lpstr>Front Suspension</vt:lpstr>
      <vt:lpstr>Rear Suspension</vt:lpstr>
      <vt:lpstr>Wheel Loads</vt:lpstr>
      <vt:lpstr>Sheet1</vt:lpstr>
      <vt:lpstr>Suspension Forces</vt:lpstr>
      <vt:lpstr>Link Calcs</vt:lpstr>
      <vt:lpstr>Materials</vt:lpstr>
      <vt:lpstr>Bolt Shear Calcs</vt:lpstr>
      <vt:lpstr>Thread Pullout</vt:lpstr>
      <vt:lpstr>Complete Knuckles</vt:lpstr>
      <vt:lpstr>Bolts</vt:lpstr>
      <vt:lpstr>Control Arm Manufacturing</vt:lpstr>
      <vt:lpstr>Sheet2</vt:lpstr>
      <vt:lpstr>AN_DashTable</vt:lpstr>
      <vt:lpstr>F_LCA_AFT_X</vt:lpstr>
      <vt:lpstr>F_LCA_AFT_Y</vt:lpstr>
      <vt:lpstr>F_LCA_AFT_Z</vt:lpstr>
      <vt:lpstr>F_LCA_FORE_X</vt:lpstr>
      <vt:lpstr>F_LCA_FORE_Y</vt:lpstr>
      <vt:lpstr>F_LCA_FORE_Z</vt:lpstr>
      <vt:lpstr>F_LCA_OUT_X</vt:lpstr>
      <vt:lpstr>F_LCA_OUT_Y</vt:lpstr>
      <vt:lpstr>F_LCA_OUT_Z</vt:lpstr>
      <vt:lpstr>F_PUSH_IN_X</vt:lpstr>
      <vt:lpstr>F_PUSH_IN_Y</vt:lpstr>
      <vt:lpstr>F_PUSH_IN_Z</vt:lpstr>
      <vt:lpstr>F_PUSH_OUT_X</vt:lpstr>
      <vt:lpstr>F_PUSH_OUT_Y</vt:lpstr>
      <vt:lpstr>F_PUSH_OUT_Z</vt:lpstr>
      <vt:lpstr>F_TIE_IN_X</vt:lpstr>
      <vt:lpstr>F_TIE_IN_Y</vt:lpstr>
      <vt:lpstr>F_TIE_IN_Z</vt:lpstr>
      <vt:lpstr>F_TIE_OUT_X</vt:lpstr>
      <vt:lpstr>F_TIE_OUT_Y</vt:lpstr>
      <vt:lpstr>F_TIE_OUT_Z</vt:lpstr>
      <vt:lpstr>F_TIRE_CP_X</vt:lpstr>
      <vt:lpstr>F_TIRE_CP_Y</vt:lpstr>
      <vt:lpstr>F_TIRE_CP_Z</vt:lpstr>
      <vt:lpstr>F_UCA_AFT_X</vt:lpstr>
      <vt:lpstr>F_UCA_AFT_Y</vt:lpstr>
      <vt:lpstr>F_UCA_AFT_Z</vt:lpstr>
      <vt:lpstr>F_UCA_FORE_X</vt:lpstr>
      <vt:lpstr>F_UCA_FORE_Y</vt:lpstr>
      <vt:lpstr>F_UCA_FORE_Z</vt:lpstr>
      <vt:lpstr>F_UCA_OUT_X</vt:lpstr>
      <vt:lpstr>F_UCA_OUT_Y</vt:lpstr>
      <vt:lpstr>F_UCA_OUT_Z</vt:lpstr>
      <vt:lpstr>matlChoices</vt:lpstr>
      <vt:lpstr>R_LCA_AFT_X</vt:lpstr>
      <vt:lpstr>R_LCA_AFT_Y</vt:lpstr>
      <vt:lpstr>R_LCA_AFT_Z</vt:lpstr>
      <vt:lpstr>R_LCA_FORE_X</vt:lpstr>
      <vt:lpstr>R_LCA_FORE_Y</vt:lpstr>
      <vt:lpstr>R_LCA_FORE_Z</vt:lpstr>
      <vt:lpstr>R_LCA_OUT_X</vt:lpstr>
      <vt:lpstr>R_LCA_OUT_Y</vt:lpstr>
      <vt:lpstr>R_LCA_OUT_Z</vt:lpstr>
      <vt:lpstr>R_PUSH_IN_X</vt:lpstr>
      <vt:lpstr>R_PUSH_IN_Y</vt:lpstr>
      <vt:lpstr>R_PUSH_IN_Z</vt:lpstr>
      <vt:lpstr>R_PUSH_OUT_X</vt:lpstr>
      <vt:lpstr>R_PUSH_OUT_Y</vt:lpstr>
      <vt:lpstr>R_PUSH_OUT_Z</vt:lpstr>
      <vt:lpstr>R_TIE_IN_X</vt:lpstr>
      <vt:lpstr>R_TIE_IN_Y</vt:lpstr>
      <vt:lpstr>R_TIE_IN_Z</vt:lpstr>
      <vt:lpstr>R_TIE_OUT_X</vt:lpstr>
      <vt:lpstr>R_TIE_OUT_Y</vt:lpstr>
      <vt:lpstr>R_TIE_OUT_Z</vt:lpstr>
      <vt:lpstr>R_TIRE_CP_X</vt:lpstr>
      <vt:lpstr>R_TIRE_CP_Y</vt:lpstr>
      <vt:lpstr>R_TIRE_CP_Z</vt:lpstr>
      <vt:lpstr>R_UCA_AFT_X</vt:lpstr>
      <vt:lpstr>R_UCA_AFT_Y</vt:lpstr>
      <vt:lpstr>R_UCA_AFT_Z</vt:lpstr>
      <vt:lpstr>R_UCA_FORE_X</vt:lpstr>
      <vt:lpstr>R_UCA_FORE_Y</vt:lpstr>
      <vt:lpstr>R_UCA_FORE_Z</vt:lpstr>
      <vt:lpstr>R_UCA_OUT_X</vt:lpstr>
      <vt:lpstr>R_UCA_OUT_Y</vt:lpstr>
      <vt:lpstr>R_UCA_OUT_Z</vt:lpstr>
    </vt:vector>
  </TitlesOfParts>
  <Manager/>
  <Company>The University of Akron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Jared Sanderell</dc:creator>
  <cp:keywords/>
  <dc:description/>
  <cp:lastModifiedBy>Andre Lehman</cp:lastModifiedBy>
  <cp:revision/>
  <dcterms:created xsi:type="dcterms:W3CDTF">2024-09-21T03:29:00Z</dcterms:created>
  <dcterms:modified xsi:type="dcterms:W3CDTF">2025-10-15T00:33:29Z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0x01010010737A5A2592634E8FED2FAC952B8D28</vt:lpwstr>
  </property>
  <property fmtid="{D5CDD505-2E9C-101B-9397-08002B2CF9AE}" pid="3" name="MediaServiceImageTags">
    <vt:lpwstr/>
  </property>
</Properties>
</file>