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Metadata+xml" PartName="/xl/metadata.xml"/>
  <Override ContentType="application/vnd.ms-excel.richvaluerel+xml" PartName="/xl/richData/richValueRel.xml"/>
  <Override ContentType="application/vnd.ms-excel.rdrichvalue+xml" PartName="/xl/richData/rdrichvalue.xml"/>
  <Override ContentType="application/vnd.ms-excel.rdrichvaluestructure+xml" PartName="/xl/richData/rdrichvaluestructure.xml"/>
  <Override ContentType="application/vnd.ms-excel.rdrichvaluetypes+xml" PartName="/xl/richData/rdRichValueType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officedocument.drawing+xml" PartName="/xl/drawings/drawing5.xml"/>
  <Override ContentType="application/vnd.openxmlformats-officedocument.drawingml.chart+xml" PartName="/xl/charts/chart2.xml"/>
  <Override ContentType="application/vnd.ms-office.chartstyle+xml" PartName="/xl/charts/style2.xml"/>
  <Override ContentType="application/vnd.ms-office.chartcolorstyle+xml" PartName="/xl/charts/colors2.xml"/>
  <Override ContentType="application/vnd.openxmlformats-officedocument.drawingml.chart+xml" PartName="/xl/charts/chart3.xml"/>
  <Override ContentType="application/vnd.ms-office.chartstyle+xml" PartName="/xl/charts/style3.xml"/>
  <Override ContentType="application/vnd.ms-office.chartcolorstyle+xml" PartName="/xl/charts/colors3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Tuck\Documents\GitHub\Vehicle-Dynamics\MATLAB\vehicle_data\"/>
    </mc:Choice>
  </mc:AlternateContent>
  <xr:revisionPtr revIDLastSave="0" documentId="13_ncr:1_{D57C3447-5D0A-420C-AE76-002DD29B87DE}" xr6:coauthVersionLast="47" xr6:coauthVersionMax="47" xr10:uidLastSave="{00000000-0000-0000-0000-000000000000}"/>
  <bookViews>
    <workbookView xWindow="0" yWindow="360" windowWidth="25820" windowHeight="15500" tabRatio="808" firstSheet="1" activeTab="4"/>
  </bookViews>
  <sheets>
    <sheet name="points" sheetId="4" r:id="rId1"/>
    <sheet name="Front Suspension" sheetId="2" r:id="rId2"/>
    <sheet name="Rear Suspension" sheetId="3" r:id="rId3"/>
    <sheet name="Wheel Loads" sheetId="8" r:id="rId4"/>
    <sheet name="Suspension Forces" sheetId="6" r:id="rId5"/>
    <sheet name="Link Calcs" sheetId="5" r:id="rId6"/>
    <sheet name="Control Arm Manufacturing" sheetId="15" r:id="rId7"/>
    <sheet name="Materials" sheetId="7" r:id="rId8"/>
    <sheet name="Bolt Shear Calcs" sheetId="9" r:id="rId9"/>
    <sheet name="Thread Pullout" sheetId="10" r:id="rId10"/>
    <sheet name="Complete Knuckles" sheetId="12" r:id="rId11"/>
    <sheet name="Tubing weight calculator" sheetId="13" r:id="rId12"/>
    <sheet name="Bolts" sheetId="14" r:id="rId13"/>
    <sheet name="Spacers" sheetId="16" r:id="rId14"/>
    <sheet name="Design Slides Graphs " sheetId="17" r:id="rId15"/>
  </sheets>
  <externalReferences>
    <externalReference r:id="rId16"/>
    <externalReference r:id="rId17"/>
    <externalReference r:id="rId18"/>
  </externalReferences>
  <definedNames>
    <definedName name="a" localSheetId="12">'[1]Derived Parameters'!$C$16</definedName>
    <definedName name="a" localSheetId="6">'[1]Derived Parameters'!$C$16</definedName>
    <definedName name="a">'[2]Derived Parameters'!$C$16</definedName>
    <definedName name="AN_DashTable" localSheetId="6">[3]Bolts!$J$2:$K$25</definedName>
    <definedName name="AN_DashTable">Bolts!$T$2:$U$29</definedName>
    <definedName name="aSprung" localSheetId="12">'[1]Derived Parameters'!$C$19</definedName>
    <definedName name="aSprung" localSheetId="6">'[1]Derived Parameters'!$C$19</definedName>
    <definedName name="aSprung">'[2]Derived Parameters'!$C$19</definedName>
    <definedName name="b" localSheetId="12">'[1]Derived Parameters'!$C$17</definedName>
    <definedName name="b" localSheetId="6">'[1]Derived Parameters'!$C$17</definedName>
    <definedName name="b">'[2]Derived Parameters'!$C$17</definedName>
    <definedName name="boltDashLengths" comment="grip length of critical suspension fasteners, in AN dash # (1/16ths of an inch)">Bolts!$H$2:$H$64</definedName>
    <definedName name="boltDiameters" comment="Diameters of critical suspension fasteners" localSheetId="12">Bolts!$F$2:$F$64</definedName>
    <definedName name="bSprung" localSheetId="12">'[1]Derived Parameters'!$C$18</definedName>
    <definedName name="bSprung" localSheetId="6">'[1]Derived Parameters'!$C$18</definedName>
    <definedName name="bSprung">'[2]Derived Parameters'!$C$18</definedName>
    <definedName name="carMass" localSheetId="12">[1]parameters!$B$1</definedName>
    <definedName name="carMass" localSheetId="6">[1]parameters!$B$1</definedName>
    <definedName name="carMass">[2]parameters!$B$1</definedName>
    <definedName name="cgZ" localSheetId="12">[1]parameters!$B$12</definedName>
    <definedName name="cgZ" localSheetId="6">[1]parameters!$B$12</definedName>
    <definedName name="cgZ">[2]parameters!$B$12</definedName>
    <definedName name="cgZSprung" localSheetId="12">'[1]Derived Parameters'!$C$20</definedName>
    <definedName name="cgZSprung" localSheetId="6">'[1]Derived Parameters'!$C$20</definedName>
    <definedName name="cgZSprung">'[2]Derived Parameters'!$C$20</definedName>
    <definedName name="claVmax" localSheetId="12">[1]parameters!$B$37</definedName>
    <definedName name="claVmax" localSheetId="6">[1]parameters!$B$37</definedName>
    <definedName name="claVmax">[2]parameters!$B$37</definedName>
    <definedName name="claVskid" localSheetId="12">[1]parameters!$B$33</definedName>
    <definedName name="claVskid" localSheetId="6">[1]parameters!$B$33</definedName>
    <definedName name="claVskid">[2]parameters!$B$33</definedName>
    <definedName name="copVmax" localSheetId="12">[1]parameters!$B$38</definedName>
    <definedName name="copVmax" localSheetId="6">[1]parameters!$B$38</definedName>
    <definedName name="copVmax">[2]parameters!$B$38</definedName>
    <definedName name="copVskid" localSheetId="12">[1]parameters!$B$34</definedName>
    <definedName name="copVskid" localSheetId="6">[1]parameters!$B$34</definedName>
    <definedName name="copVskid">[2]parameters!$B$34</definedName>
    <definedName name="coqueRoofThickness">Bolts!$AM$3</definedName>
    <definedName name="coqueWallThickness">Bolts!$AM$2</definedName>
    <definedName name="damperTravel" localSheetId="12">[1]parameters!$B$14</definedName>
    <definedName name="damperTravel" localSheetId="6">[1]parameters!$B$14</definedName>
    <definedName name="damperTravel">[2]parameters!$B$14</definedName>
    <definedName name="dash3intercept">Bolts!$AI$9</definedName>
    <definedName name="dash3slope">Bolts!$AH$9</definedName>
    <definedName name="dash4intercept">Bolts!$AI$5</definedName>
    <definedName name="dash4slope">Bolts!$AH$5</definedName>
    <definedName name="downforceVmaxFront" localSheetId="12">'[1]Derived Parameters'!$C$53</definedName>
    <definedName name="downforceVmaxFront" localSheetId="6">'[1]Derived Parameters'!$C$53</definedName>
    <definedName name="downforceVmaxFront">'[2]Derived Parameters'!$C$53</definedName>
    <definedName name="downforceVmaxRear" localSheetId="12">'[1]Derived Parameters'!$C$54</definedName>
    <definedName name="downforceVmaxRear" localSheetId="6">'[1]Derived Parameters'!$C$54</definedName>
    <definedName name="downforceVmaxRear">'[2]Derived Parameters'!$C$54</definedName>
    <definedName name="driverMass" localSheetId="12">[1]parameters!$B$4</definedName>
    <definedName name="driverMass" localSheetId="6">[1]parameters!$B$4</definedName>
    <definedName name="driverMass">[2]parameters!$B$4</definedName>
    <definedName name="F_LCA_AFT_X" localSheetId="12">[3]points!$B$4</definedName>
    <definedName name="F_LCA_AFT_X" localSheetId="6">[3]points!$B$4</definedName>
    <definedName name="F_LCA_AFT_X">points!$B$4</definedName>
    <definedName name="F_LCA_AFT_Y" localSheetId="12">[3]points!$B$5</definedName>
    <definedName name="F_LCA_AFT_Y" localSheetId="6">[3]points!$B$5</definedName>
    <definedName name="F_LCA_AFT_Y">points!$B$5</definedName>
    <definedName name="F_LCA_AFT_Z" localSheetId="12">[3]points!$B$6</definedName>
    <definedName name="F_LCA_AFT_Z" localSheetId="6">[3]points!$B$6</definedName>
    <definedName name="F_LCA_AFT_Z">points!$B$6</definedName>
    <definedName name="F_LCA_FORE_X" localSheetId="12">[3]points!$B$1</definedName>
    <definedName name="F_LCA_FORE_X" localSheetId="6">[3]points!$B$1</definedName>
    <definedName name="F_LCA_FORE_X">points!$B$1</definedName>
    <definedName name="F_LCA_FORE_Y" localSheetId="12">[3]points!$B$2</definedName>
    <definedName name="F_LCA_FORE_Y" localSheetId="6">[3]points!$B$2</definedName>
    <definedName name="F_LCA_FORE_Y">points!$B$2</definedName>
    <definedName name="F_LCA_FORE_Z" localSheetId="12">[3]points!$B$3</definedName>
    <definedName name="F_LCA_FORE_Z" localSheetId="6">[3]points!$B$3</definedName>
    <definedName name="F_LCA_FORE_Z">points!$B$3</definedName>
    <definedName name="F_LCA_OUT_X" localSheetId="12">[3]points!$B$7</definedName>
    <definedName name="F_LCA_OUT_X" localSheetId="6">[3]points!$B$7</definedName>
    <definedName name="F_LCA_OUT_X">points!$B$7</definedName>
    <definedName name="F_LCA_OUT_Y" localSheetId="12">[3]points!$B$8</definedName>
    <definedName name="F_LCA_OUT_Y" localSheetId="6">[3]points!$B$8</definedName>
    <definedName name="F_LCA_OUT_Y">points!$B$8</definedName>
    <definedName name="F_LCA_OUT_Z" localSheetId="12">[3]points!$B$9</definedName>
    <definedName name="F_LCA_OUT_Z" localSheetId="6">[3]points!$B$9</definedName>
    <definedName name="F_LCA_OUT_Z">points!$B$9</definedName>
    <definedName name="F_PUSH_IN_X" localSheetId="12">[3]points!$B$25</definedName>
    <definedName name="F_PUSH_IN_X" localSheetId="6">[3]points!$B$25</definedName>
    <definedName name="F_PUSH_IN_X">points!$B$25</definedName>
    <definedName name="F_PUSH_IN_Y" localSheetId="12">[3]points!$B$26</definedName>
    <definedName name="F_PUSH_IN_Y" localSheetId="6">[3]points!$B$26</definedName>
    <definedName name="F_PUSH_IN_Y">points!$B$26</definedName>
    <definedName name="F_PUSH_IN_Z" localSheetId="12">[3]points!$B$27</definedName>
    <definedName name="F_PUSH_IN_Z" localSheetId="6">[3]points!$B$27</definedName>
    <definedName name="F_PUSH_IN_Z">points!$B$27</definedName>
    <definedName name="F_PUSH_OUT_X" localSheetId="12">[3]points!$B$28</definedName>
    <definedName name="F_PUSH_OUT_X" localSheetId="6">[3]points!$B$28</definedName>
    <definedName name="F_PUSH_OUT_X">points!$B$28</definedName>
    <definedName name="F_PUSH_OUT_Y" localSheetId="12">[3]points!$B$29</definedName>
    <definedName name="F_PUSH_OUT_Y" localSheetId="6">[3]points!$B$29</definedName>
    <definedName name="F_PUSH_OUT_Y">points!$B$29</definedName>
    <definedName name="F_PUSH_OUT_Z" localSheetId="12">[3]points!$B$30</definedName>
    <definedName name="F_PUSH_OUT_Z" localSheetId="6">[3]points!$B$30</definedName>
    <definedName name="F_PUSH_OUT_Z">points!$B$30</definedName>
    <definedName name="F_TIE_IN_X" localSheetId="12">[3]points!$B$19</definedName>
    <definedName name="F_TIE_IN_X" localSheetId="6">[3]points!$B$19</definedName>
    <definedName name="F_TIE_IN_X">points!$B$19</definedName>
    <definedName name="F_TIE_IN_Y" localSheetId="12">[3]points!$B$20</definedName>
    <definedName name="F_TIE_IN_Y" localSheetId="6">[3]points!$B$20</definedName>
    <definedName name="F_TIE_IN_Y">points!$B$20</definedName>
    <definedName name="F_TIE_IN_Z" localSheetId="12">[3]points!$B$21</definedName>
    <definedName name="F_TIE_IN_Z" localSheetId="6">[3]points!$B$21</definedName>
    <definedName name="F_TIE_IN_Z">points!$B$21</definedName>
    <definedName name="F_TIE_OUT_X" localSheetId="12">[3]points!$B$22</definedName>
    <definedName name="F_TIE_OUT_X" localSheetId="6">[3]points!$B$22</definedName>
    <definedName name="F_TIE_OUT_X">points!$B$22</definedName>
    <definedName name="F_TIE_OUT_Y" localSheetId="12">[3]points!$B$23</definedName>
    <definedName name="F_TIE_OUT_Y" localSheetId="6">[3]points!$B$23</definedName>
    <definedName name="F_TIE_OUT_Y">points!$B$23</definedName>
    <definedName name="F_TIE_OUT_Z" localSheetId="12">[3]points!$B$24</definedName>
    <definedName name="F_TIE_OUT_Z" localSheetId="6">[3]points!$B$24</definedName>
    <definedName name="F_TIE_OUT_Z">points!$B$24</definedName>
    <definedName name="F_TIRE_CP_X">points!$B$61</definedName>
    <definedName name="F_TIRE_CP_Y">points!$B$62</definedName>
    <definedName name="F_TIRE_CP_Z">points!$B$63</definedName>
    <definedName name="F_UCA_AFT_X" localSheetId="12">[3]points!$B$13</definedName>
    <definedName name="F_UCA_AFT_X" localSheetId="6">[3]points!$B$13</definedName>
    <definedName name="F_UCA_AFT_X">points!$B$13</definedName>
    <definedName name="F_UCA_AFT_Y" localSheetId="12">[3]points!$B$14</definedName>
    <definedName name="F_UCA_AFT_Y" localSheetId="6">[3]points!$B$14</definedName>
    <definedName name="F_UCA_AFT_Y">points!$B$14</definedName>
    <definedName name="F_UCA_AFT_Z" localSheetId="12">[3]points!$B$15</definedName>
    <definedName name="F_UCA_AFT_Z" localSheetId="6">[3]points!$B$15</definedName>
    <definedName name="F_UCA_AFT_Z">points!$B$15</definedName>
    <definedName name="F_UCA_FORE_X" localSheetId="12">[3]points!$B$10</definedName>
    <definedName name="F_UCA_FORE_X" localSheetId="6">[3]points!$B$10</definedName>
    <definedName name="F_UCA_FORE_X">points!$B$10</definedName>
    <definedName name="F_UCA_FORE_Y" localSheetId="12">[3]points!$B$11</definedName>
    <definedName name="F_UCA_FORE_Y" localSheetId="6">[3]points!$B$11</definedName>
    <definedName name="F_UCA_FORE_Y">points!$B$11</definedName>
    <definedName name="F_UCA_FORE_Z" localSheetId="12">[3]points!$B$12</definedName>
    <definedName name="F_UCA_FORE_Z" localSheetId="6">[3]points!$B$12</definedName>
    <definedName name="F_UCA_FORE_Z">points!$B$12</definedName>
    <definedName name="F_UCA_OUT_X" localSheetId="12">[3]points!$B$16</definedName>
    <definedName name="F_UCA_OUT_X" localSheetId="6">[3]points!$B$16</definedName>
    <definedName name="F_UCA_OUT_X">points!$B$16</definedName>
    <definedName name="F_UCA_OUT_Y" localSheetId="12">[3]points!$B$17</definedName>
    <definedName name="F_UCA_OUT_Y" localSheetId="6">[3]points!$B$17</definedName>
    <definedName name="F_UCA_OUT_Y">points!$B$17</definedName>
    <definedName name="F_UCA_OUT_Z" localSheetId="12">[3]points!$B$18</definedName>
    <definedName name="F_UCA_OUT_Z" localSheetId="6">[3]points!$B$18</definedName>
    <definedName name="F_UCA_OUT_Z">points!$B$18</definedName>
    <definedName name="fBarMotionRatio" localSheetId="12">[1]parameters!$B$24</definedName>
    <definedName name="fBarMotionRatio" localSheetId="6">[1]parameters!$B$24</definedName>
    <definedName name="fBarMotionRatio">[2]parameters!$B$24</definedName>
    <definedName name="fBarRate" localSheetId="12">[1]parameters!$B$26</definedName>
    <definedName name="fBarRate" localSheetId="6">[1]parameters!$B$26</definedName>
    <definedName name="fBarRate">[2]parameters!$B$26</definedName>
    <definedName name="fBarWheelRate" localSheetId="12">'[1]Derived Parameters'!$C$40</definedName>
    <definedName name="fBarWheelRate" localSheetId="6">'[1]Derived Parameters'!$C$40</definedName>
    <definedName name="fBarWheelRate">'[2]Derived Parameters'!$C$40</definedName>
    <definedName name="fMotionRatio" localSheetId="12">[1]parameters!$B$19</definedName>
    <definedName name="fMotionRatio" localSheetId="6">[1]parameters!$B$19</definedName>
    <definedName name="fMotionRatio">[2]parameters!$B$19</definedName>
    <definedName name="fRideFreq" localSheetId="12">[1]parameters!$B$40</definedName>
    <definedName name="fRideFreq" localSheetId="6">[1]parameters!$B$40</definedName>
    <definedName name="fRideFreq">[2]parameters!$B$40</definedName>
    <definedName name="fRollCenter" localSheetId="12">[1]parameters!$B$29</definedName>
    <definedName name="fRollCenter" localSheetId="6">[1]parameters!$B$29</definedName>
    <definedName name="fRollCenter">[2]parameters!$B$29</definedName>
    <definedName name="fRollWheelRate" localSheetId="12">'[1]Derived Parameters'!$C$44</definedName>
    <definedName name="fRollWheelRate" localSheetId="6">'[1]Derived Parameters'!$C$44</definedName>
    <definedName name="fRollWheelRate">'[2]Derived Parameters'!$C$44</definedName>
    <definedName name="frontCornerMassUS" localSheetId="12">[1]parameters!$B$2</definedName>
    <definedName name="frontCornerMassUS" localSheetId="6">[1]parameters!$B$2</definedName>
    <definedName name="frontCornerMassUS">[2]parameters!$B$2</definedName>
    <definedName name="frontCornerWeight" localSheetId="12">'[1]Derived Parameters'!$C$26</definedName>
    <definedName name="frontCornerWeight" localSheetId="6">'[1]Derived Parameters'!$C$26</definedName>
    <definedName name="frontCornerWeight">'[2]Derived Parameters'!$C$26</definedName>
    <definedName name="frontMassS" localSheetId="12">'[1]Derived Parameters'!$C$11</definedName>
    <definedName name="frontMassS" localSheetId="6">'[1]Derived Parameters'!$C$11</definedName>
    <definedName name="frontMassS">'[2]Derived Parameters'!$C$11</definedName>
    <definedName name="frontMassUS" localSheetId="12">'[1]Derived Parameters'!$C$5</definedName>
    <definedName name="frontMassUS" localSheetId="6">'[1]Derived Parameters'!$C$5</definedName>
    <definedName name="frontMassUS">'[2]Derived Parameters'!$C$5</definedName>
    <definedName name="frontWeight" localSheetId="12">'[1]Derived Parameters'!$C$24</definedName>
    <definedName name="frontWeight" localSheetId="6">'[1]Derived Parameters'!$C$24</definedName>
    <definedName name="frontWeight">'[2]Derived Parameters'!$C$24</definedName>
    <definedName name="fSpringRate" localSheetId="12">[1]parameters!$B$21</definedName>
    <definedName name="fSpringRate" localSheetId="6">[1]parameters!$B$21</definedName>
    <definedName name="fSpringRate">[2]parameters!$B$21</definedName>
    <definedName name="fTireSpringRate" localSheetId="12">[1]parameters!$B$16</definedName>
    <definedName name="fTireSpringRate" localSheetId="6">[1]parameters!$B$16</definedName>
    <definedName name="fTireSpringRate">[2]parameters!$B$16</definedName>
    <definedName name="fTotalRollRate" localSheetId="12">'[1]Derived Parameters'!$C$46</definedName>
    <definedName name="fTotalRollRate" localSheetId="6">'[1]Derived Parameters'!$C$46</definedName>
    <definedName name="fTotalRollRate">'[2]Derived Parameters'!$C$46</definedName>
    <definedName name="fWheelRate" localSheetId="12">'[1]Derived Parameters'!$C$37</definedName>
    <definedName name="fWheelRate" localSheetId="6">'[1]Derived Parameters'!$C$37</definedName>
    <definedName name="fWheelRate">'[2]Derived Parameters'!$C$37</definedName>
    <definedName name="g" localSheetId="12">[1]constants!$C$3</definedName>
    <definedName name="g" localSheetId="6">[1]constants!$C$3</definedName>
    <definedName name="g">[2]constants!$C$3</definedName>
    <definedName name="height2" localSheetId="12">'[1]SS Cornering'!$D$33</definedName>
    <definedName name="height2" localSheetId="6">'[1]SS Cornering'!$D$33</definedName>
    <definedName name="height2">'[2]SS Cornering'!$D$33</definedName>
    <definedName name="Kf" localSheetId="12">'[1]SS Cornering'!$D$36</definedName>
    <definedName name="Kf" localSheetId="6">'[1]SS Cornering'!$D$36</definedName>
    <definedName name="Kf">'[2]SS Cornering'!$D$36</definedName>
    <definedName name="KfPrime" localSheetId="12">'[1]SS Cornering'!$D$38</definedName>
    <definedName name="KfPrime" localSheetId="6">'[1]SS Cornering'!$D$38</definedName>
    <definedName name="KfPrime">'[2]SS Cornering'!$D$38</definedName>
    <definedName name="Kr" localSheetId="12">'[1]SS Cornering'!$D$37</definedName>
    <definedName name="Kr" localSheetId="6">'[1]SS Cornering'!$D$37</definedName>
    <definedName name="Kr">'[2]SS Cornering'!$D$37</definedName>
    <definedName name="KrPrime" localSheetId="12">'[1]SS Cornering'!$D$39</definedName>
    <definedName name="KrPrime" localSheetId="6">'[1]SS Cornering'!$D$39</definedName>
    <definedName name="KrPrime">'[2]SS Cornering'!$D$39</definedName>
    <definedName name="mass" localSheetId="12">'[1]Derived Parameters'!$C$4</definedName>
    <definedName name="mass" localSheetId="6">'[1]Derived Parameters'!$C$4</definedName>
    <definedName name="mass">'[2]Derived Parameters'!$C$4</definedName>
    <definedName name="matlChoices" localSheetId="12">[3]Materials!$A$2:$A$10</definedName>
    <definedName name="matlChoices" localSheetId="6">[3]Materials!$A$2:$A$10</definedName>
    <definedName name="matlChoices">Materials!$A$2:$A$10</definedName>
    <definedName name="maxRoll" localSheetId="12">'[1]SS Cornering'!$D$21</definedName>
    <definedName name="maxRoll" localSheetId="6">'[1]SS Cornering'!$D$21</definedName>
    <definedName name="maxRoll">'[2]SS Cornering'!$D$21</definedName>
    <definedName name="meanTrack" localSheetId="12">'[1]Derived Parameters'!$C$21</definedName>
    <definedName name="meanTrack" localSheetId="6">'[1]Derived Parameters'!$C$21</definedName>
    <definedName name="meanTrack">'[2]Derived Parameters'!$C$21</definedName>
    <definedName name="R_LCA_AFT_X" localSheetId="12">[3]points!$B$34</definedName>
    <definedName name="R_LCA_AFT_X" localSheetId="6">[3]points!$B$34</definedName>
    <definedName name="R_LCA_AFT_X">points!$B$34</definedName>
    <definedName name="R_LCA_AFT_Y" localSheetId="12">[3]points!$B$35</definedName>
    <definedName name="R_LCA_AFT_Y" localSheetId="6">[3]points!$B$35</definedName>
    <definedName name="R_LCA_AFT_Y">points!$B$35</definedName>
    <definedName name="R_LCA_AFT_Z" localSheetId="12">[3]points!$B$36</definedName>
    <definedName name="R_LCA_AFT_Z" localSheetId="6">[3]points!$B$36</definedName>
    <definedName name="R_LCA_AFT_Z">points!$B$36</definedName>
    <definedName name="R_LCA_FORE_X" localSheetId="12">[3]points!$B$31</definedName>
    <definedName name="R_LCA_FORE_X" localSheetId="6">[3]points!$B$31</definedName>
    <definedName name="R_LCA_FORE_X">points!$B$31</definedName>
    <definedName name="R_LCA_FORE_Y" localSheetId="12">[3]points!$B$32</definedName>
    <definedName name="R_LCA_FORE_Y" localSheetId="6">[3]points!$B$32</definedName>
    <definedName name="R_LCA_FORE_Y">points!$B$32</definedName>
    <definedName name="R_LCA_FORE_Z" localSheetId="12">[3]points!$B$33</definedName>
    <definedName name="R_LCA_FORE_Z" localSheetId="6">[3]points!$B$33</definedName>
    <definedName name="R_LCA_FORE_Z">points!$B$33</definedName>
    <definedName name="R_LCA_OUT_X" localSheetId="12">[3]points!$B$37</definedName>
    <definedName name="R_LCA_OUT_X" localSheetId="6">[3]points!$B$37</definedName>
    <definedName name="R_LCA_OUT_X">points!$B$37</definedName>
    <definedName name="R_LCA_OUT_Y" localSheetId="12">[3]points!$B$38</definedName>
    <definedName name="R_LCA_OUT_Y" localSheetId="6">[3]points!$B$38</definedName>
    <definedName name="R_LCA_OUT_Y">points!$B$38</definedName>
    <definedName name="R_LCA_OUT_Z" localSheetId="12">[3]points!$B$39</definedName>
    <definedName name="R_LCA_OUT_Z" localSheetId="6">[3]points!$B$39</definedName>
    <definedName name="R_LCA_OUT_Z">points!$B$39</definedName>
    <definedName name="R_PUSH_IN_X" localSheetId="12">[3]points!$B$55</definedName>
    <definedName name="R_PUSH_IN_X" localSheetId="6">[3]points!$B$55</definedName>
    <definedName name="R_PUSH_IN_X">points!$B$55</definedName>
    <definedName name="R_PUSH_IN_Y" localSheetId="12">[3]points!$B$56</definedName>
    <definedName name="R_PUSH_IN_Y" localSheetId="6">[3]points!$B$56</definedName>
    <definedName name="R_PUSH_IN_Y">points!$B$56</definedName>
    <definedName name="R_PUSH_IN_Z" localSheetId="12">[3]points!$B$57</definedName>
    <definedName name="R_PUSH_IN_Z" localSheetId="6">[3]points!$B$57</definedName>
    <definedName name="R_PUSH_IN_Z">points!$B$57</definedName>
    <definedName name="R_PUSH_OUT_X" localSheetId="12">[3]points!$B$58</definedName>
    <definedName name="R_PUSH_OUT_X" localSheetId="6">[3]points!$B$58</definedName>
    <definedName name="R_PUSH_OUT_X">points!$B$58</definedName>
    <definedName name="R_PUSH_OUT_Y" localSheetId="12">[3]points!$B$59</definedName>
    <definedName name="R_PUSH_OUT_Y" localSheetId="6">[3]points!$B$59</definedName>
    <definedName name="R_PUSH_OUT_Y">points!$B$59</definedName>
    <definedName name="R_PUSH_OUT_Z" localSheetId="12">[3]points!$B$60</definedName>
    <definedName name="R_PUSH_OUT_Z" localSheetId="6">[3]points!$B$60</definedName>
    <definedName name="R_PUSH_OUT_Z">points!$B$60</definedName>
    <definedName name="R_TIE_IN_X" localSheetId="12">[3]points!$B$49</definedName>
    <definedName name="R_TIE_IN_X" localSheetId="6">[3]points!$B$49</definedName>
    <definedName name="R_TIE_IN_X">points!$B$49</definedName>
    <definedName name="R_TIE_IN_Y" localSheetId="12">[3]points!$B$50</definedName>
    <definedName name="R_TIE_IN_Y" localSheetId="6">[3]points!$B$50</definedName>
    <definedName name="R_TIE_IN_Y">points!$B$50</definedName>
    <definedName name="R_TIE_IN_Z" localSheetId="12">[3]points!$B$51</definedName>
    <definedName name="R_TIE_IN_Z" localSheetId="6">[3]points!$B$51</definedName>
    <definedName name="R_TIE_IN_Z">points!$B$51</definedName>
    <definedName name="R_TIE_OUT_X" localSheetId="12">[3]points!$B$52</definedName>
    <definedName name="R_TIE_OUT_X" localSheetId="6">[3]points!$B$52</definedName>
    <definedName name="R_TIE_OUT_X">points!$B$52</definedName>
    <definedName name="R_TIE_OUT_Y" localSheetId="12">[3]points!$B$53</definedName>
    <definedName name="R_TIE_OUT_Y" localSheetId="6">[3]points!$B$53</definedName>
    <definedName name="R_TIE_OUT_Y">points!$B$53</definedName>
    <definedName name="R_TIE_OUT_Z" localSheetId="12">[3]points!$B$54</definedName>
    <definedName name="R_TIE_OUT_Z" localSheetId="6">[3]points!$B$54</definedName>
    <definedName name="R_TIE_OUT_Z">points!$B$54</definedName>
    <definedName name="R_TIRE_CP_X">points!$B$64</definedName>
    <definedName name="R_TIRE_CP_Y">points!$B$65</definedName>
    <definedName name="R_TIRE_CP_Z">points!$B$66</definedName>
    <definedName name="R_UCA_AFT_X" localSheetId="12">[3]points!$B$43</definedName>
    <definedName name="R_UCA_AFT_X" localSheetId="6">[3]points!$B$43</definedName>
    <definedName name="R_UCA_AFT_X">points!$B$43</definedName>
    <definedName name="R_UCA_AFT_Y" localSheetId="12">[3]points!$B$44</definedName>
    <definedName name="R_UCA_AFT_Y" localSheetId="6">[3]points!$B$44</definedName>
    <definedName name="R_UCA_AFT_Y">points!$B$44</definedName>
    <definedName name="R_UCA_AFT_Z" localSheetId="12">[3]points!$B$45</definedName>
    <definedName name="R_UCA_AFT_Z" localSheetId="6">[3]points!$B$45</definedName>
    <definedName name="R_UCA_AFT_Z">points!$B$45</definedName>
    <definedName name="R_UCA_FORE_X" localSheetId="12">[3]points!$B$40</definedName>
    <definedName name="R_UCA_FORE_X" localSheetId="6">[3]points!$B$40</definedName>
    <definedName name="R_UCA_FORE_X">points!$B$40</definedName>
    <definedName name="R_UCA_FORE_Y" localSheetId="12">[3]points!$B$41</definedName>
    <definedName name="R_UCA_FORE_Y" localSheetId="6">[3]points!$B$41</definedName>
    <definedName name="R_UCA_FORE_Y">points!$B$41</definedName>
    <definedName name="R_UCA_FORE_Z" localSheetId="12">[3]points!$B$42</definedName>
    <definedName name="R_UCA_FORE_Z" localSheetId="6">[3]points!$B$42</definedName>
    <definedName name="R_UCA_FORE_Z">points!$B$42</definedName>
    <definedName name="R_UCA_OUT_X" localSheetId="12">[3]points!$B$46</definedName>
    <definedName name="R_UCA_OUT_X" localSheetId="6">[3]points!$B$46</definedName>
    <definedName name="R_UCA_OUT_X">points!$B$46</definedName>
    <definedName name="R_UCA_OUT_Y" localSheetId="12">[3]points!$B$47</definedName>
    <definedName name="R_UCA_OUT_Y" localSheetId="6">[3]points!$B$47</definedName>
    <definedName name="R_UCA_OUT_Y">points!$B$47</definedName>
    <definedName name="R_UCA_OUT_Z" localSheetId="12">[3]points!$B$48</definedName>
    <definedName name="R_UCA_OUT_Z" localSheetId="6">[3]points!$B$48</definedName>
    <definedName name="R_UCA_OUT_Z">points!$B$48</definedName>
    <definedName name="rBarMotionRatio" localSheetId="12">[1]parameters!$B$25</definedName>
    <definedName name="rBarMotionRatio" localSheetId="6">[1]parameters!$B$25</definedName>
    <definedName name="rBarMotionRatio">[2]parameters!$B$25</definedName>
    <definedName name="rBarRate" localSheetId="12">[1]parameters!$B$27</definedName>
    <definedName name="rBarRate" localSheetId="6">[1]parameters!$B$27</definedName>
    <definedName name="rBarRate">[2]parameters!$B$27</definedName>
    <definedName name="rBarWheelRate" localSheetId="12">'[1]Derived Parameters'!$C$41</definedName>
    <definedName name="rBarWheelRate" localSheetId="6">'[1]Derived Parameters'!$C$41</definedName>
    <definedName name="rBarWheelRate">'[2]Derived Parameters'!$C$41</definedName>
    <definedName name="rearCornerMassUS" localSheetId="12">[1]parameters!$B$3</definedName>
    <definedName name="rearCornerMassUS" localSheetId="6">[1]parameters!$B$3</definedName>
    <definedName name="rearCornerMassUS">[2]parameters!$B$3</definedName>
    <definedName name="rearMassS" localSheetId="12">'[1]Derived Parameters'!$C$12</definedName>
    <definedName name="rearMassS" localSheetId="6">'[1]Derived Parameters'!$C$12</definedName>
    <definedName name="rearMassS">'[2]Derived Parameters'!$C$12</definedName>
    <definedName name="rearMassUS" localSheetId="12">'[1]Derived Parameters'!$C$6</definedName>
    <definedName name="rearMassUS" localSheetId="6">'[1]Derived Parameters'!$C$6</definedName>
    <definedName name="rearMassUS">'[2]Derived Parameters'!$C$6</definedName>
    <definedName name="rearWeight" localSheetId="12">'[1]Derived Parameters'!$C$25</definedName>
    <definedName name="rearWeight" localSheetId="6">'[1]Derived Parameters'!$C$25</definedName>
    <definedName name="rearWeight">'[2]Derived Parameters'!$C$25</definedName>
    <definedName name="rhoAir" localSheetId="12">[1]constants!$C$4</definedName>
    <definedName name="rhoAir" localSheetId="6">[1]constants!$C$4</definedName>
    <definedName name="rhoAir">[2]constants!$C$4</definedName>
    <definedName name="rMotionRatio" localSheetId="12">[1]parameters!$B$20</definedName>
    <definedName name="rMotionRatio" localSheetId="6">[1]parameters!$B$20</definedName>
    <definedName name="rMotionRatio">[2]parameters!$B$20</definedName>
    <definedName name="rollSensitivity" localSheetId="12">'[1]SS Cornering'!$D$49</definedName>
    <definedName name="rollSensitivity" localSheetId="6">'[1]SS Cornering'!$D$49</definedName>
    <definedName name="rollSensitivity">'[2]SS Cornering'!$D$49</definedName>
    <definedName name="rollTarget" localSheetId="12">'[1]SS Cornering'!$G$49</definedName>
    <definedName name="rollTarget" localSheetId="6">'[1]SS Cornering'!$G$49</definedName>
    <definedName name="rollTarget">'[2]SS Cornering'!$G$49</definedName>
    <definedName name="rRideFreq" localSheetId="12">[1]parameters!$B$41</definedName>
    <definedName name="rRideFreq" localSheetId="6">[1]parameters!$B$41</definedName>
    <definedName name="rRideFreq">[2]parameters!$B$41</definedName>
    <definedName name="rRollCenter" localSheetId="12">[1]parameters!$B$30</definedName>
    <definedName name="rRollCenter" localSheetId="6">[1]parameters!$B$30</definedName>
    <definedName name="rRollCenter">[2]parameters!$B$30</definedName>
    <definedName name="rRollWheelRate" localSheetId="12">'[1]Derived Parameters'!$C$45</definedName>
    <definedName name="rRollWheelRate" localSheetId="6">'[1]Derived Parameters'!$C$45</definedName>
    <definedName name="rRollWheelRate">'[2]Derived Parameters'!$C$45</definedName>
    <definedName name="rSpringRate" localSheetId="12">[1]parameters!$B$22</definedName>
    <definedName name="rSpringRate" localSheetId="6">[1]parameters!$B$22</definedName>
    <definedName name="rSpringRate">[2]parameters!$B$22</definedName>
    <definedName name="rTireSpringRate" localSheetId="12">[1]parameters!$B$17</definedName>
    <definedName name="rTireSpringRate" localSheetId="6">[1]parameters!$B$17</definedName>
    <definedName name="rTireSpringRate">[2]parameters!$B$17</definedName>
    <definedName name="rTotalRollRate" localSheetId="12">'[1]Derived Parameters'!$C$47</definedName>
    <definedName name="rTotalRollRate" localSheetId="6">'[1]Derived Parameters'!$C$47</definedName>
    <definedName name="rTotalRollRate">'[2]Derived Parameters'!$C$47</definedName>
    <definedName name="rWheelRate" localSheetId="12">'[1]Derived Parameters'!$C$38</definedName>
    <definedName name="rWheelRate" localSheetId="6">'[1]Derived Parameters'!$C$38</definedName>
    <definedName name="rWheelRate">'[2]Derived Parameters'!$C$38</definedName>
    <definedName name="sprungMass" localSheetId="12">'[1]Derived Parameters'!$C$8</definedName>
    <definedName name="sprungMass" localSheetId="6">'[1]Derived Parameters'!$C$8</definedName>
    <definedName name="sprungMass">'[2]Derived Parameters'!$C$8</definedName>
    <definedName name="targetLateralG" localSheetId="12">'[1]SS Cornering'!$D$3</definedName>
    <definedName name="targetLateralG" localSheetId="6">'[1]SS Cornering'!$D$3</definedName>
    <definedName name="targetLateralG">'[2]SS Cornering'!$D$3</definedName>
    <definedName name="targetSkidTime" localSheetId="12">'[1]SS Cornering'!$D$4</definedName>
    <definedName name="targetSkidTime" localSheetId="6">'[1]SS Cornering'!$D$4</definedName>
    <definedName name="targetSkidTime">'[2]SS Cornering'!$D$4</definedName>
    <definedName name="trackFront" localSheetId="12">[1]parameters!$B$9</definedName>
    <definedName name="trackFront" localSheetId="6">[1]parameters!$B$9</definedName>
    <definedName name="trackFront">[2]parameters!$B$9</definedName>
    <definedName name="trackRadius" localSheetId="12">'[1]SS Cornering'!$D$8</definedName>
    <definedName name="trackRadius" localSheetId="6">'[1]SS Cornering'!$D$8</definedName>
    <definedName name="trackRadius">'[2]SS Cornering'!$D$8</definedName>
    <definedName name="trackRear" localSheetId="12">[1]parameters!$B$10</definedName>
    <definedName name="trackRear" localSheetId="6">[1]parameters!$B$10</definedName>
    <definedName name="trackRear">[2]parameters!$B$10</definedName>
    <definedName name="unsprungMass" localSheetId="12">'[1]Derived Parameters'!$C$7</definedName>
    <definedName name="unsprungMass" localSheetId="6">'[1]Derived Parameters'!$C$7</definedName>
    <definedName name="unsprungMass">'[2]Derived Parameters'!$C$7</definedName>
    <definedName name="unsprungMassHeightFront" localSheetId="12">'[1]SS Cornering'!$D$34</definedName>
    <definedName name="unsprungMassHeightFront" localSheetId="6">'[1]SS Cornering'!$D$34</definedName>
    <definedName name="unsprungMassHeightFront">'[2]SS Cornering'!$D$34</definedName>
    <definedName name="unsprungMassHeightRear" localSheetId="12">'[1]SS Cornering'!$D$35</definedName>
    <definedName name="unsprungMassHeightRear" localSheetId="6">'[1]SS Cornering'!$D$35</definedName>
    <definedName name="unsprungMassHeightRear">'[2]SS Cornering'!$D$35</definedName>
    <definedName name="vMax" localSheetId="12">[1]parameters!$B$36</definedName>
    <definedName name="vMax" localSheetId="6">[1]parameters!$B$36</definedName>
    <definedName name="vMax">[2]parameters!$B$36</definedName>
    <definedName name="vSkid" localSheetId="12">[1]parameters!$B$32</definedName>
    <definedName name="vSkid" localSheetId="6">[1]parameters!$B$32</definedName>
    <definedName name="vSkid">[2]parameters!$B$32</definedName>
    <definedName name="weightBias" localSheetId="12">[1]parameters!$B$6</definedName>
    <definedName name="weightBias" localSheetId="6">[1]parameters!$B$6</definedName>
    <definedName name="weightBias">[2]parameters!$B$6</definedName>
    <definedName name="wheelbase" localSheetId="12">[1]parameters!$B$8</definedName>
    <definedName name="wheelbase" localSheetId="6">[1]parameters!$B$8</definedName>
    <definedName name="wheelbase">[2]parameters!$B$8</definedName>
    <definedName name="wheelRadius" localSheetId="12">[1]parameters!$B$11</definedName>
    <definedName name="wheelRadius" localSheetId="6">[1]parameters!$B$11</definedName>
    <definedName name="wheelRadius">[2]parameters!$B$11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cellMetadata count="1">
    <bk>
      <rc t="1" v="0"/>
    </bk>
  </cellMetadata>
  <valueMetadata count="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</valueMetadata>
</metadata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<sst xmlns="http://schemas.openxmlformats.org/spreadsheetml/2006/main" xmlns:r="http://schemas.openxmlformats.org/officeDocument/2006/relationships" xmlns:xdr="http://schemas.openxmlformats.org/drawingml/2006/spreadsheetDrawing" count="1241" uniqueCount="567">
  <si>
    <t>F_LCA_FORE_X</t>
  </si>
  <si>
    <t>C</t>
  </si>
  <si>
    <t>'Front Suspension'!</t>
  </si>
  <si>
    <t>F_LCA_FORE_Y</t>
  </si>
  <si>
    <t>D</t>
  </si>
  <si>
    <t>F_LCA_FORE_Z</t>
  </si>
  <si>
    <t>E</t>
  </si>
  <si>
    <t>F_LCA_AFT_X</t>
  </si>
  <si>
    <t>F_LCA_AFT_Y</t>
  </si>
  <si>
    <t>F_LCA_AFT_Z</t>
  </si>
  <si>
    <t>F_LCA_OUT_X</t>
  </si>
  <si>
    <t>F_LCA_OUT_Y</t>
  </si>
  <si>
    <t>F_LCA_OUT_Z</t>
  </si>
  <si>
    <t>F_UCA_FORE_X</t>
  </si>
  <si>
    <t>F_UCA_FORE_Y</t>
  </si>
  <si>
    <t>F_UCA_FORE_Z</t>
  </si>
  <si>
    <t>F_UCA_AFT_X</t>
  </si>
  <si>
    <t>F_UCA_AFT_Y</t>
  </si>
  <si>
    <t>F_UCA_AFT_Z</t>
  </si>
  <si>
    <t>F_UCA_OUT_X</t>
  </si>
  <si>
    <t>F_UCA_OUT_Y</t>
  </si>
  <si>
    <t>F_UCA_OUT_Z</t>
  </si>
  <si>
    <t>F_TIE_IN_X</t>
  </si>
  <si>
    <t>F_TIE_IN_Y</t>
  </si>
  <si>
    <t>F_TIE_IN_Z</t>
  </si>
  <si>
    <t>F_TIE_OUT_X</t>
  </si>
  <si>
    <t>F_TIE_OUT_Y</t>
  </si>
  <si>
    <t>F_TIE_OUT_Z</t>
  </si>
  <si>
    <t>F_PUSH_IN_X</t>
  </si>
  <si>
    <t>F_PUSH_IN_Y</t>
  </si>
  <si>
    <t>F_PUSH_IN_Z</t>
  </si>
  <si>
    <t>F_PUSH_OUT_X</t>
  </si>
  <si>
    <t>F_PUSH_OUT_Y</t>
  </si>
  <si>
    <t>F_PUSH_OUT_Z</t>
  </si>
  <si>
    <t>R_LCA_FORE_X</t>
  </si>
  <si>
    <t>'Rear Suspension'!</t>
  </si>
  <si>
    <t>R_LCA_FORE_Y</t>
  </si>
  <si>
    <t>R_LCA_FORE_Z</t>
  </si>
  <si>
    <t>R_LCA_AFT_X</t>
  </si>
  <si>
    <t>R_LCA_AFT_Y</t>
  </si>
  <si>
    <t>R_LCA_AFT_Z</t>
  </si>
  <si>
    <t>R_LCA_OUT_X</t>
  </si>
  <si>
    <t>R_LCA_OUT_Y</t>
  </si>
  <si>
    <t>R_LCA_OUT_Z</t>
  </si>
  <si>
    <t>R_UCA_FORE_X</t>
  </si>
  <si>
    <t>R_UCA_FORE_Y</t>
  </si>
  <si>
    <t>R_UCA_FORE_Z</t>
  </si>
  <si>
    <t>R_UCA_AFT_X</t>
  </si>
  <si>
    <t>R_UCA_AFT_Y</t>
  </si>
  <si>
    <t>R_UCA_AFT_Z</t>
  </si>
  <si>
    <t>R_UCA_OUT_X</t>
  </si>
  <si>
    <t>R_UCA_OUT_Y</t>
  </si>
  <si>
    <t>R_UCA_OUT_Z</t>
  </si>
  <si>
    <t>R_TIE_IN_X</t>
  </si>
  <si>
    <t>R_TIE_IN_Y</t>
  </si>
  <si>
    <t>R_TIE_IN_Z</t>
  </si>
  <si>
    <t>R_TIE_OUT_X</t>
  </si>
  <si>
    <t>R_TIE_OUT_Y</t>
  </si>
  <si>
    <t>R_TIE_OUT_Z</t>
  </si>
  <si>
    <t>R_PUSH_IN_X</t>
  </si>
  <si>
    <t>R_PUSH_IN_Y</t>
  </si>
  <si>
    <t>R_PUSH_IN_Z</t>
  </si>
  <si>
    <t>R_PUSH_OUT_X</t>
  </si>
  <si>
    <t>R_PUSH_OUT_Y</t>
  </si>
  <si>
    <t>R_PUSH_OUT_Z</t>
  </si>
  <si>
    <t>F_TIRE_CP_X</t>
  </si>
  <si>
    <t>F_TIRE_CP_Y</t>
  </si>
  <si>
    <t>F_TIRE_CP_Z</t>
  </si>
  <si>
    <t>R_TIRE_CP_X</t>
  </si>
  <si>
    <t>R_TIRE_CP_Y</t>
  </si>
  <si>
    <t>R_TIRE_CP_Z</t>
  </si>
  <si>
    <t>F_TIRE_CENTER_X</t>
  </si>
  <si>
    <t>F_TIRE_CENTER_Y</t>
  </si>
  <si>
    <t>F_TIRE_CENTER_Z</t>
  </si>
  <si>
    <t>R_TIRE_CENTER_X</t>
  </si>
  <si>
    <t>R_TIRE_CENTER_Y</t>
  </si>
  <si>
    <t>R_TIRE_CENTER_Z</t>
  </si>
  <si>
    <t>Name:</t>
  </si>
  <si>
    <t>Front 1 (2)</t>
  </si>
  <si>
    <t>Type:</t>
  </si>
  <si>
    <t>Suspension</t>
  </si>
  <si>
    <t>Created by:</t>
  </si>
  <si>
    <t>Zips Racing</t>
  </si>
  <si>
    <t>Created on:</t>
  </si>
  <si>
    <t>Version:</t>
  </si>
  <si>
    <t>2.0.1</t>
  </si>
  <si>
    <t>Modified by:</t>
  </si>
  <si>
    <t>Modified on:</t>
  </si>
  <si>
    <t>Comments:</t>
  </si>
  <si>
    <t>User Options</t>
  </si>
  <si>
    <t>Length</t>
  </si>
  <si>
    <t>millimetre</t>
  </si>
  <si>
    <t>mm</t>
  </si>
  <si>
    <t>Angle</t>
  </si>
  <si>
    <t>degree</t>
  </si>
  <si>
    <t>deg</t>
  </si>
  <si>
    <t>Coordinate System</t>
  </si>
  <si>
    <t>[[1,0,0]_x000D_
 [0,1,0]_x000D_
 [0,0,1]]</t>
  </si>
  <si>
    <t>Double A-Arm</t>
  </si>
  <si>
    <t>Point Name</t>
  </si>
  <si>
    <t>Left</t>
  </si>
  <si>
    <t>Right</t>
  </si>
  <si>
    <t>X</t>
  </si>
  <si>
    <t>Y</t>
  </si>
  <si>
    <t>Z</t>
  </si>
  <si>
    <t>CHAS_LowFor</t>
  </si>
  <si>
    <t>CHAS_LowAft</t>
  </si>
  <si>
    <t>CHAS_UppFor</t>
  </si>
  <si>
    <t>CHAS_UppAft</t>
  </si>
  <si>
    <t>UPRI_LowPnt</t>
  </si>
  <si>
    <t>UPRI_UppPnt</t>
  </si>
  <si>
    <t>CHAS_TiePnt</t>
  </si>
  <si>
    <t>UPRI_TiePnt</t>
  </si>
  <si>
    <t>Push Pull</t>
  </si>
  <si>
    <t>CHAS_AttPnt_L</t>
  </si>
  <si>
    <t>CHAS_RocAxi_L</t>
  </si>
  <si>
    <t>CHAS_RocPiv_L</t>
  </si>
  <si>
    <t>ROCK_RodPnt_L</t>
  </si>
  <si>
    <t>ROCK_CoiPnt_L</t>
  </si>
  <si>
    <t>Rack Pinion</t>
  </si>
  <si>
    <t>Steering Ratio</t>
  </si>
  <si>
    <t>Wheels</t>
  </si>
  <si>
    <t>Half Track</t>
  </si>
  <si>
    <t>Longitudinal Offset</t>
  </si>
  <si>
    <t>Lateral Offset</t>
  </si>
  <si>
    <t>Vertical Offset</t>
  </si>
  <si>
    <t>Static Camber</t>
  </si>
  <si>
    <t>Static Toe</t>
  </si>
  <si>
    <t>Rim Diameter</t>
  </si>
  <si>
    <t>Tire Diameter</t>
  </si>
  <si>
    <t>Tire Width</t>
  </si>
  <si>
    <t>Attachment</t>
  </si>
  <si>
    <t>Element</t>
  </si>
  <si>
    <t>Attached To</t>
  </si>
  <si>
    <t>NSMA_PPAttPnt</t>
  </si>
  <si>
    <t>UpperAArm</t>
  </si>
  <si>
    <t>Rear 1 (1)</t>
  </si>
  <si>
    <t>Tierod Attachment</t>
  </si>
  <si>
    <t>Chassis</t>
  </si>
  <si>
    <t>Units in Newtons!!!!!</t>
  </si>
  <si>
    <t>Load Case</t>
  </si>
  <si>
    <t>FL_1</t>
  </si>
  <si>
    <t>FL_2</t>
  </si>
  <si>
    <t>FL_3</t>
  </si>
  <si>
    <t>FR_1</t>
  </si>
  <si>
    <t>FR_2</t>
  </si>
  <si>
    <t>FR_3</t>
  </si>
  <si>
    <t>RL_1</t>
  </si>
  <si>
    <t>RL_2</t>
  </si>
  <si>
    <t>RL_3</t>
  </si>
  <si>
    <t>RR_1</t>
  </si>
  <si>
    <t>RR_2</t>
  </si>
  <si>
    <t>RR_3</t>
  </si>
  <si>
    <t>-1.6, 0, 1</t>
  </si>
  <si>
    <t>pos is braking</t>
  </si>
  <si>
    <t>pos up</t>
  </si>
  <si>
    <t>1.6, 0, 1</t>
  </si>
  <si>
    <t>Bearing Max Loads:</t>
  </si>
  <si>
    <t>max</t>
  </si>
  <si>
    <t>min</t>
  </si>
  <si>
    <t>0, 1.9, 1</t>
  </si>
  <si>
    <t>0, 0, 3</t>
  </si>
  <si>
    <t>max (lbs)</t>
  </si>
  <si>
    <t>-1.8, 1.8, 3</t>
  </si>
  <si>
    <t>min (lbs)</t>
  </si>
  <si>
    <t>2, 1, 3</t>
  </si>
  <si>
    <t>-1.75, 1.75, 1</t>
  </si>
  <si>
    <t>Right Hand Coords</t>
  </si>
  <si>
    <t>(Pointer)</t>
  </si>
  <si>
    <t>(Middle)</t>
  </si>
  <si>
    <t>(Thumb)</t>
  </si>
  <si>
    <t>0, 1, 1</t>
  </si>
  <si>
    <t>Contact Patch Offset</t>
  </si>
  <si>
    <t>X(m)</t>
  </si>
  <si>
    <t>Y(m)</t>
  </si>
  <si>
    <t>Z(m)</t>
  </si>
  <si>
    <t>-1, 0, 1</t>
  </si>
  <si>
    <t>r (CP to Mounting Center)</t>
  </si>
  <si>
    <t>Nm</t>
  </si>
  <si>
    <t>Moment X</t>
  </si>
  <si>
    <t>Moment Y</t>
  </si>
  <si>
    <t>Moment Z</t>
  </si>
  <si>
    <t>Output of Suspension forces matlab script</t>
  </si>
  <si>
    <t>GET DATA ON BETTER LOAD CASES, THESE MIGHT BE WILDLY UNREALISTIC</t>
  </si>
  <si>
    <t>Units in Newtons!</t>
  </si>
  <si>
    <t>Load Cases:</t>
  </si>
  <si>
    <t>G's applied:</t>
  </si>
  <si>
    <t>Brake Bias (% Front)</t>
  </si>
  <si>
    <t>Travel Direction (1=Forward)</t>
  </si>
  <si>
    <t xml:space="preserve">Aero Downforce </t>
  </si>
  <si>
    <t>lcaFore</t>
  </si>
  <si>
    <t>lcaAft</t>
  </si>
  <si>
    <t>ucaFore</t>
  </si>
  <si>
    <t>ucaAft</t>
  </si>
  <si>
    <t>toe</t>
  </si>
  <si>
    <t>push</t>
  </si>
  <si>
    <t>1.6g break, FWD</t>
  </si>
  <si>
    <t>Front Left</t>
  </si>
  <si>
    <t>Rear Left</t>
  </si>
  <si>
    <t>2g accel, FWD</t>
  </si>
  <si>
    <t>2g break, RWD</t>
  </si>
  <si>
    <t>2g accel, RWD</t>
  </si>
  <si>
    <t>1.9g Corner</t>
  </si>
  <si>
    <t>3g bump</t>
  </si>
  <si>
    <t>2g brake, 1.75g corner, 3g bump, 50/50 bias</t>
  </si>
  <si>
    <t>backwards 2g brake, 1g corner, 3g bump, 50/50 bias</t>
  </si>
  <si>
    <t>normal braking and turn, for steering forces</t>
  </si>
  <si>
    <t>1g turn</t>
  </si>
  <si>
    <t>1g brake</t>
  </si>
  <si>
    <t>Front Right</t>
  </si>
  <si>
    <t>Rear Right</t>
  </si>
  <si>
    <t>max Tension</t>
  </si>
  <si>
    <t>max Compression</t>
  </si>
  <si>
    <t>max Abs</t>
  </si>
  <si>
    <t>max Tension (lbf)</t>
  </si>
  <si>
    <t>max Compression (lbf)</t>
  </si>
  <si>
    <t>max Abs (lbf)</t>
  </si>
  <si>
    <t>Bolts</t>
  </si>
  <si>
    <t>Rod End</t>
  </si>
  <si>
    <t>Thread</t>
  </si>
  <si>
    <t>Insert Diameter</t>
  </si>
  <si>
    <t>Insert Bore</t>
  </si>
  <si>
    <t>Front</t>
  </si>
  <si>
    <t>Length (mm)</t>
  </si>
  <si>
    <t>Length (in)</t>
  </si>
  <si>
    <t>Tube OD</t>
  </si>
  <si>
    <t>Tube Thickness</t>
  </si>
  <si>
    <t>Area</t>
  </si>
  <si>
    <t>Moment of Area</t>
  </si>
  <si>
    <t>Material</t>
  </si>
  <si>
    <t>Weight (kg)</t>
  </si>
  <si>
    <t>Max Tension (lbf)</t>
  </si>
  <si>
    <t>Max Compression (lbf)</t>
  </si>
  <si>
    <t>FS Yeild, Tension</t>
  </si>
  <si>
    <t>Deflection</t>
  </si>
  <si>
    <t>Buckling, K</t>
  </si>
  <si>
    <t>Buckling, Fcrit</t>
  </si>
  <si>
    <t>FS, buckling</t>
  </si>
  <si>
    <t>NAS Bolt Size</t>
  </si>
  <si>
    <t>Bolt Shear FS</t>
  </si>
  <si>
    <t>F_LCA_FORE</t>
  </si>
  <si>
    <t>NAS6203</t>
  </si>
  <si>
    <t xml:space="preserve">RXAM-3T </t>
  </si>
  <si>
    <t xml:space="preserve"> 1/4-28</t>
  </si>
  <si>
    <t>**UNJF!!!</t>
  </si>
  <si>
    <t>F_LCA_AFT</t>
  </si>
  <si>
    <t xml:space="preserve">RXAB-3T </t>
  </si>
  <si>
    <t>F_UCA_FORE</t>
  </si>
  <si>
    <t>RXAM-4</t>
  </si>
  <si>
    <t>F_UCA_AFT</t>
  </si>
  <si>
    <t>RXAB-4</t>
  </si>
  <si>
    <t>F_TIE</t>
  </si>
  <si>
    <t>HXAM-3</t>
  </si>
  <si>
    <t>F_PUSH</t>
  </si>
  <si>
    <t>R_LCA_FORE</t>
  </si>
  <si>
    <t xml:space="preserve">HXAM-3T </t>
  </si>
  <si>
    <t xml:space="preserve"> 5/16-24</t>
  </si>
  <si>
    <t>R_LCA_AFT</t>
  </si>
  <si>
    <t>R_UCA_FORE</t>
  </si>
  <si>
    <t>R_UCA_AFT</t>
  </si>
  <si>
    <t>R_TIE</t>
  </si>
  <si>
    <t>R_PUSH</t>
  </si>
  <si>
    <t>Weights (kg):</t>
  </si>
  <si>
    <t>g</t>
  </si>
  <si>
    <t>Current:</t>
  </si>
  <si>
    <t>All Steel Round:</t>
  </si>
  <si>
    <t>All Ti:</t>
  </si>
  <si>
    <t>All Carbon</t>
  </si>
  <si>
    <t>steel values</t>
  </si>
  <si>
    <t>Carbon values</t>
  </si>
  <si>
    <t>Ti values</t>
  </si>
  <si>
    <t>F_LCA</t>
  </si>
  <si>
    <t>F_UCA</t>
  </si>
  <si>
    <t>CFRP</t>
  </si>
  <si>
    <t>R_LCA</t>
  </si>
  <si>
    <t>R_UCA</t>
  </si>
  <si>
    <t>Totals (L+R):</t>
  </si>
  <si>
    <t xml:space="preserve"> + insertweights</t>
  </si>
  <si>
    <t>Comparison to when car was chonk</t>
  </si>
  <si>
    <t>values at 540lbs</t>
  </si>
  <si>
    <t>difference (lbs)</t>
  </si>
  <si>
    <t> </t>
  </si>
  <si>
    <t>Part/Drawing Name</t>
  </si>
  <si>
    <t>Insert Fore</t>
  </si>
  <si>
    <t>Insert Aft</t>
  </si>
  <si>
    <t>Qty</t>
  </si>
  <si>
    <t>Lower Control Arm Inserts</t>
  </si>
  <si>
    <t>Upper Control Arm Inserts</t>
  </si>
  <si>
    <t>Rear Tie Rod Inserts</t>
  </si>
  <si>
    <t>Rear Push Rod Inserts</t>
  </si>
  <si>
    <t>Rear</t>
  </si>
  <si>
    <t>ID</t>
  </si>
  <si>
    <t>OD</t>
  </si>
  <si>
    <t>Control Arms</t>
  </si>
  <si>
    <t xml:space="preserve">tie rod </t>
  </si>
  <si>
    <t xml:space="preserve">steering </t>
  </si>
  <si>
    <t>Bellcrank to ARB</t>
  </si>
  <si>
    <t xml:space="preserve">Torsion Bar </t>
  </si>
  <si>
    <t>Density (lb/in^3</t>
  </si>
  <si>
    <t>Yeild Stress (ksi)</t>
  </si>
  <si>
    <t>UTS (ksi)</t>
  </si>
  <si>
    <t>Heat Treatment</t>
  </si>
  <si>
    <t>Elastic Modulus (ksi)</t>
  </si>
  <si>
    <t>Possions Ratio</t>
  </si>
  <si>
    <t>annealed</t>
  </si>
  <si>
    <t>TI 3AL-2.5V</t>
  </si>
  <si>
    <t>N/a</t>
  </si>
  <si>
    <t>References for Calculations:</t>
  </si>
  <si>
    <t>NASA_STD-5020</t>
  </si>
  <si>
    <t>REQUIREMENTS FOR THREADED FASTENING SYSTEMS IN SPACEFLIGHT HARDWARE</t>
  </si>
  <si>
    <t>6.2.2b</t>
  </si>
  <si>
    <t>Ultimate Strength Analysis of bolts under shear loading shall be based on the assumption that no shear load is carried by friction between the faying surfaces</t>
  </si>
  <si>
    <t>based on assumption that preload is lost as bolt yeilds, therefore friction is not relevant (more info and test data in Appendix A-7)</t>
  </si>
  <si>
    <t>Eq. 6-12</t>
  </si>
  <si>
    <t>Allowable Ultimate Shear Load</t>
  </si>
  <si>
    <t xml:space="preserve">Installation practice from: </t>
  </si>
  <si>
    <t>AC 43.13-1B - Acceptable Methods, Techniques, and Practices - Aircraft Inspection and Repair</t>
  </si>
  <si>
    <t>(7-86)</t>
  </si>
  <si>
    <r>
      <t>Cadmium-plated steel washers are</t>
    </r>
    <r>
      <rPr>
        <b/>
        <i/>
        <sz val="11"/>
        <color theme="1"/>
        <rFont val="Aptos Narrow"/>
        <family val="2"/>
        <scheme val="minor"/>
      </rPr>
      <t xml:space="preserve"> recommended</t>
    </r>
    <r>
      <rPr>
        <sz val="11"/>
        <color theme="1"/>
        <rFont val="Aptos Narrow"/>
        <family val="2"/>
        <scheme val="minor"/>
      </rPr>
      <t xml:space="preserve"> for use under boltheads and nuts used on aluminum alloy or magnesium structures to prevent corrosion.</t>
    </r>
  </si>
  <si>
    <t>(emphasis ours), washers under bolt heads ommitted due to limited lifecyle of car (airframes may be in service 40+ years)</t>
  </si>
  <si>
    <t>(Table 7-1)</t>
  </si>
  <si>
    <t>Bolt Installation torque values taken from here</t>
  </si>
  <si>
    <t>NAS6200 Series:</t>
  </si>
  <si>
    <t>Min. Tensile Strength:</t>
  </si>
  <si>
    <t>ksi</t>
  </si>
  <si>
    <t>Min Shear Stress:</t>
  </si>
  <si>
    <t>psi</t>
  </si>
  <si>
    <t>need to implement on a per joint basis, probably in my matlab sus forces calculator thing</t>
  </si>
  <si>
    <t>Bolts in Single or Double Shear, no bending</t>
  </si>
  <si>
    <t>Eq. 6-14</t>
  </si>
  <si>
    <t>Bolt Type:</t>
  </si>
  <si>
    <t>Nom. Dia [in]</t>
  </si>
  <si>
    <t>Shear Area [in2]</t>
  </si>
  <si>
    <t>Allowable Ultimate Shear Load [lbf]</t>
  </si>
  <si>
    <t>Double Shear [lbf]</t>
  </si>
  <si>
    <t>Min MS</t>
  </si>
  <si>
    <t>NAS6204</t>
  </si>
  <si>
    <t>NAS6205</t>
  </si>
  <si>
    <t>NAS6206</t>
  </si>
  <si>
    <t>From NASA/TM—2017-219475</t>
  </si>
  <si>
    <t>yeild strength (psi)</t>
  </si>
  <si>
    <t>Length engaged (in)</t>
  </si>
  <si>
    <t>thread pitch diameter (in)</t>
  </si>
  <si>
    <t>pullout strength</t>
  </si>
  <si>
    <t>(this includes a 3x factor of safety already)</t>
  </si>
  <si>
    <t xml:space="preserve">Name </t>
  </si>
  <si>
    <t>FOS</t>
  </si>
  <si>
    <t>Weight (grams)</t>
  </si>
  <si>
    <t>Completed</t>
  </si>
  <si>
    <t>Notes</t>
  </si>
  <si>
    <t>Seeing artificial stress risers around bolt head and where a contraint ends.(rolling constriant)</t>
  </si>
  <si>
    <t>Inches</t>
  </si>
  <si>
    <t>tube OD</t>
  </si>
  <si>
    <t>tube wall thickness</t>
  </si>
  <si>
    <t xml:space="preserve">Tube Length </t>
  </si>
  <si>
    <t>Area (in^2)</t>
  </si>
  <si>
    <t>Bolt#</t>
  </si>
  <si>
    <t>Diameter</t>
  </si>
  <si>
    <t>Inside length</t>
  </si>
  <si>
    <t>Grip Length Dash #</t>
  </si>
  <si>
    <t>Length over nominal grip length</t>
  </si>
  <si>
    <t>Note</t>
  </si>
  <si>
    <t>Through 'Coque?</t>
  </si>
  <si>
    <t>Bolt length Installed</t>
  </si>
  <si>
    <t>Install Torque</t>
  </si>
  <si>
    <t>Torqued?</t>
  </si>
  <si>
    <t>Initials</t>
  </si>
  <si>
    <t>Date</t>
  </si>
  <si>
    <t>AN dash num</t>
  </si>
  <si>
    <t>Nominal Grip Length</t>
  </si>
  <si>
    <t>NAS6203-x</t>
  </si>
  <si>
    <t>NAS6204-x</t>
  </si>
  <si>
    <t>-3 weight (g)</t>
  </si>
  <si>
    <t>-4 weight (g)</t>
  </si>
  <si>
    <t>Hardware Required</t>
  </si>
  <si>
    <t>Weights</t>
  </si>
  <si>
    <t>(grams)</t>
  </si>
  <si>
    <t>Rear Rocker</t>
  </si>
  <si>
    <t>6mm shoulder bolt</t>
  </si>
  <si>
    <t/>
  </si>
  <si>
    <t>MS21042-3</t>
  </si>
  <si>
    <t>coqueWallThickness</t>
  </si>
  <si>
    <t>MS21042-4</t>
  </si>
  <si>
    <t>coqueRoofThickness</t>
  </si>
  <si>
    <t>n/a</t>
  </si>
  <si>
    <t>AN690-3</t>
  </si>
  <si>
    <t>slope</t>
  </si>
  <si>
    <t>intercept</t>
  </si>
  <si>
    <t>AN690-4L</t>
  </si>
  <si>
    <t>NAS6204-10</t>
  </si>
  <si>
    <t>NAS6204-12</t>
  </si>
  <si>
    <t>R_ROCKER</t>
  </si>
  <si>
    <t>yes</t>
  </si>
  <si>
    <t>NAS6204-21</t>
  </si>
  <si>
    <t>NAS6203-16</t>
  </si>
  <si>
    <t>Rear Inboard Aft</t>
  </si>
  <si>
    <t>NAS6203-17</t>
  </si>
  <si>
    <t>R_UCA_AFT, +1 for GND</t>
  </si>
  <si>
    <t>NAS6203-19</t>
  </si>
  <si>
    <t>R_LCA_AFT, +1 for GND</t>
  </si>
  <si>
    <t>Rear Inboard Fore</t>
  </si>
  <si>
    <t>Push Rod Clamp Inboard</t>
  </si>
  <si>
    <t>Push Rod Clamp Outboard</t>
  </si>
  <si>
    <t>Rear Outboard</t>
  </si>
  <si>
    <t xml:space="preserve">Total Fastener weight (g): </t>
  </si>
  <si>
    <t>(ti, ish)</t>
  </si>
  <si>
    <t>(ti savings)</t>
  </si>
  <si>
    <t>Front Rocker</t>
  </si>
  <si>
    <t>through 'cocque</t>
  </si>
  <si>
    <t>(lbs)</t>
  </si>
  <si>
    <t>F_ROCKER</t>
  </si>
  <si>
    <t>Front Inboard Aft</t>
  </si>
  <si>
    <t>F_UCA_AFT, +1 for GND</t>
  </si>
  <si>
    <t>F_LCA_AFT, +1 for GND</t>
  </si>
  <si>
    <t>Front Inboard Fore</t>
  </si>
  <si>
    <t>Front Outboard</t>
  </si>
  <si>
    <t>Rear ARB</t>
  </si>
  <si>
    <t xml:space="preserve">Spacers </t>
  </si>
  <si>
    <t xml:space="preserve">Height </t>
  </si>
  <si>
    <t>Quantity</t>
  </si>
  <si>
    <t xml:space="preserve">Front </t>
  </si>
  <si>
    <t>Front Tie Rod inboard</t>
  </si>
  <si>
    <t xml:space="preserve">2 Extra </t>
  </si>
  <si>
    <t>Front Tie Rod outboard</t>
  </si>
  <si>
    <t xml:space="preserve">Front Push Rod </t>
  </si>
  <si>
    <t>Upright LCA</t>
  </si>
  <si>
    <t>Upright UCA</t>
  </si>
  <si>
    <t xml:space="preserve">May not need as its almost nothing </t>
  </si>
  <si>
    <t>UCA AFT</t>
  </si>
  <si>
    <t>UCA FORE</t>
  </si>
  <si>
    <t>LCA AFT</t>
  </si>
  <si>
    <t>LCA FORE</t>
  </si>
  <si>
    <t>Upright UCA TOP</t>
  </si>
  <si>
    <t>Upright UCA BOTTOM</t>
  </si>
  <si>
    <t xml:space="preserve">Push Rod </t>
  </si>
  <si>
    <t>2 Extra</t>
  </si>
  <si>
    <t>Upper Aft CA</t>
  </si>
  <si>
    <t>Upper Fore Toe</t>
  </si>
  <si>
    <t>Motion Ratio</t>
  </si>
  <si>
    <t>Camber Gain</t>
  </si>
  <si>
    <t>CoilOver Displacement [Rear Left]</t>
  </si>
  <si>
    <t>Camber Angle [Front Right]</t>
  </si>
  <si>
    <t>Heave Motion Ratio CoilOver [Front Left]</t>
  </si>
  <si>
    <t xml:space="preserve">Heave 1 </t>
  </si>
  <si>
    <t>Step [0]</t>
  </si>
  <si>
    <t>Step [1]</t>
  </si>
  <si>
    <t>Step [2]</t>
  </si>
  <si>
    <t>Step [3]</t>
  </si>
  <si>
    <t>Step [4]</t>
  </si>
  <si>
    <t>Step [5]</t>
  </si>
  <si>
    <t>Step [6]</t>
  </si>
  <si>
    <t>Step [7]</t>
  </si>
  <si>
    <t>Step [8]</t>
  </si>
  <si>
    <t>Step [9]</t>
  </si>
  <si>
    <t>Step [10]</t>
  </si>
  <si>
    <t>Step [11]</t>
  </si>
  <si>
    <t>Step [12]</t>
  </si>
  <si>
    <t>Step [13]</t>
  </si>
  <si>
    <t>Step [14]</t>
  </si>
  <si>
    <t>Step [15]</t>
  </si>
  <si>
    <t>Step [16]</t>
  </si>
  <si>
    <t>Step [17]</t>
  </si>
  <si>
    <t>Step [18]</t>
  </si>
  <si>
    <t>Step [19]</t>
  </si>
  <si>
    <t>Step [20]</t>
  </si>
  <si>
    <t>Step [21]</t>
  </si>
  <si>
    <t>Step [22]</t>
  </si>
  <si>
    <t>Step [23]</t>
  </si>
  <si>
    <t>Step [24]</t>
  </si>
  <si>
    <t>Step [25]</t>
  </si>
  <si>
    <t>Step [26]</t>
  </si>
  <si>
    <t>Step [27]</t>
  </si>
  <si>
    <t>Step [28]</t>
  </si>
  <si>
    <t>Step [29]</t>
  </si>
  <si>
    <t>Step [30]</t>
  </si>
  <si>
    <t>Step [31]</t>
  </si>
  <si>
    <t>Step [32]</t>
  </si>
  <si>
    <t>Step [33]</t>
  </si>
  <si>
    <t>Step [34]</t>
  </si>
  <si>
    <t>Step [35]</t>
  </si>
  <si>
    <t>Step [36]</t>
  </si>
  <si>
    <t>Step [37]</t>
  </si>
  <si>
    <t>Step [38]</t>
  </si>
  <si>
    <t>Step [39]</t>
  </si>
  <si>
    <t>Step [40]</t>
  </si>
  <si>
    <t>Step [41]</t>
  </si>
  <si>
    <t>Step [42]</t>
  </si>
  <si>
    <t>Step [43]</t>
  </si>
  <si>
    <t>Step [44]</t>
  </si>
  <si>
    <t>Step [45]</t>
  </si>
  <si>
    <t>Step [46]</t>
  </si>
  <si>
    <t>Step [47]</t>
  </si>
  <si>
    <t>Step [48]</t>
  </si>
  <si>
    <t>Step [49]</t>
  </si>
  <si>
    <t>Step [50]</t>
  </si>
  <si>
    <t>Step [51]</t>
  </si>
  <si>
    <t>Step [52]</t>
  </si>
  <si>
    <t>Step [53]</t>
  </si>
  <si>
    <t>Step [54]</t>
  </si>
  <si>
    <t>Step [55]</t>
  </si>
  <si>
    <t>Step [56]</t>
  </si>
  <si>
    <t>Step [57]</t>
  </si>
  <si>
    <t>Step [58]</t>
  </si>
  <si>
    <t>Step [59]</t>
  </si>
  <si>
    <t>Step [60]</t>
  </si>
  <si>
    <t>Step [61]</t>
  </si>
  <si>
    <t>Step [62]</t>
  </si>
  <si>
    <t>Step [63]</t>
  </si>
  <si>
    <t>Step [64]</t>
  </si>
  <si>
    <t>Step [65]</t>
  </si>
  <si>
    <t>Step [66]</t>
  </si>
  <si>
    <t>Step [67]</t>
  </si>
  <si>
    <t>Step [68]</t>
  </si>
  <si>
    <t>Step [69]</t>
  </si>
  <si>
    <t>Step [70]</t>
  </si>
  <si>
    <t>Step [71]</t>
  </si>
  <si>
    <t>Step [72]</t>
  </si>
  <si>
    <t>Step [73]</t>
  </si>
  <si>
    <t>Step [74]</t>
  </si>
  <si>
    <t>Step [75]</t>
  </si>
  <si>
    <t>Step [76]</t>
  </si>
  <si>
    <t>Step [77]</t>
  </si>
  <si>
    <t>Step [78]</t>
  </si>
  <si>
    <t>Step [79]</t>
  </si>
  <si>
    <t>Step [80]</t>
  </si>
  <si>
    <t>Step [81]</t>
  </si>
  <si>
    <t>Step [82]</t>
  </si>
  <si>
    <t>Step [83]</t>
  </si>
  <si>
    <t>Step [84]</t>
  </si>
  <si>
    <t>Step [85]</t>
  </si>
  <si>
    <t>Step [86]</t>
  </si>
  <si>
    <t>Step [87]</t>
  </si>
  <si>
    <t>Step [88]</t>
  </si>
  <si>
    <t>Step [89]</t>
  </si>
  <si>
    <t>Step [90]</t>
  </si>
  <si>
    <t>Step [91]</t>
  </si>
  <si>
    <t>Step [92]</t>
  </si>
  <si>
    <t>Step [93]</t>
  </si>
  <si>
    <t>Step [94]</t>
  </si>
  <si>
    <t>Step [95]</t>
  </si>
  <si>
    <t>Step [96]</t>
  </si>
  <si>
    <t>Step [97]</t>
  </si>
  <si>
    <t>Step [98]</t>
  </si>
  <si>
    <t>Step [99]</t>
  </si>
  <si>
    <t>Step [100]</t>
  </si>
  <si>
    <t>Step [101]</t>
  </si>
  <si>
    <t>Step [102]</t>
  </si>
  <si>
    <t>Step [103]</t>
  </si>
  <si>
    <t>Step [104]</t>
  </si>
  <si>
    <t>Step [105]</t>
  </si>
  <si>
    <t>Step [106]</t>
  </si>
  <si>
    <t>Step [107]</t>
  </si>
  <si>
    <t>Step [108]</t>
  </si>
  <si>
    <t>Step [109]</t>
  </si>
  <si>
    <t>Step [110]</t>
  </si>
  <si>
    <t>Step [111]</t>
  </si>
  <si>
    <t>Step [112]</t>
  </si>
  <si>
    <t>Step [113]</t>
  </si>
  <si>
    <t>Step [114]</t>
  </si>
  <si>
    <t>Step [115]</t>
  </si>
  <si>
    <t>Step [116]</t>
  </si>
  <si>
    <t>Step [117]</t>
  </si>
  <si>
    <t>Step [118]</t>
  </si>
  <si>
    <t>Step [119]</t>
  </si>
  <si>
    <t>Step [120]</t>
  </si>
  <si>
    <t>hi</t>
  </si>
  <si>
    <t>NSMA_AttPnt_L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</si>
</sst>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4">
    <numFmt numFmtId="164" formatCode="0.000"/>
    <numFmt numFmtId="165" formatCode="0.0"/>
    <numFmt numFmtId="166" formatCode="0.0000"/>
    <numFmt numFmtId="167" formatCode="0.0%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2" tint="-0.099978637043367"/>
      <name val="Aptos Narrow"/>
      <family val="2"/>
      <scheme val="minor"/>
    </font>
    <font>
      <b/>
      <sz val="11"/>
      <color theme="2" tint="-0.099978637043367"/>
      <name val="Aptos Narrow"/>
      <family val="2"/>
      <scheme val="minor"/>
    </font>
    <font>
      <sz val="14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5117038484"/>
        <bgColor indexed="64"/>
      </patternFill>
    </fill>
    <fill>
      <patternFill patternType="solid">
        <fgColor theme="4" tint="0.799951170384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6337778863"/>
        <bgColor indexed="64"/>
      </patternFill>
    </fill>
    <fill>
      <patternFill patternType="solid">
        <fgColor theme="5" tint="0.79995117038484"/>
        <bgColor indexed="64"/>
      </patternFill>
    </fill>
    <fill>
      <patternFill patternType="solid">
        <fgColor theme="7" tint="0.59996337778863"/>
        <bgColor indexed="64"/>
      </patternFill>
    </fill>
    <fill>
      <patternFill patternType="solid">
        <fgColor theme="7" tint="0.79995117038484"/>
        <bgColor indexed="64"/>
      </patternFill>
    </fill>
    <fill>
      <patternFill patternType="solid">
        <fgColor theme="4" tint="0.39997558519242"/>
        <bgColor indexed="64"/>
      </patternFill>
    </fill>
    <fill>
      <patternFill patternType="solid">
        <fgColor theme="9" tint="0.3999755851924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8" tint="0.59996337778863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n">
        <color auto="true"/>
      </bottom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/>
      <top/>
      <bottom/>
      <diagonal/>
    </border>
    <border>
      <left style="thin">
        <color indexed="64"/>
      </left>
      <right style="thin">
        <color auto="true"/>
      </right>
      <top/>
      <bottom style="thin">
        <color indexed="64"/>
      </bottom>
      <diagonal/>
    </border>
    <border>
      <left style="thin">
        <color indexed="64"/>
      </left>
      <right style="thin">
        <color auto="true"/>
      </right>
      <top style="thin">
        <color indexed="64"/>
      </top>
      <bottom/>
      <diagonal/>
    </border>
    <border>
      <left style="thin">
        <color indexed="64"/>
      </left>
      <right style="thin">
        <color auto="true"/>
      </right>
      <top style="thin">
        <color indexed="64"/>
      </top>
      <bottom style="thin">
        <color indexed="64"/>
      </bottom>
      <diagonal/>
    </border>
    <border>
      <left/>
      <right style="thin">
        <color auto="true"/>
      </right>
      <top/>
      <bottom/>
      <diagonal/>
    </border>
    <border>
      <left/>
      <right style="thin">
        <color auto="true"/>
      </right>
      <top/>
      <bottom style="thin">
        <color auto="true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auto="true"/>
      </right>
      <top style="medium">
        <color indexed="64"/>
      </top>
      <bottom style="thin">
        <color indexed="64"/>
      </bottom>
      <diagonal/>
    </border>
    <border>
      <left style="thin">
        <color auto="true"/>
      </left>
      <right style="thin">
        <color auto="true"/>
      </right>
      <top style="medium">
        <color indexed="64"/>
      </top>
      <bottom style="thin">
        <color indexed="64"/>
      </bottom>
      <diagonal/>
    </border>
    <border>
      <left style="thin">
        <color auto="true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true"/>
      </right>
      <top style="thin">
        <color indexed="64"/>
      </top>
      <bottom style="thin">
        <color indexed="64"/>
      </bottom>
      <diagonal/>
    </border>
    <border>
      <left style="thin">
        <color auto="true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true"/>
      </right>
      <top style="thin">
        <color indexed="64"/>
      </top>
      <bottom/>
      <diagonal/>
    </border>
    <border>
      <left style="thin">
        <color auto="true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true"/>
      </right>
      <top style="thin">
        <color indexed="64"/>
      </top>
      <bottom style="medium">
        <color indexed="64"/>
      </bottom>
      <diagonal/>
    </border>
    <border>
      <left style="thin">
        <color auto="true"/>
      </left>
      <right style="thin">
        <color auto="true"/>
      </right>
      <top style="thin">
        <color indexed="64"/>
      </top>
      <bottom style="medium">
        <color indexed="64"/>
      </bottom>
      <diagonal/>
    </border>
    <border>
      <left style="thin">
        <color auto="true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true"/>
      </right>
      <top/>
      <bottom style="thin">
        <color indexed="64"/>
      </bottom>
      <diagonal/>
    </border>
    <border>
      <left style="thin">
        <color auto="true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7" fillId="0" borderId="0" applyFont="false" applyFill="false" applyBorder="false" applyAlignment="false" applyProtection="false"/>
    <xf numFmtId="0" fontId="11" fillId="0" borderId="0" applyNumberFormat="false" applyFill="false" applyBorder="false" applyAlignment="false" applyProtection="false"/>
  </cellStyleXfs>
  <cellXfs count="193">
    <xf numFmtId="0" fontId="0" fillId="0" borderId="0" xfId="0"/>
    <xf numFmtId="0" fontId="0" fillId="0" borderId="1" xfId="0" applyBorder="true"/>
    <xf numFmtId="0" fontId="0" fillId="0" borderId="3" xfId="0" applyBorder="true"/>
    <xf numFmtId="0" fontId="0" fillId="0" borderId="7" xfId="0" applyBorder="true"/>
    <xf numFmtId="164" fontId="1" fillId="2" borderId="6" xfId="0" applyNumberFormat="true" applyFont="true" applyFill="true" applyBorder="true" applyAlignment="true">
      <alignment horizontal="center" vertical="center"/>
    </xf>
    <xf numFmtId="164" fontId="1" fillId="4" borderId="6" xfId="0" applyNumberFormat="true" applyFont="true" applyFill="true" applyBorder="true" applyAlignment="true" applyProtection="true">
      <alignment horizontal="right" vertical="center"/>
      <protection locked="false"/>
    </xf>
    <xf numFmtId="0" fontId="0" fillId="0" borderId="8" xfId="0" applyBorder="true"/>
    <xf numFmtId="0" fontId="1" fillId="2" borderId="6" xfId="0" applyFont="true" applyFill="true" applyBorder="true" applyAlignment="true">
      <alignment vertical="center"/>
    </xf>
    <xf numFmtId="0" fontId="0" fillId="0" borderId="6" xfId="0" applyBorder="true" applyAlignment="true">
      <alignment vertical="center"/>
    </xf>
    <xf numFmtId="0" fontId="1" fillId="2" borderId="4" xfId="0" applyFont="true" applyFill="true" applyBorder="true" applyAlignment="true">
      <alignment vertical="center"/>
    </xf>
    <xf numFmtId="0" fontId="1" fillId="2" borderId="5" xfId="0" applyFont="true" applyFill="true" applyBorder="true" applyAlignment="true">
      <alignment vertical="center"/>
    </xf>
    <xf numFmtId="164" fontId="1" fillId="4" borderId="6" xfId="0" applyNumberFormat="true" applyFont="true" applyFill="true" applyBorder="true" applyAlignment="true">
      <alignment horizontal="center" vertical="center" wrapText="true"/>
    </xf>
    <xf numFmtId="164" fontId="1" fillId="4" borderId="6" xfId="0" applyNumberFormat="true" applyFont="true" applyFill="true" applyBorder="true" applyAlignment="true">
      <alignment horizontal="center" vertical="center"/>
    </xf>
    <xf numFmtId="164" fontId="1" fillId="2" borderId="6" xfId="0" applyNumberFormat="true" applyFont="true" applyFill="true" applyBorder="true" applyAlignment="true">
      <alignment horizontal="center" vertical="center" wrapText="true"/>
    </xf>
    <xf numFmtId="0" fontId="0" fillId="0" borderId="0" xfId="0" quotePrefix="true"/>
    <xf numFmtId="164" fontId="0" fillId="0" borderId="0" xfId="0" applyNumberFormat="true"/>
    <xf numFmtId="2" fontId="0" fillId="0" borderId="0" xfId="0" applyNumberFormat="true"/>
    <xf numFmtId="165" fontId="0" fillId="0" borderId="9" xfId="0" applyNumberFormat="true" applyBorder="true"/>
    <xf numFmtId="165" fontId="0" fillId="0" borderId="10" xfId="0" applyNumberFormat="true" applyBorder="true"/>
    <xf numFmtId="165" fontId="1" fillId="0" borderId="11" xfId="0" applyNumberFormat="true" applyFont="true" applyBorder="true"/>
    <xf numFmtId="0" fontId="0" fillId="0" borderId="10" xfId="0" applyBorder="true"/>
    <xf numFmtId="0" fontId="1" fillId="0" borderId="11" xfId="0" applyFont="true" applyBorder="true"/>
    <xf numFmtId="165" fontId="0" fillId="0" borderId="12" xfId="0" applyNumberFormat="true" applyBorder="true"/>
    <xf numFmtId="165" fontId="0" fillId="0" borderId="0" xfId="0" applyNumberFormat="true"/>
    <xf numFmtId="165" fontId="1" fillId="0" borderId="13" xfId="0" applyNumberFormat="true" applyFont="true" applyBorder="true"/>
    <xf numFmtId="0" fontId="1" fillId="0" borderId="13" xfId="0" applyFont="true" applyBorder="true"/>
    <xf numFmtId="165" fontId="0" fillId="0" borderId="14" xfId="0" applyNumberFormat="true" applyBorder="true"/>
    <xf numFmtId="165" fontId="0" fillId="0" borderId="15" xfId="0" applyNumberFormat="true" applyBorder="true"/>
    <xf numFmtId="165" fontId="1" fillId="0" borderId="16" xfId="0" applyNumberFormat="true" applyFont="true" applyBorder="true"/>
    <xf numFmtId="0" fontId="0" fillId="0" borderId="15" xfId="0" applyBorder="true"/>
    <xf numFmtId="0" fontId="1" fillId="0" borderId="16" xfId="0" applyFont="true" applyBorder="true"/>
    <xf numFmtId="0" fontId="1" fillId="0" borderId="0" xfId="0" applyFont="true"/>
    <xf numFmtId="0" fontId="3" fillId="0" borderId="0" xfId="0" applyFont="true" applyAlignment="true">
      <alignment horizontal="left" vertical="center" indent="2"/>
    </xf>
    <xf numFmtId="166" fontId="0" fillId="0" borderId="0" xfId="0" applyNumberFormat="true"/>
    <xf numFmtId="1" fontId="0" fillId="0" borderId="15" xfId="0" applyNumberFormat="true" applyBorder="true"/>
    <xf numFmtId="1" fontId="0" fillId="0" borderId="14" xfId="0" applyNumberFormat="true" applyBorder="true"/>
    <xf numFmtId="1" fontId="0" fillId="0" borderId="0" xfId="0" applyNumberFormat="true"/>
    <xf numFmtId="1" fontId="0" fillId="0" borderId="12" xfId="0" applyNumberFormat="true" applyBorder="true"/>
    <xf numFmtId="1" fontId="0" fillId="0" borderId="10" xfId="0" applyNumberFormat="true" applyBorder="true"/>
    <xf numFmtId="1" fontId="0" fillId="0" borderId="9" xfId="0" applyNumberFormat="true" applyBorder="true"/>
    <xf numFmtId="0" fontId="2" fillId="3" borderId="6" xfId="0" applyFont="true" applyFill="true" applyBorder="true" applyAlignment="true">
      <alignment horizontal="center" vertical="center"/>
    </xf>
    <xf numFmtId="0" fontId="0" fillId="0" borderId="16" xfId="0" applyBorder="true"/>
    <xf numFmtId="0" fontId="0" fillId="0" borderId="14" xfId="0" applyBorder="true"/>
    <xf numFmtId="2" fontId="0" fillId="0" borderId="13" xfId="0" applyNumberFormat="true" applyBorder="true"/>
    <xf numFmtId="2" fontId="0" fillId="0" borderId="12" xfId="0" applyNumberFormat="true" applyBorder="true"/>
    <xf numFmtId="2" fontId="0" fillId="0" borderId="11" xfId="0" applyNumberFormat="true" applyBorder="true"/>
    <xf numFmtId="2" fontId="0" fillId="0" borderId="10" xfId="0" applyNumberFormat="true" applyBorder="true"/>
    <xf numFmtId="2" fontId="0" fillId="0" borderId="9" xfId="0" applyNumberFormat="true" applyBorder="true"/>
    <xf numFmtId="0" fontId="0" fillId="0" borderId="11" xfId="0" applyBorder="true"/>
    <xf numFmtId="0" fontId="0" fillId="0" borderId="13" xfId="0" applyBorder="true"/>
    <xf numFmtId="0" fontId="0" fillId="0" borderId="12" xfId="0" applyBorder="true"/>
    <xf numFmtId="164" fontId="1" fillId="4" borderId="5" xfId="0" applyNumberFormat="true" applyFont="true" applyFill="true" applyBorder="true" applyAlignment="true" applyProtection="true">
      <alignment horizontal="right" vertical="center"/>
      <protection locked="false"/>
    </xf>
    <xf numFmtId="0" fontId="0" fillId="0" borderId="9" xfId="0" applyBorder="true"/>
    <xf numFmtId="0" fontId="1" fillId="0" borderId="15" xfId="0" applyFont="true" applyBorder="true"/>
    <xf numFmtId="0" fontId="1" fillId="0" borderId="17" xfId="0" applyFont="true" applyBorder="true"/>
    <xf numFmtId="2" fontId="0" fillId="0" borderId="18" xfId="0" applyNumberFormat="true" applyBorder="true"/>
    <xf numFmtId="2" fontId="0" fillId="0" borderId="19" xfId="0" applyNumberFormat="true" applyBorder="true"/>
    <xf numFmtId="167" fontId="0" fillId="0" borderId="0" xfId="1" applyNumberFormat="true" applyFont="true"/>
    <xf numFmtId="0" fontId="1" fillId="0" borderId="14" xfId="0" applyFont="true" applyBorder="true"/>
    <xf numFmtId="0" fontId="0" fillId="0" borderId="2" xfId="0" applyBorder="true"/>
    <xf numFmtId="0" fontId="0" fillId="5" borderId="0" xfId="0" applyFill="true"/>
    <xf numFmtId="2" fontId="0" fillId="5" borderId="12" xfId="0" applyNumberFormat="true" applyFill="true" applyBorder="true"/>
    <xf numFmtId="0" fontId="0" fillId="0" borderId="20" xfId="0" applyBorder="true"/>
    <xf numFmtId="0" fontId="0" fillId="0" borderId="21" xfId="0" applyBorder="true"/>
    <xf numFmtId="0" fontId="0" fillId="6" borderId="3" xfId="0" applyFill="true" applyBorder="true"/>
    <xf numFmtId="0" fontId="0" fillId="5" borderId="3" xfId="0" applyFill="true" applyBorder="true"/>
    <xf numFmtId="0" fontId="1" fillId="7" borderId="0" xfId="0" applyFont="true" applyFill="true"/>
    <xf numFmtId="165" fontId="0" fillId="7" borderId="0" xfId="0" applyNumberFormat="true" applyFill="true"/>
    <xf numFmtId="164" fontId="0" fillId="0" borderId="9" xfId="0" applyNumberFormat="true" applyBorder="true"/>
    <xf numFmtId="0" fontId="1" fillId="0" borderId="12" xfId="0" applyFont="true" applyBorder="true"/>
    <xf numFmtId="0" fontId="0" fillId="0" borderId="0" xfId="0" applyAlignment="true">
      <alignment horizontal="center"/>
    </xf>
    <xf numFmtId="0" fontId="4" fillId="0" borderId="15" xfId="0" applyFont="true" applyBorder="true" applyAlignment="true">
      <alignment horizontal="left" vertical="center" indent="2"/>
    </xf>
    <xf numFmtId="1" fontId="0" fillId="0" borderId="13" xfId="0" applyNumberFormat="true" applyBorder="true"/>
    <xf numFmtId="1" fontId="0" fillId="0" borderId="11" xfId="0" applyNumberFormat="true" applyBorder="true"/>
    <xf numFmtId="0" fontId="1" fillId="0" borderId="10" xfId="0" applyFont="true" applyBorder="true"/>
    <xf numFmtId="2" fontId="0" fillId="5" borderId="0" xfId="0" applyNumberFormat="true" applyFill="true"/>
    <xf numFmtId="0" fontId="0" fillId="0" borderId="4" xfId="0" applyBorder="true"/>
    <xf numFmtId="0" fontId="0" fillId="0" borderId="5" xfId="0" applyBorder="true"/>
    <xf numFmtId="0" fontId="0" fillId="0" borderId="6" xfId="0" applyBorder="true"/>
    <xf numFmtId="0" fontId="1" fillId="0" borderId="10" xfId="0" applyFont="true" applyBorder="true" applyAlignment="true">
      <alignment horizontal="center" vertical="center" textRotation="90"/>
    </xf>
    <xf numFmtId="0" fontId="1" fillId="10" borderId="15" xfId="0" applyFont="true" applyFill="true" applyBorder="true" applyAlignment="true">
      <alignment horizontal="center" vertical="center" textRotation="90"/>
    </xf>
    <xf numFmtId="0" fontId="0" fillId="10" borderId="0" xfId="0" applyFill="true" applyAlignment="true">
      <alignment horizontal="center" vertical="center"/>
    </xf>
    <xf numFmtId="0" fontId="1" fillId="10" borderId="10" xfId="0" applyFont="true" applyFill="true" applyBorder="true" applyAlignment="true">
      <alignment horizontal="center" vertical="center" textRotation="90"/>
    </xf>
    <xf numFmtId="0" fontId="0" fillId="11" borderId="10" xfId="0" applyFill="true" applyBorder="true" applyAlignment="true">
      <alignment horizontal="center" vertical="center"/>
    </xf>
    <xf numFmtId="0" fontId="1" fillId="0" borderId="0" xfId="0" applyFont="true" applyAlignment="true">
      <alignment horizontal="center" vertical="center" textRotation="90"/>
    </xf>
    <xf numFmtId="0" fontId="0" fillId="0" borderId="0" xfId="0" applyAlignment="true">
      <alignment horizontal="center" vertical="center"/>
    </xf>
    <xf numFmtId="164" fontId="0" fillId="0" borderId="0" xfId="0" applyNumberFormat="true" applyAlignment="true">
      <alignment horizontal="right"/>
    </xf>
    <xf numFmtId="0" fontId="0" fillId="0" borderId="0" xfId="0" applyAlignment="true">
      <alignment horizontal="right"/>
    </xf>
    <xf numFmtId="0" fontId="0" fillId="0" borderId="23" xfId="0" applyBorder="true"/>
    <xf numFmtId="0" fontId="0" fillId="0" borderId="24" xfId="0" applyBorder="true"/>
    <xf numFmtId="0" fontId="0" fillId="0" borderId="25" xfId="0" applyBorder="true"/>
    <xf numFmtId="0" fontId="0" fillId="0" borderId="26" xfId="0" applyBorder="true"/>
    <xf numFmtId="0" fontId="0" fillId="0" borderId="27" xfId="0" applyBorder="true"/>
    <xf numFmtId="0" fontId="0" fillId="0" borderId="28" xfId="0" applyBorder="true"/>
    <xf numFmtId="0" fontId="0" fillId="0" borderId="29" xfId="0" applyBorder="true"/>
    <xf numFmtId="0" fontId="1" fillId="12" borderId="23" xfId="0" applyFont="true" applyFill="true" applyBorder="true"/>
    <xf numFmtId="0" fontId="1" fillId="12" borderId="24" xfId="0" applyFont="true" applyFill="true" applyBorder="true"/>
    <xf numFmtId="0" fontId="0" fillId="12" borderId="25" xfId="0" applyFill="true" applyBorder="true"/>
    <xf numFmtId="2" fontId="0" fillId="0" borderId="6" xfId="0" applyNumberFormat="true" applyBorder="true"/>
    <xf numFmtId="164" fontId="0" fillId="0" borderId="6" xfId="0" applyNumberFormat="true" applyBorder="true"/>
    <xf numFmtId="0" fontId="0" fillId="0" borderId="30" xfId="0" applyBorder="true"/>
    <xf numFmtId="0" fontId="0" fillId="0" borderId="31" xfId="0" applyBorder="true"/>
    <xf numFmtId="0" fontId="0" fillId="0" borderId="32" xfId="0" applyBorder="true"/>
    <xf numFmtId="0" fontId="0" fillId="0" borderId="33" xfId="0" applyBorder="true"/>
    <xf numFmtId="0" fontId="0" fillId="0" borderId="34" xfId="0" applyBorder="true"/>
    <xf numFmtId="0" fontId="0" fillId="13" borderId="23" xfId="0" applyFill="true" applyBorder="true"/>
    <xf numFmtId="0" fontId="0" fillId="13" borderId="24" xfId="0" applyFill="true" applyBorder="true"/>
    <xf numFmtId="0" fontId="0" fillId="13" borderId="25" xfId="0" applyFill="true" applyBorder="true"/>
    <xf numFmtId="0" fontId="0" fillId="7" borderId="26" xfId="0" applyFill="true" applyBorder="true"/>
    <xf numFmtId="2" fontId="0" fillId="7" borderId="6" xfId="0" applyNumberFormat="true" applyFill="true" applyBorder="true"/>
    <xf numFmtId="164" fontId="0" fillId="7" borderId="6" xfId="0" applyNumberFormat="true" applyFill="true" applyBorder="true"/>
    <xf numFmtId="0" fontId="0" fillId="7" borderId="6" xfId="0" applyFill="true" applyBorder="true"/>
    <xf numFmtId="0" fontId="0" fillId="7" borderId="27" xfId="0" applyFill="true" applyBorder="true"/>
    <xf numFmtId="0" fontId="0" fillId="7" borderId="30" xfId="0" applyFill="true" applyBorder="true"/>
    <xf numFmtId="2" fontId="0" fillId="7" borderId="31" xfId="0" applyNumberFormat="true" applyFill="true" applyBorder="true"/>
    <xf numFmtId="164" fontId="0" fillId="7" borderId="31" xfId="0" applyNumberFormat="true" applyFill="true" applyBorder="true"/>
    <xf numFmtId="0" fontId="0" fillId="7" borderId="31" xfId="0" applyFill="true" applyBorder="true"/>
    <xf numFmtId="0" fontId="0" fillId="7" borderId="32" xfId="0" applyFill="true" applyBorder="true"/>
    <xf numFmtId="0" fontId="1" fillId="0" borderId="35" xfId="0" applyFont="true" applyBorder="true"/>
    <xf numFmtId="0" fontId="1" fillId="0" borderId="36" xfId="0" applyFont="true" applyBorder="true"/>
    <xf numFmtId="0" fontId="1" fillId="0" borderId="37" xfId="0" applyFont="true" applyBorder="true"/>
    <xf numFmtId="164" fontId="0" fillId="0" borderId="10" xfId="0" applyNumberFormat="true" applyBorder="true"/>
    <xf numFmtId="0" fontId="1" fillId="0" borderId="35" xfId="0" applyFont="true" applyBorder="true" applyAlignment="true">
      <alignment wrapText="true"/>
    </xf>
    <xf numFmtId="0" fontId="1" fillId="0" borderId="36" xfId="0" applyFont="true" applyBorder="true" applyAlignment="true">
      <alignment wrapText="true"/>
    </xf>
    <xf numFmtId="0" fontId="1" fillId="0" borderId="0" xfId="0" quotePrefix="true" applyFont="true"/>
    <xf numFmtId="0" fontId="0" fillId="0" borderId="22" xfId="0" applyBorder="true"/>
    <xf numFmtId="0" fontId="10" fillId="0" borderId="0" xfId="0" applyFont="true"/>
    <xf numFmtId="0" fontId="1" fillId="0" borderId="6" xfId="0" applyFont="true" applyBorder="true" applyAlignment="true">
      <alignment horizontal="center" vertical="center"/>
    </xf>
    <xf numFmtId="0" fontId="1" fillId="0" borderId="6" xfId="0" applyFont="true" applyBorder="true" applyAlignment="true">
      <alignment horizontal="center" vertical="center" wrapText="true"/>
    </xf>
    <xf numFmtId="0" fontId="0" fillId="9" borderId="6" xfId="0" applyFill="true" applyBorder="true" applyAlignment="true">
      <alignment horizontal="center" vertical="center"/>
    </xf>
    <xf numFmtId="0" fontId="8" fillId="14" borderId="6" xfId="0" applyFont="true" applyFill="true" applyBorder="true" applyAlignment="true">
      <alignment horizontal="center" vertical="center"/>
    </xf>
    <xf numFmtId="164" fontId="9" fillId="14" borderId="6" xfId="0" applyNumberFormat="true" applyFont="true" applyFill="true" applyBorder="true" applyAlignment="true">
      <alignment horizontal="center" vertical="center"/>
    </xf>
    <xf numFmtId="164" fontId="8" fillId="14" borderId="6" xfId="0" applyNumberFormat="true" applyFont="true" applyFill="true" applyBorder="true" applyAlignment="true">
      <alignment horizontal="center" vertical="center"/>
    </xf>
    <xf numFmtId="1" fontId="8" fillId="14" borderId="6" xfId="0" applyNumberFormat="true" applyFont="true" applyFill="true" applyBorder="true" applyAlignment="true">
      <alignment horizontal="center" vertical="center"/>
    </xf>
    <xf numFmtId="0" fontId="0" fillId="8" borderId="6" xfId="0" applyFill="true" applyBorder="true" applyAlignment="true">
      <alignment horizontal="center" vertical="center"/>
    </xf>
    <xf numFmtId="164" fontId="0" fillId="8" borderId="6" xfId="0" applyNumberFormat="true" applyFill="true" applyBorder="true" applyAlignment="true">
      <alignment horizontal="center" vertical="center"/>
    </xf>
    <xf numFmtId="164" fontId="0" fillId="9" borderId="6" xfId="0" applyNumberFormat="true" applyFill="true" applyBorder="true" applyAlignment="true">
      <alignment horizontal="center" vertical="center"/>
    </xf>
    <xf numFmtId="164" fontId="1" fillId="9" borderId="6" xfId="0" applyNumberFormat="true" applyFont="true" applyFill="true" applyBorder="true" applyAlignment="true">
      <alignment horizontal="center" vertical="center"/>
    </xf>
    <xf numFmtId="164" fontId="1" fillId="8" borderId="6" xfId="0" applyNumberFormat="true" applyFont="true" applyFill="true" applyBorder="true" applyAlignment="true">
      <alignment horizontal="center" vertical="center"/>
    </xf>
    <xf numFmtId="0" fontId="0" fillId="15" borderId="6" xfId="0" applyFill="true" applyBorder="true" applyAlignment="true">
      <alignment horizontal="center" vertical="center"/>
    </xf>
    <xf numFmtId="164" fontId="1" fillId="15" borderId="6" xfId="0" applyNumberFormat="true" applyFont="true" applyFill="true" applyBorder="true" applyAlignment="true">
      <alignment horizontal="center" vertical="center"/>
    </xf>
    <xf numFmtId="164" fontId="0" fillId="15" borderId="6" xfId="0" applyNumberFormat="true" applyFill="true" applyBorder="true" applyAlignment="true">
      <alignment horizontal="center" vertical="center"/>
    </xf>
    <xf numFmtId="0" fontId="0" fillId="0" borderId="6" xfId="0" quotePrefix="true" applyBorder="true"/>
    <xf numFmtId="0" fontId="0" fillId="11" borderId="6" xfId="0" applyFill="true" applyBorder="true" applyAlignment="true">
      <alignment horizontal="center" vertical="center"/>
    </xf>
    <xf numFmtId="0" fontId="0" fillId="10" borderId="6" xfId="0" applyFill="true" applyBorder="true" applyAlignment="true">
      <alignment horizontal="center" vertical="center"/>
    </xf>
    <xf numFmtId="164" fontId="1" fillId="10" borderId="6" xfId="0" applyNumberFormat="true" applyFont="true" applyFill="true" applyBorder="true" applyAlignment="true">
      <alignment horizontal="center" vertical="center"/>
    </xf>
    <xf numFmtId="164" fontId="0" fillId="10" borderId="6" xfId="0" applyNumberFormat="true" applyFill="true" applyBorder="true" applyAlignment="true">
      <alignment horizontal="center" vertical="center"/>
    </xf>
    <xf numFmtId="164" fontId="0" fillId="11" borderId="6" xfId="0" applyNumberFormat="true" applyFill="true" applyBorder="true" applyAlignment="true">
      <alignment horizontal="center" vertical="center"/>
    </xf>
    <xf numFmtId="164" fontId="1" fillId="11" borderId="6" xfId="0" applyNumberFormat="true" applyFont="true" applyFill="true" applyBorder="true" applyAlignment="true">
      <alignment horizontal="center" vertical="center"/>
    </xf>
    <xf numFmtId="0" fontId="0" fillId="0" borderId="6" xfId="0" applyBorder="true" applyAlignment="true">
      <alignment horizontal="center" vertical="center"/>
    </xf>
    <xf numFmtId="164" fontId="0" fillId="0" borderId="6" xfId="0" applyNumberFormat="true" applyBorder="true" applyAlignment="true">
      <alignment horizontal="right"/>
    </xf>
    <xf numFmtId="0" fontId="0" fillId="0" borderId="6" xfId="0" applyBorder="true" applyAlignment="true">
      <alignment horizontal="center"/>
    </xf>
    <xf numFmtId="0" fontId="1" fillId="8" borderId="0" xfId="0" applyFont="true" applyFill="true" applyAlignment="true">
      <alignment horizontal="center" vertical="center" textRotation="90"/>
    </xf>
    <xf numFmtId="0" fontId="12" fillId="0" borderId="0" xfId="2" applyFont="true" applyAlignment="true">
      <alignment vertical="center" wrapText="true"/>
    </xf>
    <xf numFmtId="0" fontId="0" fillId="11" borderId="0" xfId="0" applyFill="true"/>
    <xf numFmtId="2" fontId="0" fillId="11" borderId="13" xfId="0" applyNumberFormat="true" applyFill="true" applyBorder="true"/>
    <xf numFmtId="2" fontId="0" fillId="11" borderId="0" xfId="0" applyNumberFormat="true" applyFill="true"/>
    <xf numFmtId="2" fontId="0" fillId="11" borderId="12" xfId="0" applyNumberFormat="true" applyFill="true" applyBorder="true"/>
    <xf numFmtId="0" fontId="0" fillId="9" borderId="0" xfId="0" applyFill="true"/>
    <xf numFmtId="2" fontId="0" fillId="9" borderId="12" xfId="0" applyNumberFormat="true" applyFill="true" applyBorder="true"/>
    <xf numFmtId="2" fontId="0" fillId="9" borderId="13" xfId="0" applyNumberFormat="true" applyFill="true" applyBorder="true"/>
    <xf numFmtId="2" fontId="0" fillId="9" borderId="0" xfId="0" applyNumberFormat="true" applyFill="true"/>
    <xf numFmtId="0" fontId="0" fillId="9" borderId="22" xfId="0" applyFill="true" applyBorder="true"/>
    <xf numFmtId="164" fontId="1" fillId="4" borderId="6" xfId="0" applyNumberFormat="true" applyFont="true" applyFill="true" applyBorder="true" applyAlignment="true" applyProtection="true">
      <alignment horizontal="right" vertical="center"/>
      <protection locked="false"/>
    </xf>
    <xf numFmtId="0" fontId="2" fillId="3" borderId="6" xfId="0" applyFont="true" applyFill="true" applyBorder="true" applyAlignment="true">
      <alignment horizontal="center" vertical="center"/>
    </xf>
    <xf numFmtId="164" fontId="1" fillId="2" borderId="6" xfId="0" applyNumberFormat="true" applyFont="true" applyFill="true" applyBorder="true" applyAlignment="true">
      <alignment horizontal="center" vertical="center" wrapText="true"/>
    </xf>
    <xf numFmtId="164" fontId="1" fillId="2" borderId="6" xfId="0" applyNumberFormat="true" applyFont="true" applyFill="true" applyBorder="true" applyAlignment="true">
      <alignment horizontal="center" vertical="center"/>
    </xf>
    <xf numFmtId="0" fontId="0" fillId="0" borderId="2" xfId="0" applyBorder="true"/>
    <xf numFmtId="0" fontId="0" fillId="0" borderId="3" xfId="0" applyBorder="true"/>
    <xf numFmtId="0" fontId="0" fillId="0" borderId="4" xfId="0" applyBorder="true"/>
    <xf numFmtId="0" fontId="0" fillId="0" borderId="5" xfId="0" applyBorder="true"/>
    <xf numFmtId="22" fontId="0" fillId="0" borderId="4" xfId="0" applyNumberFormat="true" applyBorder="true" applyAlignment="true">
      <alignment horizontal="left"/>
    </xf>
    <xf numFmtId="0" fontId="0" fillId="0" borderId="4" xfId="0" applyBorder="true" applyAlignment="true">
      <alignment horizontal="left"/>
    </xf>
    <xf numFmtId="22" fontId="0" fillId="0" borderId="5" xfId="0" applyNumberFormat="true" applyBorder="true" applyAlignment="true">
      <alignment horizontal="left"/>
    </xf>
    <xf numFmtId="0" fontId="0" fillId="0" borderId="5" xfId="0" applyBorder="true" applyAlignment="true">
      <alignment horizontal="left"/>
    </xf>
    <xf numFmtId="0" fontId="0" fillId="0" borderId="6" xfId="0" applyBorder="true"/>
    <xf numFmtId="164" fontId="1" fillId="4" borderId="6" xfId="0" applyNumberFormat="true" applyFont="true" applyFill="true" applyBorder="true" applyAlignment="true">
      <alignment horizontal="center" vertical="center"/>
    </xf>
    <xf numFmtId="0" fontId="0" fillId="0" borderId="20" xfId="0" applyBorder="true" applyAlignment="true">
      <alignment horizontal="center"/>
    </xf>
    <xf numFmtId="0" fontId="0" fillId="0" borderId="3" xfId="0" applyBorder="true" applyAlignment="true">
      <alignment horizontal="center"/>
    </xf>
    <xf numFmtId="0" fontId="0" fillId="0" borderId="0" xfId="0" applyAlignment="true">
      <alignment horizontal="center"/>
    </xf>
    <xf numFmtId="0" fontId="0" fillId="0" borderId="22" xfId="0" applyBorder="true" applyAlignment="true">
      <alignment horizontal="center"/>
    </xf>
    <xf numFmtId="0" fontId="0" fillId="0" borderId="1" xfId="0" applyBorder="true" applyAlignment="true">
      <alignment horizontal="center"/>
    </xf>
    <xf numFmtId="0" fontId="0" fillId="0" borderId="6" xfId="0" applyBorder="true" applyAlignment="true">
      <alignment horizontal="center"/>
    </xf>
    <xf numFmtId="0" fontId="1" fillId="8" borderId="15" xfId="0" applyFont="true" applyFill="true" applyBorder="true" applyAlignment="true">
      <alignment horizontal="center" vertical="center" textRotation="90"/>
    </xf>
    <xf numFmtId="0" fontId="1" fillId="8" borderId="10" xfId="0" applyFont="true" applyFill="true" applyBorder="true" applyAlignment="true">
      <alignment horizontal="center" vertical="center" textRotation="90"/>
    </xf>
    <xf numFmtId="0" fontId="1" fillId="10" borderId="15" xfId="0" applyFont="true" applyFill="true" applyBorder="true" applyAlignment="true">
      <alignment horizontal="center" vertical="center" textRotation="90"/>
    </xf>
    <xf numFmtId="0" fontId="1" fillId="10" borderId="0" xfId="0" applyFont="true" applyFill="true" applyAlignment="true">
      <alignment horizontal="center" vertical="center" textRotation="90"/>
    </xf>
    <xf numFmtId="0" fontId="1" fillId="10" borderId="10" xfId="0" applyFont="true" applyFill="true" applyBorder="true" applyAlignment="true">
      <alignment horizontal="center" vertical="center" textRotation="90"/>
    </xf>
    <xf numFmtId="0" fontId="0" fillId="11" borderId="6" xfId="0" applyFill="true" applyBorder="true" applyAlignment="true">
      <alignment horizontal="center" vertical="center"/>
    </xf>
    <xf numFmtId="0" fontId="1" fillId="8" borderId="0" xfId="0" applyFont="true" applyFill="true" applyAlignment="true">
      <alignment horizontal="center" vertical="center" textRotation="90"/>
    </xf>
    <xf numFmtId="0" fontId="0" fillId="9" borderId="6" xfId="0" applyFill="true" applyBorder="true" applyAlignment="true">
      <alignment horizontal="center" vertical="center"/>
    </xf>
    <xf numFmtId="0" fontId="1" fillId="0" borderId="15" xfId="0" applyFont="true" applyBorder="true" applyAlignment="true">
      <alignment horizontal="center" vertical="center" textRotation="90"/>
    </xf>
    <xf numFmtId="0" fontId="1" fillId="0" borderId="0" xfId="0" applyFont="true" applyAlignment="true">
      <alignment horizontal="center" vertical="center" textRotation="90"/>
    </xf>
  </cellXfs>
  <cellStyles count="3">
    <cellStyle name="Hyperlink" xfId="2" builtinId="8"/>
    <cellStyle name="Normal" xfId="0" builtinId="0"/>
    <cellStyle name="Percent" xfId="1" builtinId="5"/>
  </cellStyles>
  <dxfs count="4">
    <dxf>
      <numFmt numFmtId="165" formatCode="0.0"/>
    </dxf>
    <dxf>
      <numFmt numFmtId="165" formatCode="0.0"/>
    </dxf>
    <dxf>
      <numFmt numFmtId="166" formatCode="0.0000"/>
    </dxf>
    <dxf>
      <font>
        <b/>
        <i val="false"/>
        <strike val="false"/>
        <condense val="false"/>
        <extend val="false"/>
        <outline val="false"/>
        <shadow val="false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externalLinks/externalLink3.xml" Type="http://schemas.openxmlformats.org/officeDocument/2006/relationships/externalLink" Id="rId18"/><Relationship Target="richData/rdRichValueTypes.xml" Type="http://schemas.microsoft.com/office/2017/06/relationships/rdRichValueTypes" Id="rId26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21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externalLinks/externalLink2.xml" Type="http://schemas.openxmlformats.org/officeDocument/2006/relationships/externalLink" Id="rId17"/><Relationship Target="richData/rdrichvaluestructure.xml" Type="http://schemas.microsoft.com/office/2017/06/relationships/rdRichValueStructure" Id="rId25"/><Relationship Target="worksheets/sheet2.xml" Type="http://schemas.openxmlformats.org/officeDocument/2006/relationships/worksheet" Id="rId2"/><Relationship Target="externalLinks/externalLink1.xml" Type="http://schemas.openxmlformats.org/officeDocument/2006/relationships/externalLink" Id="rId16"/><Relationship Target="styles.xml" Type="http://schemas.openxmlformats.org/officeDocument/2006/relationships/styles" Id="rId20"/><Relationship Target="../customXml/item2.xml" Type="http://schemas.openxmlformats.org/officeDocument/2006/relationships/customXml" Id="rId29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richData/rdrichvalue.xml" Type="http://schemas.microsoft.com/office/2017/06/relationships/rdRichValue" Id="rId24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richData/richValueRel.xml" Type="http://schemas.microsoft.com/office/2022/10/relationships/richValueRel" Id="rId23"/><Relationship Target="../customXml/item1.xml" Type="http://schemas.openxmlformats.org/officeDocument/2006/relationships/customXml" Id="rId28"/><Relationship Target="worksheets/sheet10.xml" Type="http://schemas.openxmlformats.org/officeDocument/2006/relationships/worksheet" Id="rId10"/><Relationship Target="theme/theme1.xml" Type="http://schemas.openxmlformats.org/officeDocument/2006/relationships/theme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metadata.xml" Type="http://schemas.openxmlformats.org/officeDocument/2006/relationships/sheetMetadata" Id="rId22"/><Relationship Target="../customXml/item3.xml" Type="http://schemas.openxmlformats.org/officeDocument/2006/relationships/customXml" Id="rId30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_rels/chart2.xml.rels><?xml version="1.0" encoding="UTF-8"?><Relationships xmlns="http://schemas.openxmlformats.org/package/2006/relationships"><Relationship Target="colors2.xml" Type="http://schemas.microsoft.com/office/2011/relationships/chartColorStyle" Id="rId2"/><Relationship Target="style2.xml" Type="http://schemas.microsoft.com/office/2011/relationships/chartStyle" Id="rId1"/></Relationships>
</file>

<file path=xl/charts/_rels/chart3.xml.rels><?xml version="1.0" encoding="UTF-8"?><Relationships xmlns="http://schemas.openxmlformats.org/package/2006/relationships"><Relationship Target="colors3.xml" Type="http://schemas.microsoft.com/office/2011/relationships/chartColorStyle" Id="rId2"/><Relationship Target="style3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Bolt Weight Equations (doesn't include</a:t>
            </a:r>
            <a:r>
              <a:rPr lang="en-US" baseline="0"/>
              <a:t> </a:t>
            </a:r>
            <a:r>
              <a:rPr lang="en-US"/>
              <a:t>nut)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-4 Hardware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"/>
            <c:backward val="1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Bolts!$AE$5:$AE$7</c:f>
              <c:numCache>
                <c:formatCode>0.00</c:formatCode>
                <c:ptCount val="3"/>
                <c:pt idx="0">
                  <c:v>10</c:v>
                </c:pt>
                <c:pt idx="1">
                  <c:v>12</c:v>
                </c:pt>
                <c:pt idx="2">
                  <c:v>21</c:v>
                </c:pt>
              </c:numCache>
            </c:numRef>
          </c:xVal>
          <c:yVal>
            <c:numRef>
              <c:f>Bolts!$AF$5:$AF$7</c:f>
              <c:numCache>
                <c:formatCode>0.00</c:formatCode>
                <c:ptCount val="3"/>
                <c:pt idx="0">
                  <c:v>8.3333333333333339</c:v>
                </c:pt>
                <c:pt idx="1">
                  <c:v>9.25</c:v>
                </c:pt>
                <c:pt idx="2">
                  <c:v>12.5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7-4471-99EC-492AB1479713}"/>
            </c:ext>
          </c:extLst>
        </c:ser>
        <c:ser>
          <c:idx val="1"/>
          <c:order val="1"/>
          <c:tx>
            <c:v>-3 Hardware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0"/>
            <c:backward val="15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Bolts!$AE$9:$AE$11</c:f>
              <c:numCache>
                <c:formatCode>0.00</c:formatCode>
                <c:ptCount val="3"/>
                <c:pt idx="0">
                  <c:v>16</c:v>
                </c:pt>
                <c:pt idx="1">
                  <c:v>17</c:v>
                </c:pt>
                <c:pt idx="2">
                  <c:v>19</c:v>
                </c:pt>
              </c:numCache>
            </c:numRef>
          </c:xVal>
          <c:yVal>
            <c:numRef>
              <c:f>Bolts!$AF$9:$AF$11</c:f>
              <c:numCache>
                <c:formatCode>0.00</c:formatCode>
                <c:ptCount val="3"/>
                <c:pt idx="0">
                  <c:v>6</c:v>
                </c:pt>
                <c:pt idx="1">
                  <c:v>6.5</c:v>
                </c:pt>
                <c:pt idx="2">
                  <c:v>6.75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57-4471-99EC-492AB147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643663"/>
        <c:axId val="1601646063"/>
      </c:scatterChart>
      <c:valAx>
        <c:axId val="160164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46063"/>
        <c:crosses val="autoZero"/>
        <c:crossBetween val="midCat"/>
      </c:valAx>
      <c:valAx>
        <c:axId val="160164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43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Motion Ratio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'Design Slides Graphs '!$C$5:$C$125</c:f>
              <c:numCache>
                <c:formatCode>General</c:formatCode>
                <c:ptCount val="121"/>
                <c:pt idx="0">
                  <c:v>0</c:v>
                </c:pt>
                <c:pt idx="1">
                  <c:v>-0.49</c:v>
                </c:pt>
                <c:pt idx="2">
                  <c:v>-0.99</c:v>
                </c:pt>
                <c:pt idx="3">
                  <c:v>-1.49</c:v>
                </c:pt>
                <c:pt idx="4">
                  <c:v>-1.99</c:v>
                </c:pt>
                <c:pt idx="5">
                  <c:v>-2.4900000000000002</c:v>
                </c:pt>
                <c:pt idx="6">
                  <c:v>-2.99</c:v>
                </c:pt>
                <c:pt idx="7">
                  <c:v>-3.48</c:v>
                </c:pt>
                <c:pt idx="8">
                  <c:v>-3.98</c:v>
                </c:pt>
                <c:pt idx="9">
                  <c:v>-4.4800000000000004</c:v>
                </c:pt>
                <c:pt idx="10">
                  <c:v>-4.9800000000000004</c:v>
                </c:pt>
                <c:pt idx="11">
                  <c:v>-5.47</c:v>
                </c:pt>
                <c:pt idx="12">
                  <c:v>-5.97</c:v>
                </c:pt>
                <c:pt idx="13">
                  <c:v>-6.47</c:v>
                </c:pt>
                <c:pt idx="14">
                  <c:v>-6.96</c:v>
                </c:pt>
                <c:pt idx="15">
                  <c:v>-7.46</c:v>
                </c:pt>
                <c:pt idx="16">
                  <c:v>-7.96</c:v>
                </c:pt>
                <c:pt idx="17">
                  <c:v>-8.4499999999999993</c:v>
                </c:pt>
                <c:pt idx="18">
                  <c:v>-8.9499999999999993</c:v>
                </c:pt>
                <c:pt idx="19">
                  <c:v>-9.4499999999999993</c:v>
                </c:pt>
                <c:pt idx="20">
                  <c:v>-9.94</c:v>
                </c:pt>
                <c:pt idx="21">
                  <c:v>-10.44</c:v>
                </c:pt>
                <c:pt idx="22">
                  <c:v>-10.93</c:v>
                </c:pt>
                <c:pt idx="23">
                  <c:v>-11.43</c:v>
                </c:pt>
                <c:pt idx="24">
                  <c:v>-11.93</c:v>
                </c:pt>
                <c:pt idx="25">
                  <c:v>-12.42</c:v>
                </c:pt>
                <c:pt idx="26">
                  <c:v>-12.92</c:v>
                </c:pt>
                <c:pt idx="27">
                  <c:v>-13.41</c:v>
                </c:pt>
                <c:pt idx="28">
                  <c:v>-13.91</c:v>
                </c:pt>
                <c:pt idx="29">
                  <c:v>-14.4</c:v>
                </c:pt>
                <c:pt idx="30">
                  <c:v>-14.9</c:v>
                </c:pt>
                <c:pt idx="31">
                  <c:v>-15.4</c:v>
                </c:pt>
                <c:pt idx="32">
                  <c:v>-15.89</c:v>
                </c:pt>
                <c:pt idx="33">
                  <c:v>-16.39</c:v>
                </c:pt>
                <c:pt idx="34">
                  <c:v>-16.88</c:v>
                </c:pt>
                <c:pt idx="35">
                  <c:v>-17.38</c:v>
                </c:pt>
                <c:pt idx="36">
                  <c:v>-17.88</c:v>
                </c:pt>
                <c:pt idx="37">
                  <c:v>-18.37</c:v>
                </c:pt>
                <c:pt idx="38">
                  <c:v>-18.87</c:v>
                </c:pt>
                <c:pt idx="39">
                  <c:v>-19.36</c:v>
                </c:pt>
                <c:pt idx="40">
                  <c:v>-19.86</c:v>
                </c:pt>
                <c:pt idx="41">
                  <c:v>-20.36</c:v>
                </c:pt>
                <c:pt idx="42">
                  <c:v>-20.85</c:v>
                </c:pt>
                <c:pt idx="43">
                  <c:v>-21.35</c:v>
                </c:pt>
                <c:pt idx="44">
                  <c:v>-21.85</c:v>
                </c:pt>
                <c:pt idx="45">
                  <c:v>-22.34</c:v>
                </c:pt>
                <c:pt idx="46">
                  <c:v>-22.84</c:v>
                </c:pt>
                <c:pt idx="47">
                  <c:v>-23.34</c:v>
                </c:pt>
                <c:pt idx="48">
                  <c:v>-23.83</c:v>
                </c:pt>
                <c:pt idx="49">
                  <c:v>-24.33</c:v>
                </c:pt>
                <c:pt idx="50">
                  <c:v>-24.83</c:v>
                </c:pt>
                <c:pt idx="51">
                  <c:v>-25.32</c:v>
                </c:pt>
                <c:pt idx="52">
                  <c:v>-25.82</c:v>
                </c:pt>
                <c:pt idx="53">
                  <c:v>-26.32</c:v>
                </c:pt>
                <c:pt idx="54">
                  <c:v>-26.82</c:v>
                </c:pt>
                <c:pt idx="55">
                  <c:v>-27.31</c:v>
                </c:pt>
                <c:pt idx="56">
                  <c:v>-27.81</c:v>
                </c:pt>
                <c:pt idx="57">
                  <c:v>-28.31</c:v>
                </c:pt>
                <c:pt idx="58">
                  <c:v>-28.81</c:v>
                </c:pt>
                <c:pt idx="59">
                  <c:v>-29.31</c:v>
                </c:pt>
                <c:pt idx="60">
                  <c:v>-29.8</c:v>
                </c:pt>
                <c:pt idx="61">
                  <c:v>-30.3</c:v>
                </c:pt>
                <c:pt idx="62">
                  <c:v>-30.8</c:v>
                </c:pt>
                <c:pt idx="63">
                  <c:v>-31.3</c:v>
                </c:pt>
                <c:pt idx="64">
                  <c:v>-31.8</c:v>
                </c:pt>
                <c:pt idx="65">
                  <c:v>-32.299999999999997</c:v>
                </c:pt>
                <c:pt idx="66">
                  <c:v>-32.799999999999997</c:v>
                </c:pt>
                <c:pt idx="67">
                  <c:v>-33.299999999999997</c:v>
                </c:pt>
                <c:pt idx="68">
                  <c:v>-33.799999999999997</c:v>
                </c:pt>
                <c:pt idx="69">
                  <c:v>-34.29</c:v>
                </c:pt>
                <c:pt idx="70">
                  <c:v>-34.79</c:v>
                </c:pt>
                <c:pt idx="71">
                  <c:v>-35.29</c:v>
                </c:pt>
                <c:pt idx="72">
                  <c:v>-35.79</c:v>
                </c:pt>
                <c:pt idx="73">
                  <c:v>-36.29</c:v>
                </c:pt>
                <c:pt idx="74">
                  <c:v>-36.79</c:v>
                </c:pt>
                <c:pt idx="75">
                  <c:v>-37.29</c:v>
                </c:pt>
                <c:pt idx="76">
                  <c:v>-37.79</c:v>
                </c:pt>
                <c:pt idx="77">
                  <c:v>-38.29</c:v>
                </c:pt>
                <c:pt idx="78">
                  <c:v>-38.79</c:v>
                </c:pt>
                <c:pt idx="79">
                  <c:v>-39.299999999999997</c:v>
                </c:pt>
                <c:pt idx="80">
                  <c:v>-39.799999999999997</c:v>
                </c:pt>
                <c:pt idx="81">
                  <c:v>-40.299999999999997</c:v>
                </c:pt>
                <c:pt idx="82">
                  <c:v>-40.799999999999997</c:v>
                </c:pt>
                <c:pt idx="83">
                  <c:v>-41.3</c:v>
                </c:pt>
                <c:pt idx="84">
                  <c:v>-41.8</c:v>
                </c:pt>
                <c:pt idx="85">
                  <c:v>-42.3</c:v>
                </c:pt>
                <c:pt idx="86">
                  <c:v>-42.8</c:v>
                </c:pt>
                <c:pt idx="87">
                  <c:v>-43.3</c:v>
                </c:pt>
                <c:pt idx="88">
                  <c:v>-43.8</c:v>
                </c:pt>
                <c:pt idx="89">
                  <c:v>-44.3</c:v>
                </c:pt>
                <c:pt idx="90">
                  <c:v>-44.8</c:v>
                </c:pt>
                <c:pt idx="91">
                  <c:v>-45.3</c:v>
                </c:pt>
                <c:pt idx="92">
                  <c:v>-45.81</c:v>
                </c:pt>
                <c:pt idx="93">
                  <c:v>-46.31</c:v>
                </c:pt>
                <c:pt idx="94">
                  <c:v>-46.81</c:v>
                </c:pt>
                <c:pt idx="95">
                  <c:v>-47.31</c:v>
                </c:pt>
                <c:pt idx="96">
                  <c:v>-47.81</c:v>
                </c:pt>
                <c:pt idx="97">
                  <c:v>-48.31</c:v>
                </c:pt>
                <c:pt idx="98">
                  <c:v>-48.81</c:v>
                </c:pt>
                <c:pt idx="99">
                  <c:v>-49.31</c:v>
                </c:pt>
                <c:pt idx="100">
                  <c:v>-49.81</c:v>
                </c:pt>
                <c:pt idx="101">
                  <c:v>-50.31</c:v>
                </c:pt>
                <c:pt idx="102">
                  <c:v>-50.81</c:v>
                </c:pt>
                <c:pt idx="103">
                  <c:v>-51.31</c:v>
                </c:pt>
                <c:pt idx="104">
                  <c:v>-51.81</c:v>
                </c:pt>
                <c:pt idx="105">
                  <c:v>-52.31</c:v>
                </c:pt>
                <c:pt idx="106">
                  <c:v>-52.8</c:v>
                </c:pt>
                <c:pt idx="107">
                  <c:v>-53.3</c:v>
                </c:pt>
                <c:pt idx="108">
                  <c:v>-53.8</c:v>
                </c:pt>
                <c:pt idx="109">
                  <c:v>-54.3</c:v>
                </c:pt>
                <c:pt idx="110">
                  <c:v>-54.8</c:v>
                </c:pt>
                <c:pt idx="111">
                  <c:v>-55.29</c:v>
                </c:pt>
                <c:pt idx="112">
                  <c:v>-55.79</c:v>
                </c:pt>
                <c:pt idx="113">
                  <c:v>-56.28</c:v>
                </c:pt>
                <c:pt idx="114">
                  <c:v>-56.78</c:v>
                </c:pt>
                <c:pt idx="115">
                  <c:v>-57.27</c:v>
                </c:pt>
                <c:pt idx="116">
                  <c:v>-57.77</c:v>
                </c:pt>
                <c:pt idx="117">
                  <c:v>-58.26</c:v>
                </c:pt>
                <c:pt idx="118">
                  <c:v>-58.75</c:v>
                </c:pt>
                <c:pt idx="119">
                  <c:v>-59.25</c:v>
                </c:pt>
                <c:pt idx="120">
                  <c:v>-59.74</c:v>
                </c:pt>
              </c:numCache>
            </c:numRef>
          </c:xVal>
          <c:yVal>
            <c:numRef>
              <c:f>'Design Slides Graphs '!$B$5:$B$125</c:f>
              <c:numCache>
                <c:formatCode>General</c:formatCode>
                <c:ptCount val="121"/>
                <c:pt idx="0">
                  <c:v>0.996</c:v>
                </c:pt>
                <c:pt idx="1">
                  <c:v>0.997</c:v>
                </c:pt>
                <c:pt idx="2">
                  <c:v>0.999</c:v>
                </c:pt>
                <c:pt idx="3">
                  <c:v>1</c:v>
                </c:pt>
                <c:pt idx="4">
                  <c:v>1.002</c:v>
                </c:pt>
                <c:pt idx="5">
                  <c:v>1.0029999999999999</c:v>
                </c:pt>
                <c:pt idx="6">
                  <c:v>1.0049999999999999</c:v>
                </c:pt>
                <c:pt idx="7">
                  <c:v>1.006</c:v>
                </c:pt>
                <c:pt idx="8">
                  <c:v>1.0069999999999999</c:v>
                </c:pt>
                <c:pt idx="9">
                  <c:v>1.008</c:v>
                </c:pt>
                <c:pt idx="10">
                  <c:v>1.01</c:v>
                </c:pt>
                <c:pt idx="11">
                  <c:v>1.0109999999999999</c:v>
                </c:pt>
                <c:pt idx="12">
                  <c:v>1.012</c:v>
                </c:pt>
                <c:pt idx="13">
                  <c:v>1.0129999999999999</c:v>
                </c:pt>
                <c:pt idx="14">
                  <c:v>1.014</c:v>
                </c:pt>
                <c:pt idx="15">
                  <c:v>1.014</c:v>
                </c:pt>
                <c:pt idx="16">
                  <c:v>1.0149999999999999</c:v>
                </c:pt>
                <c:pt idx="17">
                  <c:v>1.016</c:v>
                </c:pt>
                <c:pt idx="18">
                  <c:v>1.0169999999999999</c:v>
                </c:pt>
                <c:pt idx="19">
                  <c:v>1.018</c:v>
                </c:pt>
                <c:pt idx="20">
                  <c:v>1.018</c:v>
                </c:pt>
                <c:pt idx="21">
                  <c:v>1.0189999999999999</c:v>
                </c:pt>
                <c:pt idx="22">
                  <c:v>1.02</c:v>
                </c:pt>
                <c:pt idx="23">
                  <c:v>1.02</c:v>
                </c:pt>
                <c:pt idx="24">
                  <c:v>1.0209999999999999</c:v>
                </c:pt>
                <c:pt idx="25">
                  <c:v>1.0209999999999999</c:v>
                </c:pt>
                <c:pt idx="26">
                  <c:v>1.022</c:v>
                </c:pt>
                <c:pt idx="27">
                  <c:v>1.022</c:v>
                </c:pt>
                <c:pt idx="28">
                  <c:v>1.022</c:v>
                </c:pt>
                <c:pt idx="29">
                  <c:v>1.0229999999999999</c:v>
                </c:pt>
                <c:pt idx="30">
                  <c:v>1.0229999999999999</c:v>
                </c:pt>
                <c:pt idx="31">
                  <c:v>1.0229999999999999</c:v>
                </c:pt>
                <c:pt idx="32">
                  <c:v>1.024</c:v>
                </c:pt>
                <c:pt idx="33">
                  <c:v>1.024</c:v>
                </c:pt>
                <c:pt idx="34">
                  <c:v>1.024</c:v>
                </c:pt>
                <c:pt idx="35">
                  <c:v>1.024</c:v>
                </c:pt>
                <c:pt idx="36">
                  <c:v>1.024</c:v>
                </c:pt>
                <c:pt idx="37">
                  <c:v>1.024</c:v>
                </c:pt>
                <c:pt idx="38">
                  <c:v>1.024</c:v>
                </c:pt>
                <c:pt idx="39">
                  <c:v>1.024</c:v>
                </c:pt>
                <c:pt idx="40">
                  <c:v>1.0249999999999999</c:v>
                </c:pt>
                <c:pt idx="41">
                  <c:v>1.0249999999999999</c:v>
                </c:pt>
                <c:pt idx="42">
                  <c:v>1.024</c:v>
                </c:pt>
                <c:pt idx="43">
                  <c:v>1.024</c:v>
                </c:pt>
                <c:pt idx="44">
                  <c:v>1.024</c:v>
                </c:pt>
                <c:pt idx="45">
                  <c:v>1.024</c:v>
                </c:pt>
                <c:pt idx="46">
                  <c:v>1.024</c:v>
                </c:pt>
                <c:pt idx="47">
                  <c:v>1.024</c:v>
                </c:pt>
                <c:pt idx="48">
                  <c:v>1.024</c:v>
                </c:pt>
                <c:pt idx="49">
                  <c:v>1.024</c:v>
                </c:pt>
                <c:pt idx="50">
                  <c:v>1.0229999999999999</c:v>
                </c:pt>
                <c:pt idx="51">
                  <c:v>1.0229999999999999</c:v>
                </c:pt>
                <c:pt idx="52">
                  <c:v>1.0229999999999999</c:v>
                </c:pt>
                <c:pt idx="53">
                  <c:v>1.0229999999999999</c:v>
                </c:pt>
                <c:pt idx="54">
                  <c:v>1.022</c:v>
                </c:pt>
                <c:pt idx="55">
                  <c:v>1.022</c:v>
                </c:pt>
                <c:pt idx="56">
                  <c:v>1.022</c:v>
                </c:pt>
                <c:pt idx="57">
                  <c:v>1.022</c:v>
                </c:pt>
                <c:pt idx="58">
                  <c:v>1.0209999999999999</c:v>
                </c:pt>
                <c:pt idx="59">
                  <c:v>1.0209999999999999</c:v>
                </c:pt>
                <c:pt idx="60">
                  <c:v>1.02</c:v>
                </c:pt>
                <c:pt idx="61">
                  <c:v>1.02</c:v>
                </c:pt>
                <c:pt idx="62">
                  <c:v>1.02</c:v>
                </c:pt>
                <c:pt idx="63">
                  <c:v>1.0189999999999999</c:v>
                </c:pt>
                <c:pt idx="64">
                  <c:v>1.0189999999999999</c:v>
                </c:pt>
                <c:pt idx="65">
                  <c:v>1.018</c:v>
                </c:pt>
                <c:pt idx="66">
                  <c:v>1.018</c:v>
                </c:pt>
                <c:pt idx="67">
                  <c:v>1.0169999999999999</c:v>
                </c:pt>
                <c:pt idx="68">
                  <c:v>1.0169999999999999</c:v>
                </c:pt>
                <c:pt idx="69">
                  <c:v>1.0169999999999999</c:v>
                </c:pt>
                <c:pt idx="70">
                  <c:v>1.016</c:v>
                </c:pt>
                <c:pt idx="71">
                  <c:v>1.016</c:v>
                </c:pt>
                <c:pt idx="72">
                  <c:v>1.0149999999999999</c:v>
                </c:pt>
                <c:pt idx="73">
                  <c:v>1.0149999999999999</c:v>
                </c:pt>
                <c:pt idx="74">
                  <c:v>1.014</c:v>
                </c:pt>
                <c:pt idx="75">
                  <c:v>1.0129999999999999</c:v>
                </c:pt>
                <c:pt idx="76">
                  <c:v>1.0129999999999999</c:v>
                </c:pt>
                <c:pt idx="77">
                  <c:v>1.012</c:v>
                </c:pt>
                <c:pt idx="78">
                  <c:v>1.012</c:v>
                </c:pt>
                <c:pt idx="79">
                  <c:v>1.0109999999999999</c:v>
                </c:pt>
                <c:pt idx="80">
                  <c:v>1.0109999999999999</c:v>
                </c:pt>
                <c:pt idx="81">
                  <c:v>1.01</c:v>
                </c:pt>
                <c:pt idx="82">
                  <c:v>1.01</c:v>
                </c:pt>
                <c:pt idx="83">
                  <c:v>1.0089999999999999</c:v>
                </c:pt>
                <c:pt idx="84">
                  <c:v>1.008</c:v>
                </c:pt>
                <c:pt idx="85">
                  <c:v>1.008</c:v>
                </c:pt>
                <c:pt idx="86">
                  <c:v>1.0069999999999999</c:v>
                </c:pt>
                <c:pt idx="87">
                  <c:v>1.0069999999999999</c:v>
                </c:pt>
                <c:pt idx="88">
                  <c:v>1.006</c:v>
                </c:pt>
                <c:pt idx="89">
                  <c:v>1.006</c:v>
                </c:pt>
                <c:pt idx="90">
                  <c:v>1.0049999999999999</c:v>
                </c:pt>
                <c:pt idx="91">
                  <c:v>1.0049999999999999</c:v>
                </c:pt>
                <c:pt idx="92">
                  <c:v>1.004</c:v>
                </c:pt>
                <c:pt idx="93">
                  <c:v>1.004</c:v>
                </c:pt>
                <c:pt idx="94">
                  <c:v>1.0029999999999999</c:v>
                </c:pt>
                <c:pt idx="95">
                  <c:v>1.002</c:v>
                </c:pt>
                <c:pt idx="96">
                  <c:v>1.002</c:v>
                </c:pt>
                <c:pt idx="97">
                  <c:v>1.0009999999999999</c:v>
                </c:pt>
                <c:pt idx="98">
                  <c:v>1.0009999999999999</c:v>
                </c:pt>
                <c:pt idx="99">
                  <c:v>1.0009999999999999</c:v>
                </c:pt>
                <c:pt idx="100">
                  <c:v>1</c:v>
                </c:pt>
                <c:pt idx="101">
                  <c:v>1</c:v>
                </c:pt>
                <c:pt idx="102">
                  <c:v>0.999</c:v>
                </c:pt>
                <c:pt idx="103">
                  <c:v>0.999</c:v>
                </c:pt>
                <c:pt idx="104">
                  <c:v>0.998</c:v>
                </c:pt>
                <c:pt idx="105">
                  <c:v>0.998</c:v>
                </c:pt>
                <c:pt idx="106">
                  <c:v>0.998</c:v>
                </c:pt>
                <c:pt idx="107">
                  <c:v>0.997</c:v>
                </c:pt>
                <c:pt idx="108">
                  <c:v>0.997</c:v>
                </c:pt>
                <c:pt idx="109">
                  <c:v>0.997</c:v>
                </c:pt>
                <c:pt idx="110">
                  <c:v>0.996</c:v>
                </c:pt>
                <c:pt idx="111">
                  <c:v>0.996</c:v>
                </c:pt>
                <c:pt idx="112">
                  <c:v>0.996</c:v>
                </c:pt>
                <c:pt idx="113">
                  <c:v>0.996</c:v>
                </c:pt>
                <c:pt idx="114">
                  <c:v>0.996</c:v>
                </c:pt>
                <c:pt idx="115">
                  <c:v>0.995</c:v>
                </c:pt>
                <c:pt idx="116">
                  <c:v>0.995</c:v>
                </c:pt>
                <c:pt idx="117">
                  <c:v>0.995</c:v>
                </c:pt>
                <c:pt idx="118">
                  <c:v>0.995</c:v>
                </c:pt>
                <c:pt idx="119">
                  <c:v>0.995</c:v>
                </c:pt>
                <c:pt idx="120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D-4D0D-9273-9B2A2169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2279104"/>
        <c:axId val="2032277184"/>
      </c:scatterChart>
      <c:valAx>
        <c:axId val="203227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77184"/>
        <c:crosses val="autoZero"/>
        <c:crossBetween val="midCat"/>
      </c:valAx>
      <c:valAx>
        <c:axId val="20322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7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381889763779536E-2"/>
          <c:y val="0.13467592592592595"/>
          <c:w val="0.9160625546806648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v>Camber Gain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'Design Slides Graphs '!$N$4:$N$124</c:f>
              <c:numCache>
                <c:formatCode>General</c:formatCode>
                <c:ptCount val="121"/>
                <c:pt idx="0">
                  <c:v>0</c:v>
                </c:pt>
                <c:pt idx="1">
                  <c:v>-0.498</c:v>
                </c:pt>
                <c:pt idx="2">
                  <c:v>-0.997</c:v>
                </c:pt>
                <c:pt idx="3">
                  <c:v>-1.496</c:v>
                </c:pt>
                <c:pt idx="4">
                  <c:v>-1.994</c:v>
                </c:pt>
                <c:pt idx="5">
                  <c:v>-2.4929999999999999</c:v>
                </c:pt>
                <c:pt idx="6">
                  <c:v>-2.9910000000000001</c:v>
                </c:pt>
                <c:pt idx="7">
                  <c:v>-3.4889999999999999</c:v>
                </c:pt>
                <c:pt idx="8">
                  <c:v>-3.9860000000000002</c:v>
                </c:pt>
                <c:pt idx="9">
                  <c:v>-4.484</c:v>
                </c:pt>
                <c:pt idx="10">
                  <c:v>-4.9809999999999999</c:v>
                </c:pt>
                <c:pt idx="11">
                  <c:v>-5.4779999999999998</c:v>
                </c:pt>
                <c:pt idx="12">
                  <c:v>-5.9749999999999996</c:v>
                </c:pt>
                <c:pt idx="13">
                  <c:v>-6.4720000000000004</c:v>
                </c:pt>
                <c:pt idx="14">
                  <c:v>-6.9690000000000003</c:v>
                </c:pt>
                <c:pt idx="15">
                  <c:v>-7.4649999999999999</c:v>
                </c:pt>
                <c:pt idx="16">
                  <c:v>-7.9619999999999997</c:v>
                </c:pt>
                <c:pt idx="17">
                  <c:v>-8.4580000000000002</c:v>
                </c:pt>
                <c:pt idx="18">
                  <c:v>-8.9550000000000001</c:v>
                </c:pt>
                <c:pt idx="19">
                  <c:v>-9.4510000000000005</c:v>
                </c:pt>
                <c:pt idx="20">
                  <c:v>-9.9469999999999992</c:v>
                </c:pt>
                <c:pt idx="21">
                  <c:v>-10.443</c:v>
                </c:pt>
                <c:pt idx="22">
                  <c:v>-10.939</c:v>
                </c:pt>
                <c:pt idx="23">
                  <c:v>-11.435</c:v>
                </c:pt>
                <c:pt idx="24">
                  <c:v>-11.930999999999999</c:v>
                </c:pt>
                <c:pt idx="25">
                  <c:v>-12.426</c:v>
                </c:pt>
                <c:pt idx="26">
                  <c:v>-12.922000000000001</c:v>
                </c:pt>
                <c:pt idx="27">
                  <c:v>-13.417999999999999</c:v>
                </c:pt>
                <c:pt idx="28">
                  <c:v>-13.914</c:v>
                </c:pt>
                <c:pt idx="29">
                  <c:v>-14.409000000000001</c:v>
                </c:pt>
                <c:pt idx="30">
                  <c:v>-14.904999999999999</c:v>
                </c:pt>
                <c:pt idx="31">
                  <c:v>-15.401</c:v>
                </c:pt>
                <c:pt idx="32">
                  <c:v>-15.897</c:v>
                </c:pt>
                <c:pt idx="33">
                  <c:v>-16.393000000000001</c:v>
                </c:pt>
                <c:pt idx="34">
                  <c:v>-16.888000000000002</c:v>
                </c:pt>
                <c:pt idx="35">
                  <c:v>-17.384</c:v>
                </c:pt>
                <c:pt idx="36">
                  <c:v>-17.88</c:v>
                </c:pt>
                <c:pt idx="37">
                  <c:v>-18.376000000000001</c:v>
                </c:pt>
                <c:pt idx="38">
                  <c:v>-18.872</c:v>
                </c:pt>
                <c:pt idx="39">
                  <c:v>-19.367999999999999</c:v>
                </c:pt>
                <c:pt idx="40">
                  <c:v>-19.864999999999998</c:v>
                </c:pt>
                <c:pt idx="41">
                  <c:v>-20.361000000000001</c:v>
                </c:pt>
                <c:pt idx="42">
                  <c:v>-20.856999999999999</c:v>
                </c:pt>
                <c:pt idx="43">
                  <c:v>-21.353999999999999</c:v>
                </c:pt>
                <c:pt idx="44">
                  <c:v>-21.85</c:v>
                </c:pt>
                <c:pt idx="45">
                  <c:v>-22.347000000000001</c:v>
                </c:pt>
                <c:pt idx="46">
                  <c:v>-22.843</c:v>
                </c:pt>
                <c:pt idx="47">
                  <c:v>-23.34</c:v>
                </c:pt>
                <c:pt idx="48">
                  <c:v>-23.837</c:v>
                </c:pt>
                <c:pt idx="49">
                  <c:v>-24.334</c:v>
                </c:pt>
                <c:pt idx="50">
                  <c:v>-24.831</c:v>
                </c:pt>
                <c:pt idx="51">
                  <c:v>-25.327999999999999</c:v>
                </c:pt>
                <c:pt idx="52">
                  <c:v>-25.826000000000001</c:v>
                </c:pt>
                <c:pt idx="53">
                  <c:v>-26.323</c:v>
                </c:pt>
                <c:pt idx="54">
                  <c:v>-26.821000000000002</c:v>
                </c:pt>
                <c:pt idx="55">
                  <c:v>-27.318000000000001</c:v>
                </c:pt>
                <c:pt idx="56">
                  <c:v>-27.815999999999999</c:v>
                </c:pt>
                <c:pt idx="57">
                  <c:v>-28.314</c:v>
                </c:pt>
                <c:pt idx="58">
                  <c:v>-28.812000000000001</c:v>
                </c:pt>
                <c:pt idx="59">
                  <c:v>-29.31</c:v>
                </c:pt>
                <c:pt idx="60">
                  <c:v>-29.809000000000001</c:v>
                </c:pt>
                <c:pt idx="61">
                  <c:v>-30.306999999999999</c:v>
                </c:pt>
                <c:pt idx="62">
                  <c:v>-30.806000000000001</c:v>
                </c:pt>
                <c:pt idx="63">
                  <c:v>-31.303999999999998</c:v>
                </c:pt>
                <c:pt idx="64">
                  <c:v>-31.803000000000001</c:v>
                </c:pt>
                <c:pt idx="65">
                  <c:v>-32.302</c:v>
                </c:pt>
                <c:pt idx="66">
                  <c:v>-32.801000000000002</c:v>
                </c:pt>
                <c:pt idx="67">
                  <c:v>-33.299999999999997</c:v>
                </c:pt>
                <c:pt idx="68">
                  <c:v>-33.799999999999997</c:v>
                </c:pt>
                <c:pt idx="69">
                  <c:v>-34.298999999999999</c:v>
                </c:pt>
                <c:pt idx="70">
                  <c:v>-34.798999999999999</c:v>
                </c:pt>
                <c:pt idx="71">
                  <c:v>-35.298999999999999</c:v>
                </c:pt>
                <c:pt idx="72">
                  <c:v>-35.798000000000002</c:v>
                </c:pt>
                <c:pt idx="73">
                  <c:v>-36.298000000000002</c:v>
                </c:pt>
                <c:pt idx="74">
                  <c:v>-36.798000000000002</c:v>
                </c:pt>
                <c:pt idx="75">
                  <c:v>-37.298000000000002</c:v>
                </c:pt>
                <c:pt idx="76">
                  <c:v>-37.798999999999999</c:v>
                </c:pt>
                <c:pt idx="77">
                  <c:v>-38.298999999999999</c:v>
                </c:pt>
                <c:pt idx="78">
                  <c:v>-38.798999999999999</c:v>
                </c:pt>
                <c:pt idx="79">
                  <c:v>-39.299999999999997</c:v>
                </c:pt>
                <c:pt idx="80">
                  <c:v>-39.799999999999997</c:v>
                </c:pt>
                <c:pt idx="81">
                  <c:v>-40.301000000000002</c:v>
                </c:pt>
                <c:pt idx="82">
                  <c:v>-40.802</c:v>
                </c:pt>
                <c:pt idx="83">
                  <c:v>-41.302999999999997</c:v>
                </c:pt>
                <c:pt idx="84">
                  <c:v>-41.802999999999997</c:v>
                </c:pt>
                <c:pt idx="85">
                  <c:v>-42.304000000000002</c:v>
                </c:pt>
                <c:pt idx="86">
                  <c:v>-42.805</c:v>
                </c:pt>
                <c:pt idx="87">
                  <c:v>-43.305999999999997</c:v>
                </c:pt>
                <c:pt idx="88">
                  <c:v>-43.807000000000002</c:v>
                </c:pt>
                <c:pt idx="89">
                  <c:v>-44.308</c:v>
                </c:pt>
                <c:pt idx="90">
                  <c:v>-44.808999999999997</c:v>
                </c:pt>
                <c:pt idx="91">
                  <c:v>-45.308999999999997</c:v>
                </c:pt>
                <c:pt idx="92">
                  <c:v>-45.81</c:v>
                </c:pt>
                <c:pt idx="93">
                  <c:v>-46.311</c:v>
                </c:pt>
                <c:pt idx="94">
                  <c:v>-46.811999999999998</c:v>
                </c:pt>
                <c:pt idx="95">
                  <c:v>-47.311999999999998</c:v>
                </c:pt>
                <c:pt idx="96">
                  <c:v>-47.813000000000002</c:v>
                </c:pt>
                <c:pt idx="97">
                  <c:v>-48.313000000000002</c:v>
                </c:pt>
                <c:pt idx="98">
                  <c:v>-48.814</c:v>
                </c:pt>
                <c:pt idx="99">
                  <c:v>-49.314</c:v>
                </c:pt>
                <c:pt idx="100">
                  <c:v>-49.814</c:v>
                </c:pt>
                <c:pt idx="101">
                  <c:v>-50.313000000000002</c:v>
                </c:pt>
                <c:pt idx="102">
                  <c:v>-50.813000000000002</c:v>
                </c:pt>
                <c:pt idx="103">
                  <c:v>-51.311999999999998</c:v>
                </c:pt>
                <c:pt idx="104">
                  <c:v>-51.811999999999998</c:v>
                </c:pt>
                <c:pt idx="105">
                  <c:v>-52.31</c:v>
                </c:pt>
                <c:pt idx="106">
                  <c:v>-52.808999999999997</c:v>
                </c:pt>
                <c:pt idx="107">
                  <c:v>-53.307000000000002</c:v>
                </c:pt>
                <c:pt idx="108">
                  <c:v>-53.805</c:v>
                </c:pt>
                <c:pt idx="109">
                  <c:v>-54.302999999999997</c:v>
                </c:pt>
                <c:pt idx="110">
                  <c:v>-54.8</c:v>
                </c:pt>
                <c:pt idx="111">
                  <c:v>-55.296999999999997</c:v>
                </c:pt>
                <c:pt idx="112">
                  <c:v>-55.792999999999999</c:v>
                </c:pt>
                <c:pt idx="113">
                  <c:v>-56.289000000000001</c:v>
                </c:pt>
                <c:pt idx="114">
                  <c:v>-56.783999999999999</c:v>
                </c:pt>
                <c:pt idx="115">
                  <c:v>-57.279000000000003</c:v>
                </c:pt>
                <c:pt idx="116">
                  <c:v>-57.773000000000003</c:v>
                </c:pt>
                <c:pt idx="117">
                  <c:v>-58.265999999999998</c:v>
                </c:pt>
                <c:pt idx="118">
                  <c:v>-58.759</c:v>
                </c:pt>
                <c:pt idx="119">
                  <c:v>-59.250999999999998</c:v>
                </c:pt>
                <c:pt idx="120">
                  <c:v>-59.743000000000002</c:v>
                </c:pt>
              </c:numCache>
            </c:numRef>
          </c:xVal>
          <c:yVal>
            <c:numRef>
              <c:f>'Design Slides Graphs '!$O$4:$O$124</c:f>
              <c:numCache>
                <c:formatCode>General</c:formatCode>
                <c:ptCount val="121"/>
                <c:pt idx="0">
                  <c:v>0.70499999999999996</c:v>
                </c:pt>
                <c:pt idx="1">
                  <c:v>0.68</c:v>
                </c:pt>
                <c:pt idx="2">
                  <c:v>0.66</c:v>
                </c:pt>
                <c:pt idx="3">
                  <c:v>0.63</c:v>
                </c:pt>
                <c:pt idx="4">
                  <c:v>0.61</c:v>
                </c:pt>
                <c:pt idx="5">
                  <c:v>0.59</c:v>
                </c:pt>
                <c:pt idx="6">
                  <c:v>0.56000000000000005</c:v>
                </c:pt>
                <c:pt idx="7">
                  <c:v>0.54</c:v>
                </c:pt>
                <c:pt idx="8">
                  <c:v>0.52</c:v>
                </c:pt>
                <c:pt idx="9">
                  <c:v>0.49</c:v>
                </c:pt>
                <c:pt idx="10">
                  <c:v>0.47</c:v>
                </c:pt>
                <c:pt idx="11">
                  <c:v>0.45</c:v>
                </c:pt>
                <c:pt idx="12">
                  <c:v>0.43</c:v>
                </c:pt>
                <c:pt idx="13">
                  <c:v>0.4</c:v>
                </c:pt>
                <c:pt idx="14">
                  <c:v>0.38</c:v>
                </c:pt>
                <c:pt idx="15">
                  <c:v>0.35</c:v>
                </c:pt>
                <c:pt idx="16">
                  <c:v>0.33</c:v>
                </c:pt>
                <c:pt idx="17">
                  <c:v>0.31</c:v>
                </c:pt>
                <c:pt idx="18">
                  <c:v>0.28000000000000003</c:v>
                </c:pt>
                <c:pt idx="19">
                  <c:v>0.26</c:v>
                </c:pt>
                <c:pt idx="20">
                  <c:v>0.24</c:v>
                </c:pt>
                <c:pt idx="21">
                  <c:v>0.21</c:v>
                </c:pt>
                <c:pt idx="22">
                  <c:v>0.19</c:v>
                </c:pt>
                <c:pt idx="23">
                  <c:v>0.17</c:v>
                </c:pt>
                <c:pt idx="24">
                  <c:v>0.14000000000000001</c:v>
                </c:pt>
                <c:pt idx="25">
                  <c:v>0.12</c:v>
                </c:pt>
                <c:pt idx="26">
                  <c:v>0.09</c:v>
                </c:pt>
                <c:pt idx="27">
                  <c:v>7.0000000000000007E-2</c:v>
                </c:pt>
                <c:pt idx="28">
                  <c:v>0.04</c:v>
                </c:pt>
                <c:pt idx="29">
                  <c:v>0.02</c:v>
                </c:pt>
                <c:pt idx="30">
                  <c:v>0</c:v>
                </c:pt>
                <c:pt idx="31">
                  <c:v>-0.02</c:v>
                </c:pt>
                <c:pt idx="32">
                  <c:v>-0.04</c:v>
                </c:pt>
                <c:pt idx="33">
                  <c:v>-7.0000000000000007E-2</c:v>
                </c:pt>
                <c:pt idx="34">
                  <c:v>-0.09</c:v>
                </c:pt>
                <c:pt idx="35">
                  <c:v>-0.12</c:v>
                </c:pt>
                <c:pt idx="36">
                  <c:v>-0.14000000000000001</c:v>
                </c:pt>
                <c:pt idx="37">
                  <c:v>-0.17</c:v>
                </c:pt>
                <c:pt idx="38">
                  <c:v>-0.19</c:v>
                </c:pt>
                <c:pt idx="39">
                  <c:v>-0.22</c:v>
                </c:pt>
                <c:pt idx="40">
                  <c:v>-0.24</c:v>
                </c:pt>
                <c:pt idx="41">
                  <c:v>-0.27</c:v>
                </c:pt>
                <c:pt idx="42">
                  <c:v>-0.28999999999999998</c:v>
                </c:pt>
                <c:pt idx="43">
                  <c:v>-0.32</c:v>
                </c:pt>
                <c:pt idx="44">
                  <c:v>-0.34</c:v>
                </c:pt>
                <c:pt idx="45">
                  <c:v>-0.37</c:v>
                </c:pt>
                <c:pt idx="46">
                  <c:v>-0.39</c:v>
                </c:pt>
                <c:pt idx="47">
                  <c:v>-0.42</c:v>
                </c:pt>
                <c:pt idx="48">
                  <c:v>-0.45</c:v>
                </c:pt>
                <c:pt idx="49">
                  <c:v>-0.47</c:v>
                </c:pt>
                <c:pt idx="50">
                  <c:v>-0.5</c:v>
                </c:pt>
                <c:pt idx="51">
                  <c:v>-0.52</c:v>
                </c:pt>
                <c:pt idx="52">
                  <c:v>-0.55000000000000004</c:v>
                </c:pt>
                <c:pt idx="53">
                  <c:v>-0.56999999999999995</c:v>
                </c:pt>
                <c:pt idx="54">
                  <c:v>-0.6</c:v>
                </c:pt>
                <c:pt idx="55">
                  <c:v>-0.63</c:v>
                </c:pt>
                <c:pt idx="56">
                  <c:v>-0.65</c:v>
                </c:pt>
                <c:pt idx="57">
                  <c:v>-0.68</c:v>
                </c:pt>
                <c:pt idx="58">
                  <c:v>-0.71</c:v>
                </c:pt>
                <c:pt idx="59">
                  <c:v>-0.73</c:v>
                </c:pt>
                <c:pt idx="60">
                  <c:v>-0.76</c:v>
                </c:pt>
                <c:pt idx="61">
                  <c:v>-0.78</c:v>
                </c:pt>
                <c:pt idx="62">
                  <c:v>-0.81</c:v>
                </c:pt>
                <c:pt idx="63">
                  <c:v>-0.84</c:v>
                </c:pt>
                <c:pt idx="64">
                  <c:v>-0.86</c:v>
                </c:pt>
                <c:pt idx="65">
                  <c:v>-0.89</c:v>
                </c:pt>
                <c:pt idx="66">
                  <c:v>-0.92</c:v>
                </c:pt>
                <c:pt idx="67">
                  <c:v>-0.94</c:v>
                </c:pt>
                <c:pt idx="68">
                  <c:v>-0.97</c:v>
                </c:pt>
                <c:pt idx="69">
                  <c:v>-1</c:v>
                </c:pt>
                <c:pt idx="70">
                  <c:v>-1.02</c:v>
                </c:pt>
                <c:pt idx="71">
                  <c:v>-1.05</c:v>
                </c:pt>
                <c:pt idx="72">
                  <c:v>-1.08</c:v>
                </c:pt>
                <c:pt idx="73">
                  <c:v>-1.1100000000000001</c:v>
                </c:pt>
                <c:pt idx="74">
                  <c:v>-1.1299999999999999</c:v>
                </c:pt>
                <c:pt idx="75">
                  <c:v>-1.1599999999999999</c:v>
                </c:pt>
                <c:pt idx="76">
                  <c:v>-1.19</c:v>
                </c:pt>
                <c:pt idx="77">
                  <c:v>-1.22</c:v>
                </c:pt>
                <c:pt idx="78">
                  <c:v>-1.24</c:v>
                </c:pt>
                <c:pt idx="79">
                  <c:v>-1.27</c:v>
                </c:pt>
                <c:pt idx="80">
                  <c:v>-1.3</c:v>
                </c:pt>
                <c:pt idx="81">
                  <c:v>-1.33</c:v>
                </c:pt>
                <c:pt idx="82">
                  <c:v>-1.35</c:v>
                </c:pt>
                <c:pt idx="83">
                  <c:v>-1.38</c:v>
                </c:pt>
                <c:pt idx="84">
                  <c:v>-1.41</c:v>
                </c:pt>
                <c:pt idx="85">
                  <c:v>-1.44</c:v>
                </c:pt>
                <c:pt idx="86">
                  <c:v>-1.47</c:v>
                </c:pt>
                <c:pt idx="87">
                  <c:v>-1.49</c:v>
                </c:pt>
                <c:pt idx="88">
                  <c:v>-1.52</c:v>
                </c:pt>
                <c:pt idx="89">
                  <c:v>-1.55</c:v>
                </c:pt>
                <c:pt idx="90">
                  <c:v>-1.58</c:v>
                </c:pt>
                <c:pt idx="91">
                  <c:v>-1.61</c:v>
                </c:pt>
                <c:pt idx="92">
                  <c:v>-1.64</c:v>
                </c:pt>
                <c:pt idx="93">
                  <c:v>-1.67</c:v>
                </c:pt>
                <c:pt idx="94">
                  <c:v>-1.69</c:v>
                </c:pt>
                <c:pt idx="95">
                  <c:v>-1.72</c:v>
                </c:pt>
                <c:pt idx="96">
                  <c:v>-1.75</c:v>
                </c:pt>
                <c:pt idx="97">
                  <c:v>-1.78</c:v>
                </c:pt>
                <c:pt idx="98">
                  <c:v>-1.81</c:v>
                </c:pt>
                <c:pt idx="99">
                  <c:v>-1.84</c:v>
                </c:pt>
                <c:pt idx="100">
                  <c:v>-1.87</c:v>
                </c:pt>
                <c:pt idx="101">
                  <c:v>-1.9</c:v>
                </c:pt>
                <c:pt idx="102">
                  <c:v>-1.93</c:v>
                </c:pt>
                <c:pt idx="103">
                  <c:v>-1.95</c:v>
                </c:pt>
                <c:pt idx="104">
                  <c:v>-1.98</c:v>
                </c:pt>
                <c:pt idx="105">
                  <c:v>-2.0099999999999998</c:v>
                </c:pt>
                <c:pt idx="106">
                  <c:v>-2.04</c:v>
                </c:pt>
                <c:pt idx="107">
                  <c:v>-2.0699999999999998</c:v>
                </c:pt>
                <c:pt idx="108">
                  <c:v>-2.1</c:v>
                </c:pt>
                <c:pt idx="109">
                  <c:v>-2.13</c:v>
                </c:pt>
                <c:pt idx="110">
                  <c:v>-2.16</c:v>
                </c:pt>
                <c:pt idx="111">
                  <c:v>-2.19</c:v>
                </c:pt>
                <c:pt idx="112">
                  <c:v>-2.2200000000000002</c:v>
                </c:pt>
                <c:pt idx="113">
                  <c:v>-2.25</c:v>
                </c:pt>
                <c:pt idx="114">
                  <c:v>-2.2799999999999998</c:v>
                </c:pt>
                <c:pt idx="115">
                  <c:v>-2.31</c:v>
                </c:pt>
                <c:pt idx="116">
                  <c:v>-2.34</c:v>
                </c:pt>
                <c:pt idx="117">
                  <c:v>-2.37</c:v>
                </c:pt>
                <c:pt idx="118">
                  <c:v>-2.4</c:v>
                </c:pt>
                <c:pt idx="119">
                  <c:v>-2.4300000000000002</c:v>
                </c:pt>
                <c:pt idx="120">
                  <c:v>-2.46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C9-4998-8003-1F8487F28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6112"/>
        <c:axId val="10376592"/>
      </c:scatterChart>
      <c:valAx>
        <c:axId val="1037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592"/>
        <c:crosses val="autoZero"/>
        <c:crossBetween val="midCat"/>
      </c:valAx>
      <c:valAx>
        <c:axId val="103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media/image9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9.png" Type="http://schemas.openxmlformats.org/officeDocument/2006/relationships/image" Id="rId1"/></Relationships>
</file>

<file path=xl/drawings/_rels/drawing3.xml.rels><?xml version="1.0" encoding="UTF-8"?><Relationships xmlns="http://schemas.openxmlformats.org/package/2006/relationships"><Relationship Target="../media/image17.png" Type="http://schemas.openxmlformats.org/officeDocument/2006/relationships/image" Id="rId8"/><Relationship Target="../media/image12.png" Type="http://schemas.openxmlformats.org/officeDocument/2006/relationships/image" Id="rId3"/><Relationship Target="../media/image16.png" Type="http://schemas.openxmlformats.org/officeDocument/2006/relationships/image" Id="rId7"/><Relationship Target="../media/image21.png" Type="http://schemas.openxmlformats.org/officeDocument/2006/relationships/image" Id="rId12"/><Relationship Target="../media/image11.png" Type="http://schemas.openxmlformats.org/officeDocument/2006/relationships/image" Id="rId2"/><Relationship Target="../media/image10.png" Type="http://schemas.openxmlformats.org/officeDocument/2006/relationships/image" Id="rId1"/><Relationship Target="../media/image15.png" Type="http://schemas.openxmlformats.org/officeDocument/2006/relationships/image" Id="rId6"/><Relationship Target="../media/image20.png" Type="http://schemas.openxmlformats.org/officeDocument/2006/relationships/image" Id="rId11"/><Relationship Target="../media/image14.png" Type="http://schemas.openxmlformats.org/officeDocument/2006/relationships/image" Id="rId5"/><Relationship Target="../media/image19.png" Type="http://schemas.openxmlformats.org/officeDocument/2006/relationships/image" Id="rId10"/><Relationship Target="../media/image13.png" Type="http://schemas.openxmlformats.org/officeDocument/2006/relationships/image" Id="rId4"/><Relationship Target="../media/image18.png" Type="http://schemas.openxmlformats.org/officeDocument/2006/relationships/image" Id="rId9"/></Relationships>
</file>

<file path=xl/drawings/_rels/drawing4.xml.rels><?xml version="1.0" encoding="UTF-8"?><Relationships xmlns="http://schemas.openxmlformats.org/package/2006/relationships"><Relationship Target="../charts/chart1.xml" Type="http://schemas.openxmlformats.org/officeDocument/2006/relationships/chart" Id="rId1"/></Relationships>
</file>

<file path=xl/drawings/_rels/drawing5.xml.rels><?xml version="1.0" encoding="UTF-8"?><Relationships xmlns="http://schemas.openxmlformats.org/package/2006/relationships"><Relationship Target="../charts/chart3.xml" Type="http://schemas.openxmlformats.org/officeDocument/2006/relationships/chart" Id="rId2"/><Relationship Target="../charts/chart2.xml" Type="http://schemas.openxmlformats.org/officeDocument/2006/relationships/chart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F30AB33E-D2A0-D338-44CB-AA8E8A81975F}"/>
            </a:ext>
          </a:extLst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381" cy="5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952381</xdr:colOff>
      <xdr:row>2</xdr:row>
      <xdr:rowOff>165033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5E851F49-5775-45C1-85F5-807B1724FD56}"/>
            </a:ext>
          </a:extLst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381" cy="5238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13</xdr:col>
      <xdr:colOff>85725</xdr:colOff>
      <xdr:row>0</xdr:row>
      <xdr:rowOff>123826</xdr:rowOff>
    </xdr:from>
    <xdr:to>
      <xdr:col>22</xdr:col>
      <xdr:colOff>518155</xdr:colOff>
      <xdr:row>12</xdr:row>
      <xdr:rowOff>106136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957F286C-FFAA-B09F-3ED7-42BB9AB79907}"/>
            </a:ext>
          </a:extLst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9439275" y="123826"/>
          <a:ext cx="5918830" cy="2268310"/>
        </a:xfrm>
        <a:prstGeom prst="rect">
          <a:avLst/>
        </a:prstGeom>
      </xdr:spPr>
    </xdr:pic>
    <xdr:clientData/>
  </xdr:twoCellAnchor>
  <xdr:twoCellAnchor editAs="oneCell">
    <xdr:from>
      <xdr:col>23</xdr:col>
      <xdr:colOff>299358</xdr:colOff>
      <xdr:row>1</xdr:row>
      <xdr:rowOff>27215</xdr:rowOff>
    </xdr:from>
    <xdr:to>
      <xdr:col>32</xdr:col>
      <xdr:colOff>352425</xdr:colOff>
      <xdr:row>12</xdr:row>
      <xdr:rowOff>144291</xdr:rowOff>
    </xdr:to>
    <xdr:pic>
      <xdr:nvPicPr>
        <xdr:cNvPr id="3" name="Picture 2">
          <a:extLst>
            <a:ext xmlns:a16="http://schemas.microsoft.com/office/drawing/2014/main" uri="{FF2B5EF4-FFF2-40B4-BE49-F238E27FC236}">
              <a16:creationId xmlns:a16="http://schemas.microsoft.com/office/drawing/2014/main" id="{1DC2CBBA-D03F-D309-28E0-F2BCE6A69ACF}"/>
            </a:ext>
          </a:extLst>
        </xdr:cNvPr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5720333" y="217715"/>
          <a:ext cx="5539467" cy="2212576"/>
        </a:xfrm>
        <a:prstGeom prst="rect">
          <a:avLst/>
        </a:prstGeom>
      </xdr:spPr>
    </xdr:pic>
    <xdr:clientData/>
  </xdr:twoCellAnchor>
  <xdr:twoCellAnchor editAs="oneCell">
    <xdr:from>
      <xdr:col>13</xdr:col>
      <xdr:colOff>236271</xdr:colOff>
      <xdr:row>13</xdr:row>
      <xdr:rowOff>126390</xdr:rowOff>
    </xdr:from>
    <xdr:to>
      <xdr:col>22</xdr:col>
      <xdr:colOff>352425</xdr:colOff>
      <xdr:row>25</xdr:row>
      <xdr:rowOff>134388</xdr:rowOff>
    </xdr:to>
    <xdr:pic>
      <xdr:nvPicPr>
        <xdr:cNvPr id="4" name="Picture 3">
          <a:extLst>
            <a:ext xmlns:a16="http://schemas.microsoft.com/office/drawing/2014/main" uri="{FF2B5EF4-FFF2-40B4-BE49-F238E27FC236}">
              <a16:creationId xmlns:a16="http://schemas.microsoft.com/office/drawing/2014/main" id="{9B499427-3341-582E-ED5B-89F619A2B07E}"/>
            </a:ext>
          </a:extLst>
        </xdr:cNvPr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9561246" y="2602890"/>
          <a:ext cx="5602554" cy="2293998"/>
        </a:xfrm>
        <a:prstGeom prst="rect">
          <a:avLst/>
        </a:prstGeom>
      </xdr:spPr>
    </xdr:pic>
    <xdr:clientData/>
  </xdr:twoCellAnchor>
  <xdr:twoCellAnchor editAs="oneCell">
    <xdr:from>
      <xdr:col>23</xdr:col>
      <xdr:colOff>51709</xdr:colOff>
      <xdr:row>13</xdr:row>
      <xdr:rowOff>178984</xdr:rowOff>
    </xdr:from>
    <xdr:to>
      <xdr:col>30</xdr:col>
      <xdr:colOff>247650</xdr:colOff>
      <xdr:row>25</xdr:row>
      <xdr:rowOff>137554</xdr:rowOff>
    </xdr:to>
    <xdr:pic>
      <xdr:nvPicPr>
        <xdr:cNvPr id="5" name="Picture 4">
          <a:extLst>
            <a:ext xmlns:a16="http://schemas.microsoft.com/office/drawing/2014/main" uri="{FF2B5EF4-FFF2-40B4-BE49-F238E27FC236}">
              <a16:creationId xmlns:a16="http://schemas.microsoft.com/office/drawing/2014/main" id="{F96FD815-BC4C-9D02-1BDA-5217B56693C7}"/>
            </a:ext>
          </a:extLst>
        </xdr:cNvPr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5472684" y="2655484"/>
          <a:ext cx="4463141" cy="2244570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552451</xdr:colOff>
      <xdr:row>26</xdr:row>
      <xdr:rowOff>72016</xdr:rowOff>
    </xdr:from>
    <xdr:to>
      <xdr:col>22</xdr:col>
      <xdr:colOff>133351</xdr:colOff>
      <xdr:row>41</xdr:row>
      <xdr:rowOff>1021</xdr:rowOff>
    </xdr:to>
    <xdr:pic>
      <xdr:nvPicPr>
        <xdr:cNvPr id="10" name="Picture 9">
          <a:extLst>
            <a:ext xmlns:a16="http://schemas.microsoft.com/office/drawing/2014/main" uri="{FF2B5EF4-FFF2-40B4-BE49-F238E27FC236}">
              <a16:creationId xmlns:a16="http://schemas.microsoft.com/office/drawing/2014/main" id="{98739C30-3AA7-4F42-5424-E6AD9BC94747}"/>
            </a:ext>
          </a:extLst>
        </xdr:cNvPr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9296401" y="5025016"/>
          <a:ext cx="5676900" cy="2776980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247651</xdr:colOff>
      <xdr:row>26</xdr:row>
      <xdr:rowOff>129677</xdr:rowOff>
    </xdr:from>
    <xdr:to>
      <xdr:col>31</xdr:col>
      <xdr:colOff>117974</xdr:colOff>
      <xdr:row>40</xdr:row>
      <xdr:rowOff>123825</xdr:rowOff>
    </xdr:to>
    <xdr:pic>
      <xdr:nvPicPr>
        <xdr:cNvPr id="11" name="Picture 10">
          <a:extLst>
            <a:ext xmlns:a16="http://schemas.microsoft.com/office/drawing/2014/main" uri="{FF2B5EF4-FFF2-40B4-BE49-F238E27FC236}">
              <a16:creationId xmlns:a16="http://schemas.microsoft.com/office/drawing/2014/main" id="{BE8FDB7B-AB65-AEA4-0AD7-F32B459CCA63}"/>
            </a:ext>
          </a:extLst>
        </xdr:cNvPr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5087601" y="5082677"/>
          <a:ext cx="5356723" cy="2661148"/>
        </a:xfrm>
        <a:prstGeom prst="rect">
          <a:avLst/>
        </a:prstGeom>
      </xdr:spPr>
    </xdr:pic>
    <xdr:clientData/>
  </xdr:twoCellAnchor>
  <xdr:twoCellAnchor editAs="oneCell">
    <xdr:from>
      <xdr:col>13</xdr:col>
      <xdr:colOff>183120</xdr:colOff>
      <xdr:row>41</xdr:row>
      <xdr:rowOff>57149</xdr:rowOff>
    </xdr:from>
    <xdr:to>
      <xdr:col>21</xdr:col>
      <xdr:colOff>268688</xdr:colOff>
      <xdr:row>54</xdr:row>
      <xdr:rowOff>86728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1601DF64-6662-FA8D-6C15-D888C79F73F5}"/>
            </a:ext>
          </a:extLst>
        </xdr:cNvPr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9536670" y="7867649"/>
          <a:ext cx="4962368" cy="2506079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41</xdr:row>
      <xdr:rowOff>172310</xdr:rowOff>
    </xdr:from>
    <xdr:to>
      <xdr:col>29</xdr:col>
      <xdr:colOff>583056</xdr:colOff>
      <xdr:row>55</xdr:row>
      <xdr:rowOff>20079</xdr:rowOff>
    </xdr:to>
    <xdr:pic>
      <xdr:nvPicPr>
        <xdr:cNvPr id="13" name="Picture 12">
          <a:extLst>
            <a:ext xmlns:a16="http://schemas.microsoft.com/office/drawing/2014/main" uri="{FF2B5EF4-FFF2-40B4-BE49-F238E27FC236}">
              <a16:creationId xmlns:a16="http://schemas.microsoft.com/office/drawing/2014/main" id="{07C14C4D-AC0D-3171-6930-D05C2C07DE95}"/>
            </a:ext>
          </a:extLst>
        </xdr:cNvPr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4725650" y="7982810"/>
          <a:ext cx="4964556" cy="2514769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55</xdr:row>
      <xdr:rowOff>78664</xdr:rowOff>
    </xdr:from>
    <xdr:to>
      <xdr:col>20</xdr:col>
      <xdr:colOff>344873</xdr:colOff>
      <xdr:row>67</xdr:row>
      <xdr:rowOff>115299</xdr:rowOff>
    </xdr:to>
    <xdr:pic>
      <xdr:nvPicPr>
        <xdr:cNvPr id="6" name="Picture 5">
          <a:extLst>
            <a:ext xmlns:a16="http://schemas.microsoft.com/office/drawing/2014/main" uri="{FF2B5EF4-FFF2-40B4-BE49-F238E27FC236}">
              <a16:creationId xmlns:a16="http://schemas.microsoft.com/office/drawing/2014/main" id="{91189E59-F9C6-E5A8-4E6F-26E23D51ACEA}"/>
            </a:ext>
          </a:extLst>
        </xdr:cNvPr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9382125" y="10556164"/>
          <a:ext cx="4583498" cy="232263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476250</xdr:colOff>
      <xdr:row>56</xdr:row>
      <xdr:rowOff>11948</xdr:rowOff>
    </xdr:from>
    <xdr:to>
      <xdr:col>28</xdr:col>
      <xdr:colOff>192414</xdr:colOff>
      <xdr:row>68</xdr:row>
      <xdr:rowOff>31999</xdr:rowOff>
    </xdr:to>
    <xdr:pic>
      <xdr:nvPicPr>
        <xdr:cNvPr id="7" name="Picture 6">
          <a:extLst>
            <a:ext xmlns:a16="http://schemas.microsoft.com/office/drawing/2014/main" uri="{FF2B5EF4-FFF2-40B4-BE49-F238E27FC236}">
              <a16:creationId xmlns:a16="http://schemas.microsoft.com/office/drawing/2014/main" id="{294A160E-95CD-E18D-E853-6B55D6585955}"/>
            </a:ext>
          </a:extLst>
        </xdr:cNvPr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14097000" y="10679948"/>
          <a:ext cx="4592964" cy="2306051"/>
        </a:xfrm>
        <a:prstGeom prst="rect">
          <a:avLst/>
        </a:prstGeom>
      </xdr:spPr>
    </xdr:pic>
    <xdr:clientData/>
  </xdr:twoCellAnchor>
  <xdr:twoCellAnchor editAs="oneCell">
    <xdr:from>
      <xdr:col>13</xdr:col>
      <xdr:colOff>88756</xdr:colOff>
      <xdr:row>69</xdr:row>
      <xdr:rowOff>95250</xdr:rowOff>
    </xdr:from>
    <xdr:to>
      <xdr:col>20</xdr:col>
      <xdr:colOff>487821</xdr:colOff>
      <xdr:row>81</xdr:row>
      <xdr:rowOff>77194</xdr:rowOff>
    </xdr:to>
    <xdr:pic>
      <xdr:nvPicPr>
        <xdr:cNvPr id="8" name="Picture 7">
          <a:extLst>
            <a:ext xmlns:a16="http://schemas.microsoft.com/office/drawing/2014/main" uri="{FF2B5EF4-FFF2-40B4-BE49-F238E27FC236}">
              <a16:creationId xmlns:a16="http://schemas.microsoft.com/office/drawing/2014/main" id="{3F865204-027D-1737-EE9D-D17A73BEA962}"/>
            </a:ext>
          </a:extLst>
        </xdr:cNvPr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9442306" y="13239750"/>
          <a:ext cx="4666265" cy="2267944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95250</xdr:colOff>
      <xdr:row>69</xdr:row>
      <xdr:rowOff>66675</xdr:rowOff>
    </xdr:from>
    <xdr:to>
      <xdr:col>28</xdr:col>
      <xdr:colOff>563936</xdr:colOff>
      <xdr:row>81</xdr:row>
      <xdr:rowOff>78029</xdr:rowOff>
    </xdr:to>
    <xdr:pic>
      <xdr:nvPicPr>
        <xdr:cNvPr id="9" name="Picture 8">
          <a:extLst>
            <a:ext xmlns:a16="http://schemas.microsoft.com/office/drawing/2014/main" uri="{FF2B5EF4-FFF2-40B4-BE49-F238E27FC236}">
              <a16:creationId xmlns:a16="http://schemas.microsoft.com/office/drawing/2014/main" id="{4DE6F54C-506A-5A58-B240-2EF185A08745}"/>
            </a:ext>
          </a:extLst>
        </xdr:cNvPr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14325600" y="13211175"/>
          <a:ext cx="4735886" cy="22973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28</xdr:col>
      <xdr:colOff>304269</xdr:colOff>
      <xdr:row>0</xdr:row>
      <xdr:rowOff>327026</xdr:rowOff>
    </xdr:from>
    <xdr:to>
      <xdr:col>35</xdr:col>
      <xdr:colOff>357185</xdr:colOff>
      <xdr:row>14</xdr:row>
      <xdr:rowOff>101600</xdr:rowOff>
    </xdr:to>
    <xdr:graphicFrame macro="">
      <xdr:nvGraphicFramePr>
        <xdr:cNvPr id="3" name="Chart 2">
          <a:extLst>
            <a:ext xmlns:a16="http://schemas.microsoft.com/office/drawing/2014/main" uri="{FF2B5EF4-FFF2-40B4-BE49-F238E27FC236}">
              <a16:creationId xmlns:a16="http://schemas.microsoft.com/office/drawing/2014/main" id="{9F29DAC4-E873-D89D-F324-5486BAFAE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3</xdr:col>
      <xdr:colOff>533400</xdr:colOff>
      <xdr:row>2</xdr:row>
      <xdr:rowOff>14287</xdr:rowOff>
    </xdr:from>
    <xdr:to>
      <xdr:col>11</xdr:col>
      <xdr:colOff>228600</xdr:colOff>
      <xdr:row>16</xdr:row>
      <xdr:rowOff>90487</xdr:rowOff>
    </xdr:to>
    <xdr:graphicFrame macro="">
      <xdr:nvGraphicFramePr>
        <xdr:cNvPr id="5" name="Chart 1">
          <a:extLst>
            <a:ext xmlns:a16="http://schemas.microsoft.com/office/drawing/2014/main" uri="{FF2B5EF4-FFF2-40B4-BE49-F238E27FC236}">
              <a16:creationId xmlns:a16="http://schemas.microsoft.com/office/drawing/2014/main" id="{787401AD-4316-23A0-CB85-A93F6393E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361950</xdr:colOff>
      <xdr:row>3</xdr:row>
      <xdr:rowOff>90487</xdr:rowOff>
    </xdr:from>
    <xdr:to>
      <xdr:col>24</xdr:col>
      <xdr:colOff>57150</xdr:colOff>
      <xdr:row>17</xdr:row>
      <xdr:rowOff>166687</xdr:rowOff>
    </xdr:to>
    <xdr:graphicFrame macro="">
      <xdr:nvGraphicFramePr>
        <xdr:cNvPr id="11" name="Chart 2">
          <a:extLst>
            <a:ext xmlns:a16="http://schemas.microsoft.com/office/drawing/2014/main" uri="{FF2B5EF4-FFF2-40B4-BE49-F238E27FC236}">
              <a16:creationId xmlns:a16="http://schemas.microsoft.com/office/drawing/2014/main" id="{B74CB339-CF9E-A027-6CEA-D98219B6B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?><Relationships xmlns="http://schemas.openxmlformats.org/package/2006/relationships"><Relationship TargetMode="External" Target="https://uazips.sharepoint.com/teams/ZipsRacingFSAE/Shared%20Documents/ZR25/Vehicle%20Dynamics/System/Analysis/ZR25_SuspensionDesign.xlsx" Type="http://schemas.openxmlformats.org/officeDocument/2006/relationships/externalLinkPath" Id="rId2"/><Relationship TargetMode="External" Target="https://uazips.sharepoint.com/teams/ZipsRacingFSAE/Shared%20Documents/ZR25/Vehicle%20Dynamics/System/Analysis/ZR25_SuspensionDesign.xlsx" Type="http://schemas.openxmlformats.org/officeDocument/2006/relationships/externalLinkPath" Id="rId1"/></Relationships>
</file>

<file path=xl/externalLinks/_rels/externalLink2.xml.rels><?xml version="1.0" encoding="UTF-8"?><Relationships xmlns="http://schemas.openxmlformats.org/package/2006/relationships"><Relationship TargetMode="External" Target="https://uazips.sharepoint.com/teams/ZipsRacingFSAE/Shared%20Documents/ZR25/Vehicle%20Dynamics/System/Analysys/ZR25_SuspensionDesign.xlsx" Type="http://schemas.openxmlformats.org/officeDocument/2006/relationships/externalLinkPath" Id="rId2"/><Relationship TargetMode="External" Target="https://uazips.sharepoint.com/teams/ZipsRacingFSAE/Shared%20Documents/ZR25/Vehicle%20Dynamics/System/Analysys/ZR25_SuspensionDesign.xlsx" Type="http://schemas.openxmlformats.org/officeDocument/2006/relationships/externalLinkPath" Id="rId1"/></Relationships>
</file>

<file path=xl/externalLinks/_rels/externalLink3.xml.rels><?xml version="1.0" encoding="UTF-8"?><Relationships xmlns="http://schemas.openxmlformats.org/package/2006/relationships"><Relationship TargetMode="External" Target="https://uazips.sharepoint.com/teams/ZipsRacingFSAE/Shared%20Documents/ZR25/Vehicle%20Dynamics/System/Analysis/ZR25_SuspensionForces.xlsx" Type="http://schemas.openxmlformats.org/officeDocument/2006/relationships/externalLinkPath" Id="rId2"/><Relationship TargetMode="External" Target="https://uazips.sharepoint.com/teams/ZipsRacingFSAE/Shared%20Documents/ZR25/Vehicle%20Dynamics/System/Analysis/ZR25_SuspensionForce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constants"/>
      <sheetName val="Derived Parameters"/>
      <sheetName val="Rear ARB Sizing"/>
      <sheetName val="Front ARB Sizing"/>
      <sheetName val="Roll Analysis"/>
      <sheetName val="tracking"/>
      <sheetName val="Tires"/>
      <sheetName val="Sensitivities"/>
      <sheetName val="SS Cornering"/>
      <sheetName val="Ride Rates"/>
      <sheetName val="Swing Arms"/>
      <sheetName val="Basic Rules"/>
      <sheetName val="Wing Positions"/>
    </sheetNames>
    <sheetDataSet>
      <sheetData sheetId="0">
        <row r="1">
          <cell r="B1">
            <v>250</v>
          </cell>
        </row>
        <row r="2">
          <cell r="B2">
            <v>19.198159090909087</v>
          </cell>
        </row>
        <row r="3">
          <cell r="B3">
            <v>19.198159090909087</v>
          </cell>
        </row>
        <row r="4">
          <cell r="B4">
            <v>72.72727272727272</v>
          </cell>
        </row>
        <row r="6">
          <cell r="B6">
            <v>0.48</v>
          </cell>
        </row>
        <row r="8">
          <cell r="B8">
            <v>1530</v>
          </cell>
        </row>
        <row r="9">
          <cell r="B9">
            <v>1230</v>
          </cell>
        </row>
        <row r="10">
          <cell r="B10">
            <v>1210</v>
          </cell>
        </row>
        <row r="11">
          <cell r="B11">
            <v>259.08</v>
          </cell>
        </row>
        <row r="12">
          <cell r="B12">
            <v>280</v>
          </cell>
        </row>
        <row r="14">
          <cell r="B14">
            <v>55</v>
          </cell>
        </row>
        <row r="16">
          <cell r="B16">
            <v>180</v>
          </cell>
        </row>
        <row r="17">
          <cell r="B17">
            <v>180</v>
          </cell>
        </row>
        <row r="19">
          <cell r="B19">
            <v>1.0109999999999999</v>
          </cell>
        </row>
        <row r="20">
          <cell r="B20">
            <v>1.004</v>
          </cell>
        </row>
        <row r="21">
          <cell r="B21">
            <v>45</v>
          </cell>
        </row>
        <row r="22">
          <cell r="B22">
            <v>35</v>
          </cell>
        </row>
        <row r="24">
          <cell r="B24">
            <v>1</v>
          </cell>
        </row>
        <row r="25">
          <cell r="B25">
            <v>0.158</v>
          </cell>
        </row>
        <row r="26">
          <cell r="B26">
            <v>0</v>
          </cell>
        </row>
        <row r="27">
          <cell r="B27">
            <v>160.23073225444639</v>
          </cell>
        </row>
        <row r="29">
          <cell r="B29">
            <v>35</v>
          </cell>
        </row>
        <row r="30">
          <cell r="B30">
            <v>50</v>
          </cell>
        </row>
        <row r="32">
          <cell r="B32">
            <v>11.4</v>
          </cell>
        </row>
        <row r="33">
          <cell r="B33">
            <v>2.63</v>
          </cell>
        </row>
        <row r="34">
          <cell r="B34">
            <v>0.45500000000000002</v>
          </cell>
        </row>
        <row r="36">
          <cell r="B36">
            <v>31</v>
          </cell>
        </row>
        <row r="37">
          <cell r="B37">
            <v>2.59</v>
          </cell>
        </row>
        <row r="38">
          <cell r="B38">
            <v>0.27600000000000002</v>
          </cell>
        </row>
        <row r="40">
          <cell r="B40">
            <v>3.4</v>
          </cell>
        </row>
        <row r="41">
          <cell r="B41">
            <v>3.7</v>
          </cell>
        </row>
      </sheetData>
      <sheetData sheetId="1">
        <row r="3">
          <cell r="C3">
            <v>9.81</v>
          </cell>
        </row>
        <row r="4">
          <cell r="C4">
            <v>1.2250000000000001</v>
          </cell>
        </row>
      </sheetData>
      <sheetData sheetId="2">
        <row r="4">
          <cell r="C4">
            <v>322.72727272727275</v>
          </cell>
        </row>
        <row r="5">
          <cell r="C5">
            <v>38.396318181818174</v>
          </cell>
        </row>
        <row r="6">
          <cell r="C6">
            <v>38.396318181818174</v>
          </cell>
        </row>
        <row r="7">
          <cell r="C7">
            <v>76.792636363636348</v>
          </cell>
        </row>
        <row r="8">
          <cell r="C8">
            <v>245.9346363636364</v>
          </cell>
        </row>
        <row r="11">
          <cell r="C11">
            <v>116.51277272727273</v>
          </cell>
        </row>
        <row r="12">
          <cell r="C12">
            <v>129.42186363636367</v>
          </cell>
        </row>
        <row r="16">
          <cell r="C16">
            <v>795.6</v>
          </cell>
        </row>
        <row r="17">
          <cell r="C17">
            <v>734.4</v>
          </cell>
        </row>
        <row r="18">
          <cell r="C18">
            <v>724.8452064683853</v>
          </cell>
        </row>
        <row r="19">
          <cell r="C19">
            <v>805.1547935316147</v>
          </cell>
        </row>
        <row r="20">
          <cell r="C20">
            <v>286.53223139481628</v>
          </cell>
        </row>
        <row r="21">
          <cell r="C21">
            <v>1220</v>
          </cell>
        </row>
        <row r="24">
          <cell r="C24">
            <v>154.90909090909091</v>
          </cell>
        </row>
        <row r="25">
          <cell r="C25">
            <v>167.81818181818184</v>
          </cell>
        </row>
        <row r="26">
          <cell r="C26">
            <v>77.454545454545453</v>
          </cell>
        </row>
        <row r="37">
          <cell r="C37">
            <v>45.995444999999989</v>
          </cell>
        </row>
        <row r="38">
          <cell r="C38">
            <v>35.280560000000001</v>
          </cell>
        </row>
        <row r="40">
          <cell r="C40">
            <v>0</v>
          </cell>
        </row>
        <row r="41">
          <cell r="C41">
            <v>4</v>
          </cell>
        </row>
        <row r="44">
          <cell r="C44">
            <v>45.995444999999989</v>
          </cell>
        </row>
        <row r="45">
          <cell r="C45">
            <v>39.280560000000001</v>
          </cell>
        </row>
        <row r="46">
          <cell r="C46">
            <v>36.634278624509435</v>
          </cell>
        </row>
        <row r="47">
          <cell r="C47">
            <v>32.24408401729729</v>
          </cell>
        </row>
        <row r="53">
          <cell r="C53">
            <v>42.891310856269122</v>
          </cell>
        </row>
        <row r="54">
          <cell r="C54">
            <v>112.51198934760448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3">
          <cell r="D3">
            <v>1.5029999999999999</v>
          </cell>
        </row>
        <row r="4">
          <cell r="D4">
            <v>4.75</v>
          </cell>
        </row>
        <row r="8">
          <cell r="D8">
            <v>8.4250000000000007</v>
          </cell>
        </row>
        <row r="21">
          <cell r="D21">
            <v>2.7960256962919967</v>
          </cell>
        </row>
        <row r="33">
          <cell r="D33">
            <v>243.62684890368445</v>
          </cell>
        </row>
        <row r="34">
          <cell r="D34">
            <v>286.53223139481628</v>
          </cell>
        </row>
        <row r="35">
          <cell r="D35">
            <v>286.53223139481628</v>
          </cell>
        </row>
        <row r="36">
          <cell r="D36">
            <v>27712000.065510161</v>
          </cell>
        </row>
        <row r="37">
          <cell r="D37">
            <v>23604281.704862483</v>
          </cell>
        </row>
        <row r="38">
          <cell r="D38">
            <v>27433536.940282945</v>
          </cell>
        </row>
        <row r="39">
          <cell r="D39">
            <v>23572751.064045515</v>
          </cell>
        </row>
        <row r="49">
          <cell r="D49">
            <v>-0.66387213172278969</v>
          </cell>
          <cell r="G49">
            <v>-0.9977998139793528</v>
          </cell>
        </row>
      </sheetData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ameters"/>
      <sheetName val="constants"/>
      <sheetName val="Derived Parameters"/>
      <sheetName val="Rear ARB Sizing"/>
      <sheetName val="Front ARB Sizing"/>
      <sheetName val="Roll Analysis"/>
      <sheetName val="tracking"/>
      <sheetName val="Tires"/>
      <sheetName val="Sensitivities"/>
      <sheetName val="SS Cornering"/>
      <sheetName val="Ride Rates"/>
      <sheetName val="Swing Arms"/>
      <sheetName val="Basic Rules"/>
      <sheetName val="Wing Posi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ints"/>
      <sheetName val="Front Suspension"/>
      <sheetName val="Rear Suspension"/>
      <sheetName val="Wheel Loads"/>
      <sheetName val="Sheet1"/>
      <sheetName val="Suspension Forces"/>
      <sheetName val="Link Calcs"/>
      <sheetName val="Materials"/>
      <sheetName val="Bolt Shear Calcs"/>
      <sheetName val="Thread Pullout"/>
      <sheetName val="Complete Knuckles"/>
      <sheetName val="Bolts"/>
      <sheetName val="Control Arm Manufacturing"/>
      <sheetName val="Sheet2"/>
    </sheetNames>
    <sheetDataSet>
      <sheetData sheetId="0">
        <row r="1">
          <cell r="B1">
            <v>880</v>
          </cell>
        </row>
        <row r="2">
          <cell r="B2">
            <v>135</v>
          </cell>
        </row>
        <row r="3">
          <cell r="B3">
            <v>105.336</v>
          </cell>
        </row>
        <row r="4">
          <cell r="B4">
            <v>645</v>
          </cell>
        </row>
        <row r="5">
          <cell r="B5">
            <v>140</v>
          </cell>
        </row>
        <row r="6">
          <cell r="B6">
            <v>105.292</v>
          </cell>
        </row>
        <row r="7">
          <cell r="B7">
            <v>817.649</v>
          </cell>
        </row>
        <row r="8">
          <cell r="B8">
            <v>577.02200000000005</v>
          </cell>
        </row>
        <row r="9">
          <cell r="B9">
            <v>130</v>
          </cell>
        </row>
        <row r="10">
          <cell r="B10">
            <v>960</v>
          </cell>
        </row>
        <row r="11">
          <cell r="B11">
            <v>246</v>
          </cell>
        </row>
        <row r="12">
          <cell r="B12">
            <v>281.59399999999999</v>
          </cell>
        </row>
        <row r="13">
          <cell r="B13">
            <v>685</v>
          </cell>
        </row>
        <row r="14">
          <cell r="B14">
            <v>254</v>
          </cell>
        </row>
        <row r="15">
          <cell r="B15">
            <v>252.70700000000002</v>
          </cell>
        </row>
        <row r="16">
          <cell r="B16">
            <v>804.80499999999995</v>
          </cell>
        </row>
        <row r="17">
          <cell r="B17">
            <v>554.95000000000005</v>
          </cell>
        </row>
        <row r="18">
          <cell r="B18">
            <v>340</v>
          </cell>
        </row>
        <row r="19">
          <cell r="B19">
            <v>870</v>
          </cell>
        </row>
        <row r="20">
          <cell r="B20">
            <v>192.08750000000001</v>
          </cell>
        </row>
        <row r="21">
          <cell r="B21">
            <v>170</v>
          </cell>
        </row>
        <row r="22">
          <cell r="B22">
            <v>891.34199999999998</v>
          </cell>
        </row>
        <row r="23">
          <cell r="B23">
            <v>578.45899999999995</v>
          </cell>
        </row>
        <row r="24">
          <cell r="B24">
            <v>170</v>
          </cell>
        </row>
        <row r="25">
          <cell r="B25">
            <v>880.32899999999995</v>
          </cell>
        </row>
        <row r="26">
          <cell r="B26">
            <v>224.172</v>
          </cell>
        </row>
        <row r="27">
          <cell r="B27">
            <v>537.36699999999996</v>
          </cell>
        </row>
        <row r="28">
          <cell r="B28">
            <v>813.41399999999999</v>
          </cell>
        </row>
        <row r="29">
          <cell r="B29">
            <v>517.02</v>
          </cell>
        </row>
        <row r="30">
          <cell r="B30">
            <v>362.63200000000001</v>
          </cell>
        </row>
        <row r="31">
          <cell r="B31">
            <v>-600</v>
          </cell>
        </row>
        <row r="32">
          <cell r="B32">
            <v>300</v>
          </cell>
        </row>
        <row r="33">
          <cell r="B33">
            <v>121.553</v>
          </cell>
        </row>
        <row r="34">
          <cell r="B34">
            <v>-790</v>
          </cell>
        </row>
        <row r="35">
          <cell r="B35">
            <v>300</v>
          </cell>
        </row>
        <row r="36">
          <cell r="B36">
            <v>114.02500000000001</v>
          </cell>
        </row>
        <row r="37">
          <cell r="B37">
            <v>-710</v>
          </cell>
        </row>
        <row r="38">
          <cell r="B38">
            <v>565</v>
          </cell>
        </row>
        <row r="39">
          <cell r="B39">
            <v>130</v>
          </cell>
        </row>
        <row r="40">
          <cell r="B40">
            <v>-590</v>
          </cell>
        </row>
        <row r="41">
          <cell r="B41">
            <v>315</v>
          </cell>
        </row>
        <row r="42">
          <cell r="B42">
            <v>254.994</v>
          </cell>
        </row>
        <row r="43">
          <cell r="B43">
            <v>-790</v>
          </cell>
        </row>
        <row r="44">
          <cell r="B44">
            <v>315</v>
          </cell>
        </row>
        <row r="45">
          <cell r="B45">
            <v>267.81599999999997</v>
          </cell>
        </row>
        <row r="46">
          <cell r="B46">
            <v>-665</v>
          </cell>
        </row>
        <row r="47">
          <cell r="B47">
            <v>550.34400000000005</v>
          </cell>
        </row>
        <row r="48">
          <cell r="B48">
            <v>320</v>
          </cell>
        </row>
        <row r="49">
          <cell r="B49">
            <v>-825</v>
          </cell>
        </row>
        <row r="50">
          <cell r="B50">
            <v>315</v>
          </cell>
        </row>
        <row r="51">
          <cell r="B51">
            <v>270.06026000000003</v>
          </cell>
        </row>
        <row r="52">
          <cell r="B52">
            <v>-795</v>
          </cell>
        </row>
        <row r="53">
          <cell r="B53">
            <v>550.34400000000005</v>
          </cell>
        </row>
        <row r="54">
          <cell r="B54">
            <v>328.334</v>
          </cell>
        </row>
        <row r="55">
          <cell r="B55">
            <v>-752.31299999999999</v>
          </cell>
        </row>
        <row r="56">
          <cell r="B56">
            <v>276.65100000000001</v>
          </cell>
        </row>
        <row r="57">
          <cell r="B57">
            <v>495.32100000000003</v>
          </cell>
        </row>
        <row r="58">
          <cell r="B58">
            <v>-672.78300000000002</v>
          </cell>
        </row>
        <row r="59">
          <cell r="B59">
            <v>525.947</v>
          </cell>
        </row>
        <row r="60">
          <cell r="B60">
            <v>335.62799999999999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Material</v>
          </cell>
        </row>
        <row r="3">
          <cell r="A3">
            <v>4130</v>
          </cell>
        </row>
        <row r="4">
          <cell r="A4" t="str">
            <v>TI 3AL-2.5V</v>
          </cell>
        </row>
        <row r="5">
          <cell r="A5" t="str">
            <v>CFRP</v>
          </cell>
        </row>
      </sheetData>
      <sheetData sheetId="8"/>
      <sheetData sheetId="9"/>
      <sheetData sheetId="10"/>
      <sheetData sheetId="11">
        <row r="2">
          <cell r="J2">
            <v>1</v>
          </cell>
          <cell r="K2">
            <v>6.25E-2</v>
          </cell>
        </row>
        <row r="3">
          <cell r="J3">
            <v>2</v>
          </cell>
          <cell r="K3">
            <v>0.125</v>
          </cell>
        </row>
        <row r="4">
          <cell r="J4">
            <v>3</v>
          </cell>
          <cell r="K4">
            <v>0.1875</v>
          </cell>
        </row>
        <row r="5">
          <cell r="J5">
            <v>4</v>
          </cell>
          <cell r="K5">
            <v>0.25</v>
          </cell>
        </row>
        <row r="6">
          <cell r="J6">
            <v>5</v>
          </cell>
          <cell r="K6">
            <v>0.3125</v>
          </cell>
        </row>
        <row r="7">
          <cell r="J7">
            <v>6</v>
          </cell>
          <cell r="K7">
            <v>0.375</v>
          </cell>
        </row>
        <row r="8">
          <cell r="J8">
            <v>7</v>
          </cell>
          <cell r="K8">
            <v>0.4375</v>
          </cell>
        </row>
        <row r="9">
          <cell r="J9">
            <v>8</v>
          </cell>
          <cell r="K9">
            <v>0.5</v>
          </cell>
        </row>
        <row r="10">
          <cell r="J10">
            <v>9</v>
          </cell>
          <cell r="K10">
            <v>0.5625</v>
          </cell>
        </row>
        <row r="11">
          <cell r="J11">
            <v>10</v>
          </cell>
          <cell r="K11">
            <v>0.625</v>
          </cell>
        </row>
        <row r="12">
          <cell r="J12">
            <v>11</v>
          </cell>
          <cell r="K12">
            <v>0.6875</v>
          </cell>
        </row>
        <row r="13">
          <cell r="J13">
            <v>12</v>
          </cell>
          <cell r="K13">
            <v>0.75</v>
          </cell>
        </row>
        <row r="14">
          <cell r="J14">
            <v>13</v>
          </cell>
          <cell r="K14">
            <v>0.8125</v>
          </cell>
        </row>
        <row r="15">
          <cell r="J15">
            <v>14</v>
          </cell>
          <cell r="K15">
            <v>0.875</v>
          </cell>
        </row>
        <row r="16">
          <cell r="J16">
            <v>15</v>
          </cell>
          <cell r="K16">
            <v>0.9375</v>
          </cell>
        </row>
        <row r="17">
          <cell r="J17">
            <v>16</v>
          </cell>
          <cell r="K17">
            <v>1</v>
          </cell>
        </row>
        <row r="18">
          <cell r="J18">
            <v>17</v>
          </cell>
          <cell r="K18">
            <v>1.0625</v>
          </cell>
        </row>
        <row r="19">
          <cell r="J19">
            <v>18</v>
          </cell>
          <cell r="K19">
            <v>1.125</v>
          </cell>
        </row>
        <row r="20">
          <cell r="J20">
            <v>19</v>
          </cell>
          <cell r="K20">
            <v>1.1875</v>
          </cell>
        </row>
        <row r="21">
          <cell r="J21">
            <v>20</v>
          </cell>
          <cell r="K21">
            <v>1.25</v>
          </cell>
        </row>
        <row r="22">
          <cell r="J22">
            <v>21</v>
          </cell>
          <cell r="K22">
            <v>1.3125</v>
          </cell>
        </row>
        <row r="23">
          <cell r="J23">
            <v>22</v>
          </cell>
          <cell r="K23">
            <v>1.375</v>
          </cell>
        </row>
        <row r="24">
          <cell r="J24">
            <v>23</v>
          </cell>
          <cell r="K24">
            <v>1.4375</v>
          </cell>
        </row>
        <row r="25">
          <cell r="J25">
            <v>24</v>
          </cell>
          <cell r="K25">
            <v>1.5</v>
          </cell>
        </row>
      </sheetData>
      <sheetData sheetId="12"/>
      <sheetData sheetId="13"/>
    </sheetDataSet>
  </externalBook>
</externalLink>
</file>

<file path=xl/richData/_rels/richValueRel.xml.rels><?xml version="1.0" encoding="UTF-8"?><Relationships xmlns="http://schemas.openxmlformats.org/package/2006/relationships"><Relationship Target="../media/image8.png" Type="http://schemas.openxmlformats.org/officeDocument/2006/relationships/image" Id="rId8"/><Relationship Target="../media/image3.png" Type="http://schemas.openxmlformats.org/officeDocument/2006/relationships/image" Id="rId3"/><Relationship Target="../media/image7.png" Type="http://schemas.openxmlformats.org/officeDocument/2006/relationships/image" Id="rId7"/><Relationship Target="../media/image2.png" Type="http://schemas.openxmlformats.org/officeDocument/2006/relationships/image" Id="rId2"/><Relationship Target="../media/image1.png" Type="http://schemas.openxmlformats.org/officeDocument/2006/relationships/image" Id="rId1"/><Relationship Target="../media/image6.png" Type="http://schemas.openxmlformats.org/officeDocument/2006/relationships/image" Id="rId6"/><Relationship Target="../media/image5.png" Type="http://schemas.openxmlformats.org/officeDocument/2006/relationships/image" Id="rId5"/><Relationship Target="../media/image4.png" Type="http://schemas.openxmlformats.org/officeDocument/2006/relationships/image" Id="rId4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ables/table1.xml><?xml version="1.0" encoding="utf-8"?>
<table xmlns="http://schemas.openxmlformats.org/spreadsheetml/2006/main" xmlns:r="http://schemas.openxmlformats.org/officeDocument/2006/relationships" xmlns:xdr="http://schemas.openxmlformats.org/drawingml/2006/spreadsheetDrawing" id="1" name="Materials" displayName="Materials" ref="A2:G6" totalsRowShown="false">
  <autoFilter ref="A2:G6"/>
  <tableColumns count="7">
    <tableColumn id="1" name="Material"/>
    <tableColumn id="2" name="Density (lb/in^3"/>
    <tableColumn id="3" name="Yeild Stress (ksi)"/>
    <tableColumn id="4" name="UTS (ksi)"/>
    <tableColumn id="5" name="Heat Treatment"/>
    <tableColumn id="6" name="Elastic Modulus (ksi)"/>
    <tableColumn id="7" name="Possions Ratio"/>
  </tableColumns>
  <tableStyleInfo name="TableStyleMedium2" showFirstColumn="false" showLastColumn="false" showRowStripes="true" showColumnStripes="false"/>
</table>
</file>

<file path=xl/tables/table2.xml><?xml version="1.0" encoding="utf-8"?>
<table xmlns="http://schemas.openxmlformats.org/spreadsheetml/2006/main" xmlns:r="http://schemas.openxmlformats.org/officeDocument/2006/relationships" xmlns:xdr="http://schemas.openxmlformats.org/drawingml/2006/spreadsheetDrawing" id="2" name="NAS_Shear" displayName="NAS_Shear" ref="A21:E25" totalsRowShown="false" headerRowDxfId="3">
  <autoFilter ref="A21:E25"/>
  <tableColumns count="5">
    <tableColumn id="1" name="Bolt Type:"/>
    <tableColumn id="2" name="Nom. Dia [in]"/>
    <tableColumn id="3" name="Shear Area [in2]" dataDxfId="2">
      <calculatedColumnFormula>0.25*PI()*B22^2</calculatedColumnFormula>
    </tableColumn>
    <tableColumn id="4" name="Allowable Ultimate Shear Load [lbf]" dataDxfId="1">
      <calculatedColumnFormula>$C$17*C22</calculatedColumnFormula>
    </tableColumn>
    <tableColumn id="5" name="Double Shear [lbf]" dataDxfId="0">
      <calculatedColumnFormula>D22*2</calculatedColumnFormula>
    </tableColumn>
  </tableColumns>
  <tableStyleInfo name="TableStyleMedium2" showFirstColumn="false" showLastColumn="false" showRowStripes="true" showColumnStripes="false"/>
</table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3.xml.rels><?xml version="1.0" encoding="UTF-8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6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7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8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_rels/sheet9.xml.rels><?xml version="1.0" encoding="UTF-8"?><Relationships xmlns="http://schemas.openxmlformats.org/package/2006/relationships"><Relationship Target="../tables/table2.xml" Type="http://schemas.openxmlformats.org/officeDocument/2006/relationships/table" Id="rId1"/></Relationships>
</file>

<file path=xl/worksheets/_rels/sheet11.xml.rels><?xml version="1.0" encoding="UTF-8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13.xml.rels><?xml version="1.0" encoding="UTF-8"?><Relationships xmlns="http://schemas.openxmlformats.org/package/2006/relationships"><Relationship Target="../drawings/drawing4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15.xml.rels><?xml version="1.0" encoding="UTF-8"?><Relationships xmlns="http://schemas.openxmlformats.org/package/2006/relationships"><Relationship Target="../drawings/drawing5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3A3D7-6E5A-419B-8B04-89EE71FFF4C7}">
  <dimension ref="A1:E72"/>
  <sheetViews>
    <sheetView workbookViewId="0">
      <selection activeCell="H78" sqref="H78"/>
    </sheetView>
  </sheetViews>
  <sheetFormatPr xmlns:x14ac="http://schemas.microsoft.com/office/spreadsheetml/2009/9/ac" defaultRowHeight="14.5" x14ac:dyDescent="0.35"/>
  <cols>
    <col min="1" max="1" width="15" bestFit="true" customWidth="true"/>
    <col min="2" max="2" width="13.1796875" customWidth="true"/>
    <col min="5" max="5" width="19.1796875" bestFit="true" customWidth="true"/>
  </cols>
  <sheetData>
    <row xmlns:x14ac="http://schemas.microsoft.com/office/spreadsheetml/2009/9/ac" r="1" x14ac:dyDescent="0.35">
      <c r="A1" t="s">
        <v>0</v>
      </c>
      <c r="B1" cm="1">
        <f t="array" aca="true" ref="B1" ca="true">INDIRECT(_xlfn.CONCAT(E1,C1,D1))</f>
        <v>1964.80516332602</v>
      </c>
      <c r="C1" t="s">
        <v>1</v>
      </c>
      <c r="D1">
        <v>14</v>
      </c>
      <c r="E1" s="14" t="s">
        <v>2</v>
      </c>
    </row>
    <row xmlns:x14ac="http://schemas.microsoft.com/office/spreadsheetml/2009/9/ac" r="2" x14ac:dyDescent="0.35">
      <c r="A2" t="s">
        <v>3</v>
      </c>
      <c r="B2" cm="1">
        <f t="array" aca="true" ref="B2" ca="true">INDIRECT(_xlfn.CONCAT(E2,C2,D2))</f>
        <v>140.409381289468</v>
      </c>
      <c r="C2" t="s">
        <v>4</v>
      </c>
      <c r="D2">
        <v>14</v>
      </c>
      <c r="E2" s="14" t="s">
        <v>2</v>
      </c>
    </row>
    <row xmlns:x14ac="http://schemas.microsoft.com/office/spreadsheetml/2009/9/ac" r="3" x14ac:dyDescent="0.35">
      <c r="A3" t="s">
        <v>5</v>
      </c>
      <c r="B3" cm="1">
        <f t="array" aca="true" ref="B3" ca="true">INDIRECT(_xlfn.CONCAT(E3,C3,D3))</f>
        <v>97.936127972973395</v>
      </c>
      <c r="C3" t="s">
        <v>6</v>
      </c>
      <c r="D3">
        <v>14</v>
      </c>
      <c r="E3" s="14" t="s">
        <v>2</v>
      </c>
    </row>
    <row xmlns:x14ac="http://schemas.microsoft.com/office/spreadsheetml/2009/9/ac" r="4" x14ac:dyDescent="0.35">
      <c r="A4" t="s">
        <v>7</v>
      </c>
      <c r="B4" cm="1">
        <f t="array" aca="true" ref="B4" ca="true">INDIRECT(_xlfn.CONCAT(E4,C4,D4))</f>
        <v>1682.3627874137001</v>
      </c>
      <c r="C4" t="s">
        <v>1</v>
      </c>
      <c r="D4">
        <v>15</v>
      </c>
      <c r="E4" s="14" t="s">
        <v>2</v>
      </c>
    </row>
    <row xmlns:x14ac="http://schemas.microsoft.com/office/spreadsheetml/2009/9/ac" r="5" x14ac:dyDescent="0.35">
      <c r="A5" t="s">
        <v>8</v>
      </c>
      <c r="B5" cm="1">
        <f t="array" aca="true" ref="B5" ca="true">INDIRECT(_xlfn.CONCAT(E5,C5,D5))</f>
        <v>138.47910178005799</v>
      </c>
      <c r="C5" t="s">
        <v>4</v>
      </c>
      <c r="D5">
        <v>15</v>
      </c>
      <c r="E5" s="14" t="s">
        <v>2</v>
      </c>
    </row>
    <row xmlns:x14ac="http://schemas.microsoft.com/office/spreadsheetml/2009/9/ac" r="6" x14ac:dyDescent="0.35">
      <c r="A6" t="s">
        <v>9</v>
      </c>
      <c r="B6" cm="1">
        <f t="array" aca="true" ref="B6" ca="true">INDIRECT(_xlfn.CONCAT(E6,C6,D6))</f>
        <v>99.340563537756395</v>
      </c>
      <c r="C6" t="s">
        <v>6</v>
      </c>
      <c r="D6">
        <v>15</v>
      </c>
      <c r="E6" s="14" t="s">
        <v>2</v>
      </c>
    </row>
    <row xmlns:x14ac="http://schemas.microsoft.com/office/spreadsheetml/2009/9/ac" r="7" x14ac:dyDescent="0.35">
      <c r="A7" t="s">
        <v>10</v>
      </c>
      <c r="B7" cm="1">
        <f t="array" aca="true" ref="B7" ca="true">INDIRECT(_xlfn.CONCAT(E7,C7,D7))</f>
        <v>1869.2080000000001</v>
      </c>
      <c r="C7" t="s">
        <v>1</v>
      </c>
      <c r="D7">
        <v>18</v>
      </c>
      <c r="E7" s="14" t="s">
        <v>2</v>
      </c>
    </row>
    <row xmlns:x14ac="http://schemas.microsoft.com/office/spreadsheetml/2009/9/ac" r="8" x14ac:dyDescent="0.35">
      <c r="A8" t="s">
        <v>11</v>
      </c>
      <c r="B8" cm="1">
        <f t="array" aca="true" ref="B8" ca="true">INDIRECT(_xlfn.CONCAT(E8,C8,D8))</f>
        <v>585.31399999999996</v>
      </c>
      <c r="C8" t="s">
        <v>4</v>
      </c>
      <c r="D8">
        <v>18</v>
      </c>
      <c r="E8" s="14" t="s">
        <v>2</v>
      </c>
    </row>
    <row xmlns:x14ac="http://schemas.microsoft.com/office/spreadsheetml/2009/9/ac" r="9" x14ac:dyDescent="0.35">
      <c r="A9" t="s">
        <v>12</v>
      </c>
      <c r="B9" cm="1">
        <f t="array" aca="true" ref="B9" ca="true">INDIRECT(_xlfn.CONCAT(E9,C9,D9))</f>
        <v>120</v>
      </c>
      <c r="C9" t="s">
        <v>6</v>
      </c>
      <c r="D9">
        <v>18</v>
      </c>
      <c r="E9" s="14" t="s">
        <v>2</v>
      </c>
    </row>
    <row xmlns:x14ac="http://schemas.microsoft.com/office/spreadsheetml/2009/9/ac" r="10" x14ac:dyDescent="0.35">
      <c r="A10" t="s">
        <v>13</v>
      </c>
      <c r="B10" cm="1">
        <f t="array" aca="true" ref="B10" ca="true">INDIRECT(_xlfn.CONCAT(E10,C10,D10))</f>
        <v>1998.72399430823</v>
      </c>
      <c r="C10" t="s">
        <v>1</v>
      </c>
      <c r="D10">
        <v>16</v>
      </c>
      <c r="E10" s="14" t="s">
        <v>2</v>
      </c>
    </row>
    <row xmlns:x14ac="http://schemas.microsoft.com/office/spreadsheetml/2009/9/ac" r="11" x14ac:dyDescent="0.35">
      <c r="A11" t="s">
        <v>14</v>
      </c>
      <c r="B11" cm="1">
        <f t="array" aca="true" ref="B11" ca="true">INDIRECT(_xlfn.CONCAT(E11,C11,D11))</f>
        <v>251.022886040565</v>
      </c>
      <c r="C11" t="s">
        <v>4</v>
      </c>
      <c r="D11">
        <v>16</v>
      </c>
      <c r="E11" s="14" t="s">
        <v>2</v>
      </c>
    </row>
    <row xmlns:x14ac="http://schemas.microsoft.com/office/spreadsheetml/2009/9/ac" r="12" x14ac:dyDescent="0.35">
      <c r="A12" t="s">
        <v>15</v>
      </c>
      <c r="B12" cm="1">
        <f t="array" aca="true" ref="B12" ca="true">INDIRECT(_xlfn.CONCAT(E12,C12,D12))</f>
        <v>302.83904888042599</v>
      </c>
      <c r="C12" t="s">
        <v>6</v>
      </c>
      <c r="D12">
        <v>16</v>
      </c>
      <c r="E12" s="14" t="s">
        <v>2</v>
      </c>
    </row>
    <row xmlns:x14ac="http://schemas.microsoft.com/office/spreadsheetml/2009/9/ac" r="13" x14ac:dyDescent="0.35">
      <c r="A13" t="s">
        <v>16</v>
      </c>
      <c r="B13" cm="1">
        <f t="array" aca="true" ref="B13" ca="true">INDIRECT(_xlfn.CONCAT(E13,C13,D13))</f>
        <v>1784.93177432065</v>
      </c>
      <c r="C13" t="s">
        <v>1</v>
      </c>
      <c r="D13">
        <v>17</v>
      </c>
      <c r="E13" s="14" t="s">
        <v>2</v>
      </c>
    </row>
    <row xmlns:x14ac="http://schemas.microsoft.com/office/spreadsheetml/2009/9/ac" r="14" x14ac:dyDescent="0.35">
      <c r="A14" t="s">
        <v>17</v>
      </c>
      <c r="B14" cm="1">
        <f t="array" aca="true" ref="B14" ca="true">INDIRECT(_xlfn.CONCAT(E14,C14,D14))</f>
        <v>255.20841907977797</v>
      </c>
      <c r="C14" t="s">
        <v>4</v>
      </c>
      <c r="D14">
        <v>17</v>
      </c>
      <c r="E14" s="14" t="s">
        <v>2</v>
      </c>
    </row>
    <row xmlns:x14ac="http://schemas.microsoft.com/office/spreadsheetml/2009/9/ac" r="15" x14ac:dyDescent="0.35">
      <c r="A15" t="s">
        <v>18</v>
      </c>
      <c r="B15" cm="1">
        <f t="array" aca="true" ref="B15" ca="true">INDIRECT(_xlfn.CONCAT(E15,C15,D15))</f>
        <v>250.81472189920601</v>
      </c>
      <c r="C15" t="s">
        <v>6</v>
      </c>
      <c r="D15">
        <v>17</v>
      </c>
      <c r="E15" s="14" t="s">
        <v>2</v>
      </c>
    </row>
    <row xmlns:x14ac="http://schemas.microsoft.com/office/spreadsheetml/2009/9/ac" r="16" x14ac:dyDescent="0.35">
      <c r="A16" t="s">
        <v>19</v>
      </c>
      <c r="B16" cm="1">
        <f t="array" aca="true" ref="B16" ca="true">INDIRECT(_xlfn.CONCAT(E16,C16,D16))</f>
        <v>1858.8728719201399</v>
      </c>
      <c r="C16" t="s">
        <v>1</v>
      </c>
      <c r="D16">
        <v>19</v>
      </c>
      <c r="E16" s="14" t="s">
        <v>2</v>
      </c>
    </row>
    <row xmlns:x14ac="http://schemas.microsoft.com/office/spreadsheetml/2009/9/ac" r="17" x14ac:dyDescent="0.35">
      <c r="A17" t="s">
        <v>20</v>
      </c>
      <c r="B17" cm="1">
        <f t="array" aca="true" ref="B17" ca="true">INDIRECT(_xlfn.CONCAT(E17,C17,D17))</f>
        <v>574.11583548872397</v>
      </c>
      <c r="C17" t="s">
        <v>4</v>
      </c>
      <c r="D17">
        <v>19</v>
      </c>
      <c r="E17" s="14" t="s">
        <v>2</v>
      </c>
    </row>
    <row xmlns:x14ac="http://schemas.microsoft.com/office/spreadsheetml/2009/9/ac" r="18" x14ac:dyDescent="0.35">
      <c r="A18" t="s">
        <v>21</v>
      </c>
      <c r="B18" cm="1">
        <f t="array" aca="true" ref="B18" ca="true">INDIRECT(_xlfn.CONCAT(E18,C18,D18))</f>
        <v>352.55374124324101</v>
      </c>
      <c r="C18" t="s">
        <v>6</v>
      </c>
      <c r="D18">
        <v>19</v>
      </c>
      <c r="E18" s="14" t="s">
        <v>2</v>
      </c>
    </row>
    <row xmlns:x14ac="http://schemas.microsoft.com/office/spreadsheetml/2009/9/ac" r="19" x14ac:dyDescent="0.35">
      <c r="A19" t="s">
        <v>22</v>
      </c>
      <c r="B19" cm="1">
        <f t="array" aca="true" ref="B19" ca="true">INDIRECT(_xlfn.CONCAT(E19,C19,D19))</f>
        <v>1930.86</v>
      </c>
      <c r="C19" t="s">
        <v>1</v>
      </c>
      <c r="D19">
        <v>20</v>
      </c>
      <c r="E19" s="14" t="s">
        <v>2</v>
      </c>
    </row>
    <row xmlns:x14ac="http://schemas.microsoft.com/office/spreadsheetml/2009/9/ac" r="20" x14ac:dyDescent="0.35">
      <c r="A20" t="s">
        <v>23</v>
      </c>
      <c r="B20" cm="1">
        <f t="array" aca="true" ref="B20" ca="true">INDIRECT(_xlfn.CONCAT(E20,C20,D20))</f>
        <v>181.488</v>
      </c>
      <c r="C20" t="s">
        <v>4</v>
      </c>
      <c r="D20">
        <v>20</v>
      </c>
      <c r="E20" s="14" t="s">
        <v>2</v>
      </c>
    </row>
    <row xmlns:x14ac="http://schemas.microsoft.com/office/spreadsheetml/2009/9/ac" r="21" x14ac:dyDescent="0.35">
      <c r="A21" t="s">
        <v>24</v>
      </c>
      <c r="B21" cm="1">
        <f t="array" aca="true" ref="B21" ca="true">INDIRECT(_xlfn.CONCAT(E21,C21,D21))</f>
        <v>167.43700000000001</v>
      </c>
      <c r="C21" t="s">
        <v>6</v>
      </c>
      <c r="D21">
        <v>20</v>
      </c>
      <c r="E21" s="14" t="s">
        <v>2</v>
      </c>
    </row>
    <row xmlns:x14ac="http://schemas.microsoft.com/office/spreadsheetml/2009/9/ac" r="22" x14ac:dyDescent="0.35">
      <c r="A22" t="s">
        <v>25</v>
      </c>
      <c r="B22" cm="1">
        <f t="array" aca="true" ref="B22" ca="true">INDIRECT(_xlfn.CONCAT(E22,C22,D22))</f>
        <v>1951.99194953554</v>
      </c>
      <c r="C22" t="s">
        <v>1</v>
      </c>
      <c r="D22">
        <v>21</v>
      </c>
      <c r="E22" s="14" t="s">
        <v>2</v>
      </c>
    </row>
    <row xmlns:x14ac="http://schemas.microsoft.com/office/spreadsheetml/2009/9/ac" r="23" x14ac:dyDescent="0.35">
      <c r="A23" t="s">
        <v>26</v>
      </c>
      <c r="B23" cm="1">
        <f t="array" aca="true" ref="B23" ca="true">INDIRECT(_xlfn.CONCAT(E23,C23,D23))</f>
        <v>580.81841583744904</v>
      </c>
      <c r="C23" t="s">
        <v>4</v>
      </c>
      <c r="D23">
        <v>21</v>
      </c>
      <c r="E23" s="14" t="s">
        <v>2</v>
      </c>
    </row>
    <row xmlns:x14ac="http://schemas.microsoft.com/office/spreadsheetml/2009/9/ac" r="24" x14ac:dyDescent="0.35">
      <c r="A24" t="s">
        <v>27</v>
      </c>
      <c r="B24" cm="1">
        <f t="array" aca="true" ref="B24" ca="true">INDIRECT(_xlfn.CONCAT(E24,C24,D24))</f>
        <v>265</v>
      </c>
      <c r="C24" t="s">
        <v>6</v>
      </c>
      <c r="D24">
        <v>21</v>
      </c>
      <c r="E24" s="14" t="s">
        <v>2</v>
      </c>
    </row>
    <row xmlns:x14ac="http://schemas.microsoft.com/office/spreadsheetml/2009/9/ac" r="25" x14ac:dyDescent="0.35">
      <c r="A25" t="s">
        <v>28</v>
      </c>
      <c r="B25" cm="1">
        <f t="array" aca="true" ref="B25" ca="true">INDIRECT(_xlfn.CONCAT(E25,C25,D25))</f>
        <v>880.32899999999995</v>
      </c>
      <c r="C25" t="s">
        <v>1</v>
      </c>
      <c r="D25">
        <v>29</v>
      </c>
      <c r="E25" s="14" t="s">
        <v>2</v>
      </c>
    </row>
    <row xmlns:x14ac="http://schemas.microsoft.com/office/spreadsheetml/2009/9/ac" r="26" x14ac:dyDescent="0.35">
      <c r="A26" t="s">
        <v>29</v>
      </c>
      <c r="B26" cm="1">
        <f t="array" aca="true" ref="B26" ca="true">INDIRECT(_xlfn.CONCAT(E26,C26,D26))</f>
        <v>224.172</v>
      </c>
      <c r="C26" t="s">
        <v>4</v>
      </c>
      <c r="D26">
        <v>29</v>
      </c>
      <c r="E26" s="14" t="s">
        <v>2</v>
      </c>
    </row>
    <row xmlns:x14ac="http://schemas.microsoft.com/office/spreadsheetml/2009/9/ac" r="27" x14ac:dyDescent="0.35">
      <c r="A27" t="s">
        <v>30</v>
      </c>
      <c r="B27" cm="1">
        <f t="array" aca="true" ref="B27" ca="true">INDIRECT(_xlfn.CONCAT(E27,C27,D27))</f>
        <v>537.36699999999996</v>
      </c>
      <c r="C27" t="s">
        <v>6</v>
      </c>
      <c r="D27">
        <v>29</v>
      </c>
      <c r="E27" s="14" t="s">
        <v>2</v>
      </c>
    </row>
    <row xmlns:x14ac="http://schemas.microsoft.com/office/spreadsheetml/2009/9/ac" r="28" x14ac:dyDescent="0.35">
      <c r="A28" t="s">
        <v>31</v>
      </c>
      <c r="B28" cm="1">
        <f t="array" aca="true" ref="B28" ca="true">INDIRECT(_xlfn.CONCAT(E28,C28,D28))</f>
        <v>1858.873</v>
      </c>
      <c r="C28" t="s">
        <v>1</v>
      </c>
      <c r="D28">
        <v>25</v>
      </c>
      <c r="E28" s="14" t="s">
        <v>2</v>
      </c>
    </row>
    <row xmlns:x14ac="http://schemas.microsoft.com/office/spreadsheetml/2009/9/ac" r="29" x14ac:dyDescent="0.35">
      <c r="A29" t="s">
        <v>32</v>
      </c>
      <c r="B29" cm="1">
        <f t="array" aca="true" ref="B29" ca="true">INDIRECT(_xlfn.CONCAT(E29,C29,D29))</f>
        <v>574.11599999999999</v>
      </c>
      <c r="C29" t="s">
        <v>4</v>
      </c>
      <c r="D29">
        <v>25</v>
      </c>
      <c r="E29" s="14" t="s">
        <v>2</v>
      </c>
    </row>
    <row xmlns:x14ac="http://schemas.microsoft.com/office/spreadsheetml/2009/9/ac" r="30" x14ac:dyDescent="0.35">
      <c r="A30" t="s">
        <v>33</v>
      </c>
      <c r="B30" cm="1">
        <f t="array" aca="true" ref="B30" ca="true">INDIRECT(_xlfn.CONCAT(E30,C30,D30))</f>
        <v>352.55399999999997</v>
      </c>
      <c r="C30" t="s">
        <v>6</v>
      </c>
      <c r="D30">
        <v>25</v>
      </c>
      <c r="E30" s="14" t="s">
        <v>2</v>
      </c>
    </row>
    <row xmlns:x14ac="http://schemas.microsoft.com/office/spreadsheetml/2009/9/ac" r="31" x14ac:dyDescent="0.35">
      <c r="A31" t="s">
        <v>34</v>
      </c>
      <c r="B31" cm="1">
        <f t="array" aca="true" ref="B31" ca="true">INDIRECT(_xlfn.CONCAT(E31,C31,D31))</f>
        <v>491.54804195081402</v>
      </c>
      <c r="C31" t="s">
        <v>1</v>
      </c>
      <c r="D31">
        <v>14</v>
      </c>
      <c r="E31" s="14" t="s">
        <v>35</v>
      </c>
    </row>
    <row xmlns:x14ac="http://schemas.microsoft.com/office/spreadsheetml/2009/9/ac" r="32" x14ac:dyDescent="0.35">
      <c r="A32" t="s">
        <v>36</v>
      </c>
      <c r="B32" cm="1">
        <f t="array" aca="true" ref="B32" ca="true">INDIRECT(_xlfn.CONCAT(E32,C32,D32))</f>
        <v>307.89516650151103</v>
      </c>
      <c r="C32" t="s">
        <v>4</v>
      </c>
      <c r="D32">
        <v>14</v>
      </c>
      <c r="E32" s="14" t="s">
        <v>35</v>
      </c>
    </row>
    <row xmlns:x14ac="http://schemas.microsoft.com/office/spreadsheetml/2009/9/ac" r="33" x14ac:dyDescent="0.35">
      <c r="A33" t="s">
        <v>37</v>
      </c>
      <c r="B33" cm="1">
        <f t="array" aca="true" ref="B33" ca="true">INDIRECT(_xlfn.CONCAT(E33,C33,D33))</f>
        <v>141.21810273194399</v>
      </c>
      <c r="C33" t="s">
        <v>6</v>
      </c>
      <c r="D33">
        <v>14</v>
      </c>
      <c r="E33" s="14" t="s">
        <v>35</v>
      </c>
    </row>
    <row xmlns:x14ac="http://schemas.microsoft.com/office/spreadsheetml/2009/9/ac" r="34" x14ac:dyDescent="0.35">
      <c r="A34" t="s">
        <v>38</v>
      </c>
      <c r="B34" cm="1">
        <f t="array" aca="true" ref="B34" ca="true">INDIRECT(_xlfn.CONCAT(E34,C34,D34))</f>
        <v>311.33333233376601</v>
      </c>
      <c r="C34" t="s">
        <v>1</v>
      </c>
      <c r="D34">
        <v>15</v>
      </c>
      <c r="E34" s="14" t="s">
        <v>35</v>
      </c>
    </row>
    <row xmlns:x14ac="http://schemas.microsoft.com/office/spreadsheetml/2009/9/ac" r="35" x14ac:dyDescent="0.35">
      <c r="A35" t="s">
        <v>39</v>
      </c>
      <c r="B35" cm="1">
        <f t="array" aca="true" ref="B35" ca="true">INDIRECT(_xlfn.CONCAT(E35,C35,D35))</f>
        <v>302</v>
      </c>
      <c r="C35" t="s">
        <v>4</v>
      </c>
      <c r="D35">
        <v>15</v>
      </c>
      <c r="E35" s="14" t="s">
        <v>35</v>
      </c>
    </row>
    <row xmlns:x14ac="http://schemas.microsoft.com/office/spreadsheetml/2009/9/ac" r="36" x14ac:dyDescent="0.35">
      <c r="A36" t="s">
        <v>40</v>
      </c>
      <c r="B36" cm="1">
        <f t="array" aca="true" ref="B36" ca="true">INDIRECT(_xlfn.CONCAT(E36,C36,D36))</f>
        <v>124.799595446059</v>
      </c>
      <c r="C36" t="s">
        <v>6</v>
      </c>
      <c r="D36">
        <v>15</v>
      </c>
      <c r="E36" s="14" t="s">
        <v>35</v>
      </c>
    </row>
    <row xmlns:x14ac="http://schemas.microsoft.com/office/spreadsheetml/2009/9/ac" r="37" x14ac:dyDescent="0.35">
      <c r="A37" t="s">
        <v>41</v>
      </c>
      <c r="B37" cm="1">
        <f t="array" aca="true" ref="B37" ca="true">INDIRECT(_xlfn.CONCAT(E37,C37,D37))</f>
        <v>372.84745987628202</v>
      </c>
      <c r="C37" t="s">
        <v>1</v>
      </c>
      <c r="D37">
        <v>18</v>
      </c>
      <c r="E37" s="14" t="s">
        <v>35</v>
      </c>
    </row>
    <row xmlns:x14ac="http://schemas.microsoft.com/office/spreadsheetml/2009/9/ac" r="38" x14ac:dyDescent="0.35">
      <c r="A38" t="s">
        <v>42</v>
      </c>
      <c r="B38" cm="1">
        <f t="array" aca="true" ref="B38" ca="true">INDIRECT(_xlfn.CONCAT(E38,C38,D38))</f>
        <v>573.08183100674796</v>
      </c>
      <c r="C38" t="s">
        <v>4</v>
      </c>
      <c r="D38">
        <v>18</v>
      </c>
      <c r="E38" s="14" t="s">
        <v>35</v>
      </c>
    </row>
    <row xmlns:x14ac="http://schemas.microsoft.com/office/spreadsheetml/2009/9/ac" r="39" x14ac:dyDescent="0.35">
      <c r="A39" t="s">
        <v>43</v>
      </c>
      <c r="B39" cm="1">
        <f t="array" aca="true" ref="B39" ca="true">INDIRECT(_xlfn.CONCAT(E39,C39,D39))</f>
        <v>149.41581340462699</v>
      </c>
      <c r="C39" t="s">
        <v>6</v>
      </c>
      <c r="D39">
        <v>18</v>
      </c>
      <c r="E39" s="14" t="s">
        <v>35</v>
      </c>
    </row>
    <row xmlns:x14ac="http://schemas.microsoft.com/office/spreadsheetml/2009/9/ac" r="40" x14ac:dyDescent="0.35">
      <c r="A40" t="s">
        <v>44</v>
      </c>
      <c r="B40" cm="1">
        <f t="array" aca="true" ref="B40" ca="true">INDIRECT(_xlfn.CONCAT(E40,C40,D40))</f>
        <v>402.14499999999998</v>
      </c>
      <c r="C40" t="s">
        <v>1</v>
      </c>
      <c r="D40">
        <v>16</v>
      </c>
      <c r="E40" s="14" t="s">
        <v>35</v>
      </c>
    </row>
    <row xmlns:x14ac="http://schemas.microsoft.com/office/spreadsheetml/2009/9/ac" r="41" x14ac:dyDescent="0.35">
      <c r="A41" t="s">
        <v>45</v>
      </c>
      <c r="B41" cm="1">
        <f t="array" aca="true" ref="B41" ca="true">INDIRECT(_xlfn.CONCAT(E41,C41,D41))</f>
        <v>312.13611223847499</v>
      </c>
      <c r="C41" t="s">
        <v>4</v>
      </c>
      <c r="D41">
        <v>16</v>
      </c>
      <c r="E41" s="14" t="s">
        <v>35</v>
      </c>
    </row>
    <row xmlns:x14ac="http://schemas.microsoft.com/office/spreadsheetml/2009/9/ac" r="42" x14ac:dyDescent="0.35">
      <c r="A42" t="s">
        <v>46</v>
      </c>
      <c r="B42" cm="1">
        <f t="array" aca="true" ref="B42" ca="true">INDIRECT(_xlfn.CONCAT(E42,C42,D42))</f>
        <v>263.63177748573099</v>
      </c>
      <c r="C42" t="s">
        <v>6</v>
      </c>
      <c r="D42">
        <v>16</v>
      </c>
      <c r="E42" s="14" t="s">
        <v>35</v>
      </c>
    </row>
    <row xmlns:x14ac="http://schemas.microsoft.com/office/spreadsheetml/2009/9/ac" r="43" x14ac:dyDescent="0.35">
      <c r="A43" t="s">
        <v>47</v>
      </c>
      <c r="B43" cm="1">
        <f t="array" aca="true" ref="B43" ca="true">INDIRECT(_xlfn.CONCAT(E43,C43,D43))</f>
        <v>259.36559197861698</v>
      </c>
      <c r="C43" t="s">
        <v>1</v>
      </c>
      <c r="D43">
        <v>17</v>
      </c>
      <c r="E43" s="14" t="s">
        <v>35</v>
      </c>
    </row>
    <row xmlns:x14ac="http://schemas.microsoft.com/office/spreadsheetml/2009/9/ac" r="44" x14ac:dyDescent="0.35">
      <c r="A44" t="s">
        <v>48</v>
      </c>
      <c r="B44" cm="1">
        <f t="array" aca="true" ref="B44" ca="true">INDIRECT(_xlfn.CONCAT(E44,C44,D44))</f>
        <v>309.98029738998599</v>
      </c>
      <c r="C44" t="s">
        <v>4</v>
      </c>
      <c r="D44">
        <v>17</v>
      </c>
      <c r="E44" s="14" t="s">
        <v>35</v>
      </c>
    </row>
    <row xmlns:x14ac="http://schemas.microsoft.com/office/spreadsheetml/2009/9/ac" r="45" x14ac:dyDescent="0.35">
      <c r="A45" t="s">
        <v>49</v>
      </c>
      <c r="B45" cm="1">
        <f t="array" aca="true" ref="B45" ca="true">INDIRECT(_xlfn.CONCAT(E45,C45,D45))</f>
        <v>260.648679407396</v>
      </c>
      <c r="C45" t="s">
        <v>6</v>
      </c>
      <c r="D45">
        <v>17</v>
      </c>
      <c r="E45" s="14" t="s">
        <v>35</v>
      </c>
    </row>
    <row xmlns:x14ac="http://schemas.microsoft.com/office/spreadsheetml/2009/9/ac" r="46" x14ac:dyDescent="0.35">
      <c r="A46" t="s">
        <v>50</v>
      </c>
      <c r="B46" cm="1">
        <f t="array" aca="true" ref="B46" ca="true">INDIRECT(_xlfn.CONCAT(E46,C46,D46))</f>
        <v>355.83</v>
      </c>
      <c r="C46" t="s">
        <v>1</v>
      </c>
      <c r="D46">
        <v>19</v>
      </c>
      <c r="E46" s="14" t="s">
        <v>35</v>
      </c>
    </row>
    <row xmlns:x14ac="http://schemas.microsoft.com/office/spreadsheetml/2009/9/ac" r="47" x14ac:dyDescent="0.35">
      <c r="A47" t="s">
        <v>51</v>
      </c>
      <c r="B47" cm="1">
        <f t="array" aca="true" ref="B47" ca="true">INDIRECT(_xlfn.CONCAT(E47,C47,D47))</f>
        <v>505.91000000000008</v>
      </c>
      <c r="C47" t="s">
        <v>4</v>
      </c>
      <c r="D47">
        <v>19</v>
      </c>
      <c r="E47" s="14" t="s">
        <v>35</v>
      </c>
    </row>
    <row xmlns:x14ac="http://schemas.microsoft.com/office/spreadsheetml/2009/9/ac" r="48" x14ac:dyDescent="0.35">
      <c r="A48" t="s">
        <v>52</v>
      </c>
      <c r="B48" cm="1">
        <f t="array" aca="true" ref="B48" ca="true">INDIRECT(_xlfn.CONCAT(E48,C48,D48))</f>
        <v>333.37380835748201</v>
      </c>
      <c r="C48" t="s">
        <v>6</v>
      </c>
      <c r="D48">
        <v>19</v>
      </c>
      <c r="E48" s="14" t="s">
        <v>35</v>
      </c>
    </row>
    <row xmlns:x14ac="http://schemas.microsoft.com/office/spreadsheetml/2009/9/ac" r="49" x14ac:dyDescent="0.35">
      <c r="A49" t="s">
        <v>53</v>
      </c>
      <c r="B49">
        <v>-825</v>
      </c>
      <c r="C49" t="s">
        <v>1</v>
      </c>
      <c r="D49">
        <v>20</v>
      </c>
      <c r="E49" s="14" t="s">
        <v>35</v>
      </c>
    </row>
    <row xmlns:x14ac="http://schemas.microsoft.com/office/spreadsheetml/2009/9/ac" r="50" x14ac:dyDescent="0.35">
      <c r="A50" t="s">
        <v>54</v>
      </c>
      <c r="B50">
        <v>303</v>
      </c>
      <c r="C50" t="s">
        <v>4</v>
      </c>
      <c r="D50">
        <v>20</v>
      </c>
      <c r="E50" s="14" t="s">
        <v>35</v>
      </c>
    </row>
    <row xmlns:x14ac="http://schemas.microsoft.com/office/spreadsheetml/2009/9/ac" r="51" x14ac:dyDescent="0.35">
      <c r="A51" t="s">
        <v>55</v>
      </c>
      <c r="B51">
        <v>270</v>
      </c>
      <c r="C51" t="s">
        <v>6</v>
      </c>
      <c r="D51">
        <v>20</v>
      </c>
      <c r="E51" s="14" t="s">
        <v>35</v>
      </c>
    </row>
    <row xmlns:x14ac="http://schemas.microsoft.com/office/spreadsheetml/2009/9/ac" r="52" x14ac:dyDescent="0.35">
      <c r="A52" t="s">
        <v>56</v>
      </c>
      <c r="B52">
        <v>-781.62900000000002</v>
      </c>
      <c r="C52" t="s">
        <v>1</v>
      </c>
      <c r="D52">
        <v>21</v>
      </c>
      <c r="E52" s="14" t="s">
        <v>35</v>
      </c>
    </row>
    <row xmlns:x14ac="http://schemas.microsoft.com/office/spreadsheetml/2009/9/ac" r="53" x14ac:dyDescent="0.35">
      <c r="A53" t="s">
        <v>57</v>
      </c>
      <c r="B53">
        <v>567.43499999999995</v>
      </c>
      <c r="C53" t="s">
        <v>4</v>
      </c>
      <c r="D53">
        <v>21</v>
      </c>
      <c r="E53" s="14" t="s">
        <v>35</v>
      </c>
    </row>
    <row xmlns:x14ac="http://schemas.microsoft.com/office/spreadsheetml/2009/9/ac" r="54" x14ac:dyDescent="0.35">
      <c r="A54" t="s">
        <v>58</v>
      </c>
      <c r="B54">
        <v>333.04599999999999</v>
      </c>
      <c r="C54" t="s">
        <v>6</v>
      </c>
      <c r="D54">
        <v>21</v>
      </c>
      <c r="E54" s="14" t="s">
        <v>35</v>
      </c>
    </row>
    <row xmlns:x14ac="http://schemas.microsoft.com/office/spreadsheetml/2009/9/ac" r="55" x14ac:dyDescent="0.35">
      <c r="A55" t="s">
        <v>59</v>
      </c>
      <c r="B55" cm="1">
        <f t="array" aca="true" ref="B55" ca="true">INDIRECT(_xlfn.CONCAT(E55,C55,D55))</f>
        <v>-752.31299999999999</v>
      </c>
      <c r="C55" t="s">
        <v>1</v>
      </c>
      <c r="D55">
        <v>30</v>
      </c>
      <c r="E55" s="14" t="s">
        <v>35</v>
      </c>
    </row>
    <row xmlns:x14ac="http://schemas.microsoft.com/office/spreadsheetml/2009/9/ac" r="56" x14ac:dyDescent="0.35">
      <c r="A56" t="s">
        <v>60</v>
      </c>
      <c r="B56" cm="1">
        <f t="array" aca="true" ref="B56" ca="true">INDIRECT(_xlfn.CONCAT(E56,C56,D56))</f>
        <v>276.65100000000001</v>
      </c>
      <c r="C56" t="s">
        <v>4</v>
      </c>
      <c r="D56">
        <v>30</v>
      </c>
      <c r="E56" s="14" t="s">
        <v>35</v>
      </c>
    </row>
    <row xmlns:x14ac="http://schemas.microsoft.com/office/spreadsheetml/2009/9/ac" r="57" x14ac:dyDescent="0.35">
      <c r="A57" t="s">
        <v>61</v>
      </c>
      <c r="B57" cm="1">
        <f t="array" aca="true" ref="B57" ca="true">INDIRECT(_xlfn.CONCAT(E57,C57,D57))</f>
        <v>495.32100000000003</v>
      </c>
      <c r="C57" t="s">
        <v>6</v>
      </c>
      <c r="D57">
        <v>30</v>
      </c>
      <c r="E57" s="14" t="s">
        <v>35</v>
      </c>
    </row>
    <row xmlns:x14ac="http://schemas.microsoft.com/office/spreadsheetml/2009/9/ac" r="58" x14ac:dyDescent="0.35">
      <c r="A58" t="s">
        <v>62</v>
      </c>
      <c r="B58" cm="1">
        <f t="array" aca="true" ref="B58" ca="true">INDIRECT(_xlfn.CONCAT(E58,C58,D58))</f>
        <v>355.83</v>
      </c>
      <c r="C58" t="s">
        <v>1</v>
      </c>
      <c r="D58">
        <v>26</v>
      </c>
      <c r="E58" s="14" t="s">
        <v>35</v>
      </c>
    </row>
    <row xmlns:x14ac="http://schemas.microsoft.com/office/spreadsheetml/2009/9/ac" r="59" x14ac:dyDescent="0.35">
      <c r="A59" t="s">
        <v>63</v>
      </c>
      <c r="B59" cm="1">
        <f t="array" aca="true" ref="B59" ca="true">INDIRECT(_xlfn.CONCAT(E59,C59,D59))</f>
        <v>505.91000000000008</v>
      </c>
      <c r="C59" t="s">
        <v>4</v>
      </c>
      <c r="D59">
        <v>26</v>
      </c>
      <c r="E59" s="14" t="s">
        <v>35</v>
      </c>
    </row>
    <row xmlns:x14ac="http://schemas.microsoft.com/office/spreadsheetml/2009/9/ac" r="60" x14ac:dyDescent="0.35">
      <c r="A60" t="s">
        <v>64</v>
      </c>
      <c r="B60" cm="1">
        <f t="array" aca="true" ref="B60" ca="true">INDIRECT(_xlfn.CONCAT(E60,C60,D60))</f>
        <v>333.3</v>
      </c>
      <c r="C60" t="s">
        <v>6</v>
      </c>
      <c r="D60">
        <v>26</v>
      </c>
      <c r="E60" s="14" t="s">
        <v>35</v>
      </c>
    </row>
    <row xmlns:x14ac="http://schemas.microsoft.com/office/spreadsheetml/2009/9/ac" r="61" x14ac:dyDescent="0.35">
      <c r="A61" t="s">
        <v>65</v>
      </c>
      <c r="B61" cm="1">
        <f t="array" aca="true" ref="B61" ca="true">INDIRECT(_xlfn.CONCAT(E61,C61,D61))</f>
        <v>1862.9</v>
      </c>
      <c r="C61" t="s">
        <v>1</v>
      </c>
      <c r="D61">
        <v>36</v>
      </c>
      <c r="E61" s="14" t="s">
        <v>2</v>
      </c>
    </row>
    <row xmlns:x14ac="http://schemas.microsoft.com/office/spreadsheetml/2009/9/ac" r="62" x14ac:dyDescent="0.35">
      <c r="A62" t="s">
        <v>66</v>
      </c>
      <c r="B62" cm="1">
        <f t="array" aca="true" ref="B62" ca="true">INDIRECT(_xlfn.CONCAT(E62,C62,D62))</f>
        <v>610</v>
      </c>
      <c r="C62" t="s">
        <v>1</v>
      </c>
      <c r="D62">
        <v>35</v>
      </c>
      <c r="E62" s="14" t="s">
        <v>2</v>
      </c>
    </row>
    <row xmlns:x14ac="http://schemas.microsoft.com/office/spreadsheetml/2009/9/ac" r="63" x14ac:dyDescent="0.35">
      <c r="A63" t="s">
        <v>67</v>
      </c>
      <c r="B63">
        <v>0</v>
      </c>
      <c r="C63" t="s">
        <v>1</v>
      </c>
    </row>
    <row xmlns:x14ac="http://schemas.microsoft.com/office/spreadsheetml/2009/9/ac" r="64" x14ac:dyDescent="0.35">
      <c r="A64" t="s">
        <v>68</v>
      </c>
      <c r="B64" cm="1">
        <f t="array" aca="true" ref="B64" ca="true">INDIRECT(_xlfn.CONCAT(E64,C64,D64))</f>
        <v>336</v>
      </c>
      <c r="C64" t="s">
        <v>1</v>
      </c>
      <c r="D64">
        <v>35</v>
      </c>
      <c r="E64" s="14" t="s">
        <v>35</v>
      </c>
    </row>
    <row xmlns:x14ac="http://schemas.microsoft.com/office/spreadsheetml/2009/9/ac" r="65" x14ac:dyDescent="0.35">
      <c r="A65" t="s">
        <v>69</v>
      </c>
      <c r="B65" cm="1">
        <f t="array" aca="true" ref="B65" ca="true">INDIRECT(_xlfn.CONCAT(E65,C65,D65))</f>
        <v>600</v>
      </c>
      <c r="C65" t="s">
        <v>1</v>
      </c>
      <c r="D65">
        <v>34</v>
      </c>
      <c r="E65" s="14" t="s">
        <v>35</v>
      </c>
    </row>
    <row xmlns:x14ac="http://schemas.microsoft.com/office/spreadsheetml/2009/9/ac" r="66" x14ac:dyDescent="0.35">
      <c r="A66" t="s">
        <v>70</v>
      </c>
      <c r="B66">
        <v>0</v>
      </c>
      <c r="C66" t="s">
        <v>1</v>
      </c>
      <c r="E66" s="14"/>
    </row>
    <row xmlns:x14ac="http://schemas.microsoft.com/office/spreadsheetml/2009/9/ac" r="67" x14ac:dyDescent="0.35">
      <c r="A67" t="s">
        <v>71</v>
      </c>
      <c r="B67" cm="1">
        <f t="array" aca="true" ref="B67" ca="true">INDIRECT(_xlfn.CONCAT(E67,C67,D67))</f>
        <v>1862.9</v>
      </c>
      <c r="C67" t="s">
        <v>1</v>
      </c>
      <c r="D67">
        <v>36</v>
      </c>
      <c r="E67" s="14" t="s">
        <v>2</v>
      </c>
    </row>
    <row xmlns:x14ac="http://schemas.microsoft.com/office/spreadsheetml/2009/9/ac" r="68" x14ac:dyDescent="0.35">
      <c r="A68" t="s">
        <v>72</v>
      </c>
      <c r="B68" cm="1">
        <f t="array" aca="true" ref="B68" ca="true">INDIRECT(_xlfn.CONCAT(E68,C68,D68))</f>
        <v>610</v>
      </c>
      <c r="C68" t="s">
        <v>1</v>
      </c>
      <c r="D68">
        <v>35</v>
      </c>
      <c r="E68" s="14" t="s">
        <v>2</v>
      </c>
    </row>
    <row xmlns:x14ac="http://schemas.microsoft.com/office/spreadsheetml/2009/9/ac" r="69" x14ac:dyDescent="0.35">
      <c r="A69" t="s">
        <v>73</v>
      </c>
      <c r="B69" cm="1">
        <f t="array" aca="true" ref="B69" ca="true">INDIRECT(_xlfn.CONCAT(E69,C69,D69))/2</f>
        <v>254</v>
      </c>
      <c r="C69" t="s">
        <v>1</v>
      </c>
      <c r="D69">
        <v>42</v>
      </c>
      <c r="E69" s="14" t="s">
        <v>2</v>
      </c>
    </row>
    <row xmlns:x14ac="http://schemas.microsoft.com/office/spreadsheetml/2009/9/ac" r="70" x14ac:dyDescent="0.35">
      <c r="A70" t="s">
        <v>74</v>
      </c>
      <c r="B70" cm="1">
        <f t="array" aca="true" ref="B70" ca="true">INDIRECT(_xlfn.CONCAT(E70,C70,D70))</f>
        <v>336</v>
      </c>
      <c r="C70" t="s">
        <v>1</v>
      </c>
      <c r="D70">
        <v>35</v>
      </c>
      <c r="E70" s="14" t="s">
        <v>35</v>
      </c>
    </row>
    <row xmlns:x14ac="http://schemas.microsoft.com/office/spreadsheetml/2009/9/ac" r="71" x14ac:dyDescent="0.35">
      <c r="A71" t="s">
        <v>75</v>
      </c>
      <c r="B71" cm="1">
        <f t="array" aca="true" ref="B71" ca="true">INDIRECT(_xlfn.CONCAT(E71,C71,D71))</f>
        <v>600</v>
      </c>
      <c r="C71" t="s">
        <v>1</v>
      </c>
      <c r="D71">
        <v>34</v>
      </c>
      <c r="E71" s="14" t="s">
        <v>35</v>
      </c>
    </row>
    <row xmlns:x14ac="http://schemas.microsoft.com/office/spreadsheetml/2009/9/ac" r="72" x14ac:dyDescent="0.35">
      <c r="A72" t="s">
        <v>76</v>
      </c>
      <c r="B72" cm="1">
        <f t="array" aca="true" ref="B72" ca="true">INDIRECT(_xlfn.CONCAT(E72,C72,D72))/2</f>
        <v>254</v>
      </c>
      <c r="C72" t="s">
        <v>1</v>
      </c>
      <c r="D72">
        <v>41</v>
      </c>
      <c r="E72" s="14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7EF2-36C2-4FC3-8F78-06D90C88105A}">
  <dimension ref="A1:I46"/>
  <sheetViews>
    <sheetView showGridLines="false" workbookViewId="0">
      <selection activeCell="C42" sqref="C42:E42"/>
    </sheetView>
  </sheetViews>
  <sheetFormatPr xmlns:x14ac="http://schemas.microsoft.com/office/spreadsheetml/2009/9/ac" defaultRowHeight="14.5" x14ac:dyDescent="0.35"/>
  <cols>
    <col min="1" max="1" width="15.1796875" customWidth="true"/>
    <col min="2" max="9" width="17.1796875" customWidth="true"/>
  </cols>
  <sheetData>
    <row xmlns:x14ac="http://schemas.microsoft.com/office/spreadsheetml/2009/9/ac" r="1" x14ac:dyDescent="0.35">
      <c r="A1" s="167"/>
      <c r="B1" s="7" t="s">
        <v>77</v>
      </c>
      <c r="C1" s="175" t="s">
        <v>78</v>
      </c>
      <c r="D1" s="175"/>
      <c r="E1" s="175"/>
      <c r="F1" s="175"/>
      <c r="G1" s="175"/>
      <c r="H1" s="175"/>
      <c r="I1" s="175"/>
    </row>
    <row xmlns:x14ac="http://schemas.microsoft.com/office/spreadsheetml/2009/9/ac" r="2" x14ac:dyDescent="0.35">
      <c r="A2" s="168"/>
      <c r="B2" s="7" t="s">
        <v>79</v>
      </c>
      <c r="C2" s="8" t="s">
        <v>80</v>
      </c>
      <c r="D2" s="9" t="s">
        <v>81</v>
      </c>
      <c r="E2" s="169" t="s">
        <v>82</v>
      </c>
      <c r="F2" s="169"/>
      <c r="G2" s="9" t="s">
        <v>83</v>
      </c>
      <c r="H2" s="171">
        <v>45553.751493055555</v>
      </c>
      <c r="I2" s="172"/>
    </row>
    <row xmlns:x14ac="http://schemas.microsoft.com/office/spreadsheetml/2009/9/ac" r="3" x14ac:dyDescent="0.35">
      <c r="A3" s="2"/>
      <c r="B3" s="7" t="s">
        <v>84</v>
      </c>
      <c r="C3" s="8" t="s">
        <v>85</v>
      </c>
      <c r="D3" s="10" t="s">
        <v>86</v>
      </c>
      <c r="E3" s="170" t="s">
        <v>82</v>
      </c>
      <c r="F3" s="170"/>
      <c r="G3" s="10" t="s">
        <v>87</v>
      </c>
      <c r="H3" s="173">
        <v>45555.957384259258</v>
      </c>
      <c r="I3" s="174"/>
    </row>
    <row xmlns:x14ac="http://schemas.microsoft.com/office/spreadsheetml/2009/9/ac" r="4" x14ac:dyDescent="0.35">
      <c r="A4" s="164" t="s">
        <v>88</v>
      </c>
      <c r="B4" s="175"/>
      <c r="C4" s="175"/>
      <c r="D4" s="175"/>
      <c r="E4" s="175"/>
      <c r="F4" s="175"/>
      <c r="G4" s="175"/>
      <c r="H4" s="175"/>
      <c r="I4" s="175"/>
    </row>
    <row xmlns:x14ac="http://schemas.microsoft.com/office/spreadsheetml/2009/9/ac" r="5" x14ac:dyDescent="0.35">
      <c r="A5" s="164"/>
      <c r="B5" s="175"/>
      <c r="C5" s="175"/>
      <c r="D5" s="175"/>
      <c r="E5" s="175"/>
      <c r="F5" s="175"/>
      <c r="G5" s="175"/>
      <c r="H5" s="175"/>
      <c r="I5" s="175"/>
    </row>
    <row xmlns:x14ac="http://schemas.microsoft.com/office/spreadsheetml/2009/9/ac" r="6" x14ac:dyDescent="0.35">
      <c r="A6" s="164"/>
      <c r="B6" s="175"/>
      <c r="C6" s="175"/>
      <c r="D6" s="175"/>
      <c r="E6" s="175"/>
      <c r="F6" s="175"/>
      <c r="G6" s="175"/>
      <c r="H6" s="175"/>
      <c r="I6" s="175"/>
    </row>
    <row xmlns:x14ac="http://schemas.microsoft.com/office/spreadsheetml/2009/9/ac" r="7" x14ac:dyDescent="0.35">
      <c r="A7" s="2"/>
      <c r="I7" s="3"/>
    </row>
    <row xmlns:x14ac="http://schemas.microsoft.com/office/spreadsheetml/2009/9/ac" r="8" x14ac:dyDescent="0.35">
      <c r="A8" s="164" t="s">
        <v>89</v>
      </c>
      <c r="B8" s="4" t="s">
        <v>90</v>
      </c>
      <c r="C8" s="11" t="s">
        <v>91</v>
      </c>
      <c r="D8" s="12" t="s">
        <v>92</v>
      </c>
      <c r="I8" s="3"/>
    </row>
    <row xmlns:x14ac="http://schemas.microsoft.com/office/spreadsheetml/2009/9/ac" r="9" x14ac:dyDescent="0.35">
      <c r="A9" s="164"/>
      <c r="B9" s="4" t="s">
        <v>93</v>
      </c>
      <c r="C9" s="11" t="s">
        <v>94</v>
      </c>
      <c r="D9" s="12" t="s">
        <v>95</v>
      </c>
      <c r="I9" s="3"/>
    </row>
    <row xmlns:x14ac="http://schemas.microsoft.com/office/spreadsheetml/2009/9/ac" r="10" ht="43.5" x14ac:dyDescent="0.35">
      <c r="A10" s="164"/>
      <c r="B10" s="4" t="s">
        <v>96</v>
      </c>
      <c r="C10" s="11" t="s">
        <v>97</v>
      </c>
      <c r="I10" s="3"/>
    </row>
    <row xmlns:x14ac="http://schemas.microsoft.com/office/spreadsheetml/2009/9/ac" r="11" x14ac:dyDescent="0.35">
      <c r="A11" s="2"/>
      <c r="I11" s="3"/>
    </row>
    <row xmlns:x14ac="http://schemas.microsoft.com/office/spreadsheetml/2009/9/ac" r="12" x14ac:dyDescent="0.35">
      <c r="A12" s="164" t="s">
        <v>98</v>
      </c>
      <c r="B12" s="165" t="s">
        <v>99</v>
      </c>
      <c r="C12" s="166" t="s">
        <v>100</v>
      </c>
      <c r="D12" s="166"/>
      <c r="E12" s="166"/>
      <c r="G12" s="166" t="s">
        <v>101</v>
      </c>
      <c r="H12" s="166"/>
      <c r="I12" s="166"/>
    </row>
    <row xmlns:x14ac="http://schemas.microsoft.com/office/spreadsheetml/2009/9/ac" r="13" x14ac:dyDescent="0.35">
      <c r="A13" s="164"/>
      <c r="B13" s="165"/>
      <c r="C13" s="4" t="s">
        <v>102</v>
      </c>
      <c r="D13" s="4" t="s">
        <v>103</v>
      </c>
      <c r="E13" s="4" t="s">
        <v>104</v>
      </c>
      <c r="G13" s="4" t="s">
        <v>102</v>
      </c>
      <c r="H13" s="4" t="s">
        <v>103</v>
      </c>
      <c r="I13" s="4" t="s">
        <v>104</v>
      </c>
    </row>
    <row xmlns:x14ac="http://schemas.microsoft.com/office/spreadsheetml/2009/9/ac" r="14" x14ac:dyDescent="0.35">
      <c r="A14" s="164"/>
      <c r="B14" s="11" t="s">
        <v>105</v>
      </c>
      <c r="C14" s="5">
        <v>1964.80516332602</v>
      </c>
      <c r="D14" s="5">
        <v>140.409381289468</v>
      </c>
      <c r="E14" s="5">
        <v>97.936127972973395</v>
      </c>
      <c r="G14" s="5">
        <v>1964.80516332602</v>
      </c>
      <c r="H14" s="5">
        <v>-140.409381289468</v>
      </c>
      <c r="I14" s="5">
        <v>97.936127972973395</v>
      </c>
    </row>
    <row xmlns:x14ac="http://schemas.microsoft.com/office/spreadsheetml/2009/9/ac" r="15" x14ac:dyDescent="0.35">
      <c r="A15" s="164"/>
      <c r="B15" s="11" t="s">
        <v>106</v>
      </c>
      <c r="C15" s="5">
        <v>1682.3627874137001</v>
      </c>
      <c r="D15" s="5">
        <v>138.47910178005799</v>
      </c>
      <c r="E15" s="5">
        <v>99.340563537756395</v>
      </c>
      <c r="G15" s="5">
        <v>1682.3627874137001</v>
      </c>
      <c r="H15" s="5">
        <v>-138.47910178005799</v>
      </c>
      <c r="I15" s="5">
        <v>99.340563537756395</v>
      </c>
    </row>
    <row xmlns:x14ac="http://schemas.microsoft.com/office/spreadsheetml/2009/9/ac" r="16" x14ac:dyDescent="0.35">
      <c r="A16" s="164"/>
      <c r="B16" s="11" t="s">
        <v>107</v>
      </c>
      <c r="C16" s="5">
        <v>1998.72399430823</v>
      </c>
      <c r="D16" s="5">
        <v>251.022886040565</v>
      </c>
      <c r="E16" s="5">
        <v>302.83904888042599</v>
      </c>
      <c r="G16" s="5">
        <v>1998.72399430823</v>
      </c>
      <c r="H16" s="5">
        <v>-251.022886040565</v>
      </c>
      <c r="I16" s="5">
        <v>302.83904888042599</v>
      </c>
    </row>
    <row xmlns:x14ac="http://schemas.microsoft.com/office/spreadsheetml/2009/9/ac" r="17" x14ac:dyDescent="0.35">
      <c r="A17" s="164"/>
      <c r="B17" s="11" t="s">
        <v>108</v>
      </c>
      <c r="C17" s="5">
        <v>1784.93177432065</v>
      </c>
      <c r="D17" s="5">
        <v>255.20841907977797</v>
      </c>
      <c r="E17" s="5">
        <v>250.81472189920601</v>
      </c>
      <c r="G17" s="5">
        <v>1784.93177432065</v>
      </c>
      <c r="H17" s="5">
        <v>-255.20841907977797</v>
      </c>
      <c r="I17" s="5">
        <v>250.81472189920601</v>
      </c>
    </row>
    <row xmlns:x14ac="http://schemas.microsoft.com/office/spreadsheetml/2009/9/ac" r="18" x14ac:dyDescent="0.35">
      <c r="A18" s="164"/>
      <c r="B18" s="11" t="s">
        <v>109</v>
      </c>
      <c r="C18" s="5">
        <v>1869.2080000000001</v>
      </c>
      <c r="D18" s="5">
        <v>585.31399999999996</v>
      </c>
      <c r="E18" s="5">
        <v>120</v>
      </c>
      <c r="G18" s="5">
        <v>1869.2080000000001</v>
      </c>
      <c r="H18" s="5">
        <v>-585.31399999999996</v>
      </c>
      <c r="I18" s="5">
        <v>120</v>
      </c>
    </row>
    <row xmlns:x14ac="http://schemas.microsoft.com/office/spreadsheetml/2009/9/ac" r="19" x14ac:dyDescent="0.35">
      <c r="A19" s="164"/>
      <c r="B19" s="11" t="s">
        <v>110</v>
      </c>
      <c r="C19" s="5">
        <v>1858.8728719201399</v>
      </c>
      <c r="D19" s="5">
        <v>574.11583548872397</v>
      </c>
      <c r="E19" s="5">
        <v>352.55374124324101</v>
      </c>
      <c r="G19" s="5">
        <v>1858.8728719201399</v>
      </c>
      <c r="H19" s="5">
        <v>-574.11583548872397</v>
      </c>
      <c r="I19" s="5">
        <v>352.55374124324101</v>
      </c>
    </row>
    <row xmlns:x14ac="http://schemas.microsoft.com/office/spreadsheetml/2009/9/ac" r="20" x14ac:dyDescent="0.35">
      <c r="A20" s="164"/>
      <c r="B20" s="11" t="s">
        <v>111</v>
      </c>
      <c r="C20" s="5">
        <v>1930.86</v>
      </c>
      <c r="D20" s="5">
        <v>181.488</v>
      </c>
      <c r="E20" s="5">
        <v>167.43700000000001</v>
      </c>
      <c r="G20" s="5">
        <v>1930.86</v>
      </c>
      <c r="H20" s="5">
        <v>-181.488</v>
      </c>
      <c r="I20" s="5">
        <v>167.43700000000001</v>
      </c>
    </row>
    <row xmlns:x14ac="http://schemas.microsoft.com/office/spreadsheetml/2009/9/ac" r="21" x14ac:dyDescent="0.35">
      <c r="A21" s="164"/>
      <c r="B21" s="11" t="s">
        <v>112</v>
      </c>
      <c r="C21" s="5">
        <v>1951.99194953554</v>
      </c>
      <c r="D21" s="5">
        <v>580.81841583744904</v>
      </c>
      <c r="E21" s="5">
        <v>265</v>
      </c>
      <c r="G21" s="5">
        <v>1951.99194953554</v>
      </c>
      <c r="H21" s="5">
        <v>-580.81841583744904</v>
      </c>
      <c r="I21" s="5">
        <v>265</v>
      </c>
    </row>
    <row xmlns:x14ac="http://schemas.microsoft.com/office/spreadsheetml/2009/9/ac" r="22" x14ac:dyDescent="0.35">
      <c r="A22" s="2"/>
      <c r="I22" s="3"/>
    </row>
    <row xmlns:x14ac="http://schemas.microsoft.com/office/spreadsheetml/2009/9/ac" r="23" x14ac:dyDescent="0.35">
      <c r="A23" s="164" t="s">
        <v>113</v>
      </c>
      <c r="B23" s="165" t="s">
        <v>99</v>
      </c>
      <c r="C23" s="166" t="s">
        <v>100</v>
      </c>
      <c r="D23" s="166"/>
      <c r="E23" s="166"/>
      <c r="G23" s="166" t="s">
        <v>101</v>
      </c>
      <c r="H23" s="166"/>
      <c r="I23" s="166"/>
    </row>
    <row xmlns:x14ac="http://schemas.microsoft.com/office/spreadsheetml/2009/9/ac" r="24" x14ac:dyDescent="0.35">
      <c r="A24" s="164"/>
      <c r="B24" s="165"/>
      <c r="C24" s="4" t="s">
        <v>102</v>
      </c>
      <c r="D24" s="4" t="s">
        <v>103</v>
      </c>
      <c r="E24" s="4" t="s">
        <v>104</v>
      </c>
      <c r="G24" s="4" t="s">
        <v>102</v>
      </c>
      <c r="H24" s="4" t="s">
        <v>103</v>
      </c>
      <c r="I24" s="4" t="s">
        <v>104</v>
      </c>
    </row>
    <row xmlns:x14ac="http://schemas.microsoft.com/office/spreadsheetml/2009/9/ac" r="25" x14ac:dyDescent="0.35">
      <c r="A25" s="164"/>
      <c r="B25" s="11" t="s">
        <v>566</v>
      </c>
      <c r="C25" s="5">
        <v>1858.873</v>
      </c>
      <c r="D25" s="5">
        <v>574.11599999999999</v>
      </c>
      <c r="E25" s="5">
        <v>352.55399999999997</v>
      </c>
      <c r="G25" s="5">
        <v>1858.873</v>
      </c>
      <c r="H25" s="5">
        <v>-574.11599999999999</v>
      </c>
      <c r="I25" s="5">
        <v>352.55399999999997</v>
      </c>
    </row>
    <row xmlns:x14ac="http://schemas.microsoft.com/office/spreadsheetml/2009/9/ac" r="26" x14ac:dyDescent="0.35">
      <c r="A26" s="164"/>
      <c r="B26" s="11" t="s">
        <v>114</v>
      </c>
      <c r="C26" s="5">
        <v>1800</v>
      </c>
      <c r="D26" s="5">
        <v>230</v>
      </c>
      <c r="E26" s="5">
        <v>550</v>
      </c>
      <c r="G26" s="5">
        <v>1800</v>
      </c>
      <c r="H26" s="5">
        <v>-230</v>
      </c>
      <c r="I26" s="5">
        <v>550</v>
      </c>
    </row>
    <row xmlns:x14ac="http://schemas.microsoft.com/office/spreadsheetml/2009/9/ac" r="27" x14ac:dyDescent="0.35">
      <c r="A27" s="164"/>
      <c r="B27" s="11" t="s">
        <v>115</v>
      </c>
      <c r="C27" s="5">
        <v>835</v>
      </c>
      <c r="D27" s="5">
        <v>213.24799999999999</v>
      </c>
      <c r="E27" s="5">
        <v>567.17499999999995</v>
      </c>
      <c r="G27" s="5">
        <v>835</v>
      </c>
      <c r="H27" s="5">
        <v>-213.67471</v>
      </c>
      <c r="I27" s="5">
        <v>570.09631999999999</v>
      </c>
    </row>
    <row xmlns:x14ac="http://schemas.microsoft.com/office/spreadsheetml/2009/9/ac" r="28" x14ac:dyDescent="0.35">
      <c r="A28" s="164"/>
      <c r="B28" s="11" t="s">
        <v>116</v>
      </c>
      <c r="C28" s="5">
        <v>835</v>
      </c>
      <c r="D28" s="5">
        <v>203</v>
      </c>
      <c r="E28" s="5">
        <v>550</v>
      </c>
      <c r="G28" s="5">
        <v>835</v>
      </c>
      <c r="H28" s="5">
        <v>-203.96411000000001</v>
      </c>
      <c r="I28" s="5">
        <v>552.61192000000005</v>
      </c>
    </row>
    <row xmlns:x14ac="http://schemas.microsoft.com/office/spreadsheetml/2009/9/ac" r="29" x14ac:dyDescent="0.35">
      <c r="A29" s="164"/>
      <c r="B29" s="11" t="s">
        <v>117</v>
      </c>
      <c r="C29" s="5">
        <v>880.32899999999995</v>
      </c>
      <c r="D29" s="5">
        <v>224.172</v>
      </c>
      <c r="E29" s="5">
        <v>537.36699999999996</v>
      </c>
      <c r="G29" s="5">
        <v>880.01283000000001</v>
      </c>
      <c r="H29" s="5">
        <v>-224.92435</v>
      </c>
      <c r="I29" s="5">
        <v>540.97089000000005</v>
      </c>
    </row>
    <row xmlns:x14ac="http://schemas.microsoft.com/office/spreadsheetml/2009/9/ac" r="30" x14ac:dyDescent="0.35">
      <c r="A30" s="164"/>
      <c r="B30" s="11" t="s">
        <v>118</v>
      </c>
      <c r="C30" s="5">
        <v>850.51</v>
      </c>
      <c r="D30" s="5">
        <v>139.547</v>
      </c>
      <c r="E30" s="5">
        <v>587.86099999999999</v>
      </c>
      <c r="G30" s="5">
        <v>848.59594000000004</v>
      </c>
      <c r="H30" s="5">
        <v>-138.81733</v>
      </c>
      <c r="I30" s="5">
        <v>588.79354000000001</v>
      </c>
    </row>
    <row xmlns:x14ac="http://schemas.microsoft.com/office/spreadsheetml/2009/9/ac" r="31" x14ac:dyDescent="0.35">
      <c r="A31" s="2"/>
      <c r="I31" s="3"/>
    </row>
    <row xmlns:x14ac="http://schemas.microsoft.com/office/spreadsheetml/2009/9/ac" r="32" x14ac:dyDescent="0.35">
      <c r="A32" s="40" t="s">
        <v>119</v>
      </c>
      <c r="B32" s="11" t="s">
        <v>120</v>
      </c>
      <c r="C32" s="163">
        <v>0</v>
      </c>
      <c r="D32" s="163"/>
      <c r="E32" s="163"/>
      <c r="F32" s="163"/>
      <c r="G32" s="163"/>
      <c r="H32" s="163"/>
      <c r="I32" s="163"/>
    </row>
    <row xmlns:x14ac="http://schemas.microsoft.com/office/spreadsheetml/2009/9/ac" r="33" x14ac:dyDescent="0.35">
      <c r="A33" s="2"/>
      <c r="I33" s="3"/>
    </row>
    <row xmlns:x14ac="http://schemas.microsoft.com/office/spreadsheetml/2009/9/ac" r="34" x14ac:dyDescent="0.35">
      <c r="A34" s="164" t="s">
        <v>121</v>
      </c>
      <c r="B34" s="13" t="s">
        <v>99</v>
      </c>
      <c r="C34" s="166" t="s">
        <v>100</v>
      </c>
      <c r="D34" s="166"/>
      <c r="E34" s="166"/>
      <c r="G34" s="166" t="s">
        <v>101</v>
      </c>
      <c r="H34" s="166"/>
      <c r="I34" s="166"/>
    </row>
    <row xmlns:x14ac="http://schemas.microsoft.com/office/spreadsheetml/2009/9/ac" r="35" x14ac:dyDescent="0.35">
      <c r="A35" s="164"/>
      <c r="B35" s="11" t="s">
        <v>122</v>
      </c>
      <c r="C35" s="163">
        <v>610</v>
      </c>
      <c r="D35" s="163"/>
      <c r="E35" s="163"/>
      <c r="G35" s="163">
        <v>610</v>
      </c>
      <c r="H35" s="163"/>
      <c r="I35" s="163"/>
    </row>
    <row xmlns:x14ac="http://schemas.microsoft.com/office/spreadsheetml/2009/9/ac" r="36" x14ac:dyDescent="0.35">
      <c r="A36" s="164"/>
      <c r="B36" s="11" t="s">
        <v>123</v>
      </c>
      <c r="C36" s="163">
        <v>1862.9</v>
      </c>
      <c r="D36" s="163"/>
      <c r="E36" s="163"/>
      <c r="G36" s="163">
        <v>1862.9</v>
      </c>
      <c r="H36" s="163"/>
      <c r="I36" s="163"/>
    </row>
    <row xmlns:x14ac="http://schemas.microsoft.com/office/spreadsheetml/2009/9/ac" r="37" x14ac:dyDescent="0.35">
      <c r="A37" s="164"/>
      <c r="B37" s="11" t="s">
        <v>124</v>
      </c>
      <c r="C37" s="163">
        <v>0</v>
      </c>
      <c r="D37" s="163"/>
      <c r="E37" s="163"/>
      <c r="G37" s="163">
        <v>0</v>
      </c>
      <c r="H37" s="163"/>
      <c r="I37" s="163"/>
    </row>
    <row xmlns:x14ac="http://schemas.microsoft.com/office/spreadsheetml/2009/9/ac" r="38" x14ac:dyDescent="0.35">
      <c r="A38" s="164"/>
      <c r="B38" s="11" t="s">
        <v>125</v>
      </c>
      <c r="C38" s="163">
        <v>0</v>
      </c>
      <c r="D38" s="163"/>
      <c r="E38" s="163"/>
      <c r="G38" s="163">
        <v>0</v>
      </c>
      <c r="H38" s="163"/>
      <c r="I38" s="163"/>
    </row>
    <row xmlns:x14ac="http://schemas.microsoft.com/office/spreadsheetml/2009/9/ac" r="39" x14ac:dyDescent="0.35">
      <c r="A39" s="164"/>
      <c r="B39" s="11" t="s">
        <v>126</v>
      </c>
      <c r="C39" s="163">
        <v>0</v>
      </c>
      <c r="D39" s="163"/>
      <c r="E39" s="163"/>
      <c r="G39" s="163">
        <v>0</v>
      </c>
      <c r="H39" s="163"/>
      <c r="I39" s="163"/>
    </row>
    <row xmlns:x14ac="http://schemas.microsoft.com/office/spreadsheetml/2009/9/ac" r="40" x14ac:dyDescent="0.35">
      <c r="A40" s="164"/>
      <c r="B40" s="11" t="s">
        <v>127</v>
      </c>
      <c r="C40" s="163">
        <v>0</v>
      </c>
      <c r="D40" s="163"/>
      <c r="E40" s="163"/>
      <c r="G40" s="163">
        <v>0</v>
      </c>
      <c r="H40" s="163"/>
      <c r="I40" s="163"/>
    </row>
    <row xmlns:x14ac="http://schemas.microsoft.com/office/spreadsheetml/2009/9/ac" r="41" x14ac:dyDescent="0.35">
      <c r="A41" s="164"/>
      <c r="B41" s="11" t="s">
        <v>128</v>
      </c>
      <c r="C41" s="163">
        <v>330.2</v>
      </c>
      <c r="D41" s="163"/>
      <c r="E41" s="163"/>
      <c r="G41" s="163">
        <v>330.2</v>
      </c>
      <c r="H41" s="163"/>
      <c r="I41" s="163"/>
    </row>
    <row xmlns:x14ac="http://schemas.microsoft.com/office/spreadsheetml/2009/9/ac" r="42" x14ac:dyDescent="0.35">
      <c r="A42" s="164"/>
      <c r="B42" s="11" t="s">
        <v>129</v>
      </c>
      <c r="C42" s="163">
        <v>508</v>
      </c>
      <c r="D42" s="163"/>
      <c r="E42" s="163"/>
      <c r="G42" s="163">
        <v>508</v>
      </c>
      <c r="H42" s="163"/>
      <c r="I42" s="163"/>
    </row>
    <row xmlns:x14ac="http://schemas.microsoft.com/office/spreadsheetml/2009/9/ac" r="43" x14ac:dyDescent="0.35">
      <c r="A43" s="164"/>
      <c r="B43" s="11" t="s">
        <v>130</v>
      </c>
      <c r="C43" s="163">
        <v>177.8</v>
      </c>
      <c r="D43" s="163"/>
      <c r="E43" s="163"/>
      <c r="G43" s="163">
        <v>177.8</v>
      </c>
      <c r="H43" s="163"/>
      <c r="I43" s="163"/>
    </row>
    <row xmlns:x14ac="http://schemas.microsoft.com/office/spreadsheetml/2009/9/ac" r="44" x14ac:dyDescent="0.35">
      <c r="A44" s="2"/>
      <c r="I44" s="3"/>
    </row>
    <row xmlns:x14ac="http://schemas.microsoft.com/office/spreadsheetml/2009/9/ac" r="45" x14ac:dyDescent="0.35">
      <c r="A45" s="164" t="s">
        <v>131</v>
      </c>
      <c r="B45" s="165" t="s">
        <v>132</v>
      </c>
      <c r="C45" s="165"/>
      <c r="D45" s="165" t="s">
        <v>133</v>
      </c>
      <c r="E45" s="165"/>
      <c r="I45" s="3"/>
    </row>
    <row xmlns:x14ac="http://schemas.microsoft.com/office/spreadsheetml/2009/9/ac" r="46" x14ac:dyDescent="0.35">
      <c r="A46" s="164"/>
      <c r="B46" s="11" t="s">
        <v>113</v>
      </c>
      <c r="C46" s="11" t="s">
        <v>134</v>
      </c>
      <c r="D46" s="11" t="s">
        <v>98</v>
      </c>
      <c r="E46" s="11" t="s">
        <v>135</v>
      </c>
      <c r="F46" s="1"/>
      <c r="G46" s="1"/>
      <c r="H46" s="1"/>
      <c r="I46" s="6"/>
    </row>
  </sheetData>
  <mergeCells count="42">
    <mergeCell ref="A23:A30"/>
    <mergeCell ref="B23:B24"/>
    <mergeCell ref="C23:E23"/>
    <mergeCell ref="G23:I23"/>
    <mergeCell ref="A1:A2"/>
    <mergeCell ref="E2:F2"/>
    <mergeCell ref="E3:F3"/>
    <mergeCell ref="H2:I2"/>
    <mergeCell ref="H3:I3"/>
    <mergeCell ref="A4:A6"/>
    <mergeCell ref="B4:I6"/>
    <mergeCell ref="C1:I1"/>
    <mergeCell ref="A8:A10"/>
    <mergeCell ref="A12:A21"/>
    <mergeCell ref="B12:B13"/>
    <mergeCell ref="C12:E12"/>
    <mergeCell ref="G12:I12"/>
    <mergeCell ref="C32:I32"/>
    <mergeCell ref="A34:A43"/>
    <mergeCell ref="C34:E34"/>
    <mergeCell ref="G34:I34"/>
    <mergeCell ref="C35:E35"/>
    <mergeCell ref="G35:I35"/>
    <mergeCell ref="C36:E36"/>
    <mergeCell ref="G36:I36"/>
    <mergeCell ref="C37:E37"/>
    <mergeCell ref="G37:I37"/>
    <mergeCell ref="C38:E38"/>
    <mergeCell ref="G38:I38"/>
    <mergeCell ref="C39:E39"/>
    <mergeCell ref="G39:I39"/>
    <mergeCell ref="C40:E40"/>
    <mergeCell ref="G40:I40"/>
    <mergeCell ref="A45:A46"/>
    <mergeCell ref="B45:C45"/>
    <mergeCell ref="D45:E45"/>
    <mergeCell ref="C41:E41"/>
    <mergeCell ref="G41:I41"/>
    <mergeCell ref="C42:E42"/>
    <mergeCell ref="G42:I42"/>
    <mergeCell ref="C43:E43"/>
    <mergeCell ref="G43:I4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CB38-AE03-4466-90B8-753869AA58A3}">
  <dimension ref="A1:M45"/>
  <sheetViews>
    <sheetView showGridLines="false" topLeftCell="A34" workbookViewId="0">
      <selection activeCell="C41" sqref="C41:E41"/>
    </sheetView>
  </sheetViews>
  <sheetFormatPr xmlns:x14ac="http://schemas.microsoft.com/office/spreadsheetml/2009/9/ac" defaultRowHeight="14.5" x14ac:dyDescent="0.35"/>
  <cols>
    <col min="1" max="1" width="15.1796875" customWidth="true"/>
    <col min="2" max="9" width="17.1796875" customWidth="true"/>
  </cols>
  <sheetData>
    <row xmlns:x14ac="http://schemas.microsoft.com/office/spreadsheetml/2009/9/ac" r="1" x14ac:dyDescent="0.35">
      <c r="A1" s="167"/>
      <c r="B1" s="7" t="s">
        <v>77</v>
      </c>
      <c r="C1" s="175" t="s">
        <v>136</v>
      </c>
      <c r="D1" s="175"/>
      <c r="E1" s="175"/>
      <c r="F1" s="175"/>
      <c r="G1" s="175"/>
      <c r="H1" s="175"/>
      <c r="I1" s="175"/>
    </row>
    <row xmlns:x14ac="http://schemas.microsoft.com/office/spreadsheetml/2009/9/ac" r="2" x14ac:dyDescent="0.35">
      <c r="A2" s="168"/>
      <c r="B2" s="7" t="s">
        <v>79</v>
      </c>
      <c r="C2" s="8" t="s">
        <v>80</v>
      </c>
      <c r="D2" s="9" t="s">
        <v>81</v>
      </c>
      <c r="E2" s="169" t="s">
        <v>82</v>
      </c>
      <c r="F2" s="169"/>
      <c r="G2" s="9" t="s">
        <v>83</v>
      </c>
      <c r="H2" s="171">
        <v>45540.87804398148</v>
      </c>
      <c r="I2" s="172"/>
    </row>
    <row xmlns:x14ac="http://schemas.microsoft.com/office/spreadsheetml/2009/9/ac" r="3" x14ac:dyDescent="0.35">
      <c r="A3" s="2"/>
      <c r="B3" s="7" t="s">
        <v>84</v>
      </c>
      <c r="C3" s="8" t="s">
        <v>85</v>
      </c>
      <c r="D3" s="10" t="s">
        <v>86</v>
      </c>
      <c r="E3" s="170" t="s">
        <v>82</v>
      </c>
      <c r="F3" s="170"/>
      <c r="G3" s="10" t="s">
        <v>87</v>
      </c>
      <c r="H3" s="173">
        <v>45555.951585648145</v>
      </c>
      <c r="I3" s="174"/>
    </row>
    <row xmlns:x14ac="http://schemas.microsoft.com/office/spreadsheetml/2009/9/ac" r="4" x14ac:dyDescent="0.35">
      <c r="A4" s="164" t="s">
        <v>88</v>
      </c>
      <c r="B4" s="175"/>
      <c r="C4" s="175"/>
      <c r="D4" s="175"/>
      <c r="E4" s="175"/>
      <c r="F4" s="175"/>
      <c r="G4" s="175"/>
      <c r="H4" s="175"/>
      <c r="I4" s="175"/>
    </row>
    <row xmlns:x14ac="http://schemas.microsoft.com/office/spreadsheetml/2009/9/ac" r="5" x14ac:dyDescent="0.35">
      <c r="A5" s="164"/>
      <c r="B5" s="175"/>
      <c r="C5" s="175"/>
      <c r="D5" s="175"/>
      <c r="E5" s="175"/>
      <c r="F5" s="175"/>
      <c r="G5" s="175"/>
      <c r="H5" s="175"/>
      <c r="I5" s="175"/>
    </row>
    <row xmlns:x14ac="http://schemas.microsoft.com/office/spreadsheetml/2009/9/ac" r="6" x14ac:dyDescent="0.35">
      <c r="A6" s="164"/>
      <c r="B6" s="175"/>
      <c r="C6" s="175"/>
      <c r="D6" s="175"/>
      <c r="E6" s="175"/>
      <c r="F6" s="175"/>
      <c r="G6" s="175"/>
      <c r="H6" s="175"/>
      <c r="I6" s="175"/>
    </row>
    <row xmlns:x14ac="http://schemas.microsoft.com/office/spreadsheetml/2009/9/ac" r="7" x14ac:dyDescent="0.35">
      <c r="A7" s="2"/>
      <c r="I7" s="3"/>
    </row>
    <row xmlns:x14ac="http://schemas.microsoft.com/office/spreadsheetml/2009/9/ac" r="8" x14ac:dyDescent="0.35">
      <c r="A8" s="164" t="s">
        <v>89</v>
      </c>
      <c r="B8" s="4" t="s">
        <v>90</v>
      </c>
      <c r="C8" s="11" t="s">
        <v>91</v>
      </c>
      <c r="D8" s="12" t="s">
        <v>92</v>
      </c>
      <c r="I8" s="3"/>
    </row>
    <row xmlns:x14ac="http://schemas.microsoft.com/office/spreadsheetml/2009/9/ac" r="9" x14ac:dyDescent="0.35">
      <c r="A9" s="164"/>
      <c r="B9" s="4" t="s">
        <v>93</v>
      </c>
      <c r="C9" s="11" t="s">
        <v>94</v>
      </c>
      <c r="D9" s="12" t="s">
        <v>95</v>
      </c>
      <c r="I9" s="3"/>
    </row>
    <row xmlns:x14ac="http://schemas.microsoft.com/office/spreadsheetml/2009/9/ac" r="10" ht="43.5" x14ac:dyDescent="0.35">
      <c r="A10" s="164"/>
      <c r="B10" s="4" t="s">
        <v>96</v>
      </c>
      <c r="C10" s="11" t="s">
        <v>97</v>
      </c>
      <c r="I10" s="3"/>
    </row>
    <row xmlns:x14ac="http://schemas.microsoft.com/office/spreadsheetml/2009/9/ac" r="11" x14ac:dyDescent="0.35">
      <c r="A11" s="2"/>
      <c r="I11" s="3"/>
    </row>
    <row xmlns:x14ac="http://schemas.microsoft.com/office/spreadsheetml/2009/9/ac" r="12" x14ac:dyDescent="0.35">
      <c r="A12" s="164" t="s">
        <v>98</v>
      </c>
      <c r="B12" s="165" t="s">
        <v>99</v>
      </c>
      <c r="C12" s="166" t="s">
        <v>100</v>
      </c>
      <c r="D12" s="166"/>
      <c r="E12" s="166"/>
      <c r="G12" s="166" t="s">
        <v>101</v>
      </c>
      <c r="H12" s="166"/>
      <c r="I12" s="166"/>
    </row>
    <row xmlns:x14ac="http://schemas.microsoft.com/office/spreadsheetml/2009/9/ac" r="13" x14ac:dyDescent="0.35">
      <c r="A13" s="164"/>
      <c r="B13" s="165"/>
      <c r="C13" s="4" t="s">
        <v>102</v>
      </c>
      <c r="D13" s="4" t="s">
        <v>103</v>
      </c>
      <c r="E13" s="4" t="s">
        <v>104</v>
      </c>
      <c r="G13" s="4" t="s">
        <v>102</v>
      </c>
      <c r="H13" s="4" t="s">
        <v>103</v>
      </c>
      <c r="I13" s="4" t="s">
        <v>104</v>
      </c>
    </row>
    <row xmlns:x14ac="http://schemas.microsoft.com/office/spreadsheetml/2009/9/ac" r="14" x14ac:dyDescent="0.35">
      <c r="A14" s="164"/>
      <c r="B14" s="11" t="s">
        <v>105</v>
      </c>
      <c r="C14" s="5">
        <v>491.54804195081402</v>
      </c>
      <c r="D14" s="5">
        <v>307.89516650151103</v>
      </c>
      <c r="E14" s="5">
        <v>141.21810273194399</v>
      </c>
      <c r="G14" s="5">
        <v>491.54804195081402</v>
      </c>
      <c r="H14" s="5">
        <v>-307.89516650151103</v>
      </c>
      <c r="I14" s="5">
        <v>141.21810273194399</v>
      </c>
    </row>
    <row xmlns:x14ac="http://schemas.microsoft.com/office/spreadsheetml/2009/9/ac" r="15" x14ac:dyDescent="0.35">
      <c r="A15" s="164"/>
      <c r="B15" s="11" t="s">
        <v>106</v>
      </c>
      <c r="C15" s="5">
        <v>311.33333233376601</v>
      </c>
      <c r="D15" s="5">
        <v>302</v>
      </c>
      <c r="E15" s="5">
        <v>124.799595446059</v>
      </c>
      <c r="G15" s="5">
        <v>311.33333233376601</v>
      </c>
      <c r="H15" s="5">
        <v>-302</v>
      </c>
      <c r="I15" s="5">
        <v>124.799595446059</v>
      </c>
    </row>
    <row xmlns:x14ac="http://schemas.microsoft.com/office/spreadsheetml/2009/9/ac" r="16" x14ac:dyDescent="0.35">
      <c r="A16" s="164"/>
      <c r="B16" s="11" t="s">
        <v>107</v>
      </c>
      <c r="C16" s="5">
        <v>402.14499999999998</v>
      </c>
      <c r="D16" s="5">
        <v>312.13611223847499</v>
      </c>
      <c r="E16" s="5">
        <v>263.63177748573099</v>
      </c>
      <c r="G16" s="5">
        <v>402.14499999999998</v>
      </c>
      <c r="H16" s="5">
        <v>-312.13611223847499</v>
      </c>
      <c r="I16" s="5">
        <v>263.63177748573099</v>
      </c>
    </row>
    <row xmlns:x14ac="http://schemas.microsoft.com/office/spreadsheetml/2009/9/ac" r="17" x14ac:dyDescent="0.35">
      <c r="A17" s="164"/>
      <c r="B17" s="11" t="s">
        <v>108</v>
      </c>
      <c r="C17" s="5">
        <v>259.36559197861698</v>
      </c>
      <c r="D17" s="5">
        <v>309.98029738998599</v>
      </c>
      <c r="E17" s="5">
        <v>260.648679407396</v>
      </c>
      <c r="G17" s="5">
        <v>259.36559197861698</v>
      </c>
      <c r="H17" s="5">
        <v>-309.98029738998599</v>
      </c>
      <c r="I17" s="5">
        <v>260.648679407396</v>
      </c>
    </row>
    <row xmlns:x14ac="http://schemas.microsoft.com/office/spreadsheetml/2009/9/ac" r="18" x14ac:dyDescent="0.35">
      <c r="A18" s="164"/>
      <c r="B18" s="11" t="s">
        <v>109</v>
      </c>
      <c r="C18" s="5">
        <v>372.84745987628202</v>
      </c>
      <c r="D18" s="5">
        <v>573.08183100674796</v>
      </c>
      <c r="E18" s="5">
        <v>149.41581340462699</v>
      </c>
      <c r="G18" s="5">
        <v>372.84745987628202</v>
      </c>
      <c r="H18" s="5">
        <v>-573.08183100674796</v>
      </c>
      <c r="I18" s="5">
        <v>149.41581340462699</v>
      </c>
    </row>
    <row xmlns:x14ac="http://schemas.microsoft.com/office/spreadsheetml/2009/9/ac" r="19" x14ac:dyDescent="0.35">
      <c r="A19" s="164"/>
      <c r="B19" s="11" t="s">
        <v>110</v>
      </c>
      <c r="C19" s="5">
        <v>355.83</v>
      </c>
      <c r="D19" s="5">
        <v>505.91000000000008</v>
      </c>
      <c r="E19" s="5">
        <v>333.37380835748201</v>
      </c>
      <c r="G19" s="5">
        <v>355.83</v>
      </c>
      <c r="H19" s="5">
        <v>-505.91000000000008</v>
      </c>
      <c r="I19" s="5">
        <v>333.37380835748201</v>
      </c>
    </row>
    <row xmlns:x14ac="http://schemas.microsoft.com/office/spreadsheetml/2009/9/ac" r="20" x14ac:dyDescent="0.35">
      <c r="A20" s="164"/>
      <c r="B20" s="11" t="s">
        <v>111</v>
      </c>
      <c r="C20" s="5">
        <v>181.15600000000001</v>
      </c>
      <c r="D20" s="5">
        <v>306.065</v>
      </c>
      <c r="E20" s="5">
        <v>191</v>
      </c>
      <c r="G20" s="5">
        <v>181.155770426114</v>
      </c>
      <c r="H20" s="5">
        <v>-306.064664747287</v>
      </c>
      <c r="I20" s="5">
        <v>235.86663779435</v>
      </c>
    </row>
    <row xmlns:x14ac="http://schemas.microsoft.com/office/spreadsheetml/2009/9/ac" r="21" x14ac:dyDescent="0.35">
      <c r="A21" s="164"/>
      <c r="B21" s="11" t="s">
        <v>112</v>
      </c>
      <c r="C21" s="51">
        <v>261.89800000000002</v>
      </c>
      <c r="D21" s="51">
        <v>531.78599999999994</v>
      </c>
      <c r="E21" s="51">
        <v>254</v>
      </c>
      <c r="G21" s="51">
        <v>261.89834221293899</v>
      </c>
      <c r="H21" s="51">
        <v>-531.78594065121899</v>
      </c>
      <c r="I21" s="51">
        <v>310.43852356246498</v>
      </c>
    </row>
    <row xmlns:x14ac="http://schemas.microsoft.com/office/spreadsheetml/2009/9/ac" r="22" x14ac:dyDescent="0.35">
      <c r="A22" s="164"/>
      <c r="B22" s="11" t="s">
        <v>137</v>
      </c>
      <c r="C22" s="176" t="s">
        <v>138</v>
      </c>
      <c r="D22" s="176"/>
      <c r="E22" s="176"/>
      <c r="F22" s="176"/>
      <c r="G22" s="176"/>
      <c r="H22" s="176"/>
      <c r="I22" s="176"/>
    </row>
    <row xmlns:x14ac="http://schemas.microsoft.com/office/spreadsheetml/2009/9/ac" r="23" x14ac:dyDescent="0.35">
      <c r="A23" s="2"/>
      <c r="I23" s="3"/>
    </row>
    <row xmlns:x14ac="http://schemas.microsoft.com/office/spreadsheetml/2009/9/ac" r="24" x14ac:dyDescent="0.35">
      <c r="A24" s="164" t="s">
        <v>113</v>
      </c>
      <c r="B24" s="165" t="s">
        <v>99</v>
      </c>
      <c r="C24" s="166" t="s">
        <v>100</v>
      </c>
      <c r="D24" s="166"/>
      <c r="E24" s="166"/>
      <c r="G24" s="166" t="s">
        <v>101</v>
      </c>
      <c r="H24" s="166"/>
      <c r="I24" s="166"/>
    </row>
    <row xmlns:x14ac="http://schemas.microsoft.com/office/spreadsheetml/2009/9/ac" r="25" x14ac:dyDescent="0.35">
      <c r="A25" s="164"/>
      <c r="B25" s="165"/>
      <c r="C25" s="4" t="s">
        <v>102</v>
      </c>
      <c r="D25" s="4" t="s">
        <v>103</v>
      </c>
      <c r="E25" s="4" t="s">
        <v>104</v>
      </c>
      <c r="G25" s="4" t="s">
        <v>102</v>
      </c>
      <c r="H25" s="4" t="s">
        <v>103</v>
      </c>
      <c r="I25" s="4" t="s">
        <v>104</v>
      </c>
    </row>
    <row xmlns:x14ac="http://schemas.microsoft.com/office/spreadsheetml/2009/9/ac" r="26" x14ac:dyDescent="0.35">
      <c r="A26" s="164"/>
      <c r="B26" s="11" t="s">
        <v>566</v>
      </c>
      <c r="C26" s="5">
        <v>355.83</v>
      </c>
      <c r="D26" s="5">
        <v>505.91000000000008</v>
      </c>
      <c r="E26" s="5">
        <v>333.3</v>
      </c>
      <c r="G26" s="5">
        <v>355.83</v>
      </c>
      <c r="H26" s="5">
        <v>-505.91000000000008</v>
      </c>
      <c r="I26" s="5">
        <v>333.3</v>
      </c>
    </row>
    <row xmlns:x14ac="http://schemas.microsoft.com/office/spreadsheetml/2009/9/ac" r="27" x14ac:dyDescent="0.35">
      <c r="A27" s="164"/>
      <c r="B27" s="11" t="s">
        <v>114</v>
      </c>
      <c r="C27" s="5">
        <v>333.87200000000001</v>
      </c>
      <c r="D27" s="5">
        <v>260</v>
      </c>
      <c r="E27" s="5">
        <v>500</v>
      </c>
      <c r="G27" s="5">
        <v>333.87200000000001</v>
      </c>
      <c r="H27" s="5">
        <v>-260</v>
      </c>
      <c r="I27" s="5">
        <v>500</v>
      </c>
    </row>
    <row xmlns:x14ac="http://schemas.microsoft.com/office/spreadsheetml/2009/9/ac" r="28" x14ac:dyDescent="0.35">
      <c r="A28" s="164"/>
      <c r="B28" s="11" t="s">
        <v>115</v>
      </c>
      <c r="C28" s="5">
        <v>-695.21189000000004</v>
      </c>
      <c r="D28" s="5">
        <v>265.83524</v>
      </c>
      <c r="E28" s="5">
        <v>526.80930000000001</v>
      </c>
      <c r="G28" s="5">
        <v>-695.21189000000004</v>
      </c>
      <c r="H28" s="5">
        <v>-265.83524</v>
      </c>
      <c r="I28" s="5">
        <v>526.80930000000001</v>
      </c>
    </row>
    <row xmlns:x14ac="http://schemas.microsoft.com/office/spreadsheetml/2009/9/ac" r="29" x14ac:dyDescent="0.35">
      <c r="A29" s="164"/>
      <c r="B29" s="11" t="s">
        <v>116</v>
      </c>
      <c r="C29" s="5">
        <v>-695</v>
      </c>
      <c r="D29" s="5">
        <v>255</v>
      </c>
      <c r="E29" s="5">
        <v>510</v>
      </c>
      <c r="G29" s="5">
        <v>-695</v>
      </c>
      <c r="H29" s="5">
        <v>-255</v>
      </c>
      <c r="I29" s="5">
        <v>510</v>
      </c>
    </row>
    <row xmlns:x14ac="http://schemas.microsoft.com/office/spreadsheetml/2009/9/ac" r="30" x14ac:dyDescent="0.35">
      <c r="A30" s="164"/>
      <c r="B30" s="11" t="s">
        <v>117</v>
      </c>
      <c r="C30" s="5">
        <v>-752.31299999999999</v>
      </c>
      <c r="D30" s="5">
        <v>276.65100000000001</v>
      </c>
      <c r="E30" s="5">
        <v>495.32100000000003</v>
      </c>
      <c r="G30" s="5">
        <v>-755.13319999999999</v>
      </c>
      <c r="H30" s="5">
        <v>-277.71615000000003</v>
      </c>
      <c r="I30" s="5">
        <v>494.59919000000002</v>
      </c>
      <c r="K30">
        <f>(C26-C30)/(SQRT(SUM(($C$30-$C$26)^2,($D$30-$D$26)^2,($E$30-$E$26)^2)))</f>
        <v>0.96937691527889236</v>
      </c>
      <c r="L30">
        <f t="shared" ref="L30:M30" si="0">(D26-D30)/(SQRT(SUM(($C$30-$C$26)^2,($D$30-$D$26)^2,($E$30-$E$26)^2)))</f>
        <v>0.2005502739447198</v>
      </c>
      <c r="M30">
        <f t="shared" si="0"/>
        <v>-0.141732084388388</v>
      </c>
    </row>
    <row xmlns:x14ac="http://schemas.microsoft.com/office/spreadsheetml/2009/9/ac" r="31" x14ac:dyDescent="0.35">
      <c r="A31" s="164"/>
      <c r="B31" s="11" t="s">
        <v>118</v>
      </c>
      <c r="C31" s="5">
        <v>-698.64889000000005</v>
      </c>
      <c r="D31" s="5">
        <v>175.18932000000001</v>
      </c>
      <c r="E31" s="5">
        <v>561.39981</v>
      </c>
      <c r="G31" s="5">
        <v>-698.64889000000005</v>
      </c>
      <c r="H31" s="5">
        <v>-175.18932000000001</v>
      </c>
      <c r="I31" s="5">
        <v>561.39981</v>
      </c>
      <c r="K31" s="33">
        <f>K30*'Link Calcs'!$K$14</f>
        <v>-4429.8814482172011</v>
      </c>
      <c r="L31" s="33">
        <f>L30*'Link Calcs'!$K$14</f>
        <v>-916.47936316596997</v>
      </c>
      <c r="M31" s="33">
        <f>M30*'Link Calcs'!$K$14</f>
        <v>647.69061585156351</v>
      </c>
    </row>
    <row xmlns:x14ac="http://schemas.microsoft.com/office/spreadsheetml/2009/9/ac" r="32" x14ac:dyDescent="0.35">
      <c r="A32" s="2"/>
      <c r="I32" s="3"/>
    </row>
    <row xmlns:x14ac="http://schemas.microsoft.com/office/spreadsheetml/2009/9/ac" r="33" x14ac:dyDescent="0.35">
      <c r="A33" s="164" t="s">
        <v>121</v>
      </c>
      <c r="B33" s="13" t="s">
        <v>99</v>
      </c>
      <c r="C33" s="166" t="s">
        <v>100</v>
      </c>
      <c r="D33" s="166"/>
      <c r="E33" s="166"/>
      <c r="G33" s="166" t="s">
        <v>101</v>
      </c>
      <c r="H33" s="166"/>
      <c r="I33" s="166"/>
    </row>
    <row xmlns:x14ac="http://schemas.microsoft.com/office/spreadsheetml/2009/9/ac" r="34" x14ac:dyDescent="0.35">
      <c r="A34" s="164"/>
      <c r="B34" s="11" t="s">
        <v>122</v>
      </c>
      <c r="C34" s="163">
        <v>600</v>
      </c>
      <c r="D34" s="163"/>
      <c r="E34" s="163"/>
      <c r="G34" s="163">
        <v>600</v>
      </c>
      <c r="H34" s="163"/>
      <c r="I34" s="163"/>
    </row>
    <row xmlns:x14ac="http://schemas.microsoft.com/office/spreadsheetml/2009/9/ac" r="35" x14ac:dyDescent="0.35">
      <c r="A35" s="164"/>
      <c r="B35" s="11" t="s">
        <v>123</v>
      </c>
      <c r="C35" s="163">
        <v>336</v>
      </c>
      <c r="D35" s="163"/>
      <c r="E35" s="163"/>
      <c r="G35" s="163">
        <v>336</v>
      </c>
      <c r="H35" s="163"/>
      <c r="I35" s="163"/>
    </row>
    <row xmlns:x14ac="http://schemas.microsoft.com/office/spreadsheetml/2009/9/ac" r="36" x14ac:dyDescent="0.35">
      <c r="A36" s="164"/>
      <c r="B36" s="11" t="s">
        <v>124</v>
      </c>
      <c r="C36" s="163">
        <v>0</v>
      </c>
      <c r="D36" s="163"/>
      <c r="E36" s="163"/>
      <c r="G36" s="163">
        <v>0</v>
      </c>
      <c r="H36" s="163"/>
      <c r="I36" s="163"/>
    </row>
    <row xmlns:x14ac="http://schemas.microsoft.com/office/spreadsheetml/2009/9/ac" r="37" x14ac:dyDescent="0.35">
      <c r="A37" s="164"/>
      <c r="B37" s="11" t="s">
        <v>125</v>
      </c>
      <c r="C37" s="163">
        <v>0</v>
      </c>
      <c r="D37" s="163"/>
      <c r="E37" s="163"/>
      <c r="G37" s="163">
        <v>0</v>
      </c>
      <c r="H37" s="163"/>
      <c r="I37" s="163"/>
    </row>
    <row xmlns:x14ac="http://schemas.microsoft.com/office/spreadsheetml/2009/9/ac" r="38" x14ac:dyDescent="0.35">
      <c r="A38" s="164"/>
      <c r="B38" s="11" t="s">
        <v>126</v>
      </c>
      <c r="C38" s="163">
        <v>0</v>
      </c>
      <c r="D38" s="163"/>
      <c r="E38" s="163"/>
      <c r="G38" s="163">
        <v>0</v>
      </c>
      <c r="H38" s="163"/>
      <c r="I38" s="163"/>
    </row>
    <row xmlns:x14ac="http://schemas.microsoft.com/office/spreadsheetml/2009/9/ac" r="39" x14ac:dyDescent="0.35">
      <c r="A39" s="164"/>
      <c r="B39" s="11" t="s">
        <v>127</v>
      </c>
      <c r="C39" s="163">
        <v>0</v>
      </c>
      <c r="D39" s="163"/>
      <c r="E39" s="163"/>
      <c r="G39" s="163">
        <v>0</v>
      </c>
      <c r="H39" s="163"/>
      <c r="I39" s="163"/>
    </row>
    <row xmlns:x14ac="http://schemas.microsoft.com/office/spreadsheetml/2009/9/ac" r="40" x14ac:dyDescent="0.35">
      <c r="A40" s="164"/>
      <c r="B40" s="11" t="s">
        <v>128</v>
      </c>
      <c r="C40" s="163">
        <v>330.2</v>
      </c>
      <c r="D40" s="163"/>
      <c r="E40" s="163"/>
      <c r="G40" s="163">
        <v>330.2</v>
      </c>
      <c r="H40" s="163"/>
      <c r="I40" s="163"/>
    </row>
    <row xmlns:x14ac="http://schemas.microsoft.com/office/spreadsheetml/2009/9/ac" r="41" x14ac:dyDescent="0.35">
      <c r="A41" s="164"/>
      <c r="B41" s="11" t="s">
        <v>129</v>
      </c>
      <c r="C41" s="163">
        <v>508</v>
      </c>
      <c r="D41" s="163"/>
      <c r="E41" s="163"/>
      <c r="G41" s="163">
        <v>508</v>
      </c>
      <c r="H41" s="163"/>
      <c r="I41" s="163"/>
    </row>
    <row xmlns:x14ac="http://schemas.microsoft.com/office/spreadsheetml/2009/9/ac" r="42" x14ac:dyDescent="0.35">
      <c r="A42" s="164"/>
      <c r="B42" s="11" t="s">
        <v>130</v>
      </c>
      <c r="C42" s="163">
        <v>177.8</v>
      </c>
      <c r="D42" s="163"/>
      <c r="E42" s="163"/>
      <c r="G42" s="163">
        <v>177.8</v>
      </c>
      <c r="H42" s="163"/>
      <c r="I42" s="163"/>
    </row>
    <row xmlns:x14ac="http://schemas.microsoft.com/office/spreadsheetml/2009/9/ac" r="43" x14ac:dyDescent="0.35">
      <c r="A43" s="2"/>
      <c r="I43" s="3"/>
    </row>
    <row xmlns:x14ac="http://schemas.microsoft.com/office/spreadsheetml/2009/9/ac" r="44" x14ac:dyDescent="0.35">
      <c r="A44" s="164" t="s">
        <v>131</v>
      </c>
      <c r="B44" s="165" t="s">
        <v>132</v>
      </c>
      <c r="C44" s="165"/>
      <c r="D44" s="165" t="s">
        <v>133</v>
      </c>
      <c r="E44" s="165"/>
      <c r="I44" s="3"/>
    </row>
    <row xmlns:x14ac="http://schemas.microsoft.com/office/spreadsheetml/2009/9/ac" r="45" x14ac:dyDescent="0.35">
      <c r="A45" s="164"/>
      <c r="B45" s="11" t="s">
        <v>113</v>
      </c>
      <c r="C45" s="11" t="s">
        <v>134</v>
      </c>
      <c r="D45" s="11" t="s">
        <v>98</v>
      </c>
      <c r="E45" s="11" t="s">
        <v>135</v>
      </c>
      <c r="F45" s="1"/>
      <c r="G45" s="1"/>
      <c r="H45" s="1"/>
      <c r="I45" s="6"/>
    </row>
  </sheetData>
  <mergeCells count="42">
    <mergeCell ref="C41:E41"/>
    <mergeCell ref="G41:I41"/>
    <mergeCell ref="C42:E42"/>
    <mergeCell ref="G42:I42"/>
    <mergeCell ref="A44:A45"/>
    <mergeCell ref="B44:C44"/>
    <mergeCell ref="D44:E44"/>
    <mergeCell ref="G39:I39"/>
    <mergeCell ref="C40:E40"/>
    <mergeCell ref="G40:I40"/>
    <mergeCell ref="C38:E38"/>
    <mergeCell ref="G38:I38"/>
    <mergeCell ref="A24:A31"/>
    <mergeCell ref="B24:B25"/>
    <mergeCell ref="C24:E24"/>
    <mergeCell ref="G24:I24"/>
    <mergeCell ref="A33:A42"/>
    <mergeCell ref="C33:E33"/>
    <mergeCell ref="G33:I33"/>
    <mergeCell ref="C34:E34"/>
    <mergeCell ref="G34:I34"/>
    <mergeCell ref="C35:E35"/>
    <mergeCell ref="G35:I35"/>
    <mergeCell ref="C36:E36"/>
    <mergeCell ref="G36:I36"/>
    <mergeCell ref="C37:E37"/>
    <mergeCell ref="G37:I37"/>
    <mergeCell ref="C39:E39"/>
    <mergeCell ref="A4:A6"/>
    <mergeCell ref="B4:I6"/>
    <mergeCell ref="A8:A10"/>
    <mergeCell ref="A12:A22"/>
    <mergeCell ref="B12:B13"/>
    <mergeCell ref="C12:E12"/>
    <mergeCell ref="G12:I12"/>
    <mergeCell ref="C22:I22"/>
    <mergeCell ref="A1:A2"/>
    <mergeCell ref="C1:I1"/>
    <mergeCell ref="E2:F2"/>
    <mergeCell ref="H2:I2"/>
    <mergeCell ref="E3:F3"/>
    <mergeCell ref="H3:I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CDD9-C3B1-48B1-98C8-C01D1BA9358A}">
  <dimension ref="A1:W25"/>
  <sheetViews>
    <sheetView zoomScale="95" workbookViewId="0">
      <selection activeCell="B16" sqref="B16"/>
    </sheetView>
  </sheetViews>
  <sheetFormatPr xmlns:x14ac="http://schemas.microsoft.com/office/spreadsheetml/2009/9/ac" defaultRowHeight="14.5" x14ac:dyDescent="0.35"/>
  <cols>
    <col min="1" max="1" width="10.08984375" bestFit="true" customWidth="true"/>
    <col min="2" max="2" width="11.5" bestFit="true" customWidth="true"/>
    <col min="3" max="3" width="5.08984375" bestFit="true" customWidth="true"/>
    <col min="4" max="4" width="2.36328125" bestFit="true" customWidth="true"/>
    <col min="5" max="5" width="8" customWidth="true"/>
    <col min="7" max="7" width="7.4140625" customWidth="true"/>
    <col min="8" max="8" width="8" customWidth="true"/>
    <col min="9" max="9" width="7" bestFit="true" customWidth="true"/>
    <col min="10" max="10" width="7.4140625" customWidth="true"/>
    <col min="11" max="11" width="8" customWidth="true"/>
    <col min="13" max="13" width="7.4140625" customWidth="true"/>
    <col min="14" max="14" width="8" customWidth="true"/>
    <col min="16" max="16" width="7.4140625" customWidth="true"/>
    <col min="6" max="6" width="8" customWidth="true"/>
    <col min="12" max="12" width="8" customWidth="true"/>
    <col min="15" max="15" width="8" customWidth="true"/>
  </cols>
  <sheetData>
    <row xmlns:x14ac="http://schemas.microsoft.com/office/spreadsheetml/2009/9/ac" r="1" ht="15" thickBot="true" x14ac:dyDescent="0.4">
      <c r="E1" t="s">
        <v>139</v>
      </c>
    </row>
    <row xmlns:x14ac="http://schemas.microsoft.com/office/spreadsheetml/2009/9/ac" r="2" ht="15" thickBot="true" x14ac:dyDescent="0.4">
      <c r="A2" t="s">
        <v>140</v>
      </c>
      <c r="B2" t="s">
        <v>102</v>
      </c>
      <c r="C2" t="s">
        <v>103</v>
      </c>
      <c r="D2" t="s">
        <v>102</v>
      </c>
      <c r="E2" s="41" t="s">
        <v>141</v>
      </c>
      <c r="F2" s="29" t="s">
        <v>142</v>
      </c>
      <c r="G2" s="42" t="s">
        <v>143</v>
      </c>
      <c r="H2" s="29" t="s">
        <v>144</v>
      </c>
      <c r="I2" s="29" t="s">
        <v>145</v>
      </c>
      <c r="J2" s="29" t="s">
        <v>146</v>
      </c>
      <c r="K2" s="41" t="s">
        <v>147</v>
      </c>
      <c r="L2" s="29" t="s">
        <v>148</v>
      </c>
      <c r="M2" s="42" t="s">
        <v>149</v>
      </c>
      <c r="N2" s="29" t="s">
        <v>150</v>
      </c>
      <c r="O2" s="29" t="s">
        <v>151</v>
      </c>
      <c r="P2" s="42" t="s">
        <v>152</v>
      </c>
    </row>
    <row xmlns:x14ac="http://schemas.microsoft.com/office/spreadsheetml/2009/9/ac" r="3" x14ac:dyDescent="0.35">
      <c r="A3">
        <v>1</v>
      </c>
      <c r="B3" s="0" t="s">
        <v>153</v>
      </c>
      <c r="C3">
        <v>0</v>
      </c>
      <c r="D3">
        <v>1</v>
      </c>
      <c r="E3" s="43">
        <v>-2265.2395854545452</v>
      </c>
      <c r="F3" s="16">
        <v>0</v>
      </c>
      <c r="G3" s="44">
        <v>1383.9978360671109</v>
      </c>
      <c r="H3" s="16">
        <v>-2265.2395854545452</v>
      </c>
      <c r="I3" s="16">
        <v>0</v>
      </c>
      <c r="J3" s="16">
        <v>1383.9978360671109</v>
      </c>
      <c r="K3" s="43">
        <v>-0</v>
      </c>
      <c r="L3" s="16">
        <v>-0</v>
      </c>
      <c r="M3" s="44">
        <v>1010.24565484198</v>
      </c>
      <c r="N3" s="16">
        <v>-0</v>
      </c>
      <c r="O3" s="16">
        <v>-0</v>
      </c>
      <c r="P3" s="44">
        <v>1010.24565484198</v>
      </c>
      <c r="R3" s="41"/>
      <c r="S3" s="29"/>
      <c r="T3" s="29" t="s">
        <v>154</v>
      </c>
      <c r="U3" s="29"/>
      <c r="V3" s="42" t="s">
        <v>155</v>
      </c>
    </row>
    <row xmlns:x14ac="http://schemas.microsoft.com/office/spreadsheetml/2009/9/ac" r="4" x14ac:dyDescent="0.35">
      <c r="A4">
        <v>2</v>
      </c>
      <c r="B4" s="0" t="s">
        <v>156</v>
      </c>
      <c r="C4">
        <v>0</v>
      </c>
      <c r="D4">
        <v>1</v>
      </c>
      <c r="E4" s="43">
        <v>2265.2395854545452</v>
      </c>
      <c r="F4" s="16">
        <v>0</v>
      </c>
      <c r="G4" s="44">
        <v>245.20329020561638</v>
      </c>
      <c r="H4" s="16">
        <v>2265.2395854545452</v>
      </c>
      <c r="I4" s="16">
        <v>0</v>
      </c>
      <c r="J4" s="16">
        <v>245.20329020561638</v>
      </c>
      <c r="K4" s="43">
        <v>0</v>
      </c>
      <c r="L4" s="16">
        <v>-0</v>
      </c>
      <c r="M4" s="44">
        <v>1170.5714507034745</v>
      </c>
      <c r="N4" s="16">
        <v>0</v>
      </c>
      <c r="O4" s="16">
        <v>-0</v>
      </c>
      <c r="P4" s="44">
        <v>1170.5714507034745</v>
      </c>
      <c r="R4" s="49" t="s">
        <v>157</v>
      </c>
      <c r="T4" t="s">
        <v>102</v>
      </c>
      <c r="U4" t="s">
        <v>103</v>
      </c>
      <c r="V4" s="50" t="s">
        <v>104</v>
      </c>
    </row>
    <row xmlns:x14ac="http://schemas.microsoft.com/office/spreadsheetml/2009/9/ac" r="5" x14ac:dyDescent="0.35">
      <c r="A5">
        <v>3</v>
      </c>
      <c r="B5" s="0" t="s">
        <v>153</v>
      </c>
      <c r="C5">
        <v>0</v>
      </c>
      <c r="D5">
        <v>1</v>
      </c>
      <c r="E5" s="43">
        <v>-0</v>
      </c>
      <c r="F5" s="16">
        <v>0</v>
      </c>
      <c r="G5" s="44">
        <v>1383.9978360671109</v>
      </c>
      <c r="H5" s="16">
        <v>-0</v>
      </c>
      <c r="I5" s="16">
        <v>0</v>
      </c>
      <c r="J5" s="16">
        <v>1383.9978360671109</v>
      </c>
      <c r="K5" s="43">
        <v>-2265.2395854545452</v>
      </c>
      <c r="L5" s="16">
        <v>-0</v>
      </c>
      <c r="M5" s="44">
        <v>1010.24565484198</v>
      </c>
      <c r="N5" s="16">
        <v>-2265.2395854545452</v>
      </c>
      <c r="O5" s="16">
        <v>-0</v>
      </c>
      <c r="P5" s="44">
        <v>1010.24565484198</v>
      </c>
      <c r="R5" s="49"/>
      <c r="S5" t="s">
        <v>158</v>
      </c>
      <c r="T5" s="16">
        <f>MAX(E3:E14,H3:H14,K3:K14,N3:N14)</f>
        <v>2265.2395854545452</v>
      </c>
      <c r="U5" s="16">
        <f>MAX(F3:F14,I3:I14,L3:L14,O3:O14)</f>
        <v>0</v>
      </c>
      <c r="V5" s="44">
        <f>MAX(G3:G14,J3:J14,M3:M14,P3:P14)</f>
        <v>4183.6313567443858</v>
      </c>
    </row>
    <row xmlns:x14ac="http://schemas.microsoft.com/office/spreadsheetml/2009/9/ac" r="6" x14ac:dyDescent="0.35">
      <c r="A6">
        <v>4</v>
      </c>
      <c r="B6" s="0" t="s">
        <v>156</v>
      </c>
      <c r="C6">
        <v>0</v>
      </c>
      <c r="D6">
        <v>1</v>
      </c>
      <c r="E6" s="43">
        <v>0</v>
      </c>
      <c r="F6" s="16">
        <v>0</v>
      </c>
      <c r="G6" s="44">
        <v>245.20329020561638</v>
      </c>
      <c r="H6" s="16">
        <v>0</v>
      </c>
      <c r="I6" s="16">
        <v>0</v>
      </c>
      <c r="J6" s="16">
        <v>245.20329020561638</v>
      </c>
      <c r="K6" s="43">
        <v>2265.2395854545452</v>
      </c>
      <c r="L6" s="16">
        <v>-0</v>
      </c>
      <c r="M6" s="44">
        <v>1170.5714507034745</v>
      </c>
      <c r="N6" s="16">
        <v>2265.2395854545452</v>
      </c>
      <c r="O6" s="16">
        <v>-0</v>
      </c>
      <c r="P6" s="44">
        <v>1170.5714507034745</v>
      </c>
      <c r="R6" s="49"/>
      <c r="S6" t="s">
        <v>159</v>
      </c>
      <c r="T6" s="16">
        <f>MIN(E3:E14,H3:H14,K3:K14,N3:N14)</f>
        <v>-2345.6655228761852</v>
      </c>
      <c r="U6" s="16">
        <f>MIN(F3:F14,I3:I14,L3:L14,O3:O14)</f>
        <v>-2251.3667476889332</v>
      </c>
      <c r="V6" s="44">
        <f>MIN(G3:G14,J3:J14,M3:M14,P3:P14)</f>
        <v>243.44533096377711</v>
      </c>
    </row>
    <row xmlns:x14ac="http://schemas.microsoft.com/office/spreadsheetml/2009/9/ac" r="7" ht="15" thickBot="true" x14ac:dyDescent="0.4">
      <c r="A7" s="154">
        <v>5</v>
      </c>
      <c r="B7" s="0" t="s">
        <v>160</v>
      </c>
      <c r="C7">
        <v>1.9</v>
      </c>
      <c r="D7">
        <v>1</v>
      </c>
      <c r="E7" s="155">
        <v>0</v>
      </c>
      <c r="F7" s="156">
        <v>-2251.3667476889332</v>
      </c>
      <c r="G7" s="44">
        <v>1655.8131703089502</v>
      </c>
      <c r="H7" s="16">
        <v>0</v>
      </c>
      <c r="I7" s="16">
        <v>-331.00637972924824</v>
      </c>
      <c r="J7" s="16">
        <v>243.44533096377711</v>
      </c>
      <c r="K7" s="43">
        <v>0</v>
      </c>
      <c r="L7" s="16">
        <v>-2036.2177413256841</v>
      </c>
      <c r="M7" s="157">
        <v>2102.9309090928864</v>
      </c>
      <c r="N7" s="16">
        <v>0</v>
      </c>
      <c r="O7" s="16">
        <v>-761.35314671067965</v>
      </c>
      <c r="P7" s="44">
        <v>786.29757145256838</v>
      </c>
      <c r="R7" s="49"/>
      <c r="V7" s="50"/>
    </row>
    <row xmlns:x14ac="http://schemas.microsoft.com/office/spreadsheetml/2009/9/ac" r="8" x14ac:dyDescent="0.35">
      <c r="A8" s="60">
        <v>6</v>
      </c>
      <c r="B8" s="0" t="s">
        <v>161</v>
      </c>
      <c r="C8">
        <v>0</v>
      </c>
      <c r="D8">
        <v>3</v>
      </c>
      <c r="E8" s="43">
        <v>0</v>
      </c>
      <c r="F8" s="16">
        <v>0</v>
      </c>
      <c r="G8" s="44">
        <v>3025.9503531818182</v>
      </c>
      <c r="H8" s="16">
        <v>0</v>
      </c>
      <c r="I8" s="16">
        <v>0</v>
      </c>
      <c r="J8" s="16">
        <v>3025.9503531818182</v>
      </c>
      <c r="K8" s="43">
        <v>0</v>
      </c>
      <c r="L8" s="16">
        <v>-0</v>
      </c>
      <c r="M8" s="44">
        <v>3747.4593013636363</v>
      </c>
      <c r="N8" s="75">
        <v>0</v>
      </c>
      <c r="O8" s="75">
        <v>-0</v>
      </c>
      <c r="P8" s="61">
        <v>3747.4593013636363</v>
      </c>
      <c r="R8" s="49"/>
      <c r="S8" s="41" t="s">
        <v>162</v>
      </c>
      <c r="T8" s="27">
        <f>T5/4.448</f>
        <v>509.27148953564409</v>
      </c>
      <c r="U8" s="27">
        <f t="shared" ref="U8:V9" si="0">U5/4.448</f>
        <v>0</v>
      </c>
      <c r="V8" s="26">
        <f t="shared" si="0"/>
        <v>940.56460358461902</v>
      </c>
    </row>
    <row xmlns:x14ac="http://schemas.microsoft.com/office/spreadsheetml/2009/9/ac" r="9" ht="15" thickBot="true" x14ac:dyDescent="0.4">
      <c r="A9" s="158">
        <v>7</v>
      </c>
      <c r="B9" s="0" t="s">
        <v>163</v>
      </c>
      <c r="C9">
        <v>1.8</v>
      </c>
      <c r="D9">
        <v>3</v>
      </c>
      <c r="E9" s="43">
        <v>-1516.7441162841415</v>
      </c>
      <c r="F9" s="16">
        <v>-1456.0743516327757</v>
      </c>
      <c r="G9" s="159">
        <v>4183.6313567443858</v>
      </c>
      <c r="H9" s="16">
        <v>-1031.6504173522221</v>
      </c>
      <c r="I9" s="16">
        <v>-990.38440065813302</v>
      </c>
      <c r="J9" s="16">
        <v>2845.5986668384321</v>
      </c>
      <c r="K9" s="160">
        <v>-1518.0532587483879</v>
      </c>
      <c r="L9" s="161">
        <v>-1578.7753890983233</v>
      </c>
      <c r="M9" s="44">
        <v>3882.4630658468282</v>
      </c>
      <c r="N9" s="16">
        <v>-1030.3412748879759</v>
      </c>
      <c r="O9" s="16">
        <v>-1071.5549258834951</v>
      </c>
      <c r="P9" s="44">
        <v>2635.1262196612633</v>
      </c>
      <c r="R9" s="48"/>
      <c r="S9" s="48" t="s">
        <v>164</v>
      </c>
      <c r="T9" s="18">
        <f>T6/4.448</f>
        <v>-527.35286035885451</v>
      </c>
      <c r="U9" s="18">
        <f t="shared" si="0"/>
        <v>-506.15259615308747</v>
      </c>
      <c r="V9" s="17">
        <f t="shared" si="0"/>
        <v>54.731414335381537</v>
      </c>
    </row>
    <row xmlns:x14ac="http://schemas.microsoft.com/office/spreadsheetml/2009/9/ac" r="10" x14ac:dyDescent="0.35">
      <c r="A10">
        <v>8</v>
      </c>
      <c r="B10" s="0" t="s">
        <v>165</v>
      </c>
      <c r="C10">
        <v>1</v>
      </c>
      <c r="D10">
        <v>3</v>
      </c>
      <c r="E10" s="43">
        <v>-1653.5629224254294</v>
      </c>
      <c r="F10" s="16">
        <v>-793.71020276420597</v>
      </c>
      <c r="G10" s="44">
        <v>2584.6079935894822</v>
      </c>
      <c r="H10" s="16">
        <v>-1177.9865593927527</v>
      </c>
      <c r="I10" s="16">
        <v>-565.4335485085212</v>
      </c>
      <c r="J10" s="16">
        <v>1841.2564991972861</v>
      </c>
      <c r="K10" s="43">
        <v>-1552.7205604173498</v>
      </c>
      <c r="L10" s="16">
        <v>-807.41469141702203</v>
      </c>
      <c r="M10" s="44">
        <v>3928.491115425838</v>
      </c>
      <c r="N10" s="16">
        <v>-1278.8289214008321</v>
      </c>
      <c r="O10" s="16">
        <v>-664.9910391284327</v>
      </c>
      <c r="P10" s="44">
        <v>3235.526200878302</v>
      </c>
    </row>
    <row xmlns:x14ac="http://schemas.microsoft.com/office/spreadsheetml/2009/9/ac" r="11" x14ac:dyDescent="0.35">
      <c r="A11">
        <v>9</v>
      </c>
      <c r="B11" s="0" t="s">
        <v>166</v>
      </c>
      <c r="C11">
        <v>1.75</v>
      </c>
      <c r="D11">
        <v>1</v>
      </c>
      <c r="E11" s="43">
        <v>-2345.6655228761852</v>
      </c>
      <c r="F11" s="16">
        <v>-1732.1837707393365</v>
      </c>
      <c r="G11" s="44">
        <v>2075.1524485444152</v>
      </c>
      <c r="H11" s="16">
        <v>-875.22201269199661</v>
      </c>
      <c r="I11" s="16">
        <v>-646.31779398793606</v>
      </c>
      <c r="J11" s="16">
        <v>774.28733335807158</v>
      </c>
      <c r="K11" s="43">
        <v>-1409.4889546959575</v>
      </c>
      <c r="L11" s="16">
        <v>-2094.0978755482802</v>
      </c>
      <c r="M11" s="44">
        <v>1575.8679001869414</v>
      </c>
      <c r="N11" s="16">
        <v>-324.83510291767851</v>
      </c>
      <c r="O11" s="16">
        <v>-482.61215290626529</v>
      </c>
      <c r="P11" s="44">
        <v>363.17929972875379</v>
      </c>
      <c r="R11" s="59"/>
      <c r="S11" s="177" t="s">
        <v>167</v>
      </c>
      <c r="T11" s="177"/>
      <c r="U11" s="62" t="s">
        <v>168</v>
      </c>
      <c r="V11" s="62" t="s">
        <v>169</v>
      </c>
      <c r="W11" s="63" t="s">
        <v>170</v>
      </c>
    </row>
    <row xmlns:x14ac="http://schemas.microsoft.com/office/spreadsheetml/2009/9/ac" r="12" x14ac:dyDescent="0.35">
      <c r="B12" s="0" t="s">
        <v>171</v>
      </c>
      <c r="E12" s="43">
        <v>0</v>
      </c>
      <c r="F12" s="16">
        <v>-945.54976593548895</v>
      </c>
      <c r="G12" s="44">
        <v>1321.3049978324618</v>
      </c>
      <c r="H12" s="16">
        <v>0</v>
      </c>
      <c r="I12" s="16">
        <v>-413.59398533723817</v>
      </c>
      <c r="J12" s="16">
        <v>577.95350344026542</v>
      </c>
      <c r="K12" s="43">
        <v>0</v>
      </c>
      <c r="L12" s="16">
        <v>-912.77690884821288</v>
      </c>
      <c r="M12" s="44">
        <v>1791.0966975464953</v>
      </c>
      <c r="N12" s="16">
        <v>0</v>
      </c>
      <c r="O12" s="16">
        <v>-559.62882169724196</v>
      </c>
      <c r="P12" s="44">
        <v>1098.1317829989594</v>
      </c>
      <c r="R12" s="178" t="s">
        <v>172</v>
      </c>
      <c r="S12" s="179"/>
      <c r="T12" s="179"/>
      <c r="U12" t="s">
        <v>173</v>
      </c>
      <c r="V12" t="s">
        <v>174</v>
      </c>
      <c r="W12" s="3" t="s">
        <v>175</v>
      </c>
    </row>
    <row xmlns:x14ac="http://schemas.microsoft.com/office/spreadsheetml/2009/9/ac" r="13" x14ac:dyDescent="0.35">
      <c r="B13" s="0" t="s">
        <v>176</v>
      </c>
      <c r="E13" s="43">
        <v>-991.04231863636346</v>
      </c>
      <c r="F13" s="16">
        <v>0</v>
      </c>
      <c r="G13" s="44">
        <v>1221.1096165305808</v>
      </c>
      <c r="H13" s="16">
        <v>-991.04231863636346</v>
      </c>
      <c r="I13" s="16">
        <v>0</v>
      </c>
      <c r="J13" s="16">
        <v>1221.1096165305808</v>
      </c>
      <c r="K13" s="43">
        <v>-424.73242227272738</v>
      </c>
      <c r="L13" s="16">
        <v>-0</v>
      </c>
      <c r="M13" s="44">
        <v>1173.1338743785104</v>
      </c>
      <c r="N13" s="16">
        <v>-424.73242227272738</v>
      </c>
      <c r="O13" s="16">
        <v>-0</v>
      </c>
      <c r="P13" s="44">
        <v>1173.1338743785104</v>
      </c>
      <c r="R13" s="180" t="s">
        <v>177</v>
      </c>
      <c r="S13" s="181"/>
      <c r="T13" s="181"/>
      <c r="U13" s="1">
        <v>0</v>
      </c>
      <c r="V13" s="1">
        <v>6.3500000000000001E-2</v>
      </c>
      <c r="W13" s="6">
        <v>0.25900000000000001</v>
      </c>
    </row>
    <row xmlns:x14ac="http://schemas.microsoft.com/office/spreadsheetml/2009/9/ac" r="14" ht="15" thickBot="true" x14ac:dyDescent="0.4">
      <c r="B14" s="0" t="s">
        <v>161</v>
      </c>
      <c r="E14" s="45">
        <v>0</v>
      </c>
      <c r="F14" s="46">
        <v>0</v>
      </c>
      <c r="G14" s="47">
        <v>3025.9503531818182</v>
      </c>
      <c r="H14" s="46">
        <v>0</v>
      </c>
      <c r="I14" s="46">
        <v>0</v>
      </c>
      <c r="J14" s="46">
        <v>3025.9503531818182</v>
      </c>
      <c r="K14" s="45">
        <v>0</v>
      </c>
      <c r="L14" s="46">
        <v>-0</v>
      </c>
      <c r="M14" s="47">
        <v>3747.4593013636363</v>
      </c>
      <c r="N14" s="46">
        <v>0</v>
      </c>
      <c r="O14" s="46">
        <v>-0</v>
      </c>
      <c r="P14" s="47">
        <v>3747.4593013636363</v>
      </c>
    </row>
    <row xmlns:x14ac="http://schemas.microsoft.com/office/spreadsheetml/2009/9/ac" r="17" x14ac:dyDescent="0.35">
      <c r="C17" s="59" t="s">
        <v>178</v>
      </c>
      <c r="D17" s="62"/>
      <c r="E17" s="62" t="s">
        <v>179</v>
      </c>
      <c r="F17" s="62" t="s">
        <v>180</v>
      </c>
      <c r="G17" s="63" t="s">
        <v>181</v>
      </c>
    </row>
    <row xmlns:x14ac="http://schemas.microsoft.com/office/spreadsheetml/2009/9/ac" r="18" x14ac:dyDescent="0.35">
      <c r="C18" s="2"/>
      <c r="G18" s="3"/>
    </row>
    <row xmlns:x14ac="http://schemas.microsoft.com/office/spreadsheetml/2009/9/ac" r="19" x14ac:dyDescent="0.35">
      <c r="C19" s="64">
        <v>5</v>
      </c>
      <c r="E19">
        <f>(($V$13*G7)-(F7*$W$13))</f>
        <v>688.24812396605205</v>
      </c>
      <c r="F19">
        <f>-(($U$13*G7)-(E7*W13))</f>
        <v>0</v>
      </c>
      <c r="G19" s="3">
        <f>((U13*F7)-(E7*V13))</f>
        <v>0</v>
      </c>
      <c r="H19">
        <f>(($V$13*J7)-(I7*$W$13))</f>
        <v>101.18943086607514</v>
      </c>
      <c r="I19">
        <f>-(($U$13*J7)-(H7*Z13))</f>
        <v>0</v>
      </c>
      <c r="J19" s="3">
        <f>((X13*I7)-(H7*Y13))</f>
        <v>0</v>
      </c>
      <c r="K19">
        <f>(($V$13*M7)-(L7*$W$13))</f>
        <v>660.91650773075048</v>
      </c>
      <c r="L19">
        <f>-(($U$13*M7)-(K7*AC13))</f>
        <v>0</v>
      </c>
      <c r="M19" s="3">
        <f>((AA13*L7)-(K7*AB13))</f>
        <v>0</v>
      </c>
      <c r="N19">
        <f>(($V$13*P7)-(O7*$W$13))</f>
        <v>247.12036078530411</v>
      </c>
      <c r="O19">
        <f>-(($U$13*P7)-(N7*AF13))</f>
        <v>0</v>
      </c>
      <c r="P19" s="3">
        <f>((AD13*O7)-(N7*AE13))</f>
        <v>0</v>
      </c>
    </row>
    <row xmlns:x14ac="http://schemas.microsoft.com/office/spreadsheetml/2009/9/ac" r="20" x14ac:dyDescent="0.35">
      <c r="C20" s="65">
        <v>6</v>
      </c>
      <c r="E20">
        <f>(($V$13*G8)-(F8*$W$13))</f>
        <v>192.14784742704546</v>
      </c>
      <c r="F20">
        <f>-(($U$13*G8)-(E8*W14))</f>
        <v>0</v>
      </c>
      <c r="G20" s="3">
        <f>((U14*F8)-(E8*V14))</f>
        <v>0</v>
      </c>
      <c r="H20">
        <f>(($V$13*J8)-(I8*$W$13))</f>
        <v>192.14784742704546</v>
      </c>
      <c r="I20">
        <f>-(($U$13*J8)-(H8*Z14))</f>
        <v>0</v>
      </c>
      <c r="J20" s="3">
        <f>((X14*I8)-(H8*Y14))</f>
        <v>0</v>
      </c>
      <c r="K20">
        <f>(($V$13*M8)-(L8*$W$13))</f>
        <v>237.96366563659092</v>
      </c>
      <c r="L20">
        <f>-(($U$13*M8)-(K8*AC14))</f>
        <v>0</v>
      </c>
      <c r="M20" s="3">
        <f>((AA14*L8)-(K8*AB14))</f>
        <v>0</v>
      </c>
      <c r="N20">
        <f>(($V$13*P8)-(O8*$W$13))</f>
        <v>237.96366563659092</v>
      </c>
      <c r="O20">
        <f>-(($U$13*P8)-(N8*AF14))</f>
        <v>0</v>
      </c>
      <c r="P20" s="3">
        <f>((AD14*O8)-(N8*AE14))</f>
        <v>0</v>
      </c>
    </row>
    <row xmlns:x14ac="http://schemas.microsoft.com/office/spreadsheetml/2009/9/ac" r="21" x14ac:dyDescent="0.35">
      <c r="C21" s="162">
        <v>7</v>
      </c>
      <c r="D21" s="1"/>
      <c r="E21" s="1">
        <f>(($V$13*G9)-(F9*$W$13))</f>
        <v>642.78384822615749</v>
      </c>
      <c r="F21" s="1">
        <f>-(($U$13*G9)-(E9*W15))</f>
        <v>0</v>
      </c>
      <c r="G21" s="6">
        <f>((U15*F9)-(E9*V15))</f>
        <v>0</v>
      </c>
      <c r="H21" s="1">
        <f>(($V$13*J9)-(I9*$W$13))</f>
        <v>437.20507511469691</v>
      </c>
      <c r="I21" s="1">
        <f>-(($U$13*J9)-(H9*Z15))</f>
        <v>0</v>
      </c>
      <c r="J21" s="6">
        <f>((X15*I9)-(H9*Y15))</f>
        <v>0</v>
      </c>
      <c r="K21" s="1">
        <f>(($V$13*M9)-(L9*$W$13))</f>
        <v>655.43923045773931</v>
      </c>
      <c r="L21" s="1">
        <f>-(($U$13*M9)-(K9*AC15))</f>
        <v>0</v>
      </c>
      <c r="M21" s="6">
        <f>((AA15*L9)-(K9*AB15))</f>
        <v>0</v>
      </c>
      <c r="N21" s="1">
        <f>(($V$13*P9)-(O9*$W$13))</f>
        <v>444.86324075231551</v>
      </c>
      <c r="O21" s="1">
        <f>-(($U$13*P9)-(N9*AF15))</f>
        <v>0</v>
      </c>
      <c r="P21" s="6">
        <f>((AD15*O9)-(N9*AE15))</f>
        <v>0</v>
      </c>
    </row>
    <row xmlns:x14ac="http://schemas.microsoft.com/office/spreadsheetml/2009/9/ac" r="22" x14ac:dyDescent="0.35">
      <c r="C22" s="162">
        <v>8</v>
      </c>
      <c r="D22" s="1"/>
      <c r="E22" s="1">
        <f>(($V$13*G10)-(F10*$W$13))</f>
        <v>369.69355010886147</v>
      </c>
      <c r="F22" s="1">
        <f>-(($U$13*G10)-(E10*W16))</f>
        <v>0</v>
      </c>
      <c r="G22" s="6">
        <f>((U16*F10)-(E10*V16))</f>
        <v>0</v>
      </c>
      <c r="H22" s="1">
        <f>(($V$13*J10)-(I10*$W$13))</f>
        <v>263.36707676273465</v>
      </c>
      <c r="I22" s="1">
        <f>-(($U$13*J10)-(H10*Z16))</f>
        <v>0</v>
      </c>
      <c r="J22" s="6">
        <f>((X16*I10)-(H10*Y16))</f>
        <v>0</v>
      </c>
      <c r="K22" s="1">
        <f>(($V$13*M10)-(L10*$W$13))</f>
        <v>458.57959090654941</v>
      </c>
      <c r="L22" s="1">
        <f>-(($U$13*M10)-(K10*AC16))</f>
        <v>0</v>
      </c>
      <c r="M22" s="6">
        <f>((AA16*L10)-(K10*AB16))</f>
        <v>0</v>
      </c>
      <c r="N22" s="1">
        <f>(($V$13*P10)-(O10*$W$13))</f>
        <v>377.68859289003626</v>
      </c>
      <c r="O22" s="1">
        <f>-(($U$13*P10)-(N10*AF16))</f>
        <v>0</v>
      </c>
      <c r="P22" s="6">
        <f>((AD16*O10)-(N10*AE16))</f>
        <v>0</v>
      </c>
    </row>
    <row xmlns:x14ac="http://schemas.microsoft.com/office/spreadsheetml/2009/9/ac" r="23" x14ac:dyDescent="0.35">
      <c r="C23" s="162">
        <v>9</v>
      </c>
      <c r="D23" s="1"/>
      <c r="E23" s="1">
        <f>(($V$13*G11)-(F11*$W$13))</f>
        <v>580.4077771040586</v>
      </c>
      <c r="F23" s="1">
        <f>-(($U$13*G11)-(E11*W17))</f>
        <v>0</v>
      </c>
      <c r="G23" s="6">
        <f>((U17*F11)-(E11*V17))</f>
        <v>0</v>
      </c>
      <c r="H23" s="1">
        <f>(($V$13*J11)-(I11*$W$13))</f>
        <v>216.56355431111299</v>
      </c>
      <c r="I23" s="1">
        <f>-(($U$13*J11)-(H11*Z17))</f>
        <v>0</v>
      </c>
      <c r="J23" s="6">
        <f>((X17*I11)-(H11*Y17))</f>
        <v>0</v>
      </c>
      <c r="K23" s="1">
        <f>(($V$13*M11)-(L11*$W$13))</f>
        <v>642.43896142887547</v>
      </c>
      <c r="L23" s="1">
        <f>-(($U$13*M11)-(K11*AC17))</f>
        <v>0</v>
      </c>
      <c r="M23" s="6">
        <f>((AA17*L11)-(K11*AB17))</f>
        <v>0</v>
      </c>
      <c r="N23" s="1">
        <f>(($V$13*P11)-(O11*$W$13))</f>
        <v>148.05843313549857</v>
      </c>
      <c r="O23" s="1">
        <f>-(($U$13*P11)-(N11*AF17))</f>
        <v>0</v>
      </c>
      <c r="P23" s="6">
        <f>((AD17*O11)-(N11*AE17))</f>
        <v>0</v>
      </c>
    </row>
    <row xmlns:x14ac="http://schemas.microsoft.com/office/spreadsheetml/2009/9/ac" r="25" x14ac:dyDescent="0.35">
      <c r="I25">
        <f>K11*259/105</f>
        <v>-3476.7394215833619</v>
      </c>
      <c r="J25">
        <f>I25*1/1000</f>
        <v>-3.4767394215833618</v>
      </c>
    </row>
  </sheetData>
  <mergeCells count="3">
    <mergeCell ref="S11:T11"/>
    <mergeCell ref="R12:T12"/>
    <mergeCell ref="R13:T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B1789-11FE-4573-9B26-7580B91A96AC}">
  <dimension ref="A1:V33"/>
  <sheetViews>
    <sheetView tabSelected="true" topLeftCell="B1" zoomScale="80" zoomScaleNormal="80" workbookViewId="0">
      <selection activeCell="O38" sqref="O38"/>
    </sheetView>
  </sheetViews>
  <sheetFormatPr xmlns:x14ac="http://schemas.microsoft.com/office/spreadsheetml/2009/9/ac" defaultRowHeight="14.5" x14ac:dyDescent="0.35"/>
  <cols>
    <col min="1" max="1" width="12" customWidth="true"/>
    <col min="2" max="2" width="46.81640625" customWidth="true"/>
    <col min="3" max="3" width="14.1640625" customWidth="true"/>
    <col min="4" max="4" width="4.4140625" bestFit="true" customWidth="true"/>
    <col min="5" max="5" width="2.5" bestFit="true" customWidth="true"/>
    <col min="6" max="6" width="1.9140625" bestFit="true" customWidth="true"/>
    <col min="8" max="8" width="14.81640625" bestFit="true" customWidth="true"/>
    <col min="9" max="9" width="10" customWidth="true"/>
    <col min="10" max="10" width="5.5" customWidth="true"/>
    <col min="11" max="11" width="5.5" customWidth="true"/>
    <col min="12" max="12" width="5.5" customWidth="true"/>
    <col min="13" max="13" width="5.9140625" bestFit="true" customWidth="true"/>
    <col min="14" max="14" width="4.5" customWidth="true"/>
    <col min="15" max="15" width="5.5" customWidth="true"/>
    <col min="16" max="16" width="15" bestFit="true" customWidth="true"/>
    <col min="17" max="17" width="5.5" customWidth="true"/>
    <col min="18" max="18" width="5.5" customWidth="true"/>
    <col min="19" max="19" width="6.5" customWidth="true"/>
    <col min="20" max="20" width="5.9140625" customWidth="true"/>
    <col min="21" max="21" width="3.9140625" customWidth="true"/>
    <col min="22" max="22" width="6.5" customWidth="true"/>
  </cols>
  <sheetData>
    <row xmlns:x14ac="http://schemas.microsoft.com/office/spreadsheetml/2009/9/ac" r="1" x14ac:dyDescent="0.35">
      <c r="A1" t="s">
        <v>182</v>
      </c>
    </row>
    <row xmlns:x14ac="http://schemas.microsoft.com/office/spreadsheetml/2009/9/ac" r="2" ht="15" thickBot="true" x14ac:dyDescent="0.4">
      <c r="B2" t="s">
        <v>183</v>
      </c>
      <c r="I2" t="s">
        <v>184</v>
      </c>
    </row>
    <row xmlns:x14ac="http://schemas.microsoft.com/office/spreadsheetml/2009/9/ac" r="3" x14ac:dyDescent="0.35">
      <c r="A3" s="31" t="s">
        <v>185</v>
      </c>
      <c r="B3" s="31"/>
      <c r="C3" s="31" t="s">
        <v>186</v>
      </c>
      <c r="D3" s="31" t="s">
        <v>187</v>
      </c>
      <c r="E3" s="31" t="s">
        <v>188</v>
      </c>
      <c r="F3" s="31" t="s">
        <v>189</v>
      </c>
      <c r="H3" s="41"/>
      <c r="I3" s="53" t="s">
        <v>140</v>
      </c>
      <c r="J3" s="71" t="s">
        <v>190</v>
      </c>
      <c r="K3" s="53" t="s">
        <v>191</v>
      </c>
      <c r="L3" s="53" t="s">
        <v>192</v>
      </c>
      <c r="M3" s="53" t="s">
        <v>193</v>
      </c>
      <c r="N3" s="53" t="s">
        <v>194</v>
      </c>
      <c r="O3" s="58" t="s">
        <v>195</v>
      </c>
      <c r="P3" s="41"/>
      <c r="Q3" s="71" t="s">
        <v>190</v>
      </c>
      <c r="R3" s="53" t="s">
        <v>191</v>
      </c>
      <c r="S3" s="53" t="s">
        <v>192</v>
      </c>
      <c r="T3" s="53" t="s">
        <v>193</v>
      </c>
      <c r="U3" s="53" t="s">
        <v>194</v>
      </c>
      <c r="V3" s="58" t="s">
        <v>195</v>
      </c>
    </row>
    <row xmlns:x14ac="http://schemas.microsoft.com/office/spreadsheetml/2009/9/ac" r="4" x14ac:dyDescent="0.35">
      <c r="A4">
        <v>1</v>
      </c>
      <c r="B4" t="s">
        <v>196</v>
      </c>
      <c r="C4" s="32" t="s">
        <v>153</v>
      </c>
      <c r="D4" s="0">
        <v>1</v>
      </c>
      <c r="E4" s="0">
        <v>1</v>
      </c>
      <c r="F4" s="0">
        <v>1</v>
      </c>
      <c r="H4" s="25" t="s">
        <v>197</v>
      </c>
      <c r="I4">
        <v>1</v>
      </c>
      <c r="J4" s="36">
        <v>5630.4953224661485</v>
      </c>
      <c r="K4" s="36">
        <v>-5923.3284804640425</v>
      </c>
      <c r="L4" s="36">
        <v>-5251.2689874234738</v>
      </c>
      <c r="M4" s="36">
        <v>5389.4241223826175</v>
      </c>
      <c r="N4" s="36">
        <v>467.7097641498886</v>
      </c>
      <c r="O4" s="37">
        <v>-2214.2157450149111</v>
      </c>
      <c r="P4" s="25" t="s">
        <v>198</v>
      </c>
      <c r="Q4" s="36">
        <v>333.79326809850227</v>
      </c>
      <c r="R4" s="36">
        <v>207.34968434327092</v>
      </c>
      <c r="S4" s="36">
        <v>-7102.6313669989131</v>
      </c>
      <c r="T4" s="36">
        <v>8247.7903948474013</v>
      </c>
      <c r="U4" s="36">
        <v>13.332513198445433</v>
      </c>
      <c r="V4" s="37">
        <v>-5082.0320834779686</v>
      </c>
    </row>
    <row xmlns:x14ac="http://schemas.microsoft.com/office/spreadsheetml/2009/9/ac" r="5" x14ac:dyDescent="0.35">
      <c r="A5">
        <v>2</v>
      </c>
      <c r="B5" t="s">
        <v>199</v>
      </c>
      <c r="C5" s="32" t="s">
        <v>156</v>
      </c>
      <c r="D5" s="0">
        <v>1</v>
      </c>
      <c r="E5" s="0">
        <v>1</v>
      </c>
      <c r="F5" s="0">
        <v>0</v>
      </c>
      <c r="H5" s="25"/>
      <c r="I5">
        <v>2</v>
      </c>
      <c r="J5" s="36">
        <v>-5503.8417256571947</v>
      </c>
      <c r="K5" s="36">
        <v>6071.7681481746331</v>
      </c>
      <c r="L5" s="36">
        <v>370.70832830989906</v>
      </c>
      <c r="M5" s="36">
        <v>350.33256629215987</v>
      </c>
      <c r="N5" s="36">
        <v>-493.81851777683721</v>
      </c>
      <c r="O5" s="37">
        <v>-1223.5391251941767</v>
      </c>
      <c r="P5" s="25"/>
      <c r="Q5" s="36">
        <v>386.76619711295325</v>
      </c>
      <c r="R5" s="36">
        <v>240.25604034156672</v>
      </c>
      <c r="S5" s="36">
        <v>-8229.8176322078762</v>
      </c>
      <c r="T5" s="36">
        <v>9556.7131828989259</v>
      </c>
      <c r="U5" s="36">
        <v>15.44838054133314</v>
      </c>
      <c r="V5" s="37">
        <v>-5888.5496215362737</v>
      </c>
    </row>
    <row xmlns:x14ac="http://schemas.microsoft.com/office/spreadsheetml/2009/9/ac" r="6" x14ac:dyDescent="0.35">
      <c r="A6">
        <v>3</v>
      </c>
      <c r="B6" t="s">
        <v>200</v>
      </c>
      <c r="C6" s="32" t="s">
        <v>153</v>
      </c>
      <c r="D6" s="0">
        <v>0</v>
      </c>
      <c r="E6" s="0">
        <v>1</v>
      </c>
      <c r="F6" s="0">
        <v>1</v>
      </c>
      <c r="H6" s="25"/>
      <c r="I6">
        <v>3</v>
      </c>
      <c r="J6" s="36">
        <v>107.59156809247193</v>
      </c>
      <c r="K6" s="36">
        <v>126.09872138254082</v>
      </c>
      <c r="L6" s="36">
        <v>-4146.0107546456029</v>
      </c>
      <c r="M6" s="36">
        <v>4875.8932881733308</v>
      </c>
      <c r="N6" s="36">
        <v>-22.179249657643108</v>
      </c>
      <c r="O6" s="37">
        <v>-2920.3547828275259</v>
      </c>
      <c r="P6" s="25"/>
      <c r="Q6" s="36">
        <v>6876.2017888195087</v>
      </c>
      <c r="R6" s="36">
        <v>-5811.3395706714446</v>
      </c>
      <c r="S6" s="36">
        <v>-11892.327565260517</v>
      </c>
      <c r="T6" s="36">
        <v>13590.791350376141</v>
      </c>
      <c r="U6" s="36">
        <v>65.530546292938268</v>
      </c>
      <c r="V6" s="37">
        <v>-6696.4581507728344</v>
      </c>
    </row>
    <row xmlns:x14ac="http://schemas.microsoft.com/office/spreadsheetml/2009/9/ac" r="7" x14ac:dyDescent="0.35">
      <c r="A7">
        <v>4</v>
      </c>
      <c r="B7" t="s">
        <v>201</v>
      </c>
      <c r="C7" s="32" t="s">
        <v>156</v>
      </c>
      <c r="D7" s="0">
        <v>0</v>
      </c>
      <c r="E7" s="0">
        <v>1</v>
      </c>
      <c r="F7" s="0">
        <v>0</v>
      </c>
      <c r="H7" s="25"/>
      <c r="I7">
        <v>4</v>
      </c>
      <c r="J7" s="36">
        <v>19.062028716478853</v>
      </c>
      <c r="K7" s="36">
        <v>22.34094632805439</v>
      </c>
      <c r="L7" s="36">
        <v>-734.54990446796978</v>
      </c>
      <c r="M7" s="36">
        <v>863.86340050144861</v>
      </c>
      <c r="N7" s="36">
        <v>-3.9295039693103466</v>
      </c>
      <c r="O7" s="37">
        <v>-517.4000873815628</v>
      </c>
      <c r="P7" s="25"/>
      <c r="Q7" s="36">
        <v>-6155.6423236080527</v>
      </c>
      <c r="R7" s="36">
        <v>6258.9452953562823</v>
      </c>
      <c r="S7" s="36">
        <v>-3440.1214339462736</v>
      </c>
      <c r="T7" s="36">
        <v>4213.7122273701898</v>
      </c>
      <c r="U7" s="36">
        <v>-36.74965255315913</v>
      </c>
      <c r="V7" s="37">
        <v>-4274.1235542414097</v>
      </c>
    </row>
    <row xmlns:x14ac="http://schemas.microsoft.com/office/spreadsheetml/2009/9/ac" r="8" x14ac:dyDescent="0.35">
      <c r="A8">
        <v>5</v>
      </c>
      <c r="B8" t="s">
        <v>202</v>
      </c>
      <c r="C8" s="32" t="s">
        <v>160</v>
      </c>
      <c r="D8" s="0">
        <v>0.5</v>
      </c>
      <c r="E8" s="0">
        <v>1</v>
      </c>
      <c r="F8" s="0">
        <v>1</v>
      </c>
      <c r="H8" s="25"/>
      <c r="I8">
        <v>5</v>
      </c>
      <c r="J8" s="36">
        <v>-2206.7578267852623</v>
      </c>
      <c r="K8" s="36">
        <v>-1189.7888898314839</v>
      </c>
      <c r="L8" s="36">
        <v>-4152.2035548324538</v>
      </c>
      <c r="M8" s="36">
        <v>5976.7997941890508</v>
      </c>
      <c r="N8" s="36">
        <v>273.23162898615402</v>
      </c>
      <c r="O8" s="37">
        <v>-3172.2163313678466</v>
      </c>
      <c r="P8" s="25"/>
      <c r="Q8" s="36">
        <v>-468.65864808078879</v>
      </c>
      <c r="R8" s="36">
        <v>-2168.9282341171438</v>
      </c>
      <c r="S8" s="36">
        <v>-11979.306806870089</v>
      </c>
      <c r="T8" s="36">
        <v>15740.556903207766</v>
      </c>
      <c r="U8" s="36">
        <v>-58.286368109458081</v>
      </c>
      <c r="V8" s="37">
        <v>-9211.19419629408</v>
      </c>
    </row>
    <row xmlns:x14ac="http://schemas.microsoft.com/office/spreadsheetml/2009/9/ac" r="9" x14ac:dyDescent="0.35">
      <c r="A9">
        <v>6</v>
      </c>
      <c r="B9" t="s">
        <v>203</v>
      </c>
      <c r="C9" s="32" t="s">
        <v>161</v>
      </c>
      <c r="D9" s="0">
        <v>0.5</v>
      </c>
      <c r="E9" s="0">
        <v>1</v>
      </c>
      <c r="F9" s="0">
        <v>1</v>
      </c>
      <c r="H9" s="25"/>
      <c r="I9">
        <v>6</v>
      </c>
      <c r="J9" s="36">
        <v>235.23645412186787</v>
      </c>
      <c r="K9" s="36">
        <v>275.70019299133628</v>
      </c>
      <c r="L9" s="36">
        <v>-9064.7704645017493</v>
      </c>
      <c r="M9" s="36">
        <v>10660.573761698764</v>
      </c>
      <c r="N9" s="36">
        <v>-48.492350627884434</v>
      </c>
      <c r="O9" s="37">
        <v>-6385.0161873263614</v>
      </c>
      <c r="P9" s="25"/>
      <c r="Q9" s="36">
        <v>1238.1906136126379</v>
      </c>
      <c r="R9" s="36">
        <v>769.15401665208105</v>
      </c>
      <c r="S9" s="36">
        <v>-26346.880932222899</v>
      </c>
      <c r="T9" s="36">
        <v>30594.795120106846</v>
      </c>
      <c r="U9" s="36">
        <v>49.456338026895409</v>
      </c>
      <c r="V9" s="37">
        <v>-18851.561805565852</v>
      </c>
    </row>
    <row xmlns:x14ac="http://schemas.microsoft.com/office/spreadsheetml/2009/9/ac" r="10" x14ac:dyDescent="0.35">
      <c r="A10">
        <v>7</v>
      </c>
      <c r="B10" t="s">
        <v>204</v>
      </c>
      <c r="C10" s="32" t="s">
        <v>163</v>
      </c>
      <c r="D10" s="0">
        <v>0.5</v>
      </c>
      <c r="E10" s="0">
        <v>1</v>
      </c>
      <c r="F10" s="0">
        <v>1</v>
      </c>
      <c r="H10" s="25"/>
      <c r="I10">
        <v>7</v>
      </c>
      <c r="J10" s="36">
        <v>2512.748673441235</v>
      </c>
      <c r="K10" s="36">
        <v>-4536.4258530354464</v>
      </c>
      <c r="L10" s="36">
        <v>-12750.234913410051</v>
      </c>
      <c r="M10" s="36">
        <v>15175.659562063167</v>
      </c>
      <c r="N10" s="36">
        <v>454.84647943417451</v>
      </c>
      <c r="O10" s="37">
        <v>-8146.9561618712951</v>
      </c>
      <c r="P10" s="25"/>
      <c r="Q10" s="36">
        <v>4765.0967480204354</v>
      </c>
      <c r="R10" s="36">
        <v>-5252.896570658877</v>
      </c>
      <c r="S10" s="36">
        <v>-28330.58007031431</v>
      </c>
      <c r="T10" s="36">
        <v>34170.352407579594</v>
      </c>
      <c r="U10" s="36">
        <v>19.508228905146005</v>
      </c>
      <c r="V10" s="37">
        <v>-19552.256423208182</v>
      </c>
    </row>
    <row xmlns:x14ac="http://schemas.microsoft.com/office/spreadsheetml/2009/9/ac" r="11" x14ac:dyDescent="0.35">
      <c r="A11">
        <v>8</v>
      </c>
      <c r="B11" t="s">
        <v>205</v>
      </c>
      <c r="C11" s="32" t="s">
        <v>165</v>
      </c>
      <c r="D11" s="0">
        <v>0.5</v>
      </c>
      <c r="E11" s="0">
        <v>-1</v>
      </c>
      <c r="F11" s="0">
        <v>0</v>
      </c>
      <c r="H11" s="25"/>
      <c r="I11">
        <v>8</v>
      </c>
      <c r="J11" s="36">
        <v>3409.13120176866</v>
      </c>
      <c r="K11" s="36">
        <v>-4653.0695657944771</v>
      </c>
      <c r="L11" s="36">
        <v>-8264.5748074590047</v>
      </c>
      <c r="M11" s="36">
        <v>9531.0815563927517</v>
      </c>
      <c r="N11" s="36">
        <v>421.86754282852598</v>
      </c>
      <c r="O11" s="37">
        <v>-4824.8722762998295</v>
      </c>
      <c r="P11" s="25"/>
      <c r="Q11" s="36">
        <v>5321.1813844247781</v>
      </c>
      <c r="R11" s="36">
        <v>-4350.4191772091754</v>
      </c>
      <c r="S11" s="36">
        <v>-29790.288005693499</v>
      </c>
      <c r="T11" s="36">
        <v>35168.884415877423</v>
      </c>
      <c r="U11" s="36">
        <v>53.507980352111531</v>
      </c>
      <c r="V11" s="37">
        <v>-20326.575113459541</v>
      </c>
    </row>
    <row xmlns:x14ac="http://schemas.microsoft.com/office/spreadsheetml/2009/9/ac" r="12" x14ac:dyDescent="0.35">
      <c r="A12">
        <v>9</v>
      </c>
      <c r="B12" t="s">
        <v>206</v>
      </c>
      <c r="C12" s="32" t="s">
        <v>166</v>
      </c>
      <c r="D12" s="0">
        <v>0.65000000000000002</v>
      </c>
      <c r="E12" s="0">
        <v>1</v>
      </c>
      <c r="F12" s="0">
        <v>1</v>
      </c>
      <c r="H12" s="25"/>
      <c r="I12">
        <v>9</v>
      </c>
      <c r="J12" s="36">
        <v>4083.4127461415301</v>
      </c>
      <c r="K12" s="36">
        <v>-7106.6252304225682</v>
      </c>
      <c r="L12" s="36">
        <v>-6739.2576365871946</v>
      </c>
      <c r="M12" s="36">
        <v>7952.8731394422293</v>
      </c>
      <c r="N12" s="36">
        <v>704.66512427619841</v>
      </c>
      <c r="O12" s="37">
        <v>-3400.0330764640862</v>
      </c>
      <c r="P12" s="25"/>
      <c r="Q12" s="36">
        <v>3394.9739822073821</v>
      </c>
      <c r="R12" s="36">
        <v>-6096.0072263153133</v>
      </c>
      <c r="S12" s="36">
        <v>-11174.258966869724</v>
      </c>
      <c r="T12" s="36">
        <v>14721.494869830552</v>
      </c>
      <c r="U12" s="36">
        <v>-35.208945311081742</v>
      </c>
      <c r="V12" s="37">
        <v>-7525.4707586300465</v>
      </c>
    </row>
    <row xmlns:x14ac="http://schemas.microsoft.com/office/spreadsheetml/2009/9/ac" r="13" x14ac:dyDescent="0.35">
      <c r="A13">
        <v>10</v>
      </c>
      <c r="B13" t="s">
        <v>207</v>
      </c>
      <c r="C13" s="32" t="s">
        <v>171</v>
      </c>
      <c r="D13" s="0">
        <v>0</v>
      </c>
      <c r="E13" s="0">
        <v>1</v>
      </c>
      <c r="F13" s="0">
        <v>1</v>
      </c>
      <c r="H13" s="49"/>
      <c r="I13">
        <v>10</v>
      </c>
      <c r="J13" s="36">
        <v>-878.15867819907669</v>
      </c>
      <c r="K13" s="36">
        <v>-442.67325077581654</v>
      </c>
      <c r="L13" s="36">
        <v>-3618.8191163534852</v>
      </c>
      <c r="M13" s="36">
        <v>4715.202523661319</v>
      </c>
      <c r="N13" s="36">
        <v>104.72428139245719</v>
      </c>
      <c r="O13" s="37">
        <v>-2652.9602118692601</v>
      </c>
      <c r="P13" s="49"/>
      <c r="Q13" s="36">
        <v>70.236889312531147</v>
      </c>
      <c r="R13" s="36">
        <v>-798.13284272976034</v>
      </c>
      <c r="S13" s="36">
        <v>-11334.832764268715</v>
      </c>
      <c r="T13" s="36">
        <v>13982.60706821659</v>
      </c>
      <c r="U13" s="36">
        <v>-14.931299958385125</v>
      </c>
      <c r="V13" s="37">
        <v>-8397.0496459739734</v>
      </c>
    </row>
    <row xmlns:x14ac="http://schemas.microsoft.com/office/spreadsheetml/2009/9/ac" r="14" x14ac:dyDescent="0.35">
      <c r="A14">
        <v>11</v>
      </c>
      <c r="B14" t="s">
        <v>208</v>
      </c>
      <c r="C14" s="32" t="s">
        <v>176</v>
      </c>
      <c r="D14" s="0">
        <v>0.69999999999999996</v>
      </c>
      <c r="E14" s="0">
        <v>1</v>
      </c>
      <c r="F14" s="0">
        <v>1</v>
      </c>
      <c r="H14" s="25"/>
      <c r="I14">
        <v>11</v>
      </c>
      <c r="J14" s="36">
        <v>2511.1990803091635</v>
      </c>
      <c r="K14" s="36">
        <v>-2535.3667403551767</v>
      </c>
      <c r="L14" s="36">
        <v>-4141.6007069791613</v>
      </c>
      <c r="M14" s="36">
        <v>4526.6997202191042</v>
      </c>
      <c r="N14" s="36">
        <v>194.75755814331544</v>
      </c>
      <c r="O14" s="37">
        <v>-2267.7107639353558</v>
      </c>
      <c r="P14" s="25"/>
      <c r="Q14" s="36">
        <v>1614.314440084989</v>
      </c>
      <c r="R14" s="36">
        <v>-887.72226572308512</v>
      </c>
      <c r="S14" s="36">
        <v>-9145.9010408736267</v>
      </c>
      <c r="T14" s="36">
        <v>10579.445856393821</v>
      </c>
      <c r="U14" s="36">
        <v>25.269328815996904</v>
      </c>
      <c r="V14" s="37">
        <v>-6204.1447594269357</v>
      </c>
    </row>
    <row xmlns:x14ac="http://schemas.microsoft.com/office/spreadsheetml/2009/9/ac" r="15" ht="15" thickBot="true" x14ac:dyDescent="0.4">
      <c r="A15">
        <v>12</v>
      </c>
      <c r="B15" t="s">
        <v>203</v>
      </c>
      <c r="C15" s="32" t="s">
        <v>161</v>
      </c>
      <c r="D15" s="0">
        <v>0</v>
      </c>
      <c r="E15" s="0">
        <v>1</v>
      </c>
      <c r="F15" s="0">
        <v>1</v>
      </c>
      <c r="H15" s="21"/>
      <c r="I15" s="20">
        <v>12</v>
      </c>
      <c r="J15" s="38">
        <v>235.23645412186787</v>
      </c>
      <c r="K15" s="38">
        <v>275.70019299133628</v>
      </c>
      <c r="L15" s="38">
        <v>-9064.7704645017493</v>
      </c>
      <c r="M15" s="38">
        <v>10660.573761698764</v>
      </c>
      <c r="N15" s="38">
        <v>-48.492350627884434</v>
      </c>
      <c r="O15" s="39">
        <v>-6385.0161873263614</v>
      </c>
      <c r="P15" s="21"/>
      <c r="Q15" s="38">
        <v>1238.1906136126379</v>
      </c>
      <c r="R15" s="38">
        <v>769.15401665208105</v>
      </c>
      <c r="S15" s="38">
        <v>-26346.880932222899</v>
      </c>
      <c r="T15" s="38">
        <v>30594.795120106846</v>
      </c>
      <c r="U15" s="38">
        <v>49.456338026895409</v>
      </c>
      <c r="V15" s="39">
        <v>-18851.561805565852</v>
      </c>
    </row>
    <row xmlns:x14ac="http://schemas.microsoft.com/office/spreadsheetml/2009/9/ac" r="16" x14ac:dyDescent="0.35">
      <c r="H16" s="30" t="s">
        <v>209</v>
      </c>
      <c r="I16" s="29">
        <v>1</v>
      </c>
      <c r="J16" s="34">
        <v>5630.4953224661485</v>
      </c>
      <c r="K16" s="34">
        <v>-5923.3284804640425</v>
      </c>
      <c r="L16" s="34">
        <v>-5251.2689874234738</v>
      </c>
      <c r="M16" s="34">
        <v>5389.4241223826175</v>
      </c>
      <c r="N16" s="34">
        <v>467.7097641498886</v>
      </c>
      <c r="O16" s="35">
        <v>-2214.2157450149111</v>
      </c>
      <c r="P16" s="30" t="s">
        <v>210</v>
      </c>
      <c r="Q16" s="34">
        <v>333.79326809850227</v>
      </c>
      <c r="R16" s="34">
        <v>207.34968434327092</v>
      </c>
      <c r="S16" s="34">
        <v>-7102.6313669989131</v>
      </c>
      <c r="T16" s="34">
        <v>8247.7903948474013</v>
      </c>
      <c r="U16" s="34">
        <v>13.332513198445433</v>
      </c>
      <c r="V16" s="35">
        <v>-5082.0320834779686</v>
      </c>
    </row>
    <row xmlns:x14ac="http://schemas.microsoft.com/office/spreadsheetml/2009/9/ac" r="17" x14ac:dyDescent="0.35">
      <c r="H17" s="25"/>
      <c r="I17">
        <v>2</v>
      </c>
      <c r="J17" s="36">
        <v>-5503.8417256571947</v>
      </c>
      <c r="K17" s="36">
        <v>6071.7681481746331</v>
      </c>
      <c r="L17" s="36">
        <v>370.70832830989906</v>
      </c>
      <c r="M17" s="36">
        <v>350.33256629215987</v>
      </c>
      <c r="N17" s="36">
        <v>-493.81851777683721</v>
      </c>
      <c r="O17" s="37">
        <v>-1223.5391251941767</v>
      </c>
      <c r="P17" s="25"/>
      <c r="Q17" s="36">
        <v>386.76619711295325</v>
      </c>
      <c r="R17" s="36">
        <v>240.25604034156672</v>
      </c>
      <c r="S17" s="36">
        <v>-8229.8176322078762</v>
      </c>
      <c r="T17" s="36">
        <v>9556.7131828989259</v>
      </c>
      <c r="U17" s="36">
        <v>15.44838054133314</v>
      </c>
      <c r="V17" s="37">
        <v>-5888.5496215362737</v>
      </c>
    </row>
    <row xmlns:x14ac="http://schemas.microsoft.com/office/spreadsheetml/2009/9/ac" r="18" x14ac:dyDescent="0.35">
      <c r="H18" s="25"/>
      <c r="I18">
        <v>3</v>
      </c>
      <c r="J18" s="36">
        <v>107.59156809247193</v>
      </c>
      <c r="K18" s="36">
        <v>126.09872138254082</v>
      </c>
      <c r="L18" s="36">
        <v>-4146.0107546456029</v>
      </c>
      <c r="M18" s="36">
        <v>4875.8932881733308</v>
      </c>
      <c r="N18" s="36">
        <v>-22.179249657643108</v>
      </c>
      <c r="O18" s="37">
        <v>-2920.3547828275259</v>
      </c>
      <c r="P18" s="25"/>
      <c r="Q18" s="36">
        <v>6876.2017888195087</v>
      </c>
      <c r="R18" s="36">
        <v>-5811.3395706714446</v>
      </c>
      <c r="S18" s="36">
        <v>-11892.327565260517</v>
      </c>
      <c r="T18" s="36">
        <v>13590.791350376141</v>
      </c>
      <c r="U18" s="36">
        <v>65.530546292938268</v>
      </c>
      <c r="V18" s="37">
        <v>-6696.4581507728344</v>
      </c>
    </row>
    <row xmlns:x14ac="http://schemas.microsoft.com/office/spreadsheetml/2009/9/ac" r="19" x14ac:dyDescent="0.35">
      <c r="H19" s="25"/>
      <c r="I19">
        <v>4</v>
      </c>
      <c r="J19" s="36">
        <v>19.062028716478853</v>
      </c>
      <c r="K19" s="36">
        <v>22.34094632805439</v>
      </c>
      <c r="L19" s="36">
        <v>-734.54990446796978</v>
      </c>
      <c r="M19" s="36">
        <v>863.86340050144861</v>
      </c>
      <c r="N19" s="36">
        <v>-3.9295039693103466</v>
      </c>
      <c r="O19" s="37">
        <v>-517.4000873815628</v>
      </c>
      <c r="P19" s="25"/>
      <c r="Q19" s="36">
        <v>-6155.6423236080527</v>
      </c>
      <c r="R19" s="36">
        <v>6258.9452953562823</v>
      </c>
      <c r="S19" s="36">
        <v>-3440.1214339462736</v>
      </c>
      <c r="T19" s="36">
        <v>4213.7122273701898</v>
      </c>
      <c r="U19" s="36">
        <v>-36.74965255315913</v>
      </c>
      <c r="V19" s="37">
        <v>-4274.1235542414097</v>
      </c>
    </row>
    <row xmlns:x14ac="http://schemas.microsoft.com/office/spreadsheetml/2009/9/ac" r="20" x14ac:dyDescent="0.35">
      <c r="H20" s="25"/>
      <c r="I20">
        <v>5</v>
      </c>
      <c r="J20" s="36">
        <v>362.29850031502781</v>
      </c>
      <c r="K20" s="36">
        <v>219.28983062632179</v>
      </c>
      <c r="L20" s="36">
        <v>-848.09103006430303</v>
      </c>
      <c r="M20" s="36">
        <v>836.6032225790143</v>
      </c>
      <c r="N20" s="36">
        <v>-47.974444783835445</v>
      </c>
      <c r="O20" s="37">
        <v>-560.98732770027607</v>
      </c>
      <c r="P20" s="25"/>
      <c r="Q20" s="36">
        <v>694.83212685942169</v>
      </c>
      <c r="R20" s="36">
        <v>1133.7444538952286</v>
      </c>
      <c r="S20" s="36">
        <v>-6577.1552227896036</v>
      </c>
      <c r="T20" s="36">
        <v>6953.4104207536457</v>
      </c>
      <c r="U20" s="36">
        <v>42.547604552982328</v>
      </c>
      <c r="V20" s="37">
        <v>-4466.8095718285949</v>
      </c>
    </row>
    <row xmlns:x14ac="http://schemas.microsoft.com/office/spreadsheetml/2009/9/ac" r="21" x14ac:dyDescent="0.35">
      <c r="C21" t="s">
        <v>565</v>
      </c>
      <c r="H21" s="25"/>
      <c r="I21">
        <v>6</v>
      </c>
      <c r="J21" s="36">
        <v>235.23645412186787</v>
      </c>
      <c r="K21" s="36">
        <v>275.70019299133628</v>
      </c>
      <c r="L21" s="36">
        <v>-9064.7704645017493</v>
      </c>
      <c r="M21" s="36">
        <v>10660.573761698764</v>
      </c>
      <c r="N21" s="36">
        <v>-48.492350627884434</v>
      </c>
      <c r="O21" s="37">
        <v>-6385.0161873263614</v>
      </c>
      <c r="P21" s="25"/>
      <c r="Q21" s="36">
        <v>1238.1906136126379</v>
      </c>
      <c r="R21" s="36">
        <v>769.15401665208105</v>
      </c>
      <c r="S21" s="36">
        <v>-26346.880932222899</v>
      </c>
      <c r="T21" s="36">
        <v>30594.795120106846</v>
      </c>
      <c r="U21" s="36">
        <v>49.456338026895409</v>
      </c>
      <c r="V21" s="37">
        <v>-18851.561805565852</v>
      </c>
    </row>
    <row xmlns:x14ac="http://schemas.microsoft.com/office/spreadsheetml/2009/9/ac" r="22" x14ac:dyDescent="0.35">
      <c r="H22" s="49"/>
      <c r="I22">
        <v>7</v>
      </c>
      <c r="J22" s="36">
        <v>3763.8796109720211</v>
      </c>
      <c r="K22" s="36">
        <v>-1906.0439858836664</v>
      </c>
      <c r="L22" s="36">
        <v>-9383.3355875574725</v>
      </c>
      <c r="M22" s="36">
        <v>10196.028692099153</v>
      </c>
      <c r="N22" s="36">
        <v>45.637847518907229</v>
      </c>
      <c r="O22" s="37">
        <v>-5824.3776448200506</v>
      </c>
      <c r="P22" s="72"/>
      <c r="Q22" s="36">
        <v>4458.7535684288459</v>
      </c>
      <c r="R22" s="36">
        <v>-828.20928523985265</v>
      </c>
      <c r="S22" s="36">
        <v>-22181.518184828183</v>
      </c>
      <c r="T22" s="36">
        <v>24695.325294311708</v>
      </c>
      <c r="U22" s="36">
        <v>103.79677786994799</v>
      </c>
      <c r="V22" s="37">
        <v>-14709.986114677318</v>
      </c>
    </row>
    <row xmlns:x14ac="http://schemas.microsoft.com/office/spreadsheetml/2009/9/ac" r="23" x14ac:dyDescent="0.35">
      <c r="H23" s="49"/>
      <c r="I23">
        <v>8</v>
      </c>
      <c r="J23" s="36">
        <v>3601.7585258978256</v>
      </c>
      <c r="K23" s="36">
        <v>-2641.400488199783</v>
      </c>
      <c r="L23" s="36">
        <v>-6293.5244643725218</v>
      </c>
      <c r="M23" s="36">
        <v>6717.9015640729758</v>
      </c>
      <c r="N23" s="36">
        <v>149.96182749131705</v>
      </c>
      <c r="O23" s="37">
        <v>-3598.7917809965343</v>
      </c>
      <c r="P23" s="72"/>
      <c r="Q23" s="36">
        <v>5142.4979437813145</v>
      </c>
      <c r="R23" s="36">
        <v>-1884.4466356519836</v>
      </c>
      <c r="S23" s="36">
        <v>-26367.924947029438</v>
      </c>
      <c r="T23" s="36">
        <v>29898.044645256305</v>
      </c>
      <c r="U23" s="36">
        <v>100.26719305578375</v>
      </c>
      <c r="V23" s="37">
        <v>-17634.329234646557</v>
      </c>
    </row>
    <row xmlns:x14ac="http://schemas.microsoft.com/office/spreadsheetml/2009/9/ac" r="24" x14ac:dyDescent="0.35">
      <c r="H24" s="49"/>
      <c r="I24">
        <v>9</v>
      </c>
      <c r="J24" s="36">
        <v>2864.5455060398845</v>
      </c>
      <c r="K24" s="36">
        <v>-1881.9020859754651</v>
      </c>
      <c r="L24" s="36">
        <v>-2978.5356580648217</v>
      </c>
      <c r="M24" s="36">
        <v>2885.1313543312949</v>
      </c>
      <c r="N24" s="36">
        <v>90.813922742278919</v>
      </c>
      <c r="O24" s="37">
        <v>-1453.3324261557341</v>
      </c>
      <c r="P24" s="72"/>
      <c r="Q24" s="36">
        <v>1333.9399972563988</v>
      </c>
      <c r="R24" s="36">
        <v>-172.17162543251766</v>
      </c>
      <c r="S24" s="36">
        <v>-3905.1656794368696</v>
      </c>
      <c r="T24" s="36">
        <v>4069.7068490650054</v>
      </c>
      <c r="U24" s="36">
        <v>32.670715676630032</v>
      </c>
      <c r="V24" s="37">
        <v>-2382.6148918397616</v>
      </c>
    </row>
    <row xmlns:x14ac="http://schemas.microsoft.com/office/spreadsheetml/2009/9/ac" r="25" x14ac:dyDescent="0.35">
      <c r="H25" s="49"/>
      <c r="I25">
        <v>10</v>
      </c>
      <c r="J25" s="36">
        <v>473.97623080107883</v>
      </c>
      <c r="K25" s="36">
        <v>298.94712841248747</v>
      </c>
      <c r="L25" s="36">
        <v>-1879.812524370253</v>
      </c>
      <c r="M25" s="36">
        <v>2009.8359070244471</v>
      </c>
      <c r="N25" s="36">
        <v>-64.331546907514621</v>
      </c>
      <c r="O25" s="37">
        <v>-1278.6291573073765</v>
      </c>
      <c r="P25" s="72"/>
      <c r="Q25" s="36">
        <v>682.60045507054042</v>
      </c>
      <c r="R25" s="36">
        <v>940.11594043463924</v>
      </c>
      <c r="S25" s="36">
        <v>-8491.5950884368795</v>
      </c>
      <c r="T25" s="36">
        <v>9357.7931300828441</v>
      </c>
      <c r="U25" s="36">
        <v>38.139211969215154</v>
      </c>
      <c r="V25" s="37">
        <v>-5900.005106781613</v>
      </c>
    </row>
    <row xmlns:x14ac="http://schemas.microsoft.com/office/spreadsheetml/2009/9/ac" r="26" x14ac:dyDescent="0.35">
      <c r="H26" s="49"/>
      <c r="I26">
        <v>11</v>
      </c>
      <c r="J26" s="36">
        <v>2511.1990803091635</v>
      </c>
      <c r="K26" s="36">
        <v>-2535.3667403551767</v>
      </c>
      <c r="L26" s="36">
        <v>-4141.6007069791613</v>
      </c>
      <c r="M26" s="36">
        <v>4526.6997202191042</v>
      </c>
      <c r="N26" s="36">
        <v>194.75755814331544</v>
      </c>
      <c r="O26" s="37">
        <v>-2267.7107639353558</v>
      </c>
      <c r="P26" s="72"/>
      <c r="Q26" s="36">
        <v>1614.314440084989</v>
      </c>
      <c r="R26" s="36">
        <v>-887.72226572308512</v>
      </c>
      <c r="S26" s="36">
        <v>-9145.9010408736267</v>
      </c>
      <c r="T26" s="36">
        <v>10579.445856393821</v>
      </c>
      <c r="U26" s="36">
        <v>25.269328815996904</v>
      </c>
      <c r="V26" s="37">
        <v>-6204.1447594269357</v>
      </c>
    </row>
    <row xmlns:x14ac="http://schemas.microsoft.com/office/spreadsheetml/2009/9/ac" r="27" ht="15" thickBot="true" x14ac:dyDescent="0.4">
      <c r="H27" s="48"/>
      <c r="I27" s="20">
        <v>12</v>
      </c>
      <c r="J27" s="38">
        <v>235.23645412186787</v>
      </c>
      <c r="K27" s="38">
        <v>275.70019299133628</v>
      </c>
      <c r="L27" s="38">
        <v>-9064.7704645017493</v>
      </c>
      <c r="M27" s="38">
        <v>10660.573761698764</v>
      </c>
      <c r="N27" s="38">
        <v>-48.492350627884434</v>
      </c>
      <c r="O27" s="39">
        <v>-6385.0161873263614</v>
      </c>
      <c r="P27" s="73"/>
      <c r="Q27" s="38">
        <v>1238.1906136126379</v>
      </c>
      <c r="R27" s="38">
        <v>769.15401665208105</v>
      </c>
      <c r="S27" s="38">
        <v>-26346.880932222899</v>
      </c>
      <c r="T27" s="38">
        <v>30594.795120106846</v>
      </c>
      <c r="U27" s="38">
        <v>49.456338026895409</v>
      </c>
      <c r="V27" s="39">
        <v>-18851.561805565852</v>
      </c>
    </row>
    <row xmlns:x14ac="http://schemas.microsoft.com/office/spreadsheetml/2009/9/ac" r="28" x14ac:dyDescent="0.35">
      <c r="H28" s="30" t="s">
        <v>211</v>
      </c>
      <c r="I28" s="29"/>
      <c r="J28" s="34">
        <f>MAX(J$4:J$27)</f>
        <v>5630.4953224661485</v>
      </c>
      <c r="K28" s="34">
        <f>MAX(K$4:K$27)</f>
        <v>6071.7681481746331</v>
      </c>
      <c r="L28" s="34">
        <f t="shared" ref="L28:O28" si="0">MAX(L$4:L$27)</f>
        <v>370.70832830989906</v>
      </c>
      <c r="M28" s="34">
        <f t="shared" si="0"/>
        <v>15175.659562063167</v>
      </c>
      <c r="N28" s="34">
        <f t="shared" si="0"/>
        <v>704.66512427619841</v>
      </c>
      <c r="O28" s="34">
        <f t="shared" si="0"/>
        <v>-517.4000873815628</v>
      </c>
      <c r="P28" s="53" t="s">
        <v>211</v>
      </c>
      <c r="Q28" s="27">
        <f>MAX(Q$4:Q$27)</f>
        <v>6876.2017888195087</v>
      </c>
      <c r="R28" s="27">
        <f t="shared" ref="R28:V28" si="1">MAX(R$4:R$27)</f>
        <v>6258.9452953562823</v>
      </c>
      <c r="S28" s="27">
        <f t="shared" si="1"/>
        <v>-3440.1214339462736</v>
      </c>
      <c r="T28" s="27">
        <f t="shared" si="1"/>
        <v>35168.884415877423</v>
      </c>
      <c r="U28" s="27">
        <f t="shared" si="1"/>
        <v>103.79677786994799</v>
      </c>
      <c r="V28" s="27">
        <f t="shared" si="1"/>
        <v>-2382.6148918397616</v>
      </c>
    </row>
    <row xmlns:x14ac="http://schemas.microsoft.com/office/spreadsheetml/2009/9/ac" r="29" x14ac:dyDescent="0.35">
      <c r="H29" s="25" t="s">
        <v>212</v>
      </c>
      <c r="J29" s="36">
        <f>MIN(J$4:J$27)</f>
        <v>-5503.8417256571947</v>
      </c>
      <c r="K29" s="36">
        <f t="shared" ref="K29:O29" si="2">MIN(K$4:K$27)</f>
        <v>-7106.6252304225682</v>
      </c>
      <c r="L29" s="36">
        <f t="shared" si="2"/>
        <v>-12750.234913410051</v>
      </c>
      <c r="M29" s="36">
        <f t="shared" si="2"/>
        <v>350.33256629215987</v>
      </c>
      <c r="N29" s="36">
        <f t="shared" si="2"/>
        <v>-493.81851777683721</v>
      </c>
      <c r="O29" s="36">
        <f t="shared" si="2"/>
        <v>-8146.9561618712951</v>
      </c>
      <c r="P29" s="31" t="s">
        <v>212</v>
      </c>
      <c r="Q29" s="23">
        <f>MIN(Q$4:Q$27)</f>
        <v>-6155.6423236080527</v>
      </c>
      <c r="R29" s="23">
        <f t="shared" ref="R29:V29" si="3">MIN(R$4:R$27)</f>
        <v>-6096.0072263153133</v>
      </c>
      <c r="S29" s="23">
        <f t="shared" si="3"/>
        <v>-29790.288005693499</v>
      </c>
      <c r="T29" s="23">
        <f t="shared" si="3"/>
        <v>4069.7068490650054</v>
      </c>
      <c r="U29" s="23">
        <f t="shared" si="3"/>
        <v>-58.286368109458081</v>
      </c>
      <c r="V29" s="23">
        <f t="shared" si="3"/>
        <v>-20326.575113459541</v>
      </c>
    </row>
    <row xmlns:x14ac="http://schemas.microsoft.com/office/spreadsheetml/2009/9/ac" r="30" ht="15" thickBot="true" x14ac:dyDescent="0.4">
      <c r="H30" s="21" t="s">
        <v>213</v>
      </c>
      <c r="I30" s="20"/>
      <c r="J30" s="38" cm="1">
        <f t="array" ref="J30">MAX(ABS(J$4:J$27))</f>
        <v>5630.4953224661485</v>
      </c>
      <c r="K30" s="38" cm="1">
        <f t="array" ref="K30">MAX(ABS(K$4:K$27))</f>
        <v>7106.6252304225682</v>
      </c>
      <c r="L30" s="38" cm="1">
        <f t="array" ref="L30">MAX(ABS(L$4:L$27))</f>
        <v>12750.234913410051</v>
      </c>
      <c r="M30" s="38" cm="1">
        <f t="array" ref="M30">MAX(ABS(M$4:M$27))</f>
        <v>15175.659562063167</v>
      </c>
      <c r="N30" s="38" cm="1">
        <f t="array" ref="N30">MAX(ABS(N$4:N$27))</f>
        <v>704.66512427619841</v>
      </c>
      <c r="O30" s="38" cm="1">
        <f t="array" ref="O30">MAX(ABS(O$4:O$27))</f>
        <v>8146.9561618712951</v>
      </c>
      <c r="P30" s="74" t="s">
        <v>213</v>
      </c>
      <c r="Q30" s="18" cm="1">
        <f t="array" ref="Q30">MAX(ABS(Q$4:Q$27))</f>
        <v>6876.2017888195087</v>
      </c>
      <c r="R30" s="18" cm="1">
        <f t="array" ref="R30">MAX(ABS(R$4:R$27))</f>
        <v>6258.9452953562823</v>
      </c>
      <c r="S30" s="18" cm="1">
        <f t="array" ref="S30">MAX(ABS(S$4:S$27))</f>
        <v>29790.288005693499</v>
      </c>
      <c r="T30" s="18" cm="1">
        <f t="array" ref="T30">MAX(ABS(T$4:T$27))</f>
        <v>35168.884415877423</v>
      </c>
      <c r="U30" s="18" cm="1">
        <f t="array" ref="U30">MAX(ABS(U$4:U$27))</f>
        <v>103.79677786994799</v>
      </c>
      <c r="V30" s="18" cm="1">
        <f t="array" ref="V30">MAX(ABS(V$4:V$27))</f>
        <v>20326.575113459541</v>
      </c>
    </row>
    <row xmlns:x14ac="http://schemas.microsoft.com/office/spreadsheetml/2009/9/ac" r="31" x14ac:dyDescent="0.35">
      <c r="H31" s="30" t="s">
        <v>214</v>
      </c>
      <c r="I31" s="29"/>
      <c r="J31" s="34">
        <f t="shared" ref="J31:O33" si="4">J28/4.448</f>
        <v>1265.8487685400512</v>
      </c>
      <c r="K31" s="34">
        <f t="shared" si="4"/>
        <v>1365.0557887083257</v>
      </c>
      <c r="L31" s="34">
        <f t="shared" si="4"/>
        <v>83.342699709959319</v>
      </c>
      <c r="M31" s="34">
        <f t="shared" si="4"/>
        <v>3411.7939662911795</v>
      </c>
      <c r="N31" s="34">
        <f t="shared" si="4"/>
        <v>158.42291463044029</v>
      </c>
      <c r="O31" s="34">
        <f t="shared" si="4"/>
        <v>-116.32196209117868</v>
      </c>
      <c r="P31" s="28" t="s">
        <v>214</v>
      </c>
      <c r="Q31" s="27">
        <f t="shared" ref="Q31:V33" si="5">Q28/4.448</f>
        <v>1545.9086755439541</v>
      </c>
      <c r="R31" s="27">
        <f t="shared" si="5"/>
        <v>1407.1369818696676</v>
      </c>
      <c r="S31" s="27">
        <f t="shared" si="5"/>
        <v>-773.40859576130242</v>
      </c>
      <c r="T31" s="27">
        <f t="shared" si="5"/>
        <v>7906.6736546487</v>
      </c>
      <c r="U31" s="27">
        <f t="shared" si="5"/>
        <v>23.335606535509886</v>
      </c>
      <c r="V31" s="26">
        <f t="shared" si="5"/>
        <v>-535.65982280570176</v>
      </c>
    </row>
    <row xmlns:x14ac="http://schemas.microsoft.com/office/spreadsheetml/2009/9/ac" r="32" x14ac:dyDescent="0.35">
      <c r="H32" s="25" t="s">
        <v>215</v>
      </c>
      <c r="J32" s="36">
        <f t="shared" si="4"/>
        <v>-1237.3744886819231</v>
      </c>
      <c r="K32" s="36">
        <f t="shared" si="4"/>
        <v>-1597.712506839606</v>
      </c>
      <c r="L32" s="36">
        <f t="shared" si="4"/>
        <v>-2866.5096477990219</v>
      </c>
      <c r="M32" s="36">
        <f t="shared" si="4"/>
        <v>78.761817961366873</v>
      </c>
      <c r="N32" s="36">
        <f t="shared" si="4"/>
        <v>-111.02035021961267</v>
      </c>
      <c r="O32" s="36">
        <f t="shared" si="4"/>
        <v>-1831.5998565358125</v>
      </c>
      <c r="P32" s="24" t="s">
        <v>215</v>
      </c>
      <c r="Q32" s="23">
        <f t="shared" si="5"/>
        <v>-1383.9123928974936</v>
      </c>
      <c r="R32" s="23">
        <f t="shared" si="5"/>
        <v>-1370.5052217435505</v>
      </c>
      <c r="S32" s="23">
        <f t="shared" si="5"/>
        <v>-6697.456835812387</v>
      </c>
      <c r="T32" s="23">
        <f t="shared" si="5"/>
        <v>914.9520793761252</v>
      </c>
      <c r="U32" s="23">
        <f>U29/4.448</f>
        <v>-13.103949664896151</v>
      </c>
      <c r="V32" s="22">
        <f t="shared" si="5"/>
        <v>-4569.8235416950401</v>
      </c>
    </row>
    <row xmlns:x14ac="http://schemas.microsoft.com/office/spreadsheetml/2009/9/ac" r="33" ht="15" thickBot="true" x14ac:dyDescent="0.4">
      <c r="H33" s="21" t="s">
        <v>216</v>
      </c>
      <c r="I33" s="20"/>
      <c r="J33" s="38">
        <f t="shared" si="4"/>
        <v>1265.8487685400512</v>
      </c>
      <c r="K33" s="38">
        <f t="shared" si="4"/>
        <v>1597.712506839606</v>
      </c>
      <c r="L33" s="38">
        <f t="shared" si="4"/>
        <v>2866.5096477990219</v>
      </c>
      <c r="M33" s="38">
        <f t="shared" si="4"/>
        <v>3411.7939662911795</v>
      </c>
      <c r="N33" s="38">
        <f t="shared" si="4"/>
        <v>158.42291463044029</v>
      </c>
      <c r="O33" s="38">
        <f t="shared" si="4"/>
        <v>1831.5998565358125</v>
      </c>
      <c r="P33" s="19" t="s">
        <v>216</v>
      </c>
      <c r="Q33" s="18">
        <f t="shared" si="5"/>
        <v>1545.9086755439541</v>
      </c>
      <c r="R33" s="18">
        <f t="shared" si="5"/>
        <v>1407.1369818696676</v>
      </c>
      <c r="S33" s="18">
        <f t="shared" si="5"/>
        <v>6697.456835812387</v>
      </c>
      <c r="T33" s="18">
        <f t="shared" si="5"/>
        <v>7906.6736546487</v>
      </c>
      <c r="U33" s="18">
        <f t="shared" si="5"/>
        <v>23.335606535509886</v>
      </c>
      <c r="V33" s="17">
        <f t="shared" si="5"/>
        <v>4569.8235416950401</v>
      </c>
    </row>
  </sheetData>
  <conditionalFormatting sqref="J31:O3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Q31:V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6E7A-101B-4AC3-8F1F-53DFD25645A6}">
  <dimension ref="A1:X46"/>
  <sheetViews>
    <sheetView zoomScaleNormal="100" workbookViewId="0">
      <pane xSplit="1" topLeftCell="D1" activePane="topRight" state="frozen"/>
      <selection activeCell="A10" sqref="A10"/>
      <selection pane="topRight" activeCell="P16" sqref="P16"/>
    </sheetView>
  </sheetViews>
  <sheetFormatPr xmlns:x14ac="http://schemas.microsoft.com/office/spreadsheetml/2009/9/ac" defaultRowHeight="14.5" x14ac:dyDescent="0.35"/>
  <cols>
    <col min="1" max="2" width="12.1796875" bestFit="true" customWidth="true"/>
    <col min="3" max="3" width="13.1796875" bestFit="true" customWidth="true"/>
    <col min="4" max="4" width="8.81640625" bestFit="true" customWidth="true"/>
    <col min="5" max="5" width="13.81640625" bestFit="true" customWidth="true"/>
    <col min="6" max="6" width="5.1796875" bestFit="true" customWidth="true"/>
    <col min="7" max="7" width="7.81640625" customWidth="true"/>
    <col min="8" max="8" width="7" bestFit="true" customWidth="true"/>
    <col min="9" max="9" width="11" bestFit="true" customWidth="true"/>
    <col min="10" max="10" width="16.1796875" bestFit="true" customWidth="true"/>
    <col min="11" max="11" width="19.453125" bestFit="true" customWidth="true"/>
    <col min="12" max="12" width="15" bestFit="true" customWidth="true"/>
    <col min="13" max="13" width="10.1796875" bestFit="true" customWidth="true"/>
    <col min="14" max="14" width="9.81640625" bestFit="true" customWidth="true"/>
    <col min="15" max="15" width="7.81640625" customWidth="true"/>
    <col min="16" max="16" width="10.81640625" bestFit="true" customWidth="true"/>
    <col min="17" max="17" width="11" bestFit="true" customWidth="true"/>
    <col min="18" max="18" width="12.81640625" bestFit="true" customWidth="true"/>
    <col min="19" max="19" width="15" bestFit="true" customWidth="true"/>
    <col min="20" max="20" width="7.81640625" bestFit="true" customWidth="true"/>
    <col min="21" max="21" width="15" bestFit="true" customWidth="true"/>
  </cols>
  <sheetData>
    <row xmlns:x14ac="http://schemas.microsoft.com/office/spreadsheetml/2009/9/ac" r="1" ht="15" thickBot="true" x14ac:dyDescent="0.4">
      <c r="Q1" t="s">
        <v>217</v>
      </c>
      <c r="S1" t="s">
        <v>218</v>
      </c>
      <c r="T1" t="s">
        <v>219</v>
      </c>
      <c r="U1" t="s">
        <v>220</v>
      </c>
      <c r="V1" t="s">
        <v>221</v>
      </c>
    </row>
    <row xmlns:x14ac="http://schemas.microsoft.com/office/spreadsheetml/2009/9/ac" r="2" x14ac:dyDescent="0.35">
      <c r="A2" s="31" t="s">
        <v>222</v>
      </c>
      <c r="B2" s="31" t="s">
        <v>223</v>
      </c>
      <c r="C2" s="31" t="s">
        <v>224</v>
      </c>
      <c r="D2" s="30" t="s">
        <v>225</v>
      </c>
      <c r="E2" s="58" t="s">
        <v>226</v>
      </c>
      <c r="F2" s="31" t="s">
        <v>227</v>
      </c>
      <c r="G2" s="31" t="s">
        <v>228</v>
      </c>
      <c r="H2" s="31" t="s">
        <v>229</v>
      </c>
      <c r="I2" s="31" t="s">
        <v>230</v>
      </c>
      <c r="J2" s="66" t="s">
        <v>231</v>
      </c>
      <c r="K2" s="66" t="s">
        <v>232</v>
      </c>
      <c r="L2" s="54" t="s">
        <v>233</v>
      </c>
      <c r="M2" s="31" t="s">
        <v>234</v>
      </c>
      <c r="N2" s="31" t="s">
        <v>235</v>
      </c>
      <c r="O2" s="31" t="s">
        <v>236</v>
      </c>
      <c r="P2" s="54" t="s">
        <v>237</v>
      </c>
      <c r="Q2" s="30" t="s">
        <v>238</v>
      </c>
      <c r="R2" s="53" t="s">
        <v>239</v>
      </c>
      <c r="S2" s="29"/>
      <c r="T2" s="29"/>
      <c r="U2" s="29"/>
      <c r="V2" s="29"/>
      <c r="W2" s="29"/>
      <c r="X2" s="42"/>
    </row>
    <row xmlns:x14ac="http://schemas.microsoft.com/office/spreadsheetml/2009/9/ac" r="3" x14ac:dyDescent="0.35">
      <c r="A3" t="s">
        <v>240</v>
      </c>
      <c r="B3" s="16">
        <f ca="true">SQRT((F_LCA_FORE_X-F_LCA_OUT_X)^2+(F_LCA_FORE_Y-F_LCA_OUT_Y)^2+(F_LCA_FORE_Z-F_LCA_OUT_Z)^2)</f>
        <v>455.59384525558568</v>
      </c>
      <c r="C3" s="15">
        <f ca="true">B3/25.4</f>
        <v>17.936765561243533</v>
      </c>
      <c r="D3">
        <v>0.625</v>
      </c>
      <c r="E3">
        <v>5.8000000000000003E-2</v>
      </c>
      <c r="F3" s="15">
        <f>0.25*PI()*(D3^2-(D3-2*E3)^2)</f>
        <v>0.10331441600595394</v>
      </c>
      <c r="G3" s="33">
        <f>0.25*PI()*((D3/2)^4-(D3/2-E3)^4)</f>
        <v>4.1952497478477688E-3</v>
      </c>
      <c r="H3">
        <v>4130</v>
      </c>
      <c r="I3" s="15">
        <f ca="true">VLOOKUP(H3,Materials[],2,FALSE)*F3*C3/2.2</f>
        <v>0.23922177925215693</v>
      </c>
      <c r="J3" s="67">
        <f>'Suspension Forces'!J31</f>
        <v>1265.8487685400512</v>
      </c>
      <c r="K3" s="67">
        <f>'Suspension Forces'!J32</f>
        <v>-1237.3744886819231</v>
      </c>
      <c r="L3" s="55">
        <f>VLOOKUP(H3,Materials[],3,FALSE)/(J3/F3/1000)</f>
        <v>5.4438347762069936</v>
      </c>
      <c r="M3" s="15">
        <f ca="true">J3/1000*C3/(VLOOKUP(H3,Materials[],6,FALSE)*F3)</f>
        <v>7.3996057432362738E-3</v>
      </c>
      <c r="N3">
        <v>1</v>
      </c>
      <c r="O3" s="23">
        <f ca="true">(PI()^2*VLOOKUP(H3,Materials[],6,FALSE)*G3)/(N3*C3)^2*1000</f>
        <v>3822.3086304103358</v>
      </c>
      <c r="P3" s="55">
        <f ca="true">-O3/K3</f>
        <v>3.0890475481532982</v>
      </c>
      <c r="Q3" s="49" t="s">
        <v>241</v>
      </c>
      <c r="R3" s="16" cm="1">
        <f t="array" ref="R3">VLOOKUP(Q3,NAS_Shear[],5,FALSE)/MAX(ABS(J3:K3))</f>
        <v>3.9262966290054293</v>
      </c>
      <c r="S3" t="s">
        <v>242</v>
      </c>
      <c r="T3" t="s">
        <v>243</v>
      </c>
      <c r="U3" s="15">
        <f>(D3-2*E3)-0.002</f>
        <v>0.50700000000000001</v>
      </c>
      <c r="V3">
        <v>0.219</v>
      </c>
      <c r="W3" t="s">
        <v>244</v>
      </c>
      <c r="X3" s="50"/>
    </row>
    <row xmlns:x14ac="http://schemas.microsoft.com/office/spreadsheetml/2009/9/ac" r="4" x14ac:dyDescent="0.35">
      <c r="A4" t="s">
        <v>245</v>
      </c>
      <c r="B4" s="16">
        <f ca="true">SQRT((F_LCA_AFT_X-F_LCA_OUT_X)^2+(F_LCA_AFT_Y-F_LCA_OUT_Y)^2+(F_LCA_AFT_Z-F_LCA_OUT_Z)^2)</f>
        <v>484.76733805876717</v>
      </c>
      <c r="C4" s="15">
        <f ca="true">B4/25.4</f>
        <v>19.085328270030203</v>
      </c>
      <c r="D4">
        <v>0.625</v>
      </c>
      <c r="E4">
        <v>6.5000000000000002E-2</v>
      </c>
      <c r="F4" s="15">
        <f>0.25*PI()*(D4^2-(D4-2*E4)^2)</f>
        <v>0.11435397259066847</v>
      </c>
      <c r="G4" s="33">
        <f t="shared" ref="G4:G14" si="0">0.25*PI()*((D4/2)^4-(D4/2-E4)^4)</f>
        <v>4.5430689173286513E-3</v>
      </c>
      <c r="H4">
        <v>4130</v>
      </c>
      <c r="I4" s="15">
        <f ca="true">VLOOKUP(H4,Materials[],2,FALSE)*F4*C4/2.2</f>
        <v>0.28173872821294732</v>
      </c>
      <c r="J4" s="67">
        <f>'Suspension Forces'!K31</f>
        <v>1365.0557887083257</v>
      </c>
      <c r="K4" s="67">
        <f>'Suspension Forces'!K32</f>
        <v>-1597.712506839606</v>
      </c>
      <c r="L4" s="55">
        <f>VLOOKUP(H4,Materials[],3,FALSE)/(J4/F4/1000)</f>
        <v>5.5876177625054941</v>
      </c>
      <c r="M4" s="15">
        <f ca="true">J4/1000*C4/(VLOOKUP(H4,Materials[],6,FALSE)*F4)</f>
        <v>7.6708294972322507E-3</v>
      </c>
      <c r="N4">
        <v>1</v>
      </c>
      <c r="O4" s="23">
        <f ca="true">(PI()^2*VLOOKUP(H4,Materials[],6,FALSE)*G4)/(N4*C4)^2*1000</f>
        <v>3656.0005397784753</v>
      </c>
      <c r="P4" s="55">
        <f t="shared" ref="P4:P14" ca="true" si="1">-O4/K4</f>
        <v>2.2882718412277536</v>
      </c>
      <c r="Q4" s="49" t="s">
        <v>241</v>
      </c>
      <c r="R4" s="16" cm="1">
        <f t="array" ref="R4">VLOOKUP(Q4,NAS_Shear[],5,FALSE)/MAX(ABS(J4:K4))</f>
        <v>3.1107584947060967</v>
      </c>
      <c r="S4" t="s">
        <v>246</v>
      </c>
      <c r="T4" t="s">
        <v>243</v>
      </c>
      <c r="U4" s="15">
        <f t="shared" ref="U4:U13" si="2">(D4-2*E4)-0.002</f>
        <v>0.49299999999999999</v>
      </c>
      <c r="V4">
        <v>0.219</v>
      </c>
      <c r="X4" s="50"/>
    </row>
    <row xmlns:x14ac="http://schemas.microsoft.com/office/spreadsheetml/2009/9/ac" r="5" x14ac:dyDescent="0.35">
      <c r="A5" t="s">
        <v>247</v>
      </c>
      <c r="B5" s="16">
        <f ca="true">SQRT((F_UCA_FORE_X-F_UCA_OUT_X)^2+(F_UCA_FORE_Y-F_UCA_OUT_Y)^2+(F_UCA_FORE_Z-F_UCA_OUT_Z)^2)</f>
        <v>355.55441363179347</v>
      </c>
      <c r="C5" s="15">
        <f ca="true">B5/25.4</f>
        <v>13.998205261094231</v>
      </c>
      <c r="D5">
        <v>0.5</v>
      </c>
      <c r="E5">
        <v>2.8000000000000001E-2</v>
      </c>
      <c r="F5" s="15">
        <f>0.25*PI()*(D5^2-(D5-2*E5)^2)</f>
        <v>4.1519288509842704E-2</v>
      </c>
      <c r="G5" s="33">
        <f t="shared" si="0"/>
        <v>1.1602980366960643E-3</v>
      </c>
      <c r="H5">
        <v>4130</v>
      </c>
      <c r="I5" s="15">
        <f ca="true">VLOOKUP(H5,Materials[],2,FALSE)*F5*C5/2.2</f>
        <v>7.502705840496586E-2</v>
      </c>
      <c r="J5" s="67">
        <f>'Suspension Forces'!L31</f>
        <v>83.342699709959319</v>
      </c>
      <c r="K5" s="67">
        <f>'Suspension Forces'!L32</f>
        <v>-2866.5096477990219</v>
      </c>
      <c r="L5" s="55">
        <f>VLOOKUP(H5,Materials[],3,FALSE)/(J5/F5/1000)</f>
        <v>33.228303777584216</v>
      </c>
      <c r="M5" s="15">
        <f ca="true">J5/1000*C5/(VLOOKUP(H5,Materials[],6,FALSE)*F5)</f>
        <v>9.4609243500902939E-4</v>
      </c>
      <c r="N5">
        <v>1</v>
      </c>
      <c r="O5" s="23">
        <f ca="true">(PI()^2*VLOOKUP(H5,Materials[],6,FALSE)*G5)/(N5*C5)^2*1000</f>
        <v>1735.7254733967691</v>
      </c>
      <c r="P5" s="55">
        <f t="shared" ca="true" si="1"/>
        <v>0.60551879695555977</v>
      </c>
      <c r="Q5" s="49" t="s">
        <v>241</v>
      </c>
      <c r="R5" s="16" cm="1">
        <f t="array" ref="R5">VLOOKUP(Q5,NAS_Shear[],5,FALSE)/MAX(ABS(J5:K5))</f>
        <v>1.7338499999696992</v>
      </c>
      <c r="S5" t="s">
        <v>248</v>
      </c>
      <c r="T5" t="s">
        <v>243</v>
      </c>
      <c r="U5" s="15">
        <f t="shared" si="2"/>
        <v>0.442</v>
      </c>
      <c r="V5">
        <v>0.219</v>
      </c>
      <c r="X5" s="50"/>
    </row>
    <row xmlns:x14ac="http://schemas.microsoft.com/office/spreadsheetml/2009/9/ac" r="6" x14ac:dyDescent="0.35">
      <c r="A6" t="s">
        <v>249</v>
      </c>
      <c r="B6" s="16">
        <f ca="true">SQRT((F_UCA_AFT_X-F_UCA_OUT_X)^2+(F_UCA_AFT_Y-F_UCA_OUT_Y)^2+(F_UCA_AFT_Z-F_UCA_OUT_Z)^2)</f>
        <v>342.81198084654528</v>
      </c>
      <c r="C6" s="15">
        <f t="shared" ref="C6" ca="true" si="3">B6/25.4</f>
        <v>13.496534678997847</v>
      </c>
      <c r="D6">
        <v>0.5</v>
      </c>
      <c r="E6">
        <v>2.8000000000000001E-2</v>
      </c>
      <c r="F6" s="15">
        <f t="shared" ref="F6" si="4">0.25*PI()*(D6^2-(D6-2*E6)^2)</f>
        <v>4.1519288509842704E-2</v>
      </c>
      <c r="G6" s="33">
        <f t="shared" si="0"/>
        <v>1.1602980366960643E-3</v>
      </c>
      <c r="H6">
        <v>4130</v>
      </c>
      <c r="I6" s="15">
        <f ca="true">VLOOKUP(H6,Materials[],2,FALSE)*F6*C6/2.2</f>
        <v>7.2338223132089138E-2</v>
      </c>
      <c r="J6" s="67">
        <f>'Suspension Forces'!M31</f>
        <v>3411.7939662911795</v>
      </c>
      <c r="K6" s="67">
        <f>'Suspension Forces'!M32</f>
        <v>78.761817961366873</v>
      </c>
      <c r="L6" s="55">
        <f>VLOOKUP(H6,Materials[],3,FALSE)/(J6/F6/1000)</f>
        <v>0.81169512900479746</v>
      </c>
      <c r="M6" s="15">
        <f ca="true">J6/1000*C6/(VLOOKUP(H6,Materials[],6,FALSE)*F6)</f>
        <v>3.734209846469607E-2</v>
      </c>
      <c r="N6">
        <v>1</v>
      </c>
      <c r="O6" s="23">
        <f ca="true">(PI()^2*VLOOKUP(H6,Materials[],6,FALSE)*G6)/(N6*C6)^2*1000</f>
        <v>1867.1585694634709</v>
      </c>
      <c r="P6" s="55">
        <f t="shared" ca="true" si="1"/>
        <v>-23.706392485497517</v>
      </c>
      <c r="Q6" s="49" t="s">
        <v>241</v>
      </c>
      <c r="R6" s="16" cm="1">
        <f t="array" ref="R6">VLOOKUP(Q6,NAS_Shear[],5,FALSE)/MAX(ABS(J6:K6))</f>
        <v>1.4567402961182516</v>
      </c>
      <c r="S6" t="s">
        <v>250</v>
      </c>
      <c r="T6" t="s">
        <v>243</v>
      </c>
      <c r="U6" s="15">
        <f t="shared" si="2"/>
        <v>0.442</v>
      </c>
      <c r="V6">
        <v>0.219</v>
      </c>
      <c r="X6" s="50"/>
    </row>
    <row xmlns:x14ac="http://schemas.microsoft.com/office/spreadsheetml/2009/9/ac" r="7" x14ac:dyDescent="0.35">
      <c r="A7" t="s">
        <v>251</v>
      </c>
      <c r="B7" s="16">
        <f ca="true">SQRT((F_TIE_IN_X-F_TIE_OUT_X)^2+(F_TIE_IN_Y-F_TIE_OUT_Y)^2+(F_TIE_IN_Z-F_TIE_OUT_Z)^2)</f>
        <v>411.61860899755567</v>
      </c>
      <c r="C7" s="15">
        <f t="shared" ref="C7:C14" ca="true" si="5">B7/25.4</f>
        <v>16.205457047147863</v>
      </c>
      <c r="D7">
        <v>0.375</v>
      </c>
      <c r="E7">
        <v>2.8000000000000001E-2</v>
      </c>
      <c r="F7" s="15">
        <f t="shared" ref="F7:F14" si="6">0.25*PI()*(D7^2-(D7-2*E7)^2)</f>
        <v>3.0523714222278425E-2</v>
      </c>
      <c r="G7" s="33">
        <f t="shared" si="0"/>
        <v>4.6240756221757368E-4</v>
      </c>
      <c r="H7">
        <v>4130</v>
      </c>
      <c r="I7" s="15">
        <f ca="true">VLOOKUP(H7,Materials[],2,FALSE)*F7*C7/2.2</f>
        <v>6.3854913676630903E-2</v>
      </c>
      <c r="J7" s="67">
        <f>'Suspension Forces'!N31</f>
        <v>158.42291463044029</v>
      </c>
      <c r="K7" s="67">
        <f>'Suspension Forces'!N32</f>
        <v>-111.02035021961267</v>
      </c>
      <c r="L7" s="55">
        <f>VLOOKUP(H7,Materials[],3,FALSE)/(J7/F7/1000)</f>
        <v>12.851245309905284</v>
      </c>
      <c r="M7" s="15">
        <f ca="true">J7/1000*C7/(VLOOKUP(H7,Materials[],6,FALSE)*F7)</f>
        <v>2.831949176355653E-3</v>
      </c>
      <c r="N7">
        <v>1</v>
      </c>
      <c r="O7" s="23">
        <f ca="true">(PI()^2*VLOOKUP(H7,Materials[],6,FALSE)*G7)/(N7*C7)^2*1000</f>
        <v>516.12934798277047</v>
      </c>
      <c r="P7" s="55">
        <f ca="true">-O7/K7</f>
        <v>4.6489616269611798</v>
      </c>
      <c r="Q7" s="49" t="s">
        <v>241</v>
      </c>
      <c r="R7" s="16" cm="1">
        <f t="array" ref="R7">VLOOKUP(Q7,NAS_Shear[],5,FALSE)/MAX(ABS(J7:K7))</f>
        <v>31.372341332965817</v>
      </c>
      <c r="S7" t="s">
        <v>252</v>
      </c>
      <c r="T7" t="s">
        <v>243</v>
      </c>
      <c r="U7" s="15">
        <f t="shared" si="2"/>
        <v>0.317</v>
      </c>
      <c r="V7">
        <v>0.219</v>
      </c>
      <c r="X7" s="50"/>
    </row>
    <row xmlns:x14ac="http://schemas.microsoft.com/office/spreadsheetml/2009/9/ac" r="8" x14ac:dyDescent="0.35">
      <c r="A8" t="s">
        <v>253</v>
      </c>
      <c r="B8" s="16">
        <f ca="true">SQRT((F_PUSH_IN_X-F_PUSH_OUT_X)^2+(F_PUSH_IN_Y-F_PUSH_OUT_Y)^2+(F_PUSH_IN_Z-F_PUSH_OUT_Z)^2)</f>
        <v>1055.5401498953038</v>
      </c>
      <c r="C8" s="15">
        <f t="shared" ca="true" si="5"/>
        <v>41.556698814775743</v>
      </c>
      <c r="D8">
        <v>0.625</v>
      </c>
      <c r="E8">
        <v>3.5000000000000003E-2</v>
      </c>
      <c r="F8" s="15">
        <f t="shared" si="6"/>
        <v>6.4873888296629281E-2</v>
      </c>
      <c r="G8" s="33">
        <f t="shared" si="0"/>
        <v>2.8327588786525026E-3</v>
      </c>
      <c r="H8">
        <v>4130</v>
      </c>
      <c r="I8" s="15">
        <f ca="true">VLOOKUP(H8,Materials[],2,FALSE)*F8*C8/2.2</f>
        <v>0.34802194403442976</v>
      </c>
      <c r="J8" s="67">
        <f>'Suspension Forces'!O31</f>
        <v>-116.32196209117868</v>
      </c>
      <c r="K8" s="67">
        <f>'Suspension Forces'!O32</f>
        <v>-1831.5998565358125</v>
      </c>
      <c r="L8" s="55"/>
      <c r="M8" s="15">
        <f ca="true">K8/1000*C8/(VLOOKUP(H8,Materials[],6,FALSE)*F8)</f>
        <v>-3.9504381218329394E-2</v>
      </c>
      <c r="N8">
        <v>1</v>
      </c>
      <c r="O8" s="23">
        <f ca="true">(PI()^2*VLOOKUP(H8,Materials[],6,FALSE)*G8)/(N8*C8)^2*1000</f>
        <v>480.82132696221862</v>
      </c>
      <c r="P8" s="55">
        <f t="shared" ca="true" si="1"/>
        <v>0.26251439431296841</v>
      </c>
      <c r="Q8" s="49" t="s">
        <v>241</v>
      </c>
      <c r="R8" s="16" cm="1">
        <f t="array" ref="R8">VLOOKUP(Q8,NAS_Shear[],5,FALSE)/MAX(ABS(J8:K8))</f>
        <v>2.7135281404474707</v>
      </c>
      <c r="S8" t="s">
        <v>252</v>
      </c>
      <c r="T8" t="s">
        <v>243</v>
      </c>
      <c r="U8" s="15">
        <f t="shared" si="2"/>
        <v>0.55299999999999994</v>
      </c>
      <c r="V8">
        <v>0.219</v>
      </c>
      <c r="X8" s="50"/>
    </row>
    <row xmlns:x14ac="http://schemas.microsoft.com/office/spreadsheetml/2009/9/ac" r="9" x14ac:dyDescent="0.35">
      <c r="A9" t="s">
        <v>254</v>
      </c>
      <c r="B9" s="16">
        <f ca="true">SQRT((R_LCA_FORE_X-R_LCA_OUT_X)^2+(R_LCA_FORE_Y-R_LCA_OUT_Y)^2+(R_LCA_FORE_Z-R_LCA_OUT_Z)^2)</f>
        <v>290.65615024719301</v>
      </c>
      <c r="C9" s="15">
        <f t="shared" ca="true" si="5"/>
        <v>11.443155521543032</v>
      </c>
      <c r="D9">
        <v>0.625</v>
      </c>
      <c r="E9">
        <v>2.8000000000000001E-2</v>
      </c>
      <c r="F9" s="15">
        <f t="shared" si="6"/>
        <v>5.2514862797407011E-2</v>
      </c>
      <c r="G9" s="33">
        <f t="shared" si="0"/>
        <v>2.3447426733992755E-3</v>
      </c>
      <c r="H9">
        <v>4130</v>
      </c>
      <c r="I9" s="15">
        <f ca="true">VLOOKUP(H9,Materials[],2,FALSE)*F9*C9/2.2</f>
        <v>7.7575341263652384E-2</v>
      </c>
      <c r="J9" s="67">
        <f>'Suspension Forces'!Q31</f>
        <v>1545.9086755439541</v>
      </c>
      <c r="K9" s="67">
        <f>'Suspension Forces'!Q32</f>
        <v>-1383.9123928974936</v>
      </c>
      <c r="L9" s="55">
        <f>VLOOKUP(H9,Materials[],3,FALSE)/(J9/F9/1000)</f>
        <v>2.265813889267779</v>
      </c>
      <c r="M9" s="15">
        <f ca="true">J9/1000*C9/(VLOOKUP(H9,Materials[],6,FALSE)*F9)</f>
        <v>1.1342034143331152E-2</v>
      </c>
      <c r="N9">
        <v>1</v>
      </c>
      <c r="O9" s="23">
        <f ca="true">(PI()^2*VLOOKUP(H9,Materials[],6,FALSE)*G9)/(N9*C9)^2*1000</f>
        <v>5248.797059300703</v>
      </c>
      <c r="P9" s="55">
        <f t="shared" ca="true" si="1"/>
        <v>3.7927235034808171</v>
      </c>
      <c r="Q9" s="49" t="s">
        <v>241</v>
      </c>
      <c r="R9" s="16" cm="1">
        <f t="array" ref="R9">VLOOKUP(Q9,NAS_Shear[],5,FALSE)/MAX(ABS(J9:K9))</f>
        <v>3.2150008803079291</v>
      </c>
      <c r="S9" t="s">
        <v>255</v>
      </c>
      <c r="T9" t="s">
        <v>256</v>
      </c>
      <c r="U9" s="15">
        <f t="shared" si="2"/>
        <v>0.56699999999999995</v>
      </c>
      <c r="V9">
        <v>0.27560000000000001</v>
      </c>
      <c r="X9" s="50"/>
    </row>
    <row xmlns:x14ac="http://schemas.microsoft.com/office/spreadsheetml/2009/9/ac" r="10" x14ac:dyDescent="0.35">
      <c r="A10" t="s">
        <v>257</v>
      </c>
      <c r="B10" s="16">
        <f ca="true">SQRT((R_LCA_AFT_X-R_LCA_OUT_X)^2+(R_LCA_AFT_Y-R_LCA_OUT_Y)^2+(R_LCA_AFT_Z-R_LCA_OUT_Z)^2)</f>
        <v>279.06147203774242</v>
      </c>
      <c r="C10" s="15">
        <f t="shared" ca="true" si="5"/>
        <v>10.986672127470175</v>
      </c>
      <c r="D10">
        <v>0.625</v>
      </c>
      <c r="E10">
        <v>2.8000000000000001E-2</v>
      </c>
      <c r="F10" s="15">
        <f t="shared" si="6"/>
        <v>5.2514862797407011E-2</v>
      </c>
      <c r="G10" s="33">
        <f t="shared" si="0"/>
        <v>2.3447426733992755E-3</v>
      </c>
      <c r="H10">
        <v>4130</v>
      </c>
      <c r="I10" s="15">
        <f ca="true">VLOOKUP(H10,Materials[],2,FALSE)*F10*C10/2.2</f>
        <v>7.448075297375932E-2</v>
      </c>
      <c r="J10" s="67">
        <f>'Suspension Forces'!R31</f>
        <v>1407.1369818696676</v>
      </c>
      <c r="K10" s="67">
        <f>'Suspension Forces'!R32</f>
        <v>-1370.5052217435505</v>
      </c>
      <c r="L10" s="55">
        <f>VLOOKUP(H10,Materials[],3,FALSE)/(J10/F10/1000)</f>
        <v>2.4892682046725425</v>
      </c>
      <c r="M10" s="15">
        <f ca="true">J10/1000*C10/(VLOOKUP(H10,Materials[],6,FALSE)*F10)</f>
        <v>9.912058506968708E-3</v>
      </c>
      <c r="N10">
        <v>1</v>
      </c>
      <c r="O10" s="23">
        <f ca="true">(PI()^2*VLOOKUP(H10,Materials[],6,FALSE)*G10)/(N10*C10)^2*1000</f>
        <v>5694.0208602699449</v>
      </c>
      <c r="P10" s="55">
        <f t="shared" ca="true" si="1"/>
        <v>4.1546874611875158</v>
      </c>
      <c r="Q10" s="49" t="s">
        <v>241</v>
      </c>
      <c r="R10" s="16" cm="1">
        <f t="array" ref="R10">VLOOKUP(Q10,NAS_Shear[],5,FALSE)/MAX(ABS(J10:K10))</f>
        <v>3.5320639118912869</v>
      </c>
      <c r="S10" t="s">
        <v>255</v>
      </c>
      <c r="T10" t="s">
        <v>256</v>
      </c>
      <c r="U10" s="15">
        <f t="shared" si="2"/>
        <v>0.56699999999999995</v>
      </c>
      <c r="V10">
        <v>0.27560000000000001</v>
      </c>
      <c r="X10" s="50"/>
    </row>
    <row xmlns:x14ac="http://schemas.microsoft.com/office/spreadsheetml/2009/9/ac" r="11" x14ac:dyDescent="0.35">
      <c r="A11" t="s">
        <v>258</v>
      </c>
      <c r="B11" s="16">
        <f ca="true">SQRT((R_UCA_FORE_X-R_UCA_OUT_X)^2+(R_UCA_FORE_Y-R_UCA_OUT_Y)^2+(R_UCA_FORE_Z-R_UCA_OUT_Z)^2)</f>
        <v>211.0861190920246</v>
      </c>
      <c r="C11" s="15">
        <f t="shared" ca="true" si="5"/>
        <v>8.3104771296072677</v>
      </c>
      <c r="D11">
        <v>0.5</v>
      </c>
      <c r="E11">
        <v>2.8000000000000001E-2</v>
      </c>
      <c r="F11" s="15">
        <f t="shared" si="6"/>
        <v>4.1519288509842704E-2</v>
      </c>
      <c r="G11" s="33">
        <f t="shared" si="0"/>
        <v>1.1602980366960643E-3</v>
      </c>
      <c r="H11">
        <v>4130</v>
      </c>
      <c r="I11" s="15">
        <f ca="true">VLOOKUP(H11,Materials[],2,FALSE)*F11*C11/2.2</f>
        <v>4.4542185326366474E-2</v>
      </c>
      <c r="J11" s="67">
        <f>'Suspension Forces'!S31</f>
        <v>-773.40859576130242</v>
      </c>
      <c r="K11" s="67">
        <f>'Suspension Forces'!S32</f>
        <v>-6697.456835812387</v>
      </c>
      <c r="L11" s="55">
        <f>VLOOKUP(H11,Materials[],3,FALSE)/(J11/F11/1000)</f>
        <v>-3.5806901536703508</v>
      </c>
      <c r="M11" s="15">
        <f ca="true">J11/1000*C11/(VLOOKUP(H11,Materials[],6,FALSE)*F11)</f>
        <v>-5.2122903644397783E-3</v>
      </c>
      <c r="N11">
        <v>1</v>
      </c>
      <c r="O11" s="23">
        <f ca="true">(PI()^2*VLOOKUP(H11,Materials[],6,FALSE)*G11)/(N11*C11)^2*1000</f>
        <v>4924.6325895579239</v>
      </c>
      <c r="P11" s="55">
        <f t="shared" ca="true" si="1"/>
        <v>0.73529889184579966</v>
      </c>
      <c r="Q11" s="49" t="s">
        <v>241</v>
      </c>
      <c r="R11" s="16" cm="1">
        <f t="array" ref="R11">VLOOKUP(Q11,NAS_Shear[],5,FALSE)/MAX(ABS(J11:K11))</f>
        <v>0.74208731382538506</v>
      </c>
      <c r="S11" t="s">
        <v>255</v>
      </c>
      <c r="T11" t="s">
        <v>256</v>
      </c>
      <c r="U11" s="15">
        <f t="shared" si="2"/>
        <v>0.442</v>
      </c>
      <c r="V11">
        <v>0.27560000000000001</v>
      </c>
      <c r="X11" s="50"/>
    </row>
    <row xmlns:x14ac="http://schemas.microsoft.com/office/spreadsheetml/2009/9/ac" r="12" x14ac:dyDescent="0.35">
      <c r="A12" t="s">
        <v>259</v>
      </c>
      <c r="B12" s="16">
        <f ca="true">SQRT((R_UCA_AFT_X-R_UCA_OUT_X)^2+(R_UCA_AFT_Y-R_UCA_OUT_Y)^2+(R_UCA_AFT_Z-R_UCA_OUT_Z)^2)</f>
        <v>230.17987479484617</v>
      </c>
      <c r="C12" s="15">
        <f t="shared" ca="true" si="5"/>
        <v>9.0621997950726847</v>
      </c>
      <c r="D12">
        <v>0.5</v>
      </c>
      <c r="E12">
        <v>3.5000000000000003E-2</v>
      </c>
      <c r="F12" s="15">
        <f t="shared" si="6"/>
        <v>5.1129420437173896E-2</v>
      </c>
      <c r="G12" s="33">
        <f t="shared" si="0"/>
        <v>1.3897615592579331E-3</v>
      </c>
      <c r="H12">
        <v>4130</v>
      </c>
      <c r="I12" s="15">
        <f ca="true">VLOOKUP(H12,Materials[],2,FALSE)*F12*C12/2.2</f>
        <v>5.9813630294479822E-2</v>
      </c>
      <c r="J12" s="67">
        <f>'Suspension Forces'!T31</f>
        <v>7906.6736546487</v>
      </c>
      <c r="K12" s="67">
        <f>'Suspension Forces'!T32</f>
        <v>914.9520793761252</v>
      </c>
      <c r="L12" s="55">
        <f>VLOOKUP(H12,Materials[],3,FALSE)/(J12/F12/1000)</f>
        <v>0.43132327096292972</v>
      </c>
      <c r="M12" s="15">
        <f ca="true">J12/1000*C12/(VLOOKUP(H12,Materials[],6,FALSE)*F12)</f>
        <v>4.7184583669575765E-2</v>
      </c>
      <c r="N12">
        <v>1</v>
      </c>
      <c r="O12" s="23">
        <f ca="true">(PI()^2*VLOOKUP(H12,Materials[],6,FALSE)*G12)/(N12*C12)^2*1000</f>
        <v>4960.5430602188953</v>
      </c>
      <c r="P12" s="55">
        <f ca="true">-O12/K12</f>
        <v>-5.4216424794633191</v>
      </c>
      <c r="Q12" s="49" t="s">
        <v>241</v>
      </c>
      <c r="R12" s="16" cm="1">
        <f t="array" ref="R12">VLOOKUP(Q12,NAS_Shear[],5,FALSE)/MAX(ABS(J12:K12))</f>
        <v>0.62859528163620693</v>
      </c>
      <c r="S12" t="s">
        <v>255</v>
      </c>
      <c r="T12" t="s">
        <v>256</v>
      </c>
      <c r="U12" s="15">
        <f t="shared" si="2"/>
        <v>0.42799999999999999</v>
      </c>
      <c r="V12">
        <v>0.27560000000000001</v>
      </c>
      <c r="X12" s="50"/>
    </row>
    <row xmlns:x14ac="http://schemas.microsoft.com/office/spreadsheetml/2009/9/ac" r="13" x14ac:dyDescent="0.35">
      <c r="A13" t="s">
        <v>260</v>
      </c>
      <c r="B13" s="16">
        <f>SQRT((R_TIE_IN_X-R_TIE_OUT_X)^2+(R_TIE_IN_Y-R_TIE_OUT_Y)^2+(R_TIE_IN_Z-R_TIE_OUT_Z)^2)</f>
        <v>275.28478160261596</v>
      </c>
      <c r="C13" s="15">
        <f t="shared" si="5"/>
        <v>10.837983527662047</v>
      </c>
      <c r="D13">
        <v>0.5</v>
      </c>
      <c r="E13">
        <v>2.8000000000000001E-2</v>
      </c>
      <c r="F13" s="15">
        <f t="shared" si="6"/>
        <v>4.1519288509842704E-2</v>
      </c>
      <c r="G13" s="33">
        <f t="shared" si="0"/>
        <v>1.1602980366960643E-3</v>
      </c>
      <c r="H13">
        <v>4130</v>
      </c>
      <c r="I13" s="15">
        <f>VLOOKUP(H13,Materials[],2,FALSE)*F13*C13/2.2</f>
        <v>5.8089019838990084E-2</v>
      </c>
      <c r="J13" s="67">
        <f>'Suspension Forces'!U31</f>
        <v>23.335606535509886</v>
      </c>
      <c r="K13" s="67">
        <f>'Suspension Forces'!U32</f>
        <v>-13.103949664896151</v>
      </c>
      <c r="L13" s="55">
        <f>VLOOKUP(H13,Materials[],3,FALSE)/(J13/F13/1000)</f>
        <v>118.67429026935289</v>
      </c>
      <c r="M13" s="15">
        <f>J13/1000*C13/(VLOOKUP(H13,Materials[],6,FALSE)*F13)</f>
        <v>2.0509790682724484E-4</v>
      </c>
      <c r="N13">
        <v>1</v>
      </c>
      <c r="O13" s="23">
        <f>(PI()^2*VLOOKUP(H13,Materials[],6,FALSE)*G13)/(N13*C13)^2*1000</f>
        <v>2895.5347334100238</v>
      </c>
      <c r="P13" s="55">
        <f>-O13/K13</f>
        <v>220.96656408615493</v>
      </c>
      <c r="Q13" s="49" t="s">
        <v>241</v>
      </c>
      <c r="R13" s="16" cm="1">
        <f t="array" ref="R13">VLOOKUP(Q13,NAS_Shear[],5,FALSE)/MAX(ABS(J13:K13))</f>
        <v>212.98343992843979</v>
      </c>
      <c r="S13" t="s">
        <v>255</v>
      </c>
      <c r="T13" t="s">
        <v>256</v>
      </c>
      <c r="U13" s="15">
        <f t="shared" si="2"/>
        <v>0.442</v>
      </c>
      <c r="V13">
        <v>0.27560000000000001</v>
      </c>
      <c r="X13" s="50"/>
    </row>
    <row xmlns:x14ac="http://schemas.microsoft.com/office/spreadsheetml/2009/9/ac" r="14" ht="15" thickBot="true" x14ac:dyDescent="0.4">
      <c r="A14" t="s">
        <v>261</v>
      </c>
      <c r="B14" s="16">
        <f ca="true">SQRT((R_PUSH_IN_X-R_PUSH_OUT_X)^2+(R_PUSH_IN_Y-R_PUSH_OUT_Y)^2+(R_PUSH_IN_Z-R_PUSH_OUT_Z)^2)</f>
        <v>1143.149772326881</v>
      </c>
      <c r="C14" s="15">
        <f t="shared" ca="true" si="5"/>
        <v>45.005896548302402</v>
      </c>
      <c r="D14">
        <v>0.5</v>
      </c>
      <c r="E14">
        <v>3.5000000000000003E-2</v>
      </c>
      <c r="F14" s="15">
        <f t="shared" si="6"/>
        <v>5.1129420437173896E-2</v>
      </c>
      <c r="G14" s="33">
        <f t="shared" si="0"/>
        <v>1.3897615592579331E-3</v>
      </c>
      <c r="H14">
        <v>4130</v>
      </c>
      <c r="I14" s="15">
        <f ca="true">VLOOKUP(H14,Materials[],2,FALSE)*F14*C14/2.2</f>
        <v>0.29705437069214102</v>
      </c>
      <c r="J14" s="67">
        <f>'Suspension Forces'!V31</f>
        <v>-535.65982280570176</v>
      </c>
      <c r="K14" s="67">
        <f>'Suspension Forces'!V32</f>
        <v>-4569.8235416950401</v>
      </c>
      <c r="L14" s="55"/>
      <c r="M14" s="15">
        <f ca="true">K14/1000*C14/(VLOOKUP(H14,Materials[],6,FALSE)*F14)</f>
        <v>-0.13543831091627398</v>
      </c>
      <c r="N14">
        <v>1</v>
      </c>
      <c r="O14" s="23">
        <f ca="true">(PI()^2*VLOOKUP(H14,Materials[],6,FALSE)*G14)/(N14*C14)^2*1000</f>
        <v>201.12110873493808</v>
      </c>
      <c r="P14" s="56">
        <f t="shared" ca="true" si="1"/>
        <v>4.4010694701865485E-2</v>
      </c>
      <c r="Q14" s="48" t="s">
        <v>241</v>
      </c>
      <c r="R14" s="46" cm="1">
        <f t="array" ref="R14">VLOOKUP(Q14,NAS_Shear[],5,FALSE)/MAX(ABS(J14:K14))</f>
        <v>1.0875907367981144</v>
      </c>
      <c r="S14" s="20"/>
      <c r="T14" s="20"/>
      <c r="U14" s="15">
        <f>(D14-2*E14)-0.002</f>
        <v>0.42799999999999999</v>
      </c>
      <c r="V14" s="20"/>
      <c r="W14" s="20"/>
      <c r="X14" s="52"/>
    </row>
    <row xmlns:x14ac="http://schemas.microsoft.com/office/spreadsheetml/2009/9/ac" r="16" x14ac:dyDescent="0.35">
      <c r="J16">
        <f>J6*COS(RADIANS(26))+J5*COS(RADIANS(21))</f>
        <v>3144.307217242585</v>
      </c>
      <c r="K16">
        <f>K6*COS(RADIANS(26))+K5*COS(RADIANS(21))</f>
        <v>-2605.326646491179</v>
      </c>
    </row>
    <row xmlns:x14ac="http://schemas.microsoft.com/office/spreadsheetml/2009/9/ac" r="17" ht="15" thickBot="true" x14ac:dyDescent="0.4">
      <c r="A17" t="s">
        <v>262</v>
      </c>
      <c r="Q17" t="s">
        <v>263</v>
      </c>
    </row>
    <row xmlns:x14ac="http://schemas.microsoft.com/office/spreadsheetml/2009/9/ac" r="18" x14ac:dyDescent="0.35">
      <c r="B18" t="s">
        <v>264</v>
      </c>
      <c r="C18" t="s">
        <v>265</v>
      </c>
      <c r="D18" t="s">
        <v>266</v>
      </c>
      <c r="E18" t="s">
        <v>267</v>
      </c>
      <c r="J18" t="s">
        <v>268</v>
      </c>
      <c r="L18" t="s">
        <v>269</v>
      </c>
      <c r="O18" t="s">
        <v>270</v>
      </c>
      <c r="R18" s="30" t="s">
        <v>225</v>
      </c>
      <c r="S18" s="58" t="s">
        <v>226</v>
      </c>
      <c r="T18" s="31" t="s">
        <v>227</v>
      </c>
      <c r="U18" s="31" t="s">
        <v>228</v>
      </c>
      <c r="V18" s="31" t="s">
        <v>229</v>
      </c>
    </row>
    <row xmlns:x14ac="http://schemas.microsoft.com/office/spreadsheetml/2009/9/ac" r="19" x14ac:dyDescent="0.35">
      <c r="A19" t="s">
        <v>271</v>
      </c>
      <c r="B19" s="15">
        <f ca="true">(I3+I4)</f>
        <v>0.52096050746510425</v>
      </c>
      <c r="C19" s="15">
        <v>0.52827009207959863</v>
      </c>
      <c r="D19" s="15">
        <v>0.28709862048202928</v>
      </c>
      <c r="E19" s="15">
        <v>0.22792982159704794</v>
      </c>
      <c r="I19" t="s">
        <v>240</v>
      </c>
      <c r="J19">
        <v>0.625</v>
      </c>
      <c r="K19">
        <v>5.8000000000000003E-2</v>
      </c>
      <c r="L19">
        <v>0.74399999999999999</v>
      </c>
      <c r="M19">
        <v>0.122</v>
      </c>
      <c r="O19">
        <v>0.75</v>
      </c>
      <c r="P19">
        <v>4.7E-2</v>
      </c>
      <c r="R19" s="49">
        <v>0.625</v>
      </c>
      <c r="S19" s="50">
        <v>5.8000000000000003E-2</v>
      </c>
      <c r="T19" s="15">
        <f>0.25*PI()*(R19^2-(R19-2*S19)^2)</f>
        <v>0.10331441600595394</v>
      </c>
      <c r="U19" s="33">
        <f>0.25*PI()*((R19/2)^4-(R19/2-S19)^4)</f>
        <v>4.1952497478477688E-3</v>
      </c>
      <c r="V19">
        <v>4130</v>
      </c>
    </row>
    <row xmlns:x14ac="http://schemas.microsoft.com/office/spreadsheetml/2009/9/ac" r="20" x14ac:dyDescent="0.35">
      <c r="A20" t="s">
        <v>272</v>
      </c>
      <c r="B20" s="15">
        <f ca="true">(I5+I6)</f>
        <v>0.147365281537055</v>
      </c>
      <c r="C20" s="15">
        <v>0.15922705465947534</v>
      </c>
      <c r="D20" s="15">
        <v>0.1235603240595796</v>
      </c>
      <c r="E20" s="15">
        <v>8.575226433797481E-2</v>
      </c>
      <c r="I20" t="s">
        <v>245</v>
      </c>
      <c r="J20">
        <v>0.625</v>
      </c>
      <c r="K20">
        <v>6.5000000000000002E-2</v>
      </c>
      <c r="L20">
        <v>0.74399999999999999</v>
      </c>
      <c r="M20">
        <v>0.122</v>
      </c>
      <c r="O20">
        <v>0.75</v>
      </c>
      <c r="P20">
        <v>4.7E-2</v>
      </c>
      <c r="R20" s="49">
        <v>0.625</v>
      </c>
      <c r="S20" s="50">
        <v>6.5000000000000002E-2</v>
      </c>
      <c r="T20" s="15">
        <f>0.25*PI()*(R20^2-(R20-2*S20)^2)</f>
        <v>0.11435397259066847</v>
      </c>
      <c r="U20" s="33">
        <f t="shared" ref="U20:U30" si="7">0.25*PI()*((R20/2)^4-(R20/2-S20)^4)</f>
        <v>4.5430689173286513E-3</v>
      </c>
      <c r="V20">
        <v>4130</v>
      </c>
    </row>
    <row xmlns:x14ac="http://schemas.microsoft.com/office/spreadsheetml/2009/9/ac" r="21" x14ac:dyDescent="0.35">
      <c r="A21" t="s">
        <v>251</v>
      </c>
      <c r="B21" s="15">
        <f ca="true">(I7)</f>
        <v>6.3854913676630903E-2</v>
      </c>
      <c r="C21" s="15">
        <v>6.981711948079343E-2</v>
      </c>
      <c r="D21" s="15">
        <v>3.9825258295382165E-2</v>
      </c>
      <c r="E21" s="15">
        <v>3.9809672219271265E-2</v>
      </c>
      <c r="I21" t="s">
        <v>247</v>
      </c>
      <c r="J21">
        <v>0.5</v>
      </c>
      <c r="K21">
        <v>2.8000000000000001E-2</v>
      </c>
      <c r="L21" s="49">
        <v>0.628</v>
      </c>
      <c r="M21" s="50">
        <v>6.4000000000000001E-2</v>
      </c>
      <c r="O21">
        <v>0.5</v>
      </c>
      <c r="P21">
        <v>3.9E-2</v>
      </c>
      <c r="R21" s="49">
        <v>0.628</v>
      </c>
      <c r="S21" s="50">
        <v>6.4000000000000001E-2</v>
      </c>
      <c r="T21" s="15">
        <f>0.25*PI()*(R21^2-(R21-2*S21)^2)</f>
        <v>0.11339892842397718</v>
      </c>
      <c r="U21" s="33">
        <f t="shared" si="7"/>
        <v>4.5670284433472564E-3</v>
      </c>
      <c r="V21" t="s">
        <v>273</v>
      </c>
    </row>
    <row xmlns:x14ac="http://schemas.microsoft.com/office/spreadsheetml/2009/9/ac" r="22" x14ac:dyDescent="0.35">
      <c r="A22" t="s">
        <v>253</v>
      </c>
      <c r="B22" s="15">
        <f ca="true">(I8)</f>
        <v>0.34802194403442976</v>
      </c>
      <c r="C22" s="15">
        <v>0.10711423218679579</v>
      </c>
      <c r="D22" s="15">
        <v>6.1100371881200433E-2</v>
      </c>
      <c r="E22" s="15">
        <v>4.5229461946265696E-2</v>
      </c>
      <c r="I22" t="s">
        <v>249</v>
      </c>
      <c r="J22">
        <v>0.5</v>
      </c>
      <c r="K22">
        <v>2.8000000000000001E-2</v>
      </c>
      <c r="L22" s="49">
        <v>0.628</v>
      </c>
      <c r="M22" s="50">
        <v>6.4000000000000001E-2</v>
      </c>
      <c r="O22">
        <v>0.5</v>
      </c>
      <c r="P22">
        <v>3.9E-2</v>
      </c>
      <c r="R22" s="49">
        <v>0.628</v>
      </c>
      <c r="S22" s="50">
        <v>6.4000000000000001E-2</v>
      </c>
      <c r="T22" s="15">
        <f t="shared" ref="T22:T30" si="8">0.25*PI()*(R22^2-(R22-2*S22)^2)</f>
        <v>0.11339892842397718</v>
      </c>
      <c r="U22" s="33">
        <f t="shared" si="7"/>
        <v>4.5670284433472564E-3</v>
      </c>
      <c r="V22" t="s">
        <v>273</v>
      </c>
    </row>
    <row xmlns:x14ac="http://schemas.microsoft.com/office/spreadsheetml/2009/9/ac" r="23" x14ac:dyDescent="0.35">
      <c r="A23" t="s">
        <v>274</v>
      </c>
      <c r="B23" s="15">
        <f ca="true">(I9+I10)</f>
        <v>0.1520560942374117</v>
      </c>
      <c r="C23" s="15">
        <v>0.15799111144613298</v>
      </c>
      <c r="D23" s="15">
        <v>0.11281244197638857</v>
      </c>
      <c r="E23" s="15">
        <v>0.11450545481140552</v>
      </c>
      <c r="I23" t="s">
        <v>251</v>
      </c>
      <c r="J23">
        <v>0.375</v>
      </c>
      <c r="K23">
        <v>2.8000000000000001E-2</v>
      </c>
      <c r="L23" s="49">
        <v>0.503</v>
      </c>
      <c r="M23" s="50">
        <v>6.4000000000000001E-2</v>
      </c>
      <c r="O23">
        <v>0.375</v>
      </c>
      <c r="P23">
        <v>2.8000000000000001E-2</v>
      </c>
      <c r="R23" s="49">
        <v>0.503</v>
      </c>
      <c r="S23" s="50">
        <v>6.4000000000000001E-2</v>
      </c>
      <c r="T23" s="15">
        <f t="shared" si="8"/>
        <v>8.8266187195258819E-2</v>
      </c>
      <c r="U23" s="33">
        <f t="shared" si="7"/>
        <v>2.1715357706511571E-3</v>
      </c>
      <c r="V23" t="s">
        <v>273</v>
      </c>
    </row>
    <row xmlns:x14ac="http://schemas.microsoft.com/office/spreadsheetml/2009/9/ac" r="24" x14ac:dyDescent="0.35">
      <c r="A24" t="s">
        <v>275</v>
      </c>
      <c r="B24" s="15">
        <f ca="true">(I12+I11)</f>
        <v>0.1043558156208463</v>
      </c>
      <c r="C24" s="15">
        <v>0.10966147685248243</v>
      </c>
      <c r="D24" s="15">
        <v>8.5097395324698913E-2</v>
      </c>
      <c r="E24" s="15">
        <v>5.9058556165958564E-2</v>
      </c>
      <c r="I24" t="s">
        <v>253</v>
      </c>
      <c r="J24">
        <v>0.63</v>
      </c>
      <c r="K24">
        <v>2.8000000000000001E-2</v>
      </c>
      <c r="L24" s="49">
        <v>0.628</v>
      </c>
      <c r="M24" s="50">
        <v>6.4000000000000001E-2</v>
      </c>
      <c r="O24">
        <v>0.63</v>
      </c>
      <c r="P24">
        <v>2.8000000000000001E-2</v>
      </c>
      <c r="R24" s="49">
        <v>0.628</v>
      </c>
      <c r="S24" s="50">
        <v>6.4000000000000001E-2</v>
      </c>
      <c r="T24" s="15">
        <f t="shared" si="8"/>
        <v>0.11339892842397718</v>
      </c>
      <c r="U24" s="33">
        <f t="shared" si="7"/>
        <v>4.5670284433472564E-3</v>
      </c>
      <c r="V24" t="s">
        <v>273</v>
      </c>
    </row>
    <row xmlns:x14ac="http://schemas.microsoft.com/office/spreadsheetml/2009/9/ac" r="25" x14ac:dyDescent="0.35">
      <c r="A25" t="s">
        <v>260</v>
      </c>
      <c r="B25" s="15">
        <f>(I13)</f>
        <v>5.8089019838990084E-2</v>
      </c>
      <c r="C25" s="15">
        <v>3.8487684023269207E-2</v>
      </c>
      <c r="D25" s="15">
        <v>2.6889201658096416E-2</v>
      </c>
      <c r="E25" s="15">
        <v>1.4762698949543129E-2</v>
      </c>
      <c r="I25" t="s">
        <v>254</v>
      </c>
      <c r="J25">
        <v>0.5</v>
      </c>
      <c r="K25">
        <v>3.5000000000000003E-2</v>
      </c>
      <c r="L25">
        <v>0.61899999999999999</v>
      </c>
      <c r="M25">
        <v>0.122</v>
      </c>
      <c r="O25">
        <v>0.625</v>
      </c>
      <c r="P25">
        <v>3.5000000000000003E-2</v>
      </c>
      <c r="R25" s="49">
        <v>0.625</v>
      </c>
      <c r="S25" s="50">
        <v>3.5000000000000003E-2</v>
      </c>
      <c r="T25" s="15">
        <f t="shared" si="8"/>
        <v>6.4873888296629281E-2</v>
      </c>
      <c r="U25" s="33">
        <f t="shared" si="7"/>
        <v>2.8327588786525026E-3</v>
      </c>
      <c r="V25">
        <v>4130</v>
      </c>
    </row>
    <row xmlns:x14ac="http://schemas.microsoft.com/office/spreadsheetml/2009/9/ac" r="26" x14ac:dyDescent="0.35">
      <c r="A26" t="s">
        <v>261</v>
      </c>
      <c r="B26" s="15">
        <f ca="true">(I14)</f>
        <v>0.29705437069214102</v>
      </c>
      <c r="C26" s="15">
        <v>6.4582558705728668E-2</v>
      </c>
      <c r="D26" s="15">
        <v>4.5366250776797699E-2</v>
      </c>
      <c r="E26" s="15">
        <v>3.4781153602321299E-2</v>
      </c>
      <c r="I26" t="s">
        <v>257</v>
      </c>
      <c r="J26">
        <v>0.625</v>
      </c>
      <c r="K26">
        <v>2.8000000000000001E-2</v>
      </c>
      <c r="L26">
        <v>0.61899999999999999</v>
      </c>
      <c r="M26">
        <v>0.122</v>
      </c>
      <c r="O26">
        <v>0.625</v>
      </c>
      <c r="P26">
        <v>3.5000000000000003E-2</v>
      </c>
      <c r="R26" s="49">
        <v>0.625</v>
      </c>
      <c r="S26" s="50">
        <v>3.5000000000000003E-2</v>
      </c>
      <c r="T26" s="15">
        <f t="shared" si="8"/>
        <v>6.4873888296629281E-2</v>
      </c>
      <c r="U26" s="33">
        <f t="shared" si="7"/>
        <v>2.8327588786525026E-3</v>
      </c>
      <c r="V26">
        <v>4130</v>
      </c>
    </row>
    <row xmlns:x14ac="http://schemas.microsoft.com/office/spreadsheetml/2009/9/ac" r="27" x14ac:dyDescent="0.35">
      <c r="A27" t="s">
        <v>276</v>
      </c>
      <c r="B27" s="15">
        <f ca="true">2*SUM(B19:B26)</f>
        <v>3.3835158942052175</v>
      </c>
      <c r="C27" s="15">
        <f t="shared" ref="C27:E27" si="9">2*SUM(C19:C26)</f>
        <v>2.4703026588685533</v>
      </c>
      <c r="D27" s="15">
        <f t="shared" si="9"/>
        <v>1.5634997289083461</v>
      </c>
      <c r="E27" s="15">
        <f t="shared" si="9"/>
        <v>1.2436581672595763</v>
      </c>
      <c r="I27" t="s">
        <v>258</v>
      </c>
      <c r="J27">
        <v>0.5</v>
      </c>
      <c r="K27">
        <v>2.8000000000000001E-2</v>
      </c>
      <c r="L27" s="49">
        <v>0.628</v>
      </c>
      <c r="M27" s="50">
        <v>6.4000000000000001E-2</v>
      </c>
      <c r="O27">
        <v>0.5</v>
      </c>
      <c r="P27">
        <v>3.9E-2</v>
      </c>
      <c r="R27" s="49">
        <v>0.628</v>
      </c>
      <c r="S27" s="50">
        <v>6.4000000000000001E-2</v>
      </c>
      <c r="T27" s="15">
        <f t="shared" si="8"/>
        <v>0.11339892842397718</v>
      </c>
      <c r="U27" s="33">
        <f t="shared" si="7"/>
        <v>4.5670284433472564E-3</v>
      </c>
      <c r="V27" t="s">
        <v>273</v>
      </c>
    </row>
    <row xmlns:x14ac="http://schemas.microsoft.com/office/spreadsheetml/2009/9/ac" r="28" x14ac:dyDescent="0.35">
      <c r="I28" t="s">
        <v>259</v>
      </c>
      <c r="J28">
        <v>0.5</v>
      </c>
      <c r="K28">
        <v>2.8000000000000001E-2</v>
      </c>
      <c r="L28" s="49">
        <v>0.628</v>
      </c>
      <c r="M28" s="50">
        <v>6.4000000000000001E-2</v>
      </c>
      <c r="O28">
        <v>0.5</v>
      </c>
      <c r="P28">
        <v>3.9E-2</v>
      </c>
      <c r="R28" s="49">
        <v>0.628</v>
      </c>
      <c r="S28" s="50">
        <v>6.4000000000000001E-2</v>
      </c>
      <c r="T28" s="15">
        <f t="shared" si="8"/>
        <v>0.11339892842397718</v>
      </c>
      <c r="U28" s="33">
        <f t="shared" si="7"/>
        <v>4.5670284433472564E-3</v>
      </c>
      <c r="V28" t="s">
        <v>273</v>
      </c>
    </row>
    <row xmlns:x14ac="http://schemas.microsoft.com/office/spreadsheetml/2009/9/ac" r="29" x14ac:dyDescent="0.35">
      <c r="I29" t="s">
        <v>260</v>
      </c>
      <c r="J29">
        <v>0.375</v>
      </c>
      <c r="K29">
        <v>2.8000000000000001E-2</v>
      </c>
      <c r="L29" s="49">
        <v>0.375</v>
      </c>
      <c r="M29" s="50">
        <v>0.06</v>
      </c>
      <c r="O29">
        <v>0.375</v>
      </c>
      <c r="P29">
        <v>3.5000000000000003E-2</v>
      </c>
      <c r="R29" s="49">
        <v>0.375</v>
      </c>
      <c r="S29" s="50">
        <v>0.06</v>
      </c>
      <c r="T29" s="15">
        <f t="shared" si="8"/>
        <v>5.937610115284709E-2</v>
      </c>
      <c r="U29" s="33">
        <f t="shared" si="7"/>
        <v>7.6316845013018784E-4</v>
      </c>
      <c r="V29" t="s">
        <v>273</v>
      </c>
    </row>
    <row xmlns:x14ac="http://schemas.microsoft.com/office/spreadsheetml/2009/9/ac" r="30" x14ac:dyDescent="0.35">
      <c r="B30" s="57">
        <f ca="true">B27/C27</f>
        <v>1.3696766596830421</v>
      </c>
      <c r="D30" s="57">
        <f>D27/C27</f>
        <v>0.63291828768239244</v>
      </c>
      <c r="E30" s="57">
        <f>E27/C27</f>
        <v>0.50344364193381708</v>
      </c>
      <c r="I30" t="s">
        <v>261</v>
      </c>
      <c r="J30">
        <v>0.5</v>
      </c>
      <c r="K30">
        <v>2.8000000000000001E-2</v>
      </c>
      <c r="L30" s="49">
        <v>0.628</v>
      </c>
      <c r="M30" s="50">
        <v>6.4000000000000001E-2</v>
      </c>
      <c r="O30">
        <v>0.5</v>
      </c>
      <c r="P30">
        <v>3.5000000000000003E-2</v>
      </c>
      <c r="R30" s="49">
        <v>0.628</v>
      </c>
      <c r="S30" s="50">
        <v>6.4000000000000001E-2</v>
      </c>
      <c r="T30" s="15">
        <f t="shared" si="8"/>
        <v>0.11339892842397718</v>
      </c>
      <c r="U30" s="33">
        <f t="shared" si="7"/>
        <v>4.5670284433472564E-3</v>
      </c>
      <c r="V30" t="s">
        <v>273</v>
      </c>
    </row>
    <row xmlns:x14ac="http://schemas.microsoft.com/office/spreadsheetml/2009/9/ac" r="31" x14ac:dyDescent="0.35">
      <c r="D31" s="15">
        <f ca="true">B27-D27</f>
        <v>1.8200161652968714</v>
      </c>
    </row>
    <row xmlns:x14ac="http://schemas.microsoft.com/office/spreadsheetml/2009/9/ac" r="32" x14ac:dyDescent="0.35">
      <c r="D32" t="s">
        <v>277</v>
      </c>
    </row>
    <row xmlns:x14ac="http://schemas.microsoft.com/office/spreadsheetml/2009/9/ac" r="33" ht="15" thickBot="true" x14ac:dyDescent="0.4">
      <c r="B33" t="s">
        <v>278</v>
      </c>
    </row>
    <row xmlns:x14ac="http://schemas.microsoft.com/office/spreadsheetml/2009/9/ac" r="34" x14ac:dyDescent="0.35">
      <c r="A34" s="41"/>
      <c r="B34" s="29" t="s">
        <v>279</v>
      </c>
      <c r="C34" s="29"/>
      <c r="D34" s="29"/>
      <c r="E34" s="29" t="s">
        <v>280</v>
      </c>
      <c r="F34" s="42"/>
    </row>
    <row xmlns:x14ac="http://schemas.microsoft.com/office/spreadsheetml/2009/9/ac" r="35" x14ac:dyDescent="0.35">
      <c r="A35" s="49" t="s">
        <v>240</v>
      </c>
      <c r="B35" s="23">
        <v>1728.5094187703892</v>
      </c>
      <c r="C35" s="23">
        <v>-1602.1889530283531</v>
      </c>
      <c r="E35" s="23">
        <f t="shared" ref="E35:E46" si="10">J3-B35</f>
        <v>-462.66065023033798</v>
      </c>
      <c r="F35" s="22">
        <f t="shared" ref="F35:F46" si="11">K3-C35</f>
        <v>364.81446434642999</v>
      </c>
    </row>
    <row xmlns:x14ac="http://schemas.microsoft.com/office/spreadsheetml/2009/9/ac" r="36" x14ac:dyDescent="0.35">
      <c r="A36" s="49" t="s">
        <v>245</v>
      </c>
      <c r="B36" s="23">
        <v>1885.35619252519</v>
      </c>
      <c r="C36" s="23">
        <v>-2185.8257294274786</v>
      </c>
      <c r="E36" s="23">
        <f t="shared" si="10"/>
        <v>-520.30040381686422</v>
      </c>
      <c r="F36" s="22">
        <f t="shared" si="11"/>
        <v>588.11322258787254</v>
      </c>
      <c r="N36" t="s">
        <v>281</v>
      </c>
    </row>
    <row xmlns:x14ac="http://schemas.microsoft.com/office/spreadsheetml/2009/9/ac" r="37" x14ac:dyDescent="0.35">
      <c r="A37" s="49" t="s">
        <v>247</v>
      </c>
      <c r="B37" s="23">
        <v>527.09329839187421</v>
      </c>
      <c r="C37" s="23">
        <v>-213.48794078117217</v>
      </c>
      <c r="E37" s="23">
        <f t="shared" si="10"/>
        <v>-443.75059868191488</v>
      </c>
      <c r="F37" s="22">
        <f t="shared" si="11"/>
        <v>-2653.0217070178496</v>
      </c>
    </row>
    <row xmlns:x14ac="http://schemas.microsoft.com/office/spreadsheetml/2009/9/ac" r="38" x14ac:dyDescent="0.35">
      <c r="A38" s="49" t="s">
        <v>249</v>
      </c>
      <c r="B38" s="23">
        <v>695.7612464090821</v>
      </c>
      <c r="C38" s="23">
        <v>-376.29080691756559</v>
      </c>
      <c r="E38" s="23">
        <f t="shared" si="10"/>
        <v>2716.0327198820974</v>
      </c>
      <c r="F38" s="22">
        <f t="shared" si="11"/>
        <v>455.05262487893248</v>
      </c>
    </row>
    <row xmlns:x14ac="http://schemas.microsoft.com/office/spreadsheetml/2009/9/ac" r="39" x14ac:dyDescent="0.35">
      <c r="A39" s="49" t="s">
        <v>251</v>
      </c>
      <c r="B39" s="23">
        <v>326.87292366792997</v>
      </c>
      <c r="C39" s="23">
        <v>-184.70719922005574</v>
      </c>
      <c r="E39" s="23">
        <f t="shared" si="10"/>
        <v>-168.45000903748968</v>
      </c>
      <c r="F39" s="22">
        <f t="shared" si="11"/>
        <v>73.686849000443075</v>
      </c>
    </row>
    <row xmlns:x14ac="http://schemas.microsoft.com/office/spreadsheetml/2009/9/ac" r="40" x14ac:dyDescent="0.35">
      <c r="A40" s="49" t="s">
        <v>253</v>
      </c>
      <c r="B40" s="23">
        <v>-84.975405910550791</v>
      </c>
      <c r="C40" s="23">
        <v>-1055.1601781892566</v>
      </c>
      <c r="E40" s="23">
        <f t="shared" si="10"/>
        <v>-31.346556180627886</v>
      </c>
      <c r="F40" s="22">
        <f t="shared" si="11"/>
        <v>-776.43967834655587</v>
      </c>
    </row>
    <row xmlns:x14ac="http://schemas.microsoft.com/office/spreadsheetml/2009/9/ac" r="41" x14ac:dyDescent="0.35">
      <c r="A41" s="49" t="s">
        <v>254</v>
      </c>
      <c r="B41" s="23">
        <v>1618.9860692841849</v>
      </c>
      <c r="C41" s="23">
        <v>-1277.6096563111519</v>
      </c>
      <c r="E41" s="23">
        <f t="shared" si="10"/>
        <v>-73.077393740230718</v>
      </c>
      <c r="F41" s="22">
        <f t="shared" si="11"/>
        <v>-106.30273658634178</v>
      </c>
    </row>
    <row xmlns:x14ac="http://schemas.microsoft.com/office/spreadsheetml/2009/9/ac" r="42" x14ac:dyDescent="0.35">
      <c r="A42" s="49" t="s">
        <v>257</v>
      </c>
      <c r="B42" s="23">
        <v>1321.986404292066</v>
      </c>
      <c r="C42" s="23">
        <v>-1745.6926703054626</v>
      </c>
      <c r="E42" s="23">
        <f t="shared" si="10"/>
        <v>85.150577577601553</v>
      </c>
      <c r="F42" s="22">
        <f t="shared" si="11"/>
        <v>375.18744856191211</v>
      </c>
    </row>
    <row xmlns:x14ac="http://schemas.microsoft.com/office/spreadsheetml/2009/9/ac" r="43" x14ac:dyDescent="0.35">
      <c r="A43" s="49" t="s">
        <v>258</v>
      </c>
      <c r="B43" s="23">
        <v>357.88883222423317</v>
      </c>
      <c r="C43" s="23">
        <v>-506.83036110092269</v>
      </c>
      <c r="E43" s="23">
        <f t="shared" si="10"/>
        <v>-1131.2974279855357</v>
      </c>
      <c r="F43" s="22">
        <f t="shared" si="11"/>
        <v>-6190.6264747114647</v>
      </c>
    </row>
    <row xmlns:x14ac="http://schemas.microsoft.com/office/spreadsheetml/2009/9/ac" r="44" x14ac:dyDescent="0.35">
      <c r="A44" s="49" t="s">
        <v>259</v>
      </c>
      <c r="B44" s="23">
        <v>1517.989672336229</v>
      </c>
      <c r="C44" s="23">
        <v>-275.5982831795651</v>
      </c>
      <c r="E44" s="23">
        <f t="shared" si="10"/>
        <v>6388.683982312471</v>
      </c>
      <c r="F44" s="22">
        <f t="shared" si="11"/>
        <v>1190.5503625556903</v>
      </c>
    </row>
    <row xmlns:x14ac="http://schemas.microsoft.com/office/spreadsheetml/2009/9/ac" r="45" x14ac:dyDescent="0.35">
      <c r="A45" s="49" t="s">
        <v>260</v>
      </c>
      <c r="B45" s="23">
        <v>113.31482277076604</v>
      </c>
      <c r="C45" s="23">
        <v>-141.99342402862476</v>
      </c>
      <c r="E45" s="23">
        <f t="shared" si="10"/>
        <v>-89.97921623525616</v>
      </c>
      <c r="F45" s="22">
        <f t="shared" si="11"/>
        <v>128.8894743637286</v>
      </c>
    </row>
    <row xmlns:x14ac="http://schemas.microsoft.com/office/spreadsheetml/2009/9/ac" r="46" ht="15" thickBot="true" x14ac:dyDescent="0.4">
      <c r="A46" s="48" t="s">
        <v>261</v>
      </c>
      <c r="B46" s="18">
        <v>-97.673920016542752</v>
      </c>
      <c r="C46" s="18">
        <v>-1034.7780568060994</v>
      </c>
      <c r="D46" s="20"/>
      <c r="E46" s="18">
        <f t="shared" si="10"/>
        <v>-437.98590278915901</v>
      </c>
      <c r="F46" s="17">
        <f t="shared" si="11"/>
        <v>-3535.0454848889408</v>
      </c>
    </row>
  </sheetData>
  <phoneticPr fontId="6" type="noConversion"/>
  <conditionalFormatting sqref="P3:P14">
    <cfRule type="colorScale" priority="1">
      <colorScale>
        <cfvo type="num" val="1"/>
        <cfvo type="num" val="1.9"/>
        <cfvo type="num" val="3"/>
        <color rgb="FFF8696B"/>
        <color rgb="FFFFEB84"/>
        <color rgb="FF63BE7B"/>
      </colorScale>
    </cfRule>
  </conditionalFormatting>
  <dataValidations count="1">
    <dataValidation type="list" allowBlank="true" showInputMessage="true" showErrorMessage="true" sqref="V19:V30 H3:H14">
      <formula1>matlChoices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2D2AB7-C7EC-4C81-978E-5B34F9F60C82}">
          <x14:formula1>
            <xm:f>'Bolt Shear Calcs'!$A$22:$A$25</xm:f>
          </x14:formula1>
          <xm:sqref>Q3:Q14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241C-A2BD-4B55-A891-28E7D093BB86}">
  <dimension ref="B1:L46"/>
  <sheetViews>
    <sheetView topLeftCell="A18" workbookViewId="0">
      <selection activeCell="B22" sqref="B22:D22"/>
    </sheetView>
  </sheetViews>
  <sheetFormatPr xmlns:x14ac="http://schemas.microsoft.com/office/spreadsheetml/2009/9/ac" defaultRowHeight="14.5" x14ac:dyDescent="0.35"/>
  <cols>
    <col min="2" max="2" width="11.54296875" bestFit="true" customWidth="true"/>
    <col min="3" max="3" width="17.81640625" bestFit="true" customWidth="true"/>
    <col min="4" max="4" width="10" bestFit="true" customWidth="true"/>
    <col min="5" max="5" width="8" bestFit="true" customWidth="true"/>
    <col min="6" max="6" width="14" customWidth="true"/>
  </cols>
  <sheetData>
    <row xmlns:x14ac="http://schemas.microsoft.com/office/spreadsheetml/2009/9/ac" r="1" x14ac:dyDescent="0.35">
      <c r="B1" s="88"/>
      <c r="C1" s="89" t="s">
        <v>282</v>
      </c>
      <c r="D1" s="89"/>
      <c r="E1" s="89"/>
      <c r="F1" s="89"/>
      <c r="G1" s="90"/>
    </row>
    <row xmlns:x14ac="http://schemas.microsoft.com/office/spreadsheetml/2009/9/ac" r="2" x14ac:dyDescent="0.35">
      <c r="B2" s="91"/>
      <c r="C2" s="78" t="s">
        <v>283</v>
      </c>
      <c r="D2" s="78" t="s">
        <v>284</v>
      </c>
      <c r="E2" s="78" t="s">
        <v>285</v>
      </c>
      <c r="F2" s="78"/>
      <c r="G2" s="92"/>
    </row>
    <row xmlns:x14ac="http://schemas.microsoft.com/office/spreadsheetml/2009/9/ac" r="3" x14ac:dyDescent="0.35">
      <c r="B3" s="91" t="s">
        <v>271</v>
      </c>
      <c r="C3" s="78"/>
      <c r="D3" s="78"/>
      <c r="E3" s="78"/>
      <c r="F3" s="78"/>
      <c r="G3" s="92"/>
    </row>
    <row xmlns:x14ac="http://schemas.microsoft.com/office/spreadsheetml/2009/9/ac" r="4" x14ac:dyDescent="0.35">
      <c r="B4" s="91" t="s">
        <v>272</v>
      </c>
      <c r="C4" s="78"/>
      <c r="D4" s="78"/>
      <c r="E4" s="78"/>
      <c r="F4" s="78"/>
      <c r="G4" s="92"/>
    </row>
    <row xmlns:x14ac="http://schemas.microsoft.com/office/spreadsheetml/2009/9/ac" r="5" x14ac:dyDescent="0.35">
      <c r="B5" s="91" t="s">
        <v>251</v>
      </c>
      <c r="C5" s="78"/>
      <c r="D5" s="78"/>
      <c r="E5" s="78"/>
      <c r="F5" s="78"/>
      <c r="G5" s="92"/>
    </row>
    <row xmlns:x14ac="http://schemas.microsoft.com/office/spreadsheetml/2009/9/ac" r="6" x14ac:dyDescent="0.35">
      <c r="B6" s="91" t="s">
        <v>253</v>
      </c>
      <c r="C6" s="78"/>
      <c r="D6" s="78"/>
      <c r="E6" s="78"/>
      <c r="F6" s="78"/>
      <c r="G6" s="92"/>
    </row>
    <row xmlns:x14ac="http://schemas.microsoft.com/office/spreadsheetml/2009/9/ac" r="7" x14ac:dyDescent="0.35">
      <c r="B7" s="91" t="s">
        <v>274</v>
      </c>
      <c r="C7" s="182" t="s">
        <v>286</v>
      </c>
      <c r="D7" s="182"/>
      <c r="E7" s="78">
        <v>4</v>
      </c>
      <c r="F7" s="78"/>
      <c r="G7" s="92"/>
    </row>
    <row xmlns:x14ac="http://schemas.microsoft.com/office/spreadsheetml/2009/9/ac" r="8" x14ac:dyDescent="0.35">
      <c r="B8" s="91" t="s">
        <v>275</v>
      </c>
      <c r="C8" s="182" t="s">
        <v>287</v>
      </c>
      <c r="D8" s="182"/>
      <c r="E8" s="78">
        <v>4</v>
      </c>
      <c r="F8" s="78"/>
      <c r="G8" s="92"/>
    </row>
    <row xmlns:x14ac="http://schemas.microsoft.com/office/spreadsheetml/2009/9/ac" r="9" x14ac:dyDescent="0.35">
      <c r="B9" s="91" t="s">
        <v>260</v>
      </c>
      <c r="C9" s="182" t="s">
        <v>288</v>
      </c>
      <c r="D9" s="182"/>
      <c r="E9" s="78">
        <v>4</v>
      </c>
      <c r="F9" s="78"/>
      <c r="G9" s="92"/>
    </row>
    <row xmlns:x14ac="http://schemas.microsoft.com/office/spreadsheetml/2009/9/ac" r="10" x14ac:dyDescent="0.35">
      <c r="B10" s="91" t="s">
        <v>261</v>
      </c>
      <c r="C10" s="182" t="s">
        <v>289</v>
      </c>
      <c r="D10" s="182"/>
      <c r="E10" s="78">
        <v>2</v>
      </c>
      <c r="F10" s="78"/>
      <c r="G10" s="92"/>
    </row>
    <row xmlns:x14ac="http://schemas.microsoft.com/office/spreadsheetml/2009/9/ac" r="11" x14ac:dyDescent="0.35">
      <c r="B11" s="91"/>
      <c r="C11" s="78"/>
      <c r="D11" s="78"/>
      <c r="E11" s="78"/>
      <c r="F11" s="78"/>
      <c r="G11" s="92"/>
    </row>
    <row xmlns:x14ac="http://schemas.microsoft.com/office/spreadsheetml/2009/9/ac" r="12" x14ac:dyDescent="0.35">
      <c r="B12" s="91"/>
      <c r="C12" s="78"/>
      <c r="D12" s="78"/>
      <c r="E12" s="78"/>
      <c r="F12" s="78"/>
      <c r="G12" s="92"/>
    </row>
    <row xmlns:x14ac="http://schemas.microsoft.com/office/spreadsheetml/2009/9/ac" r="13" x14ac:dyDescent="0.35">
      <c r="B13" s="91"/>
      <c r="C13" s="78"/>
      <c r="D13" s="78"/>
      <c r="E13" s="78"/>
      <c r="F13" s="78"/>
      <c r="G13" s="92"/>
    </row>
    <row xmlns:x14ac="http://schemas.microsoft.com/office/spreadsheetml/2009/9/ac" r="14" x14ac:dyDescent="0.35">
      <c r="B14" s="91"/>
      <c r="C14" s="78"/>
      <c r="D14" s="78"/>
      <c r="E14" s="78"/>
      <c r="F14" s="78"/>
      <c r="G14" s="92"/>
    </row>
    <row xmlns:x14ac="http://schemas.microsoft.com/office/spreadsheetml/2009/9/ac" r="15" x14ac:dyDescent="0.35">
      <c r="B15" s="91"/>
      <c r="C15" s="78"/>
      <c r="D15" s="78"/>
      <c r="E15" s="78"/>
      <c r="F15" s="78"/>
      <c r="G15" s="92"/>
    </row>
    <row xmlns:x14ac="http://schemas.microsoft.com/office/spreadsheetml/2009/9/ac" r="16" ht="15" thickBot="true" x14ac:dyDescent="0.4">
      <c r="B16" s="93"/>
      <c r="C16" s="77"/>
      <c r="D16" s="77"/>
      <c r="E16" s="77"/>
      <c r="F16" s="77"/>
      <c r="G16" s="94"/>
    </row>
    <row xmlns:x14ac="http://schemas.microsoft.com/office/spreadsheetml/2009/9/ac" r="17" x14ac:dyDescent="0.35">
      <c r="B17" s="95" t="s">
        <v>222</v>
      </c>
      <c r="C17" s="96" t="s">
        <v>223</v>
      </c>
      <c r="D17" s="96" t="s">
        <v>224</v>
      </c>
      <c r="E17" s="96" t="s">
        <v>225</v>
      </c>
      <c r="F17" s="96" t="s">
        <v>226</v>
      </c>
      <c r="G17" s="97"/>
    </row>
    <row xmlns:x14ac="http://schemas.microsoft.com/office/spreadsheetml/2009/9/ac" r="18" x14ac:dyDescent="0.35">
      <c r="B18" s="91" t="s">
        <v>240</v>
      </c>
      <c r="C18" s="98">
        <f>SQRT((F_LCA_FORE_X-F_LCA_OUT_X)^2+(F_LCA_FORE_Y-F_LCA_OUT_Y)^2+(F_LCA_FORE_Z-F_LCA_OUT_Z)^2)</f>
        <v>447.07874986516646</v>
      </c>
      <c r="D18" s="99">
        <f>C18/25.4</f>
        <v>17.601525585242776</v>
      </c>
      <c r="E18" s="78">
        <v>0.625</v>
      </c>
      <c r="F18" s="78">
        <v>5.8000000000000003E-2</v>
      </c>
      <c r="G18" s="92"/>
    </row>
    <row xmlns:x14ac="http://schemas.microsoft.com/office/spreadsheetml/2009/9/ac" r="19" x14ac:dyDescent="0.35">
      <c r="B19" s="91" t="s">
        <v>245</v>
      </c>
      <c r="C19" s="98">
        <f>SQRT((F_LCA_AFT_X-F_LCA_OUT_X)^2+(F_LCA_AFT_Y-F_LCA_OUT_Y)^2+(F_LCA_AFT_Z-F_LCA_OUT_Z)^2)</f>
        <v>470.53840539216355</v>
      </c>
      <c r="D19" s="99">
        <f>C19/25.4</f>
        <v>18.52513407055762</v>
      </c>
      <c r="E19" s="78">
        <v>0.625</v>
      </c>
      <c r="F19" s="78">
        <v>6.5000000000000002E-2</v>
      </c>
      <c r="G19" s="92"/>
    </row>
    <row xmlns:x14ac="http://schemas.microsoft.com/office/spreadsheetml/2009/9/ac" r="20" x14ac:dyDescent="0.35">
      <c r="B20" s="91" t="s">
        <v>247</v>
      </c>
      <c r="C20" s="98">
        <f>SQRT((F_UCA_FORE_X-F_UCA_OUT_X)^2+(F_UCA_FORE_Y-F_UCA_OUT_Y)^2+(F_UCA_FORE_Z-F_UCA_OUT_Z)^2)</f>
        <v>350.63777800031767</v>
      </c>
      <c r="D20" s="99">
        <f>C20/25.4</f>
        <v>13.804636929146366</v>
      </c>
      <c r="E20" s="78">
        <v>0.5</v>
      </c>
      <c r="F20" s="78">
        <v>2.8000000000000001E-2</v>
      </c>
      <c r="G20" s="92"/>
    </row>
    <row xmlns:x14ac="http://schemas.microsoft.com/office/spreadsheetml/2009/9/ac" r="21" x14ac:dyDescent="0.35">
      <c r="B21" s="91" t="s">
        <v>249</v>
      </c>
      <c r="C21" s="98">
        <f>SQRT((F_UCA_AFT_X-F_UCA_OUT_X)^2+(F_UCA_AFT_Y-F_UCA_OUT_Y)^2+(F_UCA_AFT_Z-F_UCA_OUT_Z)^2)</f>
        <v>335.47609210493675</v>
      </c>
      <c r="D21" s="99">
        <f t="shared" ref="D21:D29" si="0">C21/25.4</f>
        <v>13.207720161611684</v>
      </c>
      <c r="E21" s="78">
        <v>0.5</v>
      </c>
      <c r="F21" s="78">
        <v>2.8000000000000001E-2</v>
      </c>
      <c r="G21" s="92"/>
    </row>
    <row xmlns:x14ac="http://schemas.microsoft.com/office/spreadsheetml/2009/9/ac" r="22" x14ac:dyDescent="0.35">
      <c r="B22" s="91" t="s">
        <v>251</v>
      </c>
      <c r="C22" s="98">
        <f>SQRT((F_TIE_IN_X-F_TIE_OUT_X)^2+(F_TIE_IN_Y-F_TIE_OUT_Y)^2+(F_TIE_IN_Z-F_TIE_OUT_Z)^2)</f>
        <v>386.96048503206362</v>
      </c>
      <c r="D22" s="99">
        <f t="shared" si="0"/>
        <v>15.234664765041876</v>
      </c>
      <c r="E22" s="78">
        <v>0.375</v>
      </c>
      <c r="F22" s="78">
        <v>2.8000000000000001E-2</v>
      </c>
      <c r="G22" s="92"/>
    </row>
    <row xmlns:x14ac="http://schemas.microsoft.com/office/spreadsheetml/2009/9/ac" r="23" x14ac:dyDescent="0.35">
      <c r="B23" s="108" t="s">
        <v>253</v>
      </c>
      <c r="C23" s="109">
        <f>SQRT((F_PUSH_IN_X-F_PUSH_OUT_X)^2+(F_PUSH_IN_Y-F_PUSH_OUT_Y)^2+(F_PUSH_IN_Z-F_PUSH_OUT_Z)^2)</f>
        <v>347.51962326464383</v>
      </c>
      <c r="D23" s="110">
        <f t="shared" si="0"/>
        <v>13.681874931678891</v>
      </c>
      <c r="E23" s="111">
        <v>0.625</v>
      </c>
      <c r="F23" s="111">
        <v>2.8000000000000001E-2</v>
      </c>
      <c r="G23" s="112"/>
    </row>
    <row xmlns:x14ac="http://schemas.microsoft.com/office/spreadsheetml/2009/9/ac" r="24" x14ac:dyDescent="0.35">
      <c r="B24" s="91" t="s">
        <v>254</v>
      </c>
      <c r="C24" s="98">
        <f>SQRT((R_LCA_FORE_X-R_LCA_OUT_X)^2+(R_LCA_FORE_Y-R_LCA_OUT_Y)^2+(R_LCA_FORE_Z-R_LCA_OUT_Z)^2)</f>
        <v>287.04764728002908</v>
      </c>
      <c r="D24" s="99">
        <f t="shared" si="0"/>
        <v>11.301088475591698</v>
      </c>
      <c r="E24" s="78">
        <v>0.625</v>
      </c>
      <c r="F24" s="78">
        <v>2.8000000000000001E-2</v>
      </c>
      <c r="G24" s="92"/>
    </row>
    <row xmlns:x14ac="http://schemas.microsoft.com/office/spreadsheetml/2009/9/ac" r="25" x14ac:dyDescent="0.35">
      <c r="B25" s="91" t="s">
        <v>257</v>
      </c>
      <c r="C25" s="98">
        <f>SQRT((R_LCA_AFT_X-R_LCA_OUT_X)^2+(R_LCA_AFT_Y-R_LCA_OUT_Y)^2+(R_LCA_AFT_Z-R_LCA_OUT_Z)^2)</f>
        <v>277.27279099291371</v>
      </c>
      <c r="D25" s="99">
        <f t="shared" si="0"/>
        <v>10.916251613894241</v>
      </c>
      <c r="E25" s="78">
        <v>0.625</v>
      </c>
      <c r="F25" s="78">
        <v>2.8000000000000001E-2</v>
      </c>
      <c r="G25" s="92"/>
    </row>
    <row xmlns:x14ac="http://schemas.microsoft.com/office/spreadsheetml/2009/9/ac" r="26" x14ac:dyDescent="0.35">
      <c r="B26" s="91" t="s">
        <v>258</v>
      </c>
      <c r="C26" s="98">
        <f>SQRT((R_UCA_FORE_X-R_UCA_OUT_X)^2+(R_UCA_FORE_Y-R_UCA_OUT_Y)^2+(R_UCA_FORE_Z-R_UCA_OUT_Z)^2)</f>
        <v>255.41648022788198</v>
      </c>
      <c r="D26" s="99">
        <f t="shared" si="0"/>
        <v>10.05576693810559</v>
      </c>
      <c r="E26" s="78">
        <v>0.5</v>
      </c>
      <c r="F26" s="78">
        <v>2.8000000000000001E-2</v>
      </c>
      <c r="G26" s="92"/>
    </row>
    <row xmlns:x14ac="http://schemas.microsoft.com/office/spreadsheetml/2009/9/ac" r="27" x14ac:dyDescent="0.35">
      <c r="B27" s="91" t="s">
        <v>259</v>
      </c>
      <c r="C27" s="98">
        <f>SQRT((R_UCA_AFT_X-R_UCA_OUT_X)^2+(R_UCA_AFT_Y-R_UCA_OUT_Y)^2+(R_UCA_AFT_Z-R_UCA_OUT_Z)^2)</f>
        <v>271.54183506782158</v>
      </c>
      <c r="D27" s="99">
        <f t="shared" si="0"/>
        <v>10.690623427866992</v>
      </c>
      <c r="E27" s="78">
        <v>0.5</v>
      </c>
      <c r="F27" s="78">
        <v>2.8000000000000001E-2</v>
      </c>
      <c r="G27" s="92"/>
    </row>
    <row xmlns:x14ac="http://schemas.microsoft.com/office/spreadsheetml/2009/9/ac" r="28" x14ac:dyDescent="0.35">
      <c r="B28" s="91" t="s">
        <v>260</v>
      </c>
      <c r="C28" s="98">
        <f>SQRT((R_TIE_IN_X-R_TIE_OUT_X)^2+(R_TIE_IN_Y-R_TIE_OUT_Y)^2+(R_TIE_IN_Z-R_TIE_OUT_Z)^2)</f>
        <v>244.30028061708734</v>
      </c>
      <c r="D28" s="99">
        <f t="shared" si="0"/>
        <v>9.6181212841372972</v>
      </c>
      <c r="E28" s="78">
        <v>0.5</v>
      </c>
      <c r="F28" s="78">
        <v>2.8000000000000001E-2</v>
      </c>
      <c r="G28" s="92"/>
      <c r="J28" s="15">
        <f>D20+D21+D26+D27+D28+D29</f>
        <v>69.445924876704822</v>
      </c>
      <c r="K28">
        <f>J28/12</f>
        <v>5.7871604063920685</v>
      </c>
      <c r="L28">
        <f>K28*2</f>
        <v>11.574320812784137</v>
      </c>
    </row>
    <row xmlns:x14ac="http://schemas.microsoft.com/office/spreadsheetml/2009/9/ac" r="29" ht="15" thickBot="true" x14ac:dyDescent="0.4">
      <c r="B29" s="113" t="s">
        <v>261</v>
      </c>
      <c r="C29" s="114">
        <f>SQRT((R_PUSH_IN_X-R_PUSH_OUT_X)^2+(R_PUSH_IN_Y-R_PUSH_OUT_Y)^2+(R_PUSH_IN_Z-R_PUSH_OUT_Z)^2)</f>
        <v>306.55402585025695</v>
      </c>
      <c r="D29" s="115">
        <f t="shared" si="0"/>
        <v>12.069056135836888</v>
      </c>
      <c r="E29" s="116">
        <v>0.5</v>
      </c>
      <c r="F29" s="116">
        <v>2.8000000000000001E-2</v>
      </c>
      <c r="G29" s="117"/>
    </row>
    <row xmlns:x14ac="http://schemas.microsoft.com/office/spreadsheetml/2009/9/ac" r="30" x14ac:dyDescent="0.35">
      <c r="B30" s="103"/>
      <c r="C30" s="76"/>
      <c r="D30" s="76"/>
      <c r="E30" s="76"/>
      <c r="F30" s="76"/>
      <c r="G30" s="104"/>
    </row>
    <row xmlns:x14ac="http://schemas.microsoft.com/office/spreadsheetml/2009/9/ac" r="31" ht="15" thickBot="true" x14ac:dyDescent="0.4">
      <c r="B31" s="93"/>
      <c r="C31" s="77"/>
      <c r="D31" s="77"/>
      <c r="E31" s="77"/>
      <c r="F31" s="77"/>
      <c r="G31" s="94"/>
    </row>
    <row xmlns:x14ac="http://schemas.microsoft.com/office/spreadsheetml/2009/9/ac" r="32" x14ac:dyDescent="0.35">
      <c r="B32" s="105" t="s">
        <v>290</v>
      </c>
      <c r="C32" s="106" t="s">
        <v>291</v>
      </c>
      <c r="D32" s="106" t="s">
        <v>292</v>
      </c>
      <c r="E32" s="106" t="s">
        <v>222</v>
      </c>
      <c r="F32" s="106" t="s">
        <v>291</v>
      </c>
      <c r="G32" s="107" t="s">
        <v>292</v>
      </c>
    </row>
    <row xmlns:x14ac="http://schemas.microsoft.com/office/spreadsheetml/2009/9/ac" r="33" x14ac:dyDescent="0.35">
      <c r="B33" s="91" t="s">
        <v>293</v>
      </c>
      <c r="C33" s="78"/>
      <c r="D33" s="78"/>
      <c r="E33" s="78" t="s">
        <v>293</v>
      </c>
      <c r="F33" s="78"/>
      <c r="G33" s="92"/>
    </row>
    <row xmlns:x14ac="http://schemas.microsoft.com/office/spreadsheetml/2009/9/ac" r="34" x14ac:dyDescent="0.35">
      <c r="B34" s="91">
        <v>9.3826999999999998</v>
      </c>
      <c r="C34" s="78"/>
      <c r="D34" s="78"/>
      <c r="E34" s="78">
        <v>12.5</v>
      </c>
      <c r="F34" s="78"/>
      <c r="G34" s="92"/>
    </row>
    <row xmlns:x14ac="http://schemas.microsoft.com/office/spreadsheetml/2009/9/ac" r="35" x14ac:dyDescent="0.35">
      <c r="B35" s="91">
        <v>9.1801999999999992</v>
      </c>
      <c r="C35" s="78"/>
      <c r="D35" s="78"/>
      <c r="E35" s="78">
        <v>11.9</v>
      </c>
      <c r="F35" s="78"/>
      <c r="G35" s="92"/>
    </row>
    <row xmlns:x14ac="http://schemas.microsoft.com/office/spreadsheetml/2009/9/ac" r="36" x14ac:dyDescent="0.35">
      <c r="B36" s="91">
        <v>9.1564999999999994</v>
      </c>
      <c r="C36" s="78"/>
      <c r="D36" s="78"/>
      <c r="E36" s="78">
        <v>17.086300000000001</v>
      </c>
      <c r="F36" s="78"/>
      <c r="G36" s="92"/>
    </row>
    <row xmlns:x14ac="http://schemas.microsoft.com/office/spreadsheetml/2009/9/ac" r="37" x14ac:dyDescent="0.35">
      <c r="B37" s="91">
        <v>8.5216999999999992</v>
      </c>
      <c r="C37" s="78"/>
      <c r="D37" s="78"/>
      <c r="E37" s="78">
        <v>16.162700000000001</v>
      </c>
      <c r="F37" s="78"/>
      <c r="G37" s="92"/>
    </row>
    <row xmlns:x14ac="http://schemas.microsoft.com/office/spreadsheetml/2009/9/ac" r="38" x14ac:dyDescent="0.35">
      <c r="B38" s="91"/>
      <c r="C38" s="78"/>
      <c r="D38" s="78"/>
      <c r="E38" s="78"/>
      <c r="F38" s="78"/>
      <c r="G38" s="92"/>
    </row>
    <row xmlns:x14ac="http://schemas.microsoft.com/office/spreadsheetml/2009/9/ac" r="39" x14ac:dyDescent="0.35">
      <c r="B39" s="91" t="s">
        <v>294</v>
      </c>
      <c r="C39" s="78"/>
      <c r="D39" s="78"/>
      <c r="E39" s="78" t="s">
        <v>295</v>
      </c>
      <c r="F39" s="78"/>
      <c r="G39" s="92"/>
    </row>
    <row xmlns:x14ac="http://schemas.microsoft.com/office/spreadsheetml/2009/9/ac" r="40" x14ac:dyDescent="0.35">
      <c r="B40" s="91">
        <v>7.1227999999999998</v>
      </c>
      <c r="C40" s="78"/>
      <c r="D40" s="78"/>
      <c r="E40" s="78">
        <v>14.037000000000001</v>
      </c>
      <c r="F40" s="78"/>
      <c r="G40" s="92"/>
    </row>
    <row xmlns:x14ac="http://schemas.microsoft.com/office/spreadsheetml/2009/9/ac" r="41" x14ac:dyDescent="0.35">
      <c r="B41" s="91"/>
      <c r="C41" s="78"/>
      <c r="D41" s="78"/>
      <c r="E41" s="78"/>
      <c r="F41" s="78"/>
      <c r="G41" s="92"/>
    </row>
    <row xmlns:x14ac="http://schemas.microsoft.com/office/spreadsheetml/2009/9/ac" r="42" x14ac:dyDescent="0.35">
      <c r="B42" s="91" t="s">
        <v>296</v>
      </c>
      <c r="C42" s="78"/>
      <c r="D42" s="78"/>
      <c r="E42" s="78" t="s">
        <v>296</v>
      </c>
      <c r="F42" s="78"/>
      <c r="G42" s="92"/>
    </row>
    <row xmlns:x14ac="http://schemas.microsoft.com/office/spreadsheetml/2009/9/ac" r="43" x14ac:dyDescent="0.35">
      <c r="B43" s="91">
        <v>6.33</v>
      </c>
      <c r="C43" s="78"/>
      <c r="D43" s="78"/>
      <c r="E43" s="78">
        <v>3.3250000000000002</v>
      </c>
      <c r="F43" s="78"/>
      <c r="G43" s="92"/>
    </row>
    <row xmlns:x14ac="http://schemas.microsoft.com/office/spreadsheetml/2009/9/ac" r="44" x14ac:dyDescent="0.35">
      <c r="B44" s="91" t="s">
        <v>297</v>
      </c>
      <c r="C44" s="78"/>
      <c r="D44" s="78"/>
      <c r="E44" s="78" t="s">
        <v>297</v>
      </c>
      <c r="F44" s="78"/>
      <c r="G44" s="92"/>
    </row>
    <row xmlns:x14ac="http://schemas.microsoft.com/office/spreadsheetml/2009/9/ac" r="45" x14ac:dyDescent="0.35">
      <c r="B45" s="91">
        <v>6.33</v>
      </c>
      <c r="C45" s="78"/>
      <c r="D45" s="78"/>
      <c r="E45" s="78">
        <v>15.6417</v>
      </c>
      <c r="F45" s="78"/>
      <c r="G45" s="92"/>
    </row>
    <row xmlns:x14ac="http://schemas.microsoft.com/office/spreadsheetml/2009/9/ac" r="46" ht="15" thickBot="true" x14ac:dyDescent="0.4">
      <c r="B46" s="100"/>
      <c r="C46" s="101"/>
      <c r="D46" s="101"/>
      <c r="E46" s="101"/>
      <c r="F46" s="101"/>
      <c r="G46" s="102"/>
    </row>
  </sheetData>
  <mergeCells count="4">
    <mergeCell ref="C7:D7"/>
    <mergeCell ref="C8:D8"/>
    <mergeCell ref="C9:D9"/>
    <mergeCell ref="C10:D10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7B5BD-ED84-4BDB-8DE1-82FC9DAE32CB}">
  <dimension ref="A2:G6"/>
  <sheetViews>
    <sheetView workbookViewId="0">
      <selection activeCell="D6" sqref="D6"/>
    </sheetView>
  </sheetViews>
  <sheetFormatPr xmlns:x14ac="http://schemas.microsoft.com/office/spreadsheetml/2009/9/ac" defaultRowHeight="14.5" x14ac:dyDescent="0.35"/>
  <cols>
    <col min="1" max="1" width="9.1796875" bestFit="true" customWidth="true"/>
    <col min="2" max="2" width="15" customWidth="true"/>
    <col min="3" max="3" width="16" bestFit="true" customWidth="true"/>
    <col min="4" max="4" width="9.81640625" bestFit="true" customWidth="true"/>
    <col min="5" max="5" width="15" customWidth="true"/>
    <col min="6" max="6" width="15.81640625" customWidth="true"/>
    <col min="7" max="7" width="14" customWidth="true"/>
  </cols>
  <sheetData>
    <row xmlns:x14ac="http://schemas.microsoft.com/office/spreadsheetml/2009/9/ac" r="2" x14ac:dyDescent="0.35">
      <c r="A2" t="s">
        <v>229</v>
      </c>
      <c r="B2" t="s">
        <v>298</v>
      </c>
      <c r="C2" t="s">
        <v>299</v>
      </c>
      <c r="D2" t="s">
        <v>300</v>
      </c>
      <c r="E2" t="s">
        <v>301</v>
      </c>
      <c r="F2" t="s">
        <v>302</v>
      </c>
      <c r="G2" t="s">
        <v>303</v>
      </c>
    </row>
    <row xmlns:x14ac="http://schemas.microsoft.com/office/spreadsheetml/2009/9/ac" r="3" x14ac:dyDescent="0.35">
      <c r="A3">
        <v>4130</v>
      </c>
      <c r="B3">
        <v>0.28399999999999997</v>
      </c>
      <c r="C3">
        <v>66.7</v>
      </c>
      <c r="D3">
        <v>106</v>
      </c>
      <c r="E3" t="s">
        <v>304</v>
      </c>
      <c r="F3">
        <v>29700</v>
      </c>
      <c r="G3">
        <v>0.28999999999999998</v>
      </c>
    </row>
    <row xmlns:x14ac="http://schemas.microsoft.com/office/spreadsheetml/2009/9/ac" r="4" x14ac:dyDescent="0.35">
      <c r="A4" t="s">
        <v>305</v>
      </c>
      <c r="B4">
        <v>0.16200000000000001</v>
      </c>
      <c r="C4">
        <v>72.5</v>
      </c>
      <c r="D4">
        <v>89.9</v>
      </c>
      <c r="E4" t="s">
        <v>304</v>
      </c>
      <c r="F4">
        <v>16679</v>
      </c>
      <c r="G4">
        <v>0.3</v>
      </c>
    </row>
    <row xmlns:x14ac="http://schemas.microsoft.com/office/spreadsheetml/2009/9/ac" r="5" x14ac:dyDescent="0.35">
      <c r="A5" t="s">
        <v>273</v>
      </c>
      <c r="B5">
        <v>5.6000000000000001E-2</v>
      </c>
      <c r="C5">
        <v>275</v>
      </c>
      <c r="D5">
        <v>275</v>
      </c>
      <c r="E5" t="s">
        <v>306</v>
      </c>
      <c r="F5">
        <v>25000</v>
      </c>
      <c r="G5">
        <v>0.3</v>
      </c>
    </row>
    <row xmlns:x14ac="http://schemas.microsoft.com/office/spreadsheetml/2009/9/ac" r="6" x14ac:dyDescent="0.35">
      <c r="A6">
        <v>6061</v>
      </c>
      <c r="B6">
        <v>9.7500000000000003E-2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89441-EE8D-4297-947F-4B983F3C4397}">
  <dimension ref="A1:G25"/>
  <sheetViews>
    <sheetView topLeftCell="A9" workbookViewId="0">
      <selection activeCell="A13" sqref="A13"/>
    </sheetView>
  </sheetViews>
  <sheetFormatPr xmlns:x14ac="http://schemas.microsoft.com/office/spreadsheetml/2009/9/ac" defaultRowHeight="14.5" x14ac:dyDescent="0.35"/>
  <cols>
    <col min="1" max="1" width="10.1796875" customWidth="true"/>
    <col min="2" max="2" width="12.81640625" customWidth="true"/>
    <col min="3" max="3" width="15" customWidth="true"/>
    <col min="4" max="4" width="30.1796875" customWidth="true"/>
    <col min="5" max="5" width="17" customWidth="true"/>
  </cols>
  <sheetData>
    <row xmlns:x14ac="http://schemas.microsoft.com/office/spreadsheetml/2009/9/ac" r="1" x14ac:dyDescent="0.35">
      <c r="A1" t="s">
        <v>307</v>
      </c>
    </row>
    <row xmlns:x14ac="http://schemas.microsoft.com/office/spreadsheetml/2009/9/ac" r="3" x14ac:dyDescent="0.35">
      <c r="A3" t="s">
        <v>308</v>
      </c>
      <c r="C3" t="s">
        <v>309</v>
      </c>
    </row>
    <row xmlns:x14ac="http://schemas.microsoft.com/office/spreadsheetml/2009/9/ac" r="4" x14ac:dyDescent="0.35">
      <c r="A4" t="s">
        <v>310</v>
      </c>
      <c r="B4" t="s">
        <v>311</v>
      </c>
    </row>
    <row xmlns:x14ac="http://schemas.microsoft.com/office/spreadsheetml/2009/9/ac" r="5" x14ac:dyDescent="0.35">
      <c r="C5" t="s">
        <v>312</v>
      </c>
    </row>
    <row xmlns:x14ac="http://schemas.microsoft.com/office/spreadsheetml/2009/9/ac" r="6" x14ac:dyDescent="0.35">
      <c r="A6" t="s">
        <v>313</v>
      </c>
      <c r="B6" t="s">
        <v>314</v>
      </c>
    </row>
    <row xmlns:x14ac="http://schemas.microsoft.com/office/spreadsheetml/2009/9/ac" r="9" x14ac:dyDescent="0.35">
      <c r="A9" t="s">
        <v>315</v>
      </c>
    </row>
    <row xmlns:x14ac="http://schemas.microsoft.com/office/spreadsheetml/2009/9/ac" r="10" x14ac:dyDescent="0.35">
      <c r="A10" t="s">
        <v>316</v>
      </c>
    </row>
    <row xmlns:x14ac="http://schemas.microsoft.com/office/spreadsheetml/2009/9/ac" r="11" x14ac:dyDescent="0.35">
      <c r="A11" t="s">
        <v>317</v>
      </c>
      <c r="B11" t="s">
        <v>318</v>
      </c>
    </row>
    <row xmlns:x14ac="http://schemas.microsoft.com/office/spreadsheetml/2009/9/ac" r="12" x14ac:dyDescent="0.35">
      <c r="C12" t="s">
        <v>319</v>
      </c>
    </row>
    <row xmlns:x14ac="http://schemas.microsoft.com/office/spreadsheetml/2009/9/ac" r="13" x14ac:dyDescent="0.35">
      <c r="A13" t="s">
        <v>320</v>
      </c>
      <c r="B13" t="s">
        <v>321</v>
      </c>
    </row>
    <row xmlns:x14ac="http://schemas.microsoft.com/office/spreadsheetml/2009/9/ac" r="15" x14ac:dyDescent="0.35">
      <c r="A15" t="s">
        <v>322</v>
      </c>
    </row>
    <row xmlns:x14ac="http://schemas.microsoft.com/office/spreadsheetml/2009/9/ac" r="16" x14ac:dyDescent="0.35">
      <c r="A16" t="s">
        <v>323</v>
      </c>
      <c r="C16">
        <v>160000</v>
      </c>
      <c r="D16" t="s">
        <v>324</v>
      </c>
    </row>
    <row xmlns:x14ac="http://schemas.microsoft.com/office/spreadsheetml/2009/9/ac" r="17" x14ac:dyDescent="0.35">
      <c r="A17" t="s">
        <v>325</v>
      </c>
      <c r="C17">
        <v>90000</v>
      </c>
      <c r="D17" t="s">
        <v>326</v>
      </c>
    </row>
    <row xmlns:x14ac="http://schemas.microsoft.com/office/spreadsheetml/2009/9/ac" r="19" x14ac:dyDescent="0.35">
      <c r="G19" t="s">
        <v>327</v>
      </c>
    </row>
    <row xmlns:x14ac="http://schemas.microsoft.com/office/spreadsheetml/2009/9/ac" r="20" x14ac:dyDescent="0.35">
      <c r="A20" s="31" t="s">
        <v>328</v>
      </c>
      <c r="D20" t="s">
        <v>313</v>
      </c>
      <c r="G20" t="s">
        <v>329</v>
      </c>
    </row>
    <row xmlns:x14ac="http://schemas.microsoft.com/office/spreadsheetml/2009/9/ac" r="21" x14ac:dyDescent="0.35">
      <c r="A21" s="31" t="s">
        <v>330</v>
      </c>
      <c r="B21" s="31" t="s">
        <v>331</v>
      </c>
      <c r="C21" s="31" t="s">
        <v>332</v>
      </c>
      <c r="D21" s="31" t="s">
        <v>333</v>
      </c>
      <c r="E21" s="31" t="s">
        <v>334</v>
      </c>
      <c r="G21" s="31" t="s">
        <v>335</v>
      </c>
    </row>
    <row xmlns:x14ac="http://schemas.microsoft.com/office/spreadsheetml/2009/9/ac" r="22" x14ac:dyDescent="0.35">
      <c r="A22" t="s">
        <v>241</v>
      </c>
      <c r="B22">
        <f>3/16</f>
        <v>0.1875</v>
      </c>
      <c r="C22" s="33">
        <f>0.25*PI()*B22^2</f>
        <v>2.7611654181941541E-2</v>
      </c>
      <c r="D22" s="23">
        <f>$C$17*C22</f>
        <v>2485.0488763747385</v>
      </c>
      <c r="E22" s="23">
        <f>D22*2</f>
        <v>4970.097752749477</v>
      </c>
    </row>
    <row xmlns:x14ac="http://schemas.microsoft.com/office/spreadsheetml/2009/9/ac" r="23" x14ac:dyDescent="0.35">
      <c r="A23" t="s">
        <v>336</v>
      </c>
      <c r="B23">
        <f>4/16</f>
        <v>0.25</v>
      </c>
      <c r="C23" s="33">
        <f t="shared" ref="C23:C25" si="0">0.25*PI()*B23^2</f>
        <v>4.9087385212340517E-2</v>
      </c>
      <c r="D23" s="23">
        <f t="shared" ref="D23:D25" si="1">$C$17*C23</f>
        <v>4417.8646691106469</v>
      </c>
      <c r="E23" s="23">
        <f t="shared" ref="E23:E25" si="2">D23*2</f>
        <v>8835.7293382212938</v>
      </c>
    </row>
    <row xmlns:x14ac="http://schemas.microsoft.com/office/spreadsheetml/2009/9/ac" r="24" x14ac:dyDescent="0.35">
      <c r="A24" t="s">
        <v>337</v>
      </c>
      <c r="B24">
        <f>5/16</f>
        <v>0.3125</v>
      </c>
      <c r="C24" s="33">
        <f t="shared" si="0"/>
        <v>7.6699039394282062E-2</v>
      </c>
      <c r="D24" s="23">
        <f>$C$17*C24</f>
        <v>6902.9135454853858</v>
      </c>
      <c r="E24" s="23">
        <f t="shared" si="2"/>
        <v>13805.827090970772</v>
      </c>
    </row>
    <row xmlns:x14ac="http://schemas.microsoft.com/office/spreadsheetml/2009/9/ac" r="25" x14ac:dyDescent="0.35">
      <c r="A25" t="s">
        <v>338</v>
      </c>
      <c r="B25">
        <f>6/16</f>
        <v>0.375</v>
      </c>
      <c r="C25" s="33">
        <f t="shared" si="0"/>
        <v>0.11044661672776616</v>
      </c>
      <c r="D25" s="23">
        <f t="shared" si="1"/>
        <v>9940.1955054989539</v>
      </c>
      <c r="E25" s="23">
        <f t="shared" si="2"/>
        <v>19880.391010997908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CE7A-B431-4498-A0BC-B8757A845C93}">
  <dimension ref="B2:E10"/>
  <sheetViews>
    <sheetView workbookViewId="0">
      <selection activeCell="E10" sqref="E10"/>
    </sheetView>
  </sheetViews>
  <sheetFormatPr xmlns:x14ac="http://schemas.microsoft.com/office/spreadsheetml/2009/9/ac" defaultRowHeight="14.5" x14ac:dyDescent="0.35"/>
  <cols>
    <col min="2" max="2" width="20.1796875" bestFit="true" customWidth="true"/>
  </cols>
  <sheetData>
    <row xmlns:x14ac="http://schemas.microsoft.com/office/spreadsheetml/2009/9/ac" r="2" x14ac:dyDescent="0.35">
      <c r="B2" t="s">
        <v>339</v>
      </c>
    </row>
    <row xmlns:x14ac="http://schemas.microsoft.com/office/spreadsheetml/2009/9/ac" r="5" x14ac:dyDescent="0.35">
      <c r="B5" t="s">
        <v>340</v>
      </c>
      <c r="C5">
        <f>144000*0.6</f>
        <v>86400</v>
      </c>
    </row>
    <row xmlns:x14ac="http://schemas.microsoft.com/office/spreadsheetml/2009/9/ac" r="6" x14ac:dyDescent="0.35">
      <c r="B6" t="s">
        <v>341</v>
      </c>
      <c r="C6">
        <v>0.308</v>
      </c>
    </row>
    <row xmlns:x14ac="http://schemas.microsoft.com/office/spreadsheetml/2009/9/ac" r="7" x14ac:dyDescent="0.35">
      <c r="B7" t="s">
        <v>342</v>
      </c>
      <c r="C7">
        <v>0.2268</v>
      </c>
    </row>
    <row xmlns:x14ac="http://schemas.microsoft.com/office/spreadsheetml/2009/9/ac" r="10" x14ac:dyDescent="0.35">
      <c r="B10" t="s">
        <v>343</v>
      </c>
      <c r="C10">
        <f>PI()*C7*C5*C6/3</f>
        <v>6320.2772119945776</v>
      </c>
      <c r="E10" t="s">
        <v>344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5C6DA-5532-4C30-A404-93DA84CD87A3}">
  <dimension ref="A1:E70"/>
  <sheetViews>
    <sheetView topLeftCell="G1" zoomScale="70" zoomScaleNormal="70" workbookViewId="0">
      <selection activeCell="E7" sqref="E7"/>
    </sheetView>
  </sheetViews>
  <sheetFormatPr xmlns:x14ac="http://schemas.microsoft.com/office/spreadsheetml/2009/9/ac" defaultRowHeight="14.5" x14ac:dyDescent="0.35"/>
  <cols>
    <col min="1" max="1" width="11.81640625" bestFit="true" customWidth="true"/>
    <col min="3" max="4" width="18.1796875" customWidth="true"/>
  </cols>
  <sheetData>
    <row xmlns:x14ac="http://schemas.microsoft.com/office/spreadsheetml/2009/9/ac" r="1" x14ac:dyDescent="0.35">
      <c r="A1" t="s">
        <v>345</v>
      </c>
      <c r="B1" t="s">
        <v>346</v>
      </c>
      <c r="C1" t="s">
        <v>347</v>
      </c>
      <c r="D1" t="s">
        <v>348</v>
      </c>
      <c r="E1" t="s">
        <v>349</v>
      </c>
    </row>
    <row xmlns:x14ac="http://schemas.microsoft.com/office/spreadsheetml/2009/9/ac" r="2" x14ac:dyDescent="0.35">
      <c r="A2" t="s">
        <v>245</v>
      </c>
      <c r="B2">
        <v>1.6</v>
      </c>
      <c r="C2">
        <v>42.79</v>
      </c>
      <c r="E2" t="s">
        <v>350</v>
      </c>
    </row>
    <row xmlns:x14ac="http://schemas.microsoft.com/office/spreadsheetml/2009/9/ac" r="14" s="62" customFormat="true" x14ac:dyDescent="0.35">
      <c r="A14" s="62" t="s">
        <v>240</v>
      </c>
      <c r="B14" s="62">
        <v>1.1000000000000001</v>
      </c>
      <c r="C14" s="62">
        <v>33.18</v>
      </c>
      <c r="E14" s="62" t="s">
        <v>350</v>
      </c>
    </row>
    <row xmlns:x14ac="http://schemas.microsoft.com/office/spreadsheetml/2009/9/ac" r="27" s="62" customFormat="true" x14ac:dyDescent="0.35">
      <c r="A27" s="62" t="s">
        <v>247</v>
      </c>
      <c r="B27" s="62">
        <v>3.2</v>
      </c>
      <c r="C27" s="62">
        <v>20.54</v>
      </c>
    </row>
    <row xmlns:x14ac="http://schemas.microsoft.com/office/spreadsheetml/2009/9/ac" r="42" s="62" customFormat="true" x14ac:dyDescent="0.35">
      <c r="A42" s="62" t="s">
        <v>249</v>
      </c>
      <c r="B42" s="62">
        <v>2.8</v>
      </c>
      <c r="C42" s="62">
        <v>18.96</v>
      </c>
      <c r="E42" s="62" t="s">
        <v>350</v>
      </c>
    </row>
    <row xmlns:x14ac="http://schemas.microsoft.com/office/spreadsheetml/2009/9/ac" r="56" s="62" customFormat="true" x14ac:dyDescent="0.35">
      <c r="A56" t="s">
        <v>259</v>
      </c>
      <c r="B56" s="62">
        <v>0.53</v>
      </c>
      <c r="C56" s="62">
        <v>76.8</v>
      </c>
      <c r="E56" s="62" t="s">
        <v>350</v>
      </c>
    </row>
    <row xmlns:x14ac="http://schemas.microsoft.com/office/spreadsheetml/2009/9/ac" r="70" s="62" customFormat="true" x14ac:dyDescent="0.35">
      <c r="A70" s="62" t="s">
        <v>258</v>
      </c>
      <c r="B70" s="62">
        <v>0.89</v>
      </c>
      <c r="C70" s="62">
        <v>22.17</v>
      </c>
      <c r="E70" s="62" t="s">
        <v>350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4EA4-0FCE-47B6-A26D-D40166D9C3CC}">
  <dimension ref="A1:L7"/>
  <sheetViews>
    <sheetView workbookViewId="0">
      <selection activeCell="G14" sqref="G14"/>
    </sheetView>
  </sheetViews>
  <sheetFormatPr xmlns:x14ac="http://schemas.microsoft.com/office/spreadsheetml/2009/9/ac" defaultRowHeight="14.5" x14ac:dyDescent="0.35"/>
  <cols>
    <col min="2" max="2" width="15.81640625" bestFit="true" customWidth="true"/>
    <col min="3" max="3" width="10.1796875" bestFit="true" customWidth="true"/>
  </cols>
  <sheetData>
    <row xmlns:x14ac="http://schemas.microsoft.com/office/spreadsheetml/2009/9/ac" r="1" x14ac:dyDescent="0.35">
      <c r="A1" s="41" t="s">
        <v>351</v>
      </c>
      <c r="B1" s="29"/>
      <c r="C1" s="42"/>
    </row>
    <row xmlns:x14ac="http://schemas.microsoft.com/office/spreadsheetml/2009/9/ac" r="2" x14ac:dyDescent="0.35">
      <c r="A2" s="25" t="s">
        <v>352</v>
      </c>
      <c r="B2" s="31" t="s">
        <v>353</v>
      </c>
      <c r="C2" s="69" t="s">
        <v>354</v>
      </c>
      <c r="D2" s="31" t="s">
        <v>229</v>
      </c>
      <c r="E2" t="s">
        <v>355</v>
      </c>
      <c r="F2" t="s">
        <v>347</v>
      </c>
    </row>
    <row xmlns:x14ac="http://schemas.microsoft.com/office/spreadsheetml/2009/9/ac" r="3" ht="15" thickBot="true" x14ac:dyDescent="0.4">
      <c r="A3" s="48">
        <v>0.625</v>
      </c>
      <c r="B3" s="20">
        <v>3.5000000000000003E-2</v>
      </c>
      <c r="C3" s="68">
        <f>(2*5.386)*39.37</f>
        <v>424.09363999999999</v>
      </c>
      <c r="D3">
        <v>6061</v>
      </c>
      <c r="E3" s="15">
        <f>0.25*PI()*(A3^2-(A3-2*B3)^2)</f>
        <v>6.4873888296629281E-2</v>
      </c>
      <c r="F3" s="15">
        <f>VLOOKUP(D3,Materials[],2,FALSE)*C3*E3/2.2*1000</f>
        <v>1219.3085610433698</v>
      </c>
      <c r="L3">
        <v>159</v>
      </c>
    </row>
    <row xmlns:x14ac="http://schemas.microsoft.com/office/spreadsheetml/2009/9/ac" r="4" x14ac:dyDescent="0.35">
      <c r="L4">
        <v>29</v>
      </c>
    </row>
    <row xmlns:x14ac="http://schemas.microsoft.com/office/spreadsheetml/2009/9/ac" r="5" x14ac:dyDescent="0.35">
      <c r="L5">
        <v>144</v>
      </c>
    </row>
    <row xmlns:x14ac="http://schemas.microsoft.com/office/spreadsheetml/2009/9/ac" r="6" x14ac:dyDescent="0.35">
      <c r="L6">
        <v>10</v>
      </c>
    </row>
    <row xmlns:x14ac="http://schemas.microsoft.com/office/spreadsheetml/2009/9/ac" r="7" x14ac:dyDescent="0.35">
      <c r="L7">
        <f>SUM(L3:L6)</f>
        <v>342</v>
      </c>
    </row>
  </sheetData>
  <dataValidations count="1">
    <dataValidation type="list" allowBlank="true" showInputMessage="true" showErrorMessage="true" sqref="D3">
      <formula1>matlChoices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F257-984F-4BB5-960A-667E8F7261D0}">
  <sheetPr>
    <pageSetUpPr fitToPage="true"/>
  </sheetPr>
  <dimension ref="B1:AM69"/>
  <sheetViews>
    <sheetView zoomScale="70" zoomScaleNormal="70" workbookViewId="0">
      <pane ySplit="1" topLeftCell="A25" activePane="bottomLeft" state="frozen"/>
      <selection pane="bottomLeft" activeCell="S45" sqref="S45"/>
    </sheetView>
  </sheetViews>
  <sheetFormatPr xmlns:x14ac="http://schemas.microsoft.com/office/spreadsheetml/2009/9/ac" defaultRowHeight="14.5" x14ac:dyDescent="0.35"/>
  <cols>
    <col min="1" max="1" width="3.1796875" customWidth="true"/>
    <col min="2" max="2" width="4.1796875" style="84" customWidth="true"/>
    <col min="3" max="3" width="29" style="85" customWidth="true"/>
    <col min="4" max="4" width="5.1796875" style="70" bestFit="true" customWidth="true"/>
    <col min="5" max="5" width="7" style="87" customWidth="true"/>
    <col min="6" max="6" width="8.1796875" style="87" bestFit="true" customWidth="true"/>
    <col min="7" max="7" width="7" style="87" customWidth="true"/>
    <col min="8" max="8" width="7.81640625" hidden="true" customWidth="true"/>
    <col min="9" max="9" width="11.1796875" hidden="true" customWidth="true"/>
    <col min="10" max="10" width="19.1796875" customWidth="true"/>
    <col min="11" max="11" width="14.1796875" bestFit="true" customWidth="true"/>
    <col min="13" max="13" width="8.81640625" customWidth="true"/>
    <col min="14" max="14" width="8.1796875" bestFit="true" customWidth="true"/>
    <col min="15" max="16" width="9.54296875" bestFit="true" customWidth="true"/>
    <col min="17" max="18" width="11.81640625" bestFit="true" customWidth="true"/>
    <col min="19" max="19" width="16.54296875" bestFit="true" customWidth="true"/>
    <col min="20" max="20" width="10.1796875" customWidth="true"/>
    <col min="21" max="22" width="10.1796875" bestFit="true" customWidth="true"/>
    <col min="23" max="23" width="10.54296875" bestFit="true" customWidth="true"/>
    <col min="24" max="24" width="10.54296875" customWidth="true"/>
    <col min="38" max="38" width="17" bestFit="true" customWidth="true"/>
  </cols>
  <sheetData>
    <row xmlns:x14ac="http://schemas.microsoft.com/office/spreadsheetml/2009/9/ac" r="1" ht="48.75" customHeight="true" thickBot="true" x14ac:dyDescent="0.4">
      <c r="B1" s="79"/>
      <c r="C1" s="127"/>
      <c r="D1" s="127" t="s">
        <v>356</v>
      </c>
      <c r="E1" s="127" t="s">
        <v>90</v>
      </c>
      <c r="F1" s="127" t="s">
        <v>357</v>
      </c>
      <c r="G1" s="128" t="s">
        <v>358</v>
      </c>
      <c r="H1" s="128" t="s">
        <v>359</v>
      </c>
      <c r="I1" s="128" t="s">
        <v>360</v>
      </c>
      <c r="J1" s="127" t="s">
        <v>361</v>
      </c>
      <c r="K1" s="127" t="s">
        <v>362</v>
      </c>
      <c r="L1" s="128" t="s">
        <v>363</v>
      </c>
      <c r="M1" s="128" t="s">
        <v>364</v>
      </c>
      <c r="N1" s="128" t="s">
        <v>365</v>
      </c>
      <c r="O1" s="128" t="s">
        <v>366</v>
      </c>
      <c r="P1" s="128" t="s">
        <v>367</v>
      </c>
      <c r="T1" s="122" t="s">
        <v>368</v>
      </c>
      <c r="U1" s="123" t="s">
        <v>369</v>
      </c>
      <c r="V1" s="119" t="s">
        <v>370</v>
      </c>
      <c r="W1" s="120" t="s">
        <v>371</v>
      </c>
      <c r="X1" s="124" t="s">
        <v>372</v>
      </c>
      <c r="Y1" s="124" t="s">
        <v>373</v>
      </c>
      <c r="Z1" s="118" t="s">
        <v>374</v>
      </c>
      <c r="AA1" s="120"/>
      <c r="AD1" t="s">
        <v>375</v>
      </c>
      <c r="AF1" t="s">
        <v>376</v>
      </c>
    </row>
    <row xmlns:x14ac="http://schemas.microsoft.com/office/spreadsheetml/2009/9/ac" r="2" x14ac:dyDescent="0.35">
      <c r="B2" s="189" t="s">
        <v>377</v>
      </c>
      <c r="C2" s="190" t="e" vm="1">
        <v>#VALUE!</v>
      </c>
      <c r="D2" s="130">
        <v>1</v>
      </c>
      <c r="E2" s="131">
        <f>0.51031*25.4</f>
        <v>12.961874</v>
      </c>
      <c r="F2" s="132">
        <f>0.236*25.4</f>
        <v>5.9943999999999997</v>
      </c>
      <c r="G2" s="132">
        <f>0.354315*25.4</f>
        <v>8.9996009999999984</v>
      </c>
      <c r="H2" s="78"/>
      <c r="I2" s="99"/>
      <c r="J2" s="78" t="s">
        <v>378</v>
      </c>
      <c r="K2" s="151" t="s">
        <v>379</v>
      </c>
      <c r="L2" s="151"/>
      <c r="M2" s="78"/>
      <c r="N2" s="78"/>
      <c r="O2" s="78"/>
      <c r="P2" s="78"/>
      <c r="T2" s="49">
        <v>1</v>
      </c>
      <c r="U2" s="15">
        <f t="shared" ref="U2:U25" si="0">T2/16</f>
        <v>6.25E-2</v>
      </c>
      <c r="V2" t="str">
        <f t="shared" ref="V2:V28" si="1">IF(COUNTIFS(boltDashLengths,$T2,boltDiameters,0.191)&gt;0,2*COUNTIFS(boltDashLengths,$T2,boltDiameters,0.191)," ")</f>
        <v> </v>
      </c>
      <c r="W2" s="50" t="str">
        <f t="shared" ref="W2:W28" si="2">IF(COUNTIFS(boltDashLengths,$T2,boltDiameters,0.25)&gt;0,2*COUNTIFS(boltDashLengths,$T2,boltDiameters,0.25)," ")</f>
        <v> </v>
      </c>
      <c r="X2" s="16" t="str">
        <f t="shared" ref="X2:X28" si="3">IFERROR(V2*(T2*dash3slope+dash3intercept+$AF$2)," ")</f>
        <v> </v>
      </c>
      <c r="Y2" s="16" t="str">
        <f t="shared" ref="Y2:Y28" si="4">IFERROR(W2*(U2*dash4slope+dash4intercept+$AF$3)," ")</f>
        <v> </v>
      </c>
      <c r="Z2" s="49" t="s">
        <v>380</v>
      </c>
      <c r="AA2" s="50">
        <f>COUNTIF(boltDiameters,0.191)*2</f>
        <v>48</v>
      </c>
      <c r="AD2" t="s">
        <v>380</v>
      </c>
      <c r="AF2">
        <f>4/5</f>
        <v>0.8</v>
      </c>
      <c r="AL2" t="s">
        <v>381</v>
      </c>
      <c r="AM2">
        <f>20.95/25.4+0.09</f>
        <v>0.91480314960629916</v>
      </c>
    </row>
    <row xmlns:x14ac="http://schemas.microsoft.com/office/spreadsheetml/2009/9/ac" r="3" x14ac:dyDescent="0.35">
      <c r="B3" s="189"/>
      <c r="C3" s="190"/>
      <c r="D3" s="133">
        <v>2</v>
      </c>
      <c r="E3" s="132">
        <f>0.83661*25.4</f>
        <v>21.249893999999998</v>
      </c>
      <c r="F3" s="132">
        <f>25.4*0.236</f>
        <v>5.9943999999999997</v>
      </c>
      <c r="G3" s="132">
        <f>25.4*0.444782</f>
        <v>11.2974628</v>
      </c>
      <c r="H3" s="78"/>
      <c r="I3" s="99"/>
      <c r="J3" s="78" t="s">
        <v>378</v>
      </c>
      <c r="K3" s="151" t="s">
        <v>379</v>
      </c>
      <c r="L3" s="151"/>
      <c r="M3" s="78"/>
      <c r="N3" s="78"/>
      <c r="O3" s="78"/>
      <c r="P3" s="78"/>
      <c r="T3" s="49">
        <v>2</v>
      </c>
      <c r="U3" s="15">
        <f t="shared" si="0"/>
        <v>0.125</v>
      </c>
      <c r="V3" t="str">
        <f t="shared" si="1"/>
        <v> </v>
      </c>
      <c r="W3" s="50" t="str">
        <f t="shared" si="2"/>
        <v> </v>
      </c>
      <c r="X3" s="16" t="str">
        <f t="shared" si="3"/>
        <v> </v>
      </c>
      <c r="Y3" s="16" t="str">
        <f t="shared" si="4"/>
        <v> </v>
      </c>
      <c r="Z3" s="49" t="s">
        <v>382</v>
      </c>
      <c r="AA3" s="50">
        <f>COUNTIF(boltDiameters,0.25)*2</f>
        <v>58</v>
      </c>
      <c r="AD3" t="s">
        <v>382</v>
      </c>
      <c r="AF3">
        <f>7/5</f>
        <v>1.4</v>
      </c>
      <c r="AL3" t="s">
        <v>383</v>
      </c>
      <c r="AM3">
        <f>15.15/25.4+0.09</f>
        <v>0.68645669291338585</v>
      </c>
    </row>
    <row xmlns:x14ac="http://schemas.microsoft.com/office/spreadsheetml/2009/9/ac" r="4" x14ac:dyDescent="0.35">
      <c r="B4" s="189"/>
      <c r="C4" s="190"/>
      <c r="D4" s="134">
        <v>3</v>
      </c>
      <c r="E4" s="135">
        <v>0.66869000000000001</v>
      </c>
      <c r="F4" s="135">
        <v>0.13600000000000001</v>
      </c>
      <c r="G4" s="135"/>
      <c r="H4" s="78">
        <f t="shared" ref="H4:H25" si="5">VLOOKUP(E4/0.0625,AN_DashTable,1,TRUE)</f>
        <v>10</v>
      </c>
      <c r="I4" s="99">
        <f t="shared" ref="I4:I25" si="6">IF(E4-VLOOKUP(H4,AN_DashTable,2,FALSE)-0.032&lt;0," ",E4-VLOOKUP(H4,AN_DashTable,2,FALSE))</f>
        <v>4.3690000000000007E-2</v>
      </c>
      <c r="J4" s="78" t="s">
        <v>384</v>
      </c>
      <c r="K4" s="151" t="s">
        <v>379</v>
      </c>
      <c r="L4" s="151"/>
      <c r="M4" s="78"/>
      <c r="N4" s="78"/>
      <c r="O4" s="78"/>
      <c r="P4" s="78"/>
      <c r="T4" s="49">
        <v>3</v>
      </c>
      <c r="U4" s="15">
        <f t="shared" si="0"/>
        <v>0.1875</v>
      </c>
      <c r="V4" t="str">
        <f t="shared" si="1"/>
        <v> </v>
      </c>
      <c r="W4" s="50" t="str">
        <f t="shared" si="2"/>
        <v> </v>
      </c>
      <c r="X4" s="16" t="str">
        <f t="shared" si="3"/>
        <v> </v>
      </c>
      <c r="Y4" s="16" t="str">
        <f t="shared" si="4"/>
        <v> </v>
      </c>
      <c r="Z4" s="49" t="s">
        <v>385</v>
      </c>
      <c r="AA4" s="50">
        <f>AA2</f>
        <v>48</v>
      </c>
      <c r="AH4" s="31" t="s">
        <v>386</v>
      </c>
      <c r="AI4" s="31" t="s">
        <v>387</v>
      </c>
    </row>
    <row xmlns:x14ac="http://schemas.microsoft.com/office/spreadsheetml/2009/9/ac" r="5" ht="15" thickBot="true" x14ac:dyDescent="0.4">
      <c r="B5" s="189"/>
      <c r="C5" s="190"/>
      <c r="D5" s="129">
        <v>4</v>
      </c>
      <c r="E5" s="136">
        <v>0.83660999999999996</v>
      </c>
      <c r="F5" s="136">
        <v>0.191</v>
      </c>
      <c r="G5" s="136">
        <v>0.42649999999999999</v>
      </c>
      <c r="H5" s="78">
        <f t="shared" si="5"/>
        <v>13</v>
      </c>
      <c r="I5" s="99" t="str">
        <f t="shared" si="6"/>
        <v> </v>
      </c>
      <c r="J5" s="78"/>
      <c r="K5" s="151" t="s">
        <v>379</v>
      </c>
      <c r="L5" s="151"/>
      <c r="M5" s="78"/>
      <c r="N5" s="78"/>
      <c r="O5" s="78"/>
      <c r="P5" s="78"/>
      <c r="T5" s="49">
        <v>4</v>
      </c>
      <c r="U5" s="15">
        <f t="shared" si="0"/>
        <v>0.25</v>
      </c>
      <c r="V5" t="str">
        <f t="shared" si="1"/>
        <v> </v>
      </c>
      <c r="W5" s="50" t="str">
        <f t="shared" si="2"/>
        <v> </v>
      </c>
      <c r="X5" s="16" t="str">
        <f t="shared" si="3"/>
        <v> </v>
      </c>
      <c r="Y5" s="16" t="str">
        <f t="shared" si="4"/>
        <v> </v>
      </c>
      <c r="Z5" s="48" t="s">
        <v>388</v>
      </c>
      <c r="AA5" s="52">
        <f>AA3</f>
        <v>58</v>
      </c>
      <c r="AD5" t="s">
        <v>389</v>
      </c>
      <c r="AE5" s="16">
        <f>INT(RIGHT(AD5,2))</f>
        <v>10</v>
      </c>
      <c r="AF5" s="16">
        <f>50/6</f>
        <v>8.3333333333333339</v>
      </c>
      <c r="AH5" s="16">
        <f t="array" ref="AH5:AI5">LINEST(AF5:AF7,AE5:AE7,TRUE,FALSE)</f>
        <v>0.37338187702265374</v>
      </c>
      <c r="AI5" s="16">
        <v>4.6759708737864081</v>
      </c>
    </row>
    <row xmlns:x14ac="http://schemas.microsoft.com/office/spreadsheetml/2009/9/ac" r="6" x14ac:dyDescent="0.35">
      <c r="B6" s="189"/>
      <c r="C6" s="190"/>
      <c r="D6" s="134">
        <v>5</v>
      </c>
      <c r="E6" s="135">
        <v>0.83699999999999997</v>
      </c>
      <c r="F6" s="135">
        <v>0.25</v>
      </c>
      <c r="G6" s="135">
        <v>0.43146600000000002</v>
      </c>
      <c r="H6" s="78">
        <f t="shared" si="5"/>
        <v>13</v>
      </c>
      <c r="I6" s="99" t="str">
        <f t="shared" si="6"/>
        <v> </v>
      </c>
      <c r="J6" s="78"/>
      <c r="K6" s="151" t="s">
        <v>379</v>
      </c>
      <c r="L6" s="151"/>
      <c r="M6" s="78"/>
      <c r="N6" s="78"/>
      <c r="O6" s="78"/>
      <c r="P6" s="78"/>
      <c r="T6" s="49">
        <v>5</v>
      </c>
      <c r="U6" s="15">
        <f t="shared" si="0"/>
        <v>0.3125</v>
      </c>
      <c r="V6" t="str">
        <f t="shared" si="1"/>
        <v> </v>
      </c>
      <c r="W6" s="50" t="str">
        <f t="shared" si="2"/>
        <v> </v>
      </c>
      <c r="X6" s="16" t="str">
        <f t="shared" si="3"/>
        <v> </v>
      </c>
      <c r="Y6" s="16" t="str">
        <f t="shared" si="4"/>
        <v> </v>
      </c>
      <c r="AD6" t="s">
        <v>390</v>
      </c>
      <c r="AE6" s="16">
        <f t="shared" ref="AE6:AE11" si="7">INT(RIGHT(AD6,2))</f>
        <v>12</v>
      </c>
      <c r="AF6" s="16">
        <f>37/4</f>
        <v>9.25</v>
      </c>
      <c r="AH6" s="16"/>
      <c r="AI6" s="16"/>
    </row>
    <row xmlns:x14ac="http://schemas.microsoft.com/office/spreadsheetml/2009/9/ac" r="7" x14ac:dyDescent="0.35">
      <c r="B7" s="189"/>
      <c r="C7" s="190"/>
      <c r="D7" s="129">
        <v>6</v>
      </c>
      <c r="E7" s="137">
        <f>coqueWallThickness+0.124</f>
        <v>1.038803149606299</v>
      </c>
      <c r="F7" s="136">
        <v>0.25</v>
      </c>
      <c r="G7" s="136"/>
      <c r="H7" s="78">
        <f t="shared" si="5"/>
        <v>16</v>
      </c>
      <c r="I7" s="99">
        <f t="shared" si="6"/>
        <v>3.8803149606299048E-2</v>
      </c>
      <c r="J7" s="78" t="s">
        <v>391</v>
      </c>
      <c r="K7" s="151" t="s">
        <v>392</v>
      </c>
      <c r="L7" s="151">
        <v>13</v>
      </c>
      <c r="M7" s="78"/>
      <c r="N7" s="78"/>
      <c r="O7" s="78"/>
      <c r="P7" s="78"/>
      <c r="T7" s="49">
        <v>6</v>
      </c>
      <c r="U7" s="15">
        <f t="shared" si="0"/>
        <v>0.375</v>
      </c>
      <c r="V7" t="str">
        <f t="shared" si="1"/>
        <v> </v>
      </c>
      <c r="W7" s="50" t="str">
        <f t="shared" si="2"/>
        <v> </v>
      </c>
      <c r="X7" s="16" t="str">
        <f t="shared" si="3"/>
        <v> </v>
      </c>
      <c r="Y7" s="16" t="str">
        <f t="shared" si="4"/>
        <v> </v>
      </c>
      <c r="AD7" t="s">
        <v>393</v>
      </c>
      <c r="AE7" s="16">
        <f t="shared" si="7"/>
        <v>21</v>
      </c>
      <c r="AF7" s="16">
        <f>25/2</f>
        <v>12.5</v>
      </c>
      <c r="AH7" s="16"/>
      <c r="AI7" s="16"/>
    </row>
    <row xmlns:x14ac="http://schemas.microsoft.com/office/spreadsheetml/2009/9/ac" r="8" x14ac:dyDescent="0.35">
      <c r="B8" s="189"/>
      <c r="C8" s="190"/>
      <c r="D8" s="134">
        <v>7</v>
      </c>
      <c r="E8" s="138">
        <f>coqueWallThickness+0.124</f>
        <v>1.038803149606299</v>
      </c>
      <c r="F8" s="135">
        <v>0.25</v>
      </c>
      <c r="G8" s="135"/>
      <c r="H8" s="78">
        <f t="shared" si="5"/>
        <v>16</v>
      </c>
      <c r="I8" s="99">
        <f t="shared" si="6"/>
        <v>3.8803149606299048E-2</v>
      </c>
      <c r="J8" s="78" t="s">
        <v>391</v>
      </c>
      <c r="K8" s="151" t="s">
        <v>392</v>
      </c>
      <c r="L8" s="151">
        <v>13</v>
      </c>
      <c r="M8" s="78"/>
      <c r="N8" s="78"/>
      <c r="O8" s="78"/>
      <c r="P8" s="78"/>
      <c r="T8" s="49">
        <v>7</v>
      </c>
      <c r="U8" s="15">
        <f t="shared" si="0"/>
        <v>0.4375</v>
      </c>
      <c r="V8" t="str">
        <f t="shared" si="1"/>
        <v> </v>
      </c>
      <c r="W8" s="50" t="str">
        <f t="shared" si="2"/>
        <v> </v>
      </c>
      <c r="X8" s="16" t="str">
        <f t="shared" si="3"/>
        <v> </v>
      </c>
      <c r="Y8" s="16" t="str">
        <f t="shared" si="4"/>
        <v> </v>
      </c>
      <c r="AE8" s="16"/>
      <c r="AF8" s="16"/>
      <c r="AH8" s="16"/>
      <c r="AI8" s="16"/>
    </row>
    <row xmlns:x14ac="http://schemas.microsoft.com/office/spreadsheetml/2009/9/ac" r="9" ht="15" thickBot="true" x14ac:dyDescent="0.4">
      <c r="B9" s="184"/>
      <c r="C9" s="190"/>
      <c r="D9" s="129">
        <v>8</v>
      </c>
      <c r="E9" s="137">
        <f>coqueWallThickness+0.124</f>
        <v>1.038803149606299</v>
      </c>
      <c r="F9" s="136">
        <v>0.25</v>
      </c>
      <c r="G9" s="136"/>
      <c r="H9" s="78">
        <f t="shared" si="5"/>
        <v>16</v>
      </c>
      <c r="I9" s="99">
        <f t="shared" si="6"/>
        <v>3.8803149606299048E-2</v>
      </c>
      <c r="J9" s="78" t="s">
        <v>391</v>
      </c>
      <c r="K9" s="151" t="s">
        <v>392</v>
      </c>
      <c r="L9" s="151">
        <v>13</v>
      </c>
      <c r="M9" s="78"/>
      <c r="N9" s="78"/>
      <c r="O9" s="78"/>
      <c r="P9" s="78"/>
      <c r="T9" s="49">
        <v>8</v>
      </c>
      <c r="U9" s="15">
        <f t="shared" si="0"/>
        <v>0.5</v>
      </c>
      <c r="V9">
        <f t="shared" si="1"/>
        <v>4</v>
      </c>
      <c r="W9" s="50" t="str">
        <f t="shared" si="2"/>
        <v> </v>
      </c>
      <c r="X9" s="16">
        <f t="shared" si="3"/>
        <v>20.2</v>
      </c>
      <c r="Y9" s="16" t="str">
        <f t="shared" si="4"/>
        <v> </v>
      </c>
      <c r="AD9" t="s">
        <v>394</v>
      </c>
      <c r="AE9" s="16">
        <f t="shared" si="7"/>
        <v>16</v>
      </c>
      <c r="AF9" s="16">
        <f>24/4</f>
        <v>6</v>
      </c>
      <c r="AH9" s="16">
        <f t="array" ref="AH9:AI9">LINEST(AF9:AF11,AE9:AE11,TRUE,FALSE)</f>
        <v>0.23214285714285715</v>
      </c>
      <c r="AI9" s="16">
        <v>2.3928571428571432</v>
      </c>
    </row>
    <row xmlns:x14ac="http://schemas.microsoft.com/office/spreadsheetml/2009/9/ac" r="10" x14ac:dyDescent="0.35">
      <c r="B10" s="183" t="s">
        <v>395</v>
      </c>
      <c r="C10" s="190" t="e" vm="2">
        <v>#VALUE!</v>
      </c>
      <c r="D10" s="134">
        <v>9</v>
      </c>
      <c r="E10" s="138">
        <f>coqueWallThickness+0.21</f>
        <v>1.1248031496062991</v>
      </c>
      <c r="F10" s="135">
        <v>0.25</v>
      </c>
      <c r="G10" s="135"/>
      <c r="H10" s="78">
        <f t="shared" si="5"/>
        <v>17</v>
      </c>
      <c r="I10" s="99">
        <f t="shared" si="6"/>
        <v>6.2303149606299124E-2</v>
      </c>
      <c r="J10" s="78" t="s">
        <v>259</v>
      </c>
      <c r="K10" s="151" t="s">
        <v>392</v>
      </c>
      <c r="L10" s="151"/>
      <c r="M10" s="78"/>
      <c r="N10" s="78"/>
      <c r="O10" s="78"/>
      <c r="P10" s="78"/>
      <c r="T10" s="49">
        <v>9</v>
      </c>
      <c r="U10" s="15">
        <f t="shared" si="0"/>
        <v>0.5625</v>
      </c>
      <c r="V10">
        <f t="shared" si="1"/>
        <v>2</v>
      </c>
      <c r="W10" s="50" t="str">
        <f t="shared" si="2"/>
        <v> </v>
      </c>
      <c r="X10" s="16">
        <f t="shared" si="3"/>
        <v>10.564285714285715</v>
      </c>
      <c r="Y10" s="16" t="str">
        <f t="shared" si="4"/>
        <v> </v>
      </c>
      <c r="AD10" t="s">
        <v>396</v>
      </c>
      <c r="AE10" s="16">
        <f t="shared" si="7"/>
        <v>17</v>
      </c>
      <c r="AF10" s="16">
        <f>13/2</f>
        <v>6.5</v>
      </c>
    </row>
    <row xmlns:x14ac="http://schemas.microsoft.com/office/spreadsheetml/2009/9/ac" r="11" x14ac:dyDescent="0.35">
      <c r="B11" s="189"/>
      <c r="C11" s="190"/>
      <c r="D11" s="139">
        <v>10</v>
      </c>
      <c r="E11" s="140">
        <v>1.0070699999999999</v>
      </c>
      <c r="F11" s="141">
        <v>0.191</v>
      </c>
      <c r="G11" s="141">
        <v>0.60707299999999997</v>
      </c>
      <c r="H11" s="111">
        <f t="shared" si="5"/>
        <v>16</v>
      </c>
      <c r="I11" s="99" t="str">
        <f t="shared" si="6"/>
        <v> </v>
      </c>
      <c r="J11" s="142" t="s">
        <v>397</v>
      </c>
      <c r="K11" s="151"/>
      <c r="L11" s="151"/>
      <c r="M11" s="78"/>
      <c r="N11" s="78"/>
      <c r="O11" s="78"/>
      <c r="P11" s="78"/>
      <c r="T11" s="49">
        <v>10</v>
      </c>
      <c r="U11" s="15">
        <f t="shared" si="0"/>
        <v>0.625</v>
      </c>
      <c r="V11">
        <f t="shared" si="1"/>
        <v>12</v>
      </c>
      <c r="W11" s="50" t="str">
        <f t="shared" si="2"/>
        <v> </v>
      </c>
      <c r="X11" s="16">
        <f t="shared" si="3"/>
        <v>66.171428571428578</v>
      </c>
      <c r="Y11" s="16" t="str">
        <f t="shared" si="4"/>
        <v> </v>
      </c>
      <c r="AD11" t="s">
        <v>398</v>
      </c>
      <c r="AE11" s="16">
        <f t="shared" si="7"/>
        <v>19</v>
      </c>
      <c r="AF11" s="16">
        <f>27/4</f>
        <v>6.75</v>
      </c>
    </row>
    <row xmlns:x14ac="http://schemas.microsoft.com/office/spreadsheetml/2009/9/ac" r="12" x14ac:dyDescent="0.35">
      <c r="B12" s="189"/>
      <c r="C12" s="190"/>
      <c r="D12" s="139">
        <v>11</v>
      </c>
      <c r="E12" s="140">
        <v>1.0070699999999999</v>
      </c>
      <c r="F12" s="141">
        <v>0.191</v>
      </c>
      <c r="G12" s="141">
        <v>0.60707299999999997</v>
      </c>
      <c r="H12" s="111">
        <f t="shared" si="5"/>
        <v>16</v>
      </c>
      <c r="I12" s="99" t="str">
        <f t="shared" si="6"/>
        <v> </v>
      </c>
      <c r="J12" s="142" t="s">
        <v>397</v>
      </c>
      <c r="K12" s="151"/>
      <c r="L12" s="151"/>
      <c r="M12" s="78"/>
      <c r="N12" s="78"/>
      <c r="O12" s="78"/>
      <c r="P12" s="78"/>
      <c r="T12" s="49">
        <v>11</v>
      </c>
      <c r="U12" s="15">
        <f t="shared" si="0"/>
        <v>0.6875</v>
      </c>
      <c r="V12">
        <f t="shared" si="1"/>
        <v>4</v>
      </c>
      <c r="W12" s="50" t="str">
        <f t="shared" si="2"/>
        <v> </v>
      </c>
      <c r="X12" s="16">
        <f t="shared" si="3"/>
        <v>22.985714285714288</v>
      </c>
      <c r="Y12" s="16" t="str">
        <f t="shared" si="4"/>
        <v> </v>
      </c>
    </row>
    <row xmlns:x14ac="http://schemas.microsoft.com/office/spreadsheetml/2009/9/ac" r="13" x14ac:dyDescent="0.35">
      <c r="B13" s="189"/>
      <c r="C13" s="190"/>
      <c r="D13" s="129">
        <v>12</v>
      </c>
      <c r="E13" s="136">
        <f>coqueWallThickness+0.21</f>
        <v>1.1248031496062991</v>
      </c>
      <c r="F13" s="136">
        <v>0.25</v>
      </c>
      <c r="G13" s="136"/>
      <c r="H13" s="78">
        <f t="shared" si="5"/>
        <v>17</v>
      </c>
      <c r="I13" s="99">
        <f t="shared" si="6"/>
        <v>6.2303149606299124E-2</v>
      </c>
      <c r="J13" s="78" t="s">
        <v>259</v>
      </c>
      <c r="K13" s="151" t="s">
        <v>392</v>
      </c>
      <c r="L13" s="151"/>
      <c r="M13" s="78"/>
      <c r="N13" s="78"/>
      <c r="O13" s="78"/>
      <c r="P13" s="78"/>
      <c r="T13" s="49">
        <v>12</v>
      </c>
      <c r="U13" s="15">
        <f t="shared" si="0"/>
        <v>0.75</v>
      </c>
      <c r="V13">
        <f t="shared" si="1"/>
        <v>4</v>
      </c>
      <c r="W13" s="50">
        <f t="shared" si="2"/>
        <v>2</v>
      </c>
      <c r="X13" s="16">
        <f t="shared" si="3"/>
        <v>23.914285714285715</v>
      </c>
      <c r="Y13" s="16">
        <f t="shared" si="4"/>
        <v>12.712014563106795</v>
      </c>
    </row>
    <row xmlns:x14ac="http://schemas.microsoft.com/office/spreadsheetml/2009/9/ac" r="14" x14ac:dyDescent="0.35">
      <c r="B14" s="189"/>
      <c r="C14" s="190"/>
      <c r="D14" s="134">
        <v>13</v>
      </c>
      <c r="E14" s="135">
        <f>coqueWallThickness+0.24</f>
        <v>1.1548031496062992</v>
      </c>
      <c r="F14" s="135">
        <v>0.25</v>
      </c>
      <c r="G14" s="135"/>
      <c r="H14" s="78">
        <f t="shared" si="5"/>
        <v>18</v>
      </c>
      <c r="I14" s="99" t="str">
        <f t="shared" si="6"/>
        <v> </v>
      </c>
      <c r="J14" s="78" t="s">
        <v>257</v>
      </c>
      <c r="K14" s="151" t="s">
        <v>392</v>
      </c>
      <c r="L14" s="151"/>
      <c r="M14" s="78"/>
      <c r="N14" s="78"/>
      <c r="O14" s="78"/>
      <c r="P14" s="78"/>
      <c r="T14" s="49">
        <v>13</v>
      </c>
      <c r="U14" s="15">
        <f t="shared" si="0"/>
        <v>0.8125</v>
      </c>
      <c r="V14">
        <f t="shared" si="1"/>
        <v>8</v>
      </c>
      <c r="W14" s="50">
        <f t="shared" si="2"/>
        <v>2</v>
      </c>
      <c r="X14" s="16">
        <f t="shared" si="3"/>
        <v>49.68571428571429</v>
      </c>
      <c r="Y14" s="16">
        <f t="shared" si="4"/>
        <v>12.758687297734628</v>
      </c>
    </row>
    <row xmlns:x14ac="http://schemas.microsoft.com/office/spreadsheetml/2009/9/ac" r="15" x14ac:dyDescent="0.35">
      <c r="B15" s="189"/>
      <c r="C15" s="190"/>
      <c r="D15" s="129">
        <v>14</v>
      </c>
      <c r="E15" s="136">
        <v>0.8</v>
      </c>
      <c r="F15" s="136">
        <v>0.191</v>
      </c>
      <c r="G15" s="136">
        <v>0.5</v>
      </c>
      <c r="H15" s="111">
        <f t="shared" si="5"/>
        <v>12</v>
      </c>
      <c r="I15" s="99">
        <f t="shared" si="6"/>
        <v>5.0000000000000044E-2</v>
      </c>
      <c r="J15" s="78" t="s">
        <v>399</v>
      </c>
      <c r="K15" s="151" t="s">
        <v>379</v>
      </c>
      <c r="L15" s="151"/>
      <c r="M15" s="78"/>
      <c r="N15" s="78"/>
      <c r="O15" s="78"/>
      <c r="P15" s="78"/>
      <c r="T15" s="49">
        <v>14</v>
      </c>
      <c r="U15" s="15">
        <f t="shared" si="0"/>
        <v>0.875</v>
      </c>
      <c r="V15">
        <f t="shared" si="1"/>
        <v>6</v>
      </c>
      <c r="W15" s="50" t="str">
        <f t="shared" si="2"/>
        <v> </v>
      </c>
      <c r="X15" s="16">
        <f t="shared" si="3"/>
        <v>38.657142857142858</v>
      </c>
      <c r="Y15" s="16" t="str">
        <f t="shared" si="4"/>
        <v> </v>
      </c>
    </row>
    <row xmlns:x14ac="http://schemas.microsoft.com/office/spreadsheetml/2009/9/ac" r="16" ht="15" thickBot="true" x14ac:dyDescent="0.4">
      <c r="B16" s="184"/>
      <c r="C16" s="190"/>
      <c r="D16" s="134">
        <v>15</v>
      </c>
      <c r="E16" s="138">
        <f>coqueWallThickness+0.228</f>
        <v>1.1428031496062991</v>
      </c>
      <c r="F16" s="135">
        <v>0.25</v>
      </c>
      <c r="G16" s="135"/>
      <c r="H16" s="78">
        <f t="shared" si="5"/>
        <v>18</v>
      </c>
      <c r="I16" s="99" t="str">
        <f t="shared" si="6"/>
        <v> </v>
      </c>
      <c r="J16" s="78" t="s">
        <v>257</v>
      </c>
      <c r="K16" s="151" t="s">
        <v>392</v>
      </c>
      <c r="L16" s="151"/>
      <c r="M16" s="78"/>
      <c r="N16" s="78"/>
      <c r="O16" s="78"/>
      <c r="P16" s="78"/>
      <c r="T16" s="49">
        <v>15</v>
      </c>
      <c r="U16" s="15">
        <f t="shared" si="0"/>
        <v>0.9375</v>
      </c>
      <c r="V16" t="str">
        <f t="shared" si="1"/>
        <v> </v>
      </c>
      <c r="W16" s="50" t="str">
        <f t="shared" si="2"/>
        <v> </v>
      </c>
      <c r="X16" s="16" t="str">
        <f t="shared" si="3"/>
        <v> </v>
      </c>
      <c r="Y16" s="16" t="str">
        <f t="shared" si="4"/>
        <v> </v>
      </c>
    </row>
    <row xmlns:x14ac="http://schemas.microsoft.com/office/spreadsheetml/2009/9/ac" r="17" x14ac:dyDescent="0.35">
      <c r="B17" s="183" t="s">
        <v>400</v>
      </c>
      <c r="C17" s="190" t="e" vm="3">
        <v>#VALUE!</v>
      </c>
      <c r="D17" s="129">
        <v>16</v>
      </c>
      <c r="E17" s="137">
        <f>coqueWallThickness+0.165</f>
        <v>1.0798031496062992</v>
      </c>
      <c r="F17" s="136">
        <v>0.25</v>
      </c>
      <c r="G17" s="136"/>
      <c r="H17" s="78">
        <f t="shared" si="5"/>
        <v>17</v>
      </c>
      <c r="I17" s="99" t="str">
        <f t="shared" si="6"/>
        <v> </v>
      </c>
      <c r="J17" s="78" t="s">
        <v>258</v>
      </c>
      <c r="K17" s="151" t="s">
        <v>392</v>
      </c>
      <c r="L17" s="151">
        <v>17</v>
      </c>
      <c r="M17" s="78"/>
      <c r="N17" s="78"/>
      <c r="O17" s="78"/>
      <c r="P17" s="78"/>
      <c r="T17" s="49">
        <v>16</v>
      </c>
      <c r="U17" s="15">
        <f t="shared" si="0"/>
        <v>1</v>
      </c>
      <c r="V17">
        <f t="shared" si="1"/>
        <v>4</v>
      </c>
      <c r="W17" s="50">
        <f t="shared" si="2"/>
        <v>20</v>
      </c>
      <c r="X17" s="16">
        <f t="shared" si="3"/>
        <v>27.62857142857143</v>
      </c>
      <c r="Y17" s="16">
        <f t="shared" si="4"/>
        <v>128.98705501618124</v>
      </c>
      <c r="AB17" s="16"/>
    </row>
    <row xmlns:x14ac="http://schemas.microsoft.com/office/spreadsheetml/2009/9/ac" r="18" x14ac:dyDescent="0.35">
      <c r="B18" s="189"/>
      <c r="C18" s="190"/>
      <c r="D18" s="134">
        <v>17</v>
      </c>
      <c r="E18" s="135">
        <v>0.82</v>
      </c>
      <c r="F18" s="135">
        <v>0.191</v>
      </c>
      <c r="G18" s="135">
        <v>0.5</v>
      </c>
      <c r="H18" s="78">
        <f t="shared" si="5"/>
        <v>13</v>
      </c>
      <c r="I18" s="99" t="str">
        <f t="shared" si="6"/>
        <v> </v>
      </c>
      <c r="J18" s="78" t="s">
        <v>258</v>
      </c>
      <c r="K18" s="151" t="s">
        <v>379</v>
      </c>
      <c r="L18" s="151"/>
      <c r="M18" s="78"/>
      <c r="N18" s="78"/>
      <c r="O18" s="78"/>
      <c r="P18" s="78"/>
      <c r="T18" s="49">
        <v>17</v>
      </c>
      <c r="U18" s="15">
        <f t="shared" si="0"/>
        <v>1.0625</v>
      </c>
      <c r="V18" t="str">
        <f t="shared" si="1"/>
        <v> </v>
      </c>
      <c r="W18" s="50">
        <f t="shared" si="2"/>
        <v>26</v>
      </c>
      <c r="X18" s="16" t="str">
        <f t="shared" si="3"/>
        <v> </v>
      </c>
      <c r="Y18" s="16">
        <f t="shared" si="4"/>
        <v>168.28991707119741</v>
      </c>
    </row>
    <row xmlns:x14ac="http://schemas.microsoft.com/office/spreadsheetml/2009/9/ac" r="19" x14ac:dyDescent="0.35">
      <c r="B19" s="189"/>
      <c r="C19" s="190"/>
      <c r="D19" s="129">
        <v>18</v>
      </c>
      <c r="E19" s="137">
        <f>coqueWallThickness+0.165</f>
        <v>1.0798031496062992</v>
      </c>
      <c r="F19" s="136">
        <v>0.25</v>
      </c>
      <c r="G19" s="136"/>
      <c r="H19" s="78">
        <f t="shared" si="5"/>
        <v>17</v>
      </c>
      <c r="I19" s="99" t="str">
        <f t="shared" si="6"/>
        <v> </v>
      </c>
      <c r="J19" s="78" t="s">
        <v>258</v>
      </c>
      <c r="K19" s="151" t="s">
        <v>392</v>
      </c>
      <c r="L19" s="151">
        <v>17</v>
      </c>
      <c r="M19" s="78"/>
      <c r="N19" s="78"/>
      <c r="O19" s="78"/>
      <c r="P19" s="78"/>
      <c r="T19" s="49">
        <v>18</v>
      </c>
      <c r="U19" s="15">
        <f t="shared" si="0"/>
        <v>1.125</v>
      </c>
      <c r="V19" t="str">
        <f t="shared" si="1"/>
        <v> </v>
      </c>
      <c r="W19" s="50">
        <f t="shared" si="2"/>
        <v>8</v>
      </c>
      <c r="X19" s="16" t="str">
        <f t="shared" si="3"/>
        <v> </v>
      </c>
      <c r="Y19" s="16">
        <f t="shared" si="4"/>
        <v>51.96820388349515</v>
      </c>
    </row>
    <row xmlns:x14ac="http://schemas.microsoft.com/office/spreadsheetml/2009/9/ac" r="20" x14ac:dyDescent="0.35">
      <c r="B20" s="189"/>
      <c r="C20" s="190"/>
      <c r="D20" s="134">
        <v>19</v>
      </c>
      <c r="E20" s="138">
        <f>coqueWallThickness+0.168</f>
        <v>1.0828031496062991</v>
      </c>
      <c r="F20" s="135">
        <v>0.25</v>
      </c>
      <c r="G20" s="135"/>
      <c r="H20" s="78">
        <f t="shared" si="5"/>
        <v>17</v>
      </c>
      <c r="I20" s="99" t="str">
        <f t="shared" si="6"/>
        <v> </v>
      </c>
      <c r="J20" s="78" t="s">
        <v>254</v>
      </c>
      <c r="K20" s="151" t="s">
        <v>392</v>
      </c>
      <c r="L20" s="151">
        <v>17</v>
      </c>
      <c r="M20" s="78"/>
      <c r="N20" s="78"/>
      <c r="O20" s="78"/>
      <c r="P20" s="78"/>
      <c r="T20" s="49">
        <v>19</v>
      </c>
      <c r="U20" s="15">
        <f t="shared" si="0"/>
        <v>1.1875</v>
      </c>
      <c r="V20" t="str">
        <f t="shared" si="1"/>
        <v> </v>
      </c>
      <c r="W20" s="50" t="str">
        <f t="shared" si="2"/>
        <v> </v>
      </c>
      <c r="X20" s="16" t="str">
        <f t="shared" si="3"/>
        <v> </v>
      </c>
      <c r="Y20" s="16" t="str">
        <f t="shared" si="4"/>
        <v> </v>
      </c>
    </row>
    <row xmlns:x14ac="http://schemas.microsoft.com/office/spreadsheetml/2009/9/ac" r="21" x14ac:dyDescent="0.35">
      <c r="B21" s="189"/>
      <c r="C21" s="190"/>
      <c r="D21" s="129">
        <v>20</v>
      </c>
      <c r="E21" s="137">
        <f>coqueWallThickness+0.168</f>
        <v>1.0828031496062991</v>
      </c>
      <c r="F21" s="136">
        <v>0.25</v>
      </c>
      <c r="G21" s="136"/>
      <c r="H21" s="78">
        <f t="shared" si="5"/>
        <v>17</v>
      </c>
      <c r="I21" s="99" t="str">
        <f t="shared" si="6"/>
        <v> </v>
      </c>
      <c r="J21" s="78" t="s">
        <v>254</v>
      </c>
      <c r="K21" s="151" t="s">
        <v>392</v>
      </c>
      <c r="L21" s="151">
        <v>17</v>
      </c>
      <c r="M21" s="78"/>
      <c r="N21" s="78"/>
      <c r="O21" s="78"/>
      <c r="P21" s="78"/>
      <c r="T21" s="49">
        <v>20</v>
      </c>
      <c r="U21" s="15">
        <f t="shared" si="0"/>
        <v>1.25</v>
      </c>
      <c r="V21" t="str">
        <f t="shared" si="1"/>
        <v> </v>
      </c>
      <c r="W21" s="50" t="str">
        <f t="shared" si="2"/>
        <v> </v>
      </c>
      <c r="X21" s="16" t="str">
        <f t="shared" si="3"/>
        <v> </v>
      </c>
      <c r="Y21" s="16" t="str">
        <f t="shared" si="4"/>
        <v> </v>
      </c>
    </row>
    <row xmlns:x14ac="http://schemas.microsoft.com/office/spreadsheetml/2009/9/ac" r="22" x14ac:dyDescent="0.35">
      <c r="B22" s="189"/>
      <c r="C22" s="190"/>
      <c r="D22" s="134">
        <v>21</v>
      </c>
      <c r="E22" s="135">
        <v>0.9</v>
      </c>
      <c r="F22" s="135">
        <v>0.191</v>
      </c>
      <c r="G22" s="135">
        <v>0.5</v>
      </c>
      <c r="H22" s="78">
        <f t="shared" si="5"/>
        <v>14</v>
      </c>
      <c r="I22" s="99" t="str">
        <f t="shared" si="6"/>
        <v> </v>
      </c>
      <c r="J22" s="78" t="s">
        <v>254</v>
      </c>
      <c r="K22" s="151" t="s">
        <v>379</v>
      </c>
      <c r="L22" s="151"/>
      <c r="M22" s="78"/>
      <c r="N22" s="78"/>
      <c r="O22" s="78"/>
      <c r="P22" s="78"/>
      <c r="T22" s="49">
        <v>21</v>
      </c>
      <c r="U22" s="15">
        <f t="shared" si="0"/>
        <v>1.3125</v>
      </c>
      <c r="V22" t="str">
        <f t="shared" si="1"/>
        <v> </v>
      </c>
      <c r="W22" s="50" t="str">
        <f t="shared" si="2"/>
        <v> </v>
      </c>
      <c r="X22" s="16" t="str">
        <f t="shared" si="3"/>
        <v> </v>
      </c>
      <c r="Y22" s="16" t="str">
        <f t="shared" si="4"/>
        <v> </v>
      </c>
    </row>
    <row xmlns:x14ac="http://schemas.microsoft.com/office/spreadsheetml/2009/9/ac" r="23" ht="15" thickBot="true" x14ac:dyDescent="0.4">
      <c r="B23" s="184"/>
      <c r="C23" s="190"/>
      <c r="D23" s="129">
        <v>22</v>
      </c>
      <c r="E23" s="137">
        <f>coqueWallThickness+0.168</f>
        <v>1.0828031496062991</v>
      </c>
      <c r="F23" s="136">
        <v>0.25</v>
      </c>
      <c r="G23" s="136"/>
      <c r="H23" s="78">
        <f t="shared" si="5"/>
        <v>17</v>
      </c>
      <c r="I23" s="99" t="str">
        <f t="shared" si="6"/>
        <v> </v>
      </c>
      <c r="J23" s="78" t="s">
        <v>254</v>
      </c>
      <c r="K23" s="151" t="s">
        <v>392</v>
      </c>
      <c r="L23" s="151">
        <v>17</v>
      </c>
      <c r="M23" s="78"/>
      <c r="N23" s="78"/>
      <c r="O23" s="78"/>
      <c r="P23" s="78"/>
      <c r="T23" s="49">
        <v>22</v>
      </c>
      <c r="U23" s="15">
        <f t="shared" si="0"/>
        <v>1.375</v>
      </c>
      <c r="V23" t="str">
        <f t="shared" si="1"/>
        <v> </v>
      </c>
      <c r="W23" s="50" t="str">
        <f t="shared" si="2"/>
        <v> </v>
      </c>
      <c r="X23" s="16" t="str">
        <f t="shared" si="3"/>
        <v> </v>
      </c>
      <c r="Y23" s="16" t="str">
        <f t="shared" si="4"/>
        <v> </v>
      </c>
    </row>
    <row xmlns:x14ac="http://schemas.microsoft.com/office/spreadsheetml/2009/9/ac" r="24" x14ac:dyDescent="0.35">
      <c r="B24" s="183"/>
      <c r="C24" s="129" t="s">
        <v>401</v>
      </c>
      <c r="D24" s="134">
        <v>23</v>
      </c>
      <c r="E24" s="138">
        <v>0.7</v>
      </c>
      <c r="F24" s="135">
        <v>0.191</v>
      </c>
      <c r="G24" s="135">
        <v>0.04</v>
      </c>
      <c r="H24" s="78">
        <f t="shared" si="5"/>
        <v>11</v>
      </c>
      <c r="I24" s="99" t="str">
        <f t="shared" si="6"/>
        <v> </v>
      </c>
      <c r="J24" s="78"/>
      <c r="K24" s="151" t="s">
        <v>379</v>
      </c>
      <c r="L24" s="151"/>
      <c r="M24" s="78"/>
      <c r="N24" s="78"/>
      <c r="O24" s="78"/>
      <c r="P24" s="78"/>
      <c r="T24" s="49">
        <v>23</v>
      </c>
      <c r="U24" s="15">
        <f t="shared" si="0"/>
        <v>1.4375</v>
      </c>
      <c r="V24" t="str">
        <f t="shared" si="1"/>
        <v> </v>
      </c>
      <c r="W24" s="50" t="str">
        <f t="shared" si="2"/>
        <v> </v>
      </c>
      <c r="X24" s="16" t="str">
        <f t="shared" si="3"/>
        <v> </v>
      </c>
      <c r="Y24" s="16" t="str">
        <f t="shared" si="4"/>
        <v> </v>
      </c>
    </row>
    <row xmlns:x14ac="http://schemas.microsoft.com/office/spreadsheetml/2009/9/ac" r="25" ht="15" thickBot="true" x14ac:dyDescent="0.4">
      <c r="B25" s="184"/>
      <c r="C25" s="129" t="s">
        <v>402</v>
      </c>
      <c r="D25" s="129">
        <v>24</v>
      </c>
      <c r="E25" s="137">
        <v>0.625</v>
      </c>
      <c r="F25" s="136">
        <v>0.191</v>
      </c>
      <c r="G25" s="136">
        <v>0.04</v>
      </c>
      <c r="H25" s="78">
        <f t="shared" si="5"/>
        <v>10</v>
      </c>
      <c r="I25" s="99" t="str">
        <f t="shared" si="6"/>
        <v> </v>
      </c>
      <c r="J25" s="78"/>
      <c r="K25" s="151" t="s">
        <v>379</v>
      </c>
      <c r="L25" s="151"/>
      <c r="M25" s="78"/>
      <c r="N25" s="78"/>
      <c r="O25" s="78"/>
      <c r="P25" s="78"/>
      <c r="T25" s="49">
        <v>24</v>
      </c>
      <c r="U25" s="15">
        <f t="shared" si="0"/>
        <v>1.5</v>
      </c>
      <c r="V25" t="str">
        <f t="shared" si="1"/>
        <v> </v>
      </c>
      <c r="W25" s="50" t="str">
        <f t="shared" si="2"/>
        <v> </v>
      </c>
      <c r="X25" s="16" t="str">
        <f t="shared" si="3"/>
        <v> </v>
      </c>
      <c r="Y25" s="16" t="str">
        <f t="shared" si="4"/>
        <v> </v>
      </c>
    </row>
    <row xmlns:x14ac="http://schemas.microsoft.com/office/spreadsheetml/2009/9/ac" r="26" ht="15" thickBot="true" x14ac:dyDescent="0.4">
      <c r="B26" s="152"/>
      <c r="C26" s="129"/>
      <c r="D26" s="129"/>
      <c r="E26" s="137"/>
      <c r="F26" s="136"/>
      <c r="G26" s="136"/>
      <c r="H26" s="78"/>
      <c r="I26" s="99"/>
      <c r="J26" s="78"/>
      <c r="K26" s="151"/>
      <c r="L26" s="151"/>
      <c r="M26" s="78"/>
      <c r="N26" s="78"/>
      <c r="O26" s="78"/>
      <c r="P26" s="78"/>
      <c r="T26" s="49"/>
      <c r="U26" s="15"/>
      <c r="W26" s="50"/>
      <c r="X26" s="16"/>
      <c r="Y26" s="16"/>
    </row>
    <row xmlns:x14ac="http://schemas.microsoft.com/office/spreadsheetml/2009/9/ac" r="27" x14ac:dyDescent="0.35">
      <c r="B27" s="183" t="s">
        <v>403</v>
      </c>
      <c r="C27" s="190" t="e" vm="4">
        <v>#VALUE!</v>
      </c>
      <c r="D27" s="134">
        <v>50</v>
      </c>
      <c r="E27" s="138">
        <v>1.1399999999999999</v>
      </c>
      <c r="F27" s="135">
        <v>0.25</v>
      </c>
      <c r="G27" s="135">
        <v>1.1671739999999999</v>
      </c>
      <c r="H27" s="78">
        <f>VLOOKUP(E27/0.0625,AN_DashTable,1,TRUE)</f>
        <v>18</v>
      </c>
      <c r="I27" s="99" t="str">
        <f>IF(E27-VLOOKUP(H27,AN_DashTable,2,FALSE)-0.032&lt;0," ",E27-VLOOKUP(H27,AN_DashTable,2,FALSE))</f>
        <v> </v>
      </c>
      <c r="J27" s="78"/>
      <c r="K27" s="151" t="s">
        <v>379</v>
      </c>
      <c r="L27" s="151"/>
      <c r="M27" s="78"/>
      <c r="N27" s="78"/>
      <c r="O27" s="78"/>
      <c r="P27" s="78"/>
      <c r="T27" s="49">
        <v>25</v>
      </c>
      <c r="U27" s="15">
        <f t="shared" ref="U27:U28" si="8">T27/16</f>
        <v>1.5625</v>
      </c>
      <c r="V27" t="str">
        <f t="shared" si="1"/>
        <v> </v>
      </c>
      <c r="W27" s="50" t="str">
        <f t="shared" si="2"/>
        <v> </v>
      </c>
      <c r="X27" s="16" t="str">
        <f t="shared" si="3"/>
        <v> </v>
      </c>
      <c r="Y27" s="16" t="str">
        <f t="shared" si="4"/>
        <v> </v>
      </c>
    </row>
    <row xmlns:x14ac="http://schemas.microsoft.com/office/spreadsheetml/2009/9/ac" r="28" ht="15" thickBot="true" x14ac:dyDescent="0.4">
      <c r="B28" s="189"/>
      <c r="C28" s="190"/>
      <c r="D28" s="129">
        <v>51</v>
      </c>
      <c r="E28" s="137">
        <v>0.57999999999999996</v>
      </c>
      <c r="F28" s="136">
        <v>0.191</v>
      </c>
      <c r="G28" s="136">
        <v>0.4</v>
      </c>
      <c r="H28" s="78">
        <f>VLOOKUP(E28/0.0625,AN_DashTable,1,TRUE)</f>
        <v>9</v>
      </c>
      <c r="I28" s="99" t="str">
        <f>IF(E28-VLOOKUP(H28,AN_DashTable,2,FALSE)-0.032&lt;0," ",E28-VLOOKUP(H28,AN_DashTable,2,FALSE))</f>
        <v> </v>
      </c>
      <c r="J28" s="78"/>
      <c r="K28" s="151" t="s">
        <v>379</v>
      </c>
      <c r="L28" s="151"/>
      <c r="M28" s="78"/>
      <c r="N28" s="78"/>
      <c r="O28" s="78"/>
      <c r="P28" s="78"/>
      <c r="T28" s="48">
        <v>26</v>
      </c>
      <c r="U28" s="121">
        <f t="shared" si="8"/>
        <v>1.625</v>
      </c>
      <c r="V28" s="20">
        <f t="shared" si="1"/>
        <v>4</v>
      </c>
      <c r="W28" s="52" t="str">
        <f t="shared" si="2"/>
        <v> </v>
      </c>
      <c r="X28" s="16">
        <f t="shared" si="3"/>
        <v>36.914285714285718</v>
      </c>
      <c r="Y28" s="16" t="str">
        <f t="shared" si="4"/>
        <v> </v>
      </c>
    </row>
    <row xmlns:x14ac="http://schemas.microsoft.com/office/spreadsheetml/2009/9/ac" r="29" x14ac:dyDescent="0.35">
      <c r="B29" s="189"/>
      <c r="C29" s="190"/>
      <c r="D29" s="134">
        <v>52</v>
      </c>
      <c r="E29" s="135">
        <v>0.67210999999999999</v>
      </c>
      <c r="F29" s="135">
        <v>0.191</v>
      </c>
      <c r="G29" s="135">
        <v>0.5</v>
      </c>
      <c r="H29" s="78">
        <f>VLOOKUP(E29/0.0625,AN_DashTable,1,TRUE)</f>
        <v>10</v>
      </c>
      <c r="I29" s="99">
        <f>IF(E29-VLOOKUP(H29,AN_DashTable,2,FALSE)-0.032&lt;0," ",E29-VLOOKUP(H29,AN_DashTable,2,FALSE))</f>
        <v>4.7109999999999985E-2</v>
      </c>
      <c r="J29" s="78"/>
      <c r="K29" s="151" t="s">
        <v>379</v>
      </c>
      <c r="L29" s="151"/>
      <c r="M29" s="78"/>
      <c r="N29" s="78"/>
      <c r="O29" s="78"/>
      <c r="P29" s="78"/>
    </row>
    <row xmlns:x14ac="http://schemas.microsoft.com/office/spreadsheetml/2009/9/ac" r="30" ht="15" thickBot="true" x14ac:dyDescent="0.4">
      <c r="B30" s="184"/>
      <c r="C30" s="190"/>
      <c r="D30" s="129">
        <v>53</v>
      </c>
      <c r="E30" s="137">
        <v>1.0136099999999999</v>
      </c>
      <c r="F30" s="136">
        <v>0.25</v>
      </c>
      <c r="G30" s="136">
        <v>0.93612799999999996</v>
      </c>
      <c r="H30" s="78">
        <f>VLOOKUP(E30/0.0625,AN_DashTable,1,TRUE)</f>
        <v>16</v>
      </c>
      <c r="I30" s="99" t="str">
        <f>IF(E30-VLOOKUP(H30,AN_DashTable,2,FALSE)-0.032&lt;0," ",E30-VLOOKUP(H30,AN_DashTable,2,FALSE))</f>
        <v> </v>
      </c>
      <c r="J30" s="78"/>
      <c r="K30" s="151" t="s">
        <v>379</v>
      </c>
      <c r="L30" s="151"/>
      <c r="M30" s="78"/>
      <c r="N30" s="78"/>
      <c r="O30" s="78"/>
      <c r="P30" s="78"/>
      <c r="X30" s="16"/>
      <c r="Y30" s="16"/>
      <c r="Z30" s="31" t="s">
        <v>404</v>
      </c>
      <c r="AB30" s="31" t="s">
        <v>405</v>
      </c>
      <c r="AC30" s="31" t="s">
        <v>406</v>
      </c>
    </row>
    <row xmlns:x14ac="http://schemas.microsoft.com/office/spreadsheetml/2009/9/ac" r="31" ht="48.75" customHeight="true" thickBot="true" x14ac:dyDescent="0.4">
      <c r="B31" s="79"/>
      <c r="C31" s="127"/>
      <c r="D31" s="127" t="s">
        <v>356</v>
      </c>
      <c r="E31" s="127" t="s">
        <v>90</v>
      </c>
      <c r="F31" s="127" t="s">
        <v>357</v>
      </c>
      <c r="G31" s="128" t="s">
        <v>358</v>
      </c>
      <c r="H31" s="128" t="s">
        <v>359</v>
      </c>
      <c r="I31" s="128" t="s">
        <v>360</v>
      </c>
      <c r="J31" s="127" t="s">
        <v>361</v>
      </c>
      <c r="K31" s="127" t="s">
        <v>362</v>
      </c>
      <c r="L31" s="128" t="s">
        <v>363</v>
      </c>
      <c r="M31" s="128" t="s">
        <v>364</v>
      </c>
      <c r="N31" s="128" t="s">
        <v>365</v>
      </c>
      <c r="O31" s="128" t="s">
        <v>366</v>
      </c>
      <c r="P31" s="128" t="s">
        <v>367</v>
      </c>
      <c r="T31" s="122" t="s">
        <v>368</v>
      </c>
      <c r="U31" s="123" t="s">
        <v>369</v>
      </c>
      <c r="V31" s="119" t="s">
        <v>370</v>
      </c>
      <c r="W31" s="120" t="s">
        <v>371</v>
      </c>
      <c r="X31" s="124" t="s">
        <v>372</v>
      </c>
      <c r="Y31" s="124" t="s">
        <v>373</v>
      </c>
      <c r="Z31" s="118" t="s">
        <v>374</v>
      </c>
      <c r="AA31" s="120"/>
      <c r="AD31" t="s">
        <v>375</v>
      </c>
      <c r="AF31" t="s">
        <v>376</v>
      </c>
    </row>
    <row xmlns:x14ac="http://schemas.microsoft.com/office/spreadsheetml/2009/9/ac" r="32" x14ac:dyDescent="0.35">
      <c r="B32" s="185" t="s">
        <v>407</v>
      </c>
      <c r="C32" s="188" t="e" vm="5">
        <v>#VALUE!</v>
      </c>
      <c r="D32" s="144">
        <v>25</v>
      </c>
      <c r="E32" s="145">
        <v>0.55625000000000002</v>
      </c>
      <c r="F32" s="146">
        <v>0.191</v>
      </c>
      <c r="G32" s="146"/>
      <c r="H32" s="78">
        <f>VLOOKUP(E32/0.0625,AN_DashTable,1,TRUE)</f>
        <v>8</v>
      </c>
      <c r="I32" s="99">
        <f t="shared" ref="I32:I56" si="9">IF(E32-VLOOKUP(H32,AN_DashTable,2,FALSE)-0.032&lt;0," ",E32-VLOOKUP(H32,AN_DashTable,2,FALSE))</f>
        <v>5.6250000000000022E-2</v>
      </c>
      <c r="J32" s="78" t="s">
        <v>408</v>
      </c>
      <c r="K32" s="151" t="s">
        <v>392</v>
      </c>
      <c r="L32" s="151"/>
      <c r="M32" s="78"/>
      <c r="N32" s="78"/>
      <c r="O32" s="78"/>
      <c r="P32" s="78"/>
      <c r="X32" s="16">
        <f>SUM(X2:X25)</f>
        <v>259.80714285714288</v>
      </c>
      <c r="Y32" s="16">
        <f>SUM(Y2:Y25)</f>
        <v>374.7158778317152</v>
      </c>
      <c r="Z32" s="16">
        <f>SUM(X32:Y32)</f>
        <v>634.52302068885808</v>
      </c>
      <c r="AA32" s="16"/>
      <c r="AB32" s="16">
        <f t="shared" ref="AB32" si="10">Z32*0.162/0.284</f>
        <v>361.94623011125009</v>
      </c>
      <c r="AC32" s="16">
        <f t="shared" ref="AC32" si="11">Z32-AB32</f>
        <v>272.57679057760799</v>
      </c>
    </row>
    <row xmlns:x14ac="http://schemas.microsoft.com/office/spreadsheetml/2009/9/ac" r="33" x14ac:dyDescent="0.35">
      <c r="B33" s="186"/>
      <c r="C33" s="188"/>
      <c r="D33" s="130">
        <v>26</v>
      </c>
      <c r="E33" s="132">
        <f>0.715*25.4</f>
        <v>18.160999999999998</v>
      </c>
      <c r="F33" s="132">
        <f>25.4*0.236</f>
        <v>5.9943999999999997</v>
      </c>
      <c r="G33" s="132">
        <f>7.95</f>
        <v>7.95</v>
      </c>
      <c r="H33" s="78"/>
      <c r="I33" s="99" t="e">
        <f t="shared" si="9"/>
        <v>#N/A</v>
      </c>
      <c r="J33" s="78" t="s">
        <v>378</v>
      </c>
      <c r="K33" s="151" t="s">
        <v>379</v>
      </c>
      <c r="L33" s="151"/>
      <c r="M33" s="78"/>
      <c r="N33" s="78"/>
      <c r="O33" s="78"/>
      <c r="P33" s="78"/>
      <c r="X33" s="16"/>
      <c r="Y33" s="16"/>
      <c r="Z33" s="16"/>
      <c r="AA33" s="16"/>
      <c r="AB33" s="16"/>
      <c r="AC33" s="16"/>
    </row>
    <row xmlns:x14ac="http://schemas.microsoft.com/office/spreadsheetml/2009/9/ac" r="34" x14ac:dyDescent="0.35">
      <c r="B34" s="186"/>
      <c r="C34" s="188"/>
      <c r="D34" s="144">
        <v>27</v>
      </c>
      <c r="E34" s="145">
        <v>0.51924999999999999</v>
      </c>
      <c r="F34" s="146">
        <v>0.191</v>
      </c>
      <c r="G34" s="146"/>
      <c r="H34" s="78">
        <f>VLOOKUP(E34/0.0625,AN_DashTable,1,TRUE)</f>
        <v>8</v>
      </c>
      <c r="I34" s="99" t="str">
        <f t="shared" si="9"/>
        <v> </v>
      </c>
      <c r="J34" s="78" t="s">
        <v>408</v>
      </c>
      <c r="K34" s="151" t="s">
        <v>392</v>
      </c>
      <c r="L34" s="151"/>
      <c r="M34" s="78"/>
      <c r="N34" s="78"/>
      <c r="O34" s="78"/>
      <c r="P34" s="78"/>
      <c r="W34" s="16" t="s">
        <v>409</v>
      </c>
      <c r="X34" s="16">
        <f t="shared" ref="X34:Y34" si="12">X32/1000*2.2</f>
        <v>0.57157571428571441</v>
      </c>
      <c r="Y34" s="16">
        <f t="shared" si="12"/>
        <v>0.82437493122977357</v>
      </c>
      <c r="Z34" s="16">
        <f>Z32/1000*2.2</f>
        <v>1.395950645515488</v>
      </c>
      <c r="AA34" s="16"/>
      <c r="AB34" s="16">
        <f>Z34*0.162/0.284</f>
        <v>0.79628170624475025</v>
      </c>
      <c r="AC34" s="16">
        <f>Z34-AB34</f>
        <v>0.59966893927073772</v>
      </c>
    </row>
    <row xmlns:x14ac="http://schemas.microsoft.com/office/spreadsheetml/2009/9/ac" r="35" x14ac:dyDescent="0.35">
      <c r="B35" s="186"/>
      <c r="C35" s="188"/>
      <c r="D35" s="133">
        <v>28</v>
      </c>
      <c r="E35" s="132">
        <f>25.4*0.8</f>
        <v>20.32</v>
      </c>
      <c r="F35" s="132">
        <f>25.4*0.236</f>
        <v>5.9943999999999997</v>
      </c>
      <c r="G35" s="132">
        <f>25.4*0.313</f>
        <v>7.9501999999999997</v>
      </c>
      <c r="H35" s="78"/>
      <c r="I35" s="99" t="e">
        <f t="shared" si="9"/>
        <v>#N/A</v>
      </c>
      <c r="J35" s="78" t="s">
        <v>378</v>
      </c>
      <c r="K35" s="151" t="s">
        <v>379</v>
      </c>
      <c r="L35" s="151"/>
      <c r="M35" s="78"/>
      <c r="N35" s="78"/>
      <c r="O35" s="78"/>
      <c r="P35" s="78"/>
    </row>
    <row xmlns:x14ac="http://schemas.microsoft.com/office/spreadsheetml/2009/9/ac" r="36" x14ac:dyDescent="0.35">
      <c r="B36" s="186"/>
      <c r="C36" s="188"/>
      <c r="D36" s="144">
        <v>29</v>
      </c>
      <c r="E36" s="146">
        <v>0.7</v>
      </c>
      <c r="F36" s="146">
        <v>0.16500000000000001</v>
      </c>
      <c r="G36" s="146"/>
      <c r="H36" s="78">
        <f t="shared" ref="H36:H56" si="13">VLOOKUP(E36/0.0625,AN_DashTable,1,TRUE)</f>
        <v>11</v>
      </c>
      <c r="I36" s="99" t="str">
        <f t="shared" si="9"/>
        <v> </v>
      </c>
      <c r="J36" s="78" t="s">
        <v>384</v>
      </c>
      <c r="K36" s="151" t="s">
        <v>379</v>
      </c>
      <c r="L36" s="151"/>
      <c r="M36" s="78"/>
      <c r="N36" s="78"/>
      <c r="O36" s="78"/>
      <c r="P36" s="78"/>
    </row>
    <row xmlns:x14ac="http://schemas.microsoft.com/office/spreadsheetml/2009/9/ac" r="37" x14ac:dyDescent="0.35">
      <c r="B37" s="186"/>
      <c r="C37" s="188"/>
      <c r="D37" s="143">
        <v>30</v>
      </c>
      <c r="E37" s="147">
        <f>coqueWallThickness+0.125</f>
        <v>1.0398031496062992</v>
      </c>
      <c r="F37" s="147">
        <v>0.25</v>
      </c>
      <c r="G37" s="147"/>
      <c r="H37" s="78">
        <f t="shared" si="13"/>
        <v>16</v>
      </c>
      <c r="I37" s="99">
        <f t="shared" si="9"/>
        <v>3.980314960629916E-2</v>
      </c>
      <c r="J37" s="78" t="s">
        <v>410</v>
      </c>
      <c r="K37" s="151" t="s">
        <v>392</v>
      </c>
      <c r="L37" s="151"/>
      <c r="M37" s="78"/>
      <c r="N37" s="78"/>
      <c r="O37" s="78"/>
      <c r="P37" s="78"/>
    </row>
    <row xmlns:x14ac="http://schemas.microsoft.com/office/spreadsheetml/2009/9/ac" r="38" x14ac:dyDescent="0.35">
      <c r="B38" s="186"/>
      <c r="C38" s="188"/>
      <c r="D38" s="144">
        <v>31</v>
      </c>
      <c r="E38" s="146">
        <f>coqueWallThickness+0.125</f>
        <v>1.0398031496062992</v>
      </c>
      <c r="F38" s="146">
        <v>0.25</v>
      </c>
      <c r="G38" s="146"/>
      <c r="H38" s="78">
        <f t="shared" si="13"/>
        <v>16</v>
      </c>
      <c r="I38" s="99">
        <f t="shared" si="9"/>
        <v>3.980314960629916E-2</v>
      </c>
      <c r="J38" s="78" t="s">
        <v>410</v>
      </c>
      <c r="K38" s="151" t="s">
        <v>392</v>
      </c>
      <c r="L38" s="151"/>
      <c r="M38" s="78"/>
      <c r="N38" s="78"/>
      <c r="O38" s="78"/>
      <c r="P38" s="78"/>
    </row>
    <row xmlns:x14ac="http://schemas.microsoft.com/office/spreadsheetml/2009/9/ac" r="39" x14ac:dyDescent="0.35">
      <c r="B39" s="186"/>
      <c r="C39" s="188"/>
      <c r="D39" s="143">
        <v>32</v>
      </c>
      <c r="E39" s="147">
        <f>coqueWallThickness+0.125</f>
        <v>1.0398031496062992</v>
      </c>
      <c r="F39" s="147">
        <v>0.25</v>
      </c>
      <c r="G39" s="147"/>
      <c r="H39" s="78">
        <f t="shared" si="13"/>
        <v>16</v>
      </c>
      <c r="I39" s="99">
        <f t="shared" si="9"/>
        <v>3.980314960629916E-2</v>
      </c>
      <c r="J39" s="78" t="s">
        <v>410</v>
      </c>
      <c r="K39" s="151" t="s">
        <v>392</v>
      </c>
      <c r="L39" s="151"/>
      <c r="M39" s="78"/>
      <c r="N39" s="78"/>
      <c r="O39" s="78"/>
      <c r="P39" s="78"/>
    </row>
    <row xmlns:x14ac="http://schemas.microsoft.com/office/spreadsheetml/2009/9/ac" r="40" x14ac:dyDescent="0.35">
      <c r="B40" s="186"/>
      <c r="C40" s="188"/>
      <c r="D40" s="144">
        <v>33</v>
      </c>
      <c r="E40" s="146">
        <v>0.8</v>
      </c>
      <c r="F40" s="146">
        <v>0.25</v>
      </c>
      <c r="G40" s="146">
        <v>0.375</v>
      </c>
      <c r="H40" s="78">
        <f t="shared" si="13"/>
        <v>12</v>
      </c>
      <c r="I40" s="99">
        <f t="shared" si="9"/>
        <v>5.0000000000000044E-2</v>
      </c>
      <c r="J40" s="78"/>
      <c r="K40" s="151" t="s">
        <v>379</v>
      </c>
      <c r="L40" s="151"/>
      <c r="M40" s="78"/>
      <c r="N40" s="78"/>
      <c r="O40" s="78"/>
      <c r="P40" s="78"/>
    </row>
    <row xmlns:x14ac="http://schemas.microsoft.com/office/spreadsheetml/2009/9/ac" r="41" ht="15" thickBot="true" x14ac:dyDescent="0.4">
      <c r="B41" s="187"/>
      <c r="C41" s="188"/>
      <c r="D41" s="143">
        <v>34</v>
      </c>
      <c r="E41" s="147">
        <v>0.8</v>
      </c>
      <c r="F41" s="147">
        <v>0.191</v>
      </c>
      <c r="G41" s="147">
        <v>0.313</v>
      </c>
      <c r="H41" s="78">
        <f t="shared" si="13"/>
        <v>12</v>
      </c>
      <c r="I41" s="99">
        <f t="shared" si="9"/>
        <v>5.0000000000000044E-2</v>
      </c>
      <c r="J41" s="78"/>
      <c r="K41" s="151" t="s">
        <v>379</v>
      </c>
      <c r="L41" s="151"/>
      <c r="M41" s="78"/>
      <c r="N41" s="78"/>
      <c r="O41" s="78"/>
      <c r="P41" s="78"/>
    </row>
    <row xmlns:x14ac="http://schemas.microsoft.com/office/spreadsheetml/2009/9/ac" r="42" x14ac:dyDescent="0.35">
      <c r="B42" s="185" t="s">
        <v>411</v>
      </c>
      <c r="C42" s="188" t="e" vm="6">
        <v>#VALUE!</v>
      </c>
      <c r="D42" s="144">
        <v>35</v>
      </c>
      <c r="E42" s="146">
        <f>coqueWallThickness+0.15</f>
        <v>1.0648031496062991</v>
      </c>
      <c r="F42" s="146">
        <v>0.25</v>
      </c>
      <c r="G42" s="146"/>
      <c r="H42" s="78">
        <f t="shared" si="13"/>
        <v>17</v>
      </c>
      <c r="I42" s="99" t="str">
        <f t="shared" si="9"/>
        <v> </v>
      </c>
      <c r="J42" s="78" t="s">
        <v>249</v>
      </c>
      <c r="K42" s="151" t="s">
        <v>392</v>
      </c>
      <c r="L42" s="151">
        <v>17</v>
      </c>
      <c r="M42" s="78"/>
      <c r="N42" s="78"/>
      <c r="O42" s="78"/>
      <c r="P42" s="78"/>
    </row>
    <row xmlns:x14ac="http://schemas.microsoft.com/office/spreadsheetml/2009/9/ac" r="43" x14ac:dyDescent="0.35">
      <c r="B43" s="186"/>
      <c r="C43" s="188"/>
      <c r="D43" s="143">
        <v>36</v>
      </c>
      <c r="E43" s="147">
        <v>0.9</v>
      </c>
      <c r="F43" s="147">
        <v>0.191</v>
      </c>
      <c r="G43" s="147">
        <v>0.57086599999999998</v>
      </c>
      <c r="H43" s="111">
        <f t="shared" si="13"/>
        <v>14</v>
      </c>
      <c r="I43" s="99" t="str">
        <f t="shared" si="9"/>
        <v> </v>
      </c>
      <c r="J43" s="78" t="s">
        <v>412</v>
      </c>
      <c r="K43" s="151" t="s">
        <v>379</v>
      </c>
      <c r="L43" s="151"/>
      <c r="M43" s="78"/>
      <c r="N43" s="78"/>
      <c r="O43" s="78"/>
      <c r="P43" s="78"/>
    </row>
    <row xmlns:x14ac="http://schemas.microsoft.com/office/spreadsheetml/2009/9/ac" r="44" x14ac:dyDescent="0.35">
      <c r="B44" s="186"/>
      <c r="C44" s="188"/>
      <c r="D44" s="144">
        <v>37</v>
      </c>
      <c r="E44" s="146">
        <f>coqueWallThickness+0.15</f>
        <v>1.0648031496062991</v>
      </c>
      <c r="F44" s="146">
        <v>0.25</v>
      </c>
      <c r="G44" s="146"/>
      <c r="H44" s="78">
        <f t="shared" si="13"/>
        <v>17</v>
      </c>
      <c r="I44" s="99" t="str">
        <f t="shared" si="9"/>
        <v> </v>
      </c>
      <c r="J44" s="78" t="s">
        <v>249</v>
      </c>
      <c r="K44" s="151" t="s">
        <v>392</v>
      </c>
      <c r="L44" s="151">
        <v>17</v>
      </c>
      <c r="M44" s="78"/>
      <c r="N44" s="78"/>
      <c r="O44" s="78"/>
      <c r="P44" s="78"/>
    </row>
    <row xmlns:x14ac="http://schemas.microsoft.com/office/spreadsheetml/2009/9/ac" r="45" x14ac:dyDescent="0.35">
      <c r="B45" s="186"/>
      <c r="C45" s="188"/>
      <c r="D45" s="143">
        <v>38</v>
      </c>
      <c r="E45" s="147">
        <v>0.9</v>
      </c>
      <c r="F45" s="147">
        <v>0.191</v>
      </c>
      <c r="G45" s="147">
        <v>0.5</v>
      </c>
      <c r="H45" s="111">
        <f t="shared" si="13"/>
        <v>14</v>
      </c>
      <c r="I45" s="99" t="str">
        <f t="shared" si="9"/>
        <v> </v>
      </c>
      <c r="J45" s="78" t="s">
        <v>413</v>
      </c>
      <c r="K45" s="151" t="s">
        <v>379</v>
      </c>
      <c r="L45" s="151"/>
      <c r="M45" s="78"/>
      <c r="N45" s="78"/>
      <c r="O45" s="78"/>
      <c r="P45" s="78"/>
    </row>
    <row xmlns:x14ac="http://schemas.microsoft.com/office/spreadsheetml/2009/9/ac" r="46" x14ac:dyDescent="0.35">
      <c r="B46" s="186"/>
      <c r="C46" s="188"/>
      <c r="D46" s="144">
        <v>39</v>
      </c>
      <c r="E46" s="146">
        <f>coqueWallThickness+0.16</f>
        <v>1.0748031496062991</v>
      </c>
      <c r="F46" s="146">
        <v>0.25</v>
      </c>
      <c r="G46" s="146"/>
      <c r="H46" s="78">
        <f t="shared" si="13"/>
        <v>17</v>
      </c>
      <c r="I46" s="99" t="str">
        <f t="shared" si="9"/>
        <v> </v>
      </c>
      <c r="J46" s="78" t="s">
        <v>245</v>
      </c>
      <c r="K46" s="151" t="s">
        <v>392</v>
      </c>
      <c r="L46" s="151">
        <v>17</v>
      </c>
      <c r="M46" s="78"/>
      <c r="N46" s="78"/>
      <c r="O46" s="78"/>
      <c r="P46" s="78"/>
    </row>
    <row xmlns:x14ac="http://schemas.microsoft.com/office/spreadsheetml/2009/9/ac" r="47" ht="15" thickBot="true" x14ac:dyDescent="0.4">
      <c r="B47" s="187"/>
      <c r="C47" s="188"/>
      <c r="D47" s="143">
        <v>40</v>
      </c>
      <c r="E47" s="147">
        <f>coqueWallThickness+0.16</f>
        <v>1.0748031496062991</v>
      </c>
      <c r="F47" s="147">
        <v>0.25</v>
      </c>
      <c r="G47" s="147"/>
      <c r="H47" s="78">
        <f t="shared" si="13"/>
        <v>17</v>
      </c>
      <c r="I47" s="99" t="str">
        <f t="shared" si="9"/>
        <v> </v>
      </c>
      <c r="J47" s="78" t="s">
        <v>245</v>
      </c>
      <c r="K47" s="151" t="s">
        <v>392</v>
      </c>
      <c r="L47" s="151">
        <v>17</v>
      </c>
      <c r="M47" s="78"/>
      <c r="N47" s="78"/>
      <c r="O47" s="78"/>
      <c r="P47" s="78"/>
    </row>
    <row xmlns:x14ac="http://schemas.microsoft.com/office/spreadsheetml/2009/9/ac" r="48" x14ac:dyDescent="0.35">
      <c r="B48" s="185" t="s">
        <v>414</v>
      </c>
      <c r="C48" s="188" t="e" vm="7">
        <v>#VALUE!</v>
      </c>
      <c r="D48" s="144">
        <v>41</v>
      </c>
      <c r="E48" s="146">
        <f>coqueWallThickness+0.157</f>
        <v>1.0718031496062992</v>
      </c>
      <c r="F48" s="146">
        <v>0.25</v>
      </c>
      <c r="G48" s="146"/>
      <c r="H48" s="78">
        <f t="shared" si="13"/>
        <v>17</v>
      </c>
      <c r="I48" s="99" t="str">
        <f t="shared" si="9"/>
        <v> </v>
      </c>
      <c r="J48" s="78" t="s">
        <v>247</v>
      </c>
      <c r="K48" s="151" t="s">
        <v>392</v>
      </c>
      <c r="L48" s="151">
        <v>16</v>
      </c>
      <c r="M48" s="78"/>
      <c r="N48" s="78"/>
      <c r="O48" s="78"/>
      <c r="P48" s="78"/>
    </row>
    <row xmlns:x14ac="http://schemas.microsoft.com/office/spreadsheetml/2009/9/ac" r="49" x14ac:dyDescent="0.35">
      <c r="B49" s="186"/>
      <c r="C49" s="188"/>
      <c r="D49" s="143">
        <v>42</v>
      </c>
      <c r="E49" s="147">
        <v>0.82</v>
      </c>
      <c r="F49" s="147">
        <v>0.191</v>
      </c>
      <c r="G49" s="147">
        <v>0.54191199999999995</v>
      </c>
      <c r="H49" s="78">
        <f t="shared" si="13"/>
        <v>13</v>
      </c>
      <c r="I49" s="99" t="str">
        <f t="shared" si="9"/>
        <v> </v>
      </c>
      <c r="J49" s="78" t="s">
        <v>247</v>
      </c>
      <c r="K49" s="151" t="s">
        <v>379</v>
      </c>
      <c r="L49" s="151"/>
      <c r="M49" s="78"/>
      <c r="N49" s="78"/>
      <c r="O49" s="78"/>
      <c r="P49" s="78"/>
    </row>
    <row xmlns:x14ac="http://schemas.microsoft.com/office/spreadsheetml/2009/9/ac" r="50" x14ac:dyDescent="0.35">
      <c r="B50" s="186"/>
      <c r="C50" s="188"/>
      <c r="D50" s="144">
        <v>43</v>
      </c>
      <c r="E50" s="146">
        <f>coqueWallThickness+0.152</f>
        <v>1.0668031496062991</v>
      </c>
      <c r="F50" s="146">
        <v>0.25</v>
      </c>
      <c r="G50" s="146"/>
      <c r="H50" s="78">
        <f t="shared" si="13"/>
        <v>17</v>
      </c>
      <c r="I50" s="99" t="str">
        <f t="shared" si="9"/>
        <v> </v>
      </c>
      <c r="J50" s="78" t="s">
        <v>247</v>
      </c>
      <c r="K50" s="151" t="s">
        <v>392</v>
      </c>
      <c r="L50" s="151">
        <v>16</v>
      </c>
      <c r="M50" s="78"/>
      <c r="N50" s="78"/>
      <c r="O50" s="78"/>
      <c r="P50" s="78"/>
    </row>
    <row xmlns:x14ac="http://schemas.microsoft.com/office/spreadsheetml/2009/9/ac" r="51" x14ac:dyDescent="0.35">
      <c r="B51" s="186"/>
      <c r="C51" s="188"/>
      <c r="D51" s="143">
        <v>44</v>
      </c>
      <c r="E51" s="147">
        <v>0.66500000000000004</v>
      </c>
      <c r="F51" s="147">
        <v>0.191</v>
      </c>
      <c r="G51" s="147">
        <v>0.42499999999999999</v>
      </c>
      <c r="H51" s="78">
        <f t="shared" si="13"/>
        <v>10</v>
      </c>
      <c r="I51" s="99">
        <f t="shared" si="9"/>
        <v>4.0000000000000036E-2</v>
      </c>
      <c r="J51" s="78"/>
      <c r="K51" s="151" t="s">
        <v>379</v>
      </c>
      <c r="L51" s="151">
        <v>10</v>
      </c>
      <c r="M51" s="78"/>
      <c r="N51" s="78"/>
      <c r="O51" s="78"/>
      <c r="P51" s="78"/>
    </row>
    <row xmlns:x14ac="http://schemas.microsoft.com/office/spreadsheetml/2009/9/ac" r="52" x14ac:dyDescent="0.35">
      <c r="B52" s="186"/>
      <c r="C52" s="188"/>
      <c r="D52" s="144">
        <v>45</v>
      </c>
      <c r="E52" s="146">
        <f>coqueWallThickness+0.123</f>
        <v>1.0378031496062992</v>
      </c>
      <c r="F52" s="146">
        <v>0.25</v>
      </c>
      <c r="G52" s="146"/>
      <c r="H52" s="78">
        <f t="shared" si="13"/>
        <v>16</v>
      </c>
      <c r="I52" s="99">
        <f t="shared" si="9"/>
        <v>3.7803149606299158E-2</v>
      </c>
      <c r="J52" s="78" t="s">
        <v>240</v>
      </c>
      <c r="K52" s="151" t="s">
        <v>392</v>
      </c>
      <c r="L52" s="151">
        <v>17</v>
      </c>
      <c r="M52" s="78"/>
      <c r="N52" s="78"/>
      <c r="O52" s="78"/>
      <c r="P52" s="78"/>
    </row>
    <row xmlns:x14ac="http://schemas.microsoft.com/office/spreadsheetml/2009/9/ac" r="53" ht="18" customHeight="true" x14ac:dyDescent="0.35">
      <c r="B53" s="186"/>
      <c r="C53" s="188"/>
      <c r="D53" s="143">
        <v>46</v>
      </c>
      <c r="E53" s="147">
        <f>coqueWallThickness+0.123</f>
        <v>1.0378031496062992</v>
      </c>
      <c r="F53" s="147">
        <v>0.25</v>
      </c>
      <c r="G53" s="147"/>
      <c r="H53" s="78">
        <f t="shared" si="13"/>
        <v>16</v>
      </c>
      <c r="I53" s="99">
        <f t="shared" si="9"/>
        <v>3.7803149606299158E-2</v>
      </c>
      <c r="J53" s="78" t="s">
        <v>240</v>
      </c>
      <c r="K53" s="151" t="s">
        <v>392</v>
      </c>
      <c r="L53" s="151">
        <v>17</v>
      </c>
      <c r="M53" s="78"/>
      <c r="N53" s="78"/>
      <c r="O53" s="78"/>
      <c r="P53" s="78"/>
    </row>
    <row xmlns:x14ac="http://schemas.microsoft.com/office/spreadsheetml/2009/9/ac" r="54" ht="18" customHeight="true" thickBot="true" x14ac:dyDescent="0.4">
      <c r="B54" s="187"/>
      <c r="C54" s="188"/>
      <c r="D54" s="144">
        <v>47</v>
      </c>
      <c r="E54" s="146">
        <v>0.84</v>
      </c>
      <c r="F54" s="146">
        <v>0.191</v>
      </c>
      <c r="G54" s="146">
        <v>0.5</v>
      </c>
      <c r="H54" s="78">
        <f t="shared" si="13"/>
        <v>13</v>
      </c>
      <c r="I54" s="99" t="str">
        <f t="shared" si="9"/>
        <v> </v>
      </c>
      <c r="J54" s="78" t="s">
        <v>240</v>
      </c>
      <c r="K54" s="151" t="s">
        <v>379</v>
      </c>
      <c r="L54" s="151"/>
      <c r="M54" s="78"/>
      <c r="N54" s="78"/>
      <c r="O54" s="78"/>
      <c r="P54" s="78"/>
    </row>
    <row xmlns:x14ac="http://schemas.microsoft.com/office/spreadsheetml/2009/9/ac" r="55" ht="18" customHeight="true" x14ac:dyDescent="0.35">
      <c r="B55" s="80"/>
      <c r="C55" s="143" t="s">
        <v>401</v>
      </c>
      <c r="D55" s="143">
        <v>48</v>
      </c>
      <c r="E55" s="148">
        <v>0.7</v>
      </c>
      <c r="F55" s="147">
        <v>0.191</v>
      </c>
      <c r="G55" s="147">
        <v>0.04</v>
      </c>
      <c r="H55" s="78">
        <f t="shared" si="13"/>
        <v>11</v>
      </c>
      <c r="I55" s="99" t="str">
        <f t="shared" si="9"/>
        <v> </v>
      </c>
      <c r="J55" s="78"/>
      <c r="K55" s="151" t="s">
        <v>379</v>
      </c>
      <c r="L55" s="151"/>
      <c r="M55" s="78"/>
      <c r="N55" s="78"/>
      <c r="O55" s="78"/>
      <c r="P55" s="78"/>
    </row>
    <row xmlns:x14ac="http://schemas.microsoft.com/office/spreadsheetml/2009/9/ac" r="56" ht="18" customHeight="true" thickBot="true" x14ac:dyDescent="0.4">
      <c r="B56" s="82"/>
      <c r="C56" s="143" t="s">
        <v>402</v>
      </c>
      <c r="D56" s="144">
        <v>49</v>
      </c>
      <c r="E56" s="145">
        <v>0.625</v>
      </c>
      <c r="F56" s="146">
        <v>0.191</v>
      </c>
      <c r="G56" s="146">
        <v>0.04</v>
      </c>
      <c r="H56" s="78">
        <f t="shared" si="13"/>
        <v>10</v>
      </c>
      <c r="I56" s="99" t="str">
        <f t="shared" si="9"/>
        <v> </v>
      </c>
      <c r="J56" s="78"/>
      <c r="K56" s="151" t="s">
        <v>379</v>
      </c>
      <c r="L56" s="151"/>
      <c r="M56" s="78"/>
      <c r="N56" s="78"/>
      <c r="O56" s="78"/>
      <c r="P56" s="78"/>
    </row>
    <row xmlns:x14ac="http://schemas.microsoft.com/office/spreadsheetml/2009/9/ac" r="57" ht="18.75" customHeight="true" x14ac:dyDescent="0.35">
      <c r="B57" s="185" t="s">
        <v>415</v>
      </c>
      <c r="C57" s="188" t="e" vm="8">
        <v>#VALUE!</v>
      </c>
      <c r="D57" s="144">
        <v>54</v>
      </c>
      <c r="E57" s="145">
        <v>0.68</v>
      </c>
      <c r="F57" s="146">
        <v>0.191</v>
      </c>
      <c r="G57" s="146">
        <v>0.5</v>
      </c>
      <c r="H57" s="78">
        <f t="shared" ref="H57:H60" si="14">VLOOKUP(E57/0.0625,AN_DashTable,1,TRUE)</f>
        <v>10</v>
      </c>
      <c r="I57" s="99">
        <f t="shared" ref="I57:I60" si="15">IF(E57-VLOOKUP(H57,AN_DashTable,2,FALSE)-0.032&lt;0," ",E57-VLOOKUP(H57,AN_DashTable,2,FALSE))</f>
        <v>5.5000000000000049E-2</v>
      </c>
      <c r="J57" s="78"/>
      <c r="K57" s="151" t="s">
        <v>379</v>
      </c>
      <c r="L57" s="151"/>
      <c r="M57" s="78"/>
      <c r="N57" s="78"/>
      <c r="O57" s="78"/>
      <c r="P57" s="78"/>
    </row>
    <row xmlns:x14ac="http://schemas.microsoft.com/office/spreadsheetml/2009/9/ac" r="58" ht="18.75" customHeight="true" x14ac:dyDescent="0.35">
      <c r="B58" s="186"/>
      <c r="C58" s="188"/>
      <c r="D58" s="143">
        <v>55</v>
      </c>
      <c r="E58" s="148">
        <v>1.1399999999999999</v>
      </c>
      <c r="F58" s="147">
        <v>0.25</v>
      </c>
      <c r="G58" s="147">
        <v>0.6</v>
      </c>
      <c r="H58" s="78">
        <f t="shared" si="14"/>
        <v>18</v>
      </c>
      <c r="I58" s="99" t="str">
        <f t="shared" si="15"/>
        <v> </v>
      </c>
      <c r="J58" s="78"/>
      <c r="K58" s="151" t="s">
        <v>379</v>
      </c>
      <c r="L58" s="151"/>
      <c r="M58" s="78"/>
      <c r="N58" s="78"/>
      <c r="O58" s="78"/>
      <c r="P58" s="78"/>
    </row>
    <row xmlns:x14ac="http://schemas.microsoft.com/office/spreadsheetml/2009/9/ac" r="59" ht="18.75" customHeight="true" x14ac:dyDescent="0.35">
      <c r="B59" s="186"/>
      <c r="C59" s="188"/>
      <c r="D59" s="144">
        <v>56</v>
      </c>
      <c r="E59" s="145">
        <v>0.67210999999999999</v>
      </c>
      <c r="F59" s="146">
        <v>0.191</v>
      </c>
      <c r="G59" s="146">
        <v>0.4</v>
      </c>
      <c r="H59" s="78">
        <f t="shared" si="14"/>
        <v>10</v>
      </c>
      <c r="I59" s="99">
        <f t="shared" si="15"/>
        <v>4.7109999999999985E-2</v>
      </c>
      <c r="J59" s="78"/>
      <c r="K59" s="151" t="s">
        <v>379</v>
      </c>
      <c r="L59" s="151"/>
      <c r="M59" s="78"/>
      <c r="N59" s="78"/>
      <c r="O59" s="78"/>
      <c r="P59" s="78"/>
    </row>
    <row xmlns:x14ac="http://schemas.microsoft.com/office/spreadsheetml/2009/9/ac" r="60" ht="18.75" customHeight="true" thickBot="true" x14ac:dyDescent="0.4">
      <c r="B60" s="187"/>
      <c r="C60" s="188"/>
      <c r="D60" s="143">
        <v>57</v>
      </c>
      <c r="E60" s="148">
        <v>1.0136099999999999</v>
      </c>
      <c r="F60" s="147">
        <v>0.25</v>
      </c>
      <c r="G60" s="147">
        <v>0.7</v>
      </c>
      <c r="H60" s="78">
        <f t="shared" si="14"/>
        <v>16</v>
      </c>
      <c r="I60" s="99" t="str">
        <f t="shared" si="15"/>
        <v> </v>
      </c>
      <c r="J60" s="78"/>
      <c r="K60" s="78" t="s">
        <v>379</v>
      </c>
      <c r="L60" s="78"/>
      <c r="M60" s="78"/>
      <c r="N60" s="78"/>
      <c r="O60" s="78"/>
      <c r="P60" s="78"/>
    </row>
    <row xmlns:x14ac="http://schemas.microsoft.com/office/spreadsheetml/2009/9/ac" r="61" x14ac:dyDescent="0.35">
      <c r="B61" s="191" t="s">
        <v>416</v>
      </c>
      <c r="C61" s="149"/>
      <c r="D61" s="144">
        <v>58</v>
      </c>
      <c r="E61" s="150">
        <f>coqueRoofThickness+0.9762</f>
        <v>1.6626566929133859</v>
      </c>
      <c r="F61" s="150">
        <v>0.191</v>
      </c>
      <c r="G61" s="150"/>
      <c r="H61" s="78">
        <f t="shared" ref="H61:H62" si="16">VLOOKUP(E61/0.0625,AN_DashTable,1,TRUE)</f>
        <v>26</v>
      </c>
      <c r="I61" s="99">
        <f t="shared" ref="I61:I62" si="17">IF(E61-VLOOKUP(H61,AN_DashTable,2,FALSE)-0.032&lt;0," ",E61-VLOOKUP(H61,AN_DashTable,2,FALSE))</f>
        <v>3.7656692913385914E-2</v>
      </c>
      <c r="J61" s="78"/>
      <c r="K61" s="78" t="s">
        <v>379</v>
      </c>
      <c r="L61" s="78"/>
      <c r="M61" s="78"/>
      <c r="N61" s="78"/>
      <c r="O61" s="78"/>
      <c r="P61" s="78"/>
    </row>
    <row xmlns:x14ac="http://schemas.microsoft.com/office/spreadsheetml/2009/9/ac" r="62" x14ac:dyDescent="0.35">
      <c r="B62" s="192"/>
      <c r="C62" s="149"/>
      <c r="D62" s="143">
        <v>59</v>
      </c>
      <c r="E62" s="150">
        <f>coqueRoofThickness+0.9762</f>
        <v>1.6626566929133859</v>
      </c>
      <c r="F62" s="150">
        <v>0.191</v>
      </c>
      <c r="G62" s="150"/>
      <c r="H62" s="78">
        <f t="shared" si="16"/>
        <v>26</v>
      </c>
      <c r="I62" s="99">
        <f t="shared" si="17"/>
        <v>3.7656692913385914E-2</v>
      </c>
      <c r="J62" s="78"/>
      <c r="K62" s="78" t="s">
        <v>379</v>
      </c>
      <c r="L62" s="78"/>
      <c r="M62" s="78"/>
      <c r="N62" s="78"/>
      <c r="O62" s="78"/>
      <c r="P62" s="78"/>
    </row>
    <row xmlns:x14ac="http://schemas.microsoft.com/office/spreadsheetml/2009/9/ac" r="63" x14ac:dyDescent="0.35">
      <c r="B63" s="192"/>
      <c r="D63" s="81">
        <v>60</v>
      </c>
      <c r="E63" s="86"/>
      <c r="F63" s="86"/>
      <c r="G63" s="86"/>
      <c r="I63" s="15"/>
      <c r="K63" s="78" t="str">
        <f t="shared" ref="K63:K64" si="18">IF(J63="through 'cocque","yes","")</f>
        <v/>
      </c>
    </row>
    <row xmlns:x14ac="http://schemas.microsoft.com/office/spreadsheetml/2009/9/ac" r="64" ht="15" thickBot="true" x14ac:dyDescent="0.4">
      <c r="B64" s="192"/>
      <c r="D64" s="83">
        <v>61</v>
      </c>
      <c r="E64" s="86"/>
      <c r="F64" s="86"/>
      <c r="G64" s="86"/>
      <c r="I64" s="15"/>
      <c r="K64" s="78" t="str">
        <f t="shared" si="18"/>
        <v/>
      </c>
    </row>
    <row xmlns:x14ac="http://schemas.microsoft.com/office/spreadsheetml/2009/9/ac" r="65" x14ac:dyDescent="0.35">
      <c r="E65" s="86"/>
      <c r="F65" s="86"/>
      <c r="G65" s="86"/>
    </row>
    <row xmlns:x14ac="http://schemas.microsoft.com/office/spreadsheetml/2009/9/ac" r="66" x14ac:dyDescent="0.35">
      <c r="E66" s="86"/>
      <c r="F66" s="86"/>
      <c r="G66" s="86"/>
    </row>
    <row xmlns:x14ac="http://schemas.microsoft.com/office/spreadsheetml/2009/9/ac" r="67" x14ac:dyDescent="0.35">
      <c r="E67" s="86"/>
      <c r="F67" s="86"/>
      <c r="G67" s="86"/>
    </row>
    <row xmlns:x14ac="http://schemas.microsoft.com/office/spreadsheetml/2009/9/ac" r="68" x14ac:dyDescent="0.35">
      <c r="E68" s="86"/>
      <c r="F68" s="86"/>
      <c r="G68" s="86"/>
    </row>
    <row xmlns:x14ac="http://schemas.microsoft.com/office/spreadsheetml/2009/9/ac" r="69" x14ac:dyDescent="0.35">
      <c r="E69" s="86"/>
      <c r="F69" s="86"/>
      <c r="G69" s="86"/>
    </row>
  </sheetData>
  <mergeCells count="18">
    <mergeCell ref="B61:B64"/>
    <mergeCell ref="B27:B30"/>
    <mergeCell ref="C27:C30"/>
    <mergeCell ref="B57:B60"/>
    <mergeCell ref="C57:C60"/>
    <mergeCell ref="B48:B54"/>
    <mergeCell ref="C48:C54"/>
    <mergeCell ref="B2:B9"/>
    <mergeCell ref="C2:C9"/>
    <mergeCell ref="B10:B16"/>
    <mergeCell ref="C10:C16"/>
    <mergeCell ref="B17:B23"/>
    <mergeCell ref="C17:C23"/>
    <mergeCell ref="B24:B25"/>
    <mergeCell ref="B32:B41"/>
    <mergeCell ref="C32:C41"/>
    <mergeCell ref="B42:B47"/>
    <mergeCell ref="C42:C47"/>
  </mergeCells>
  <phoneticPr fontId="6" type="noConversion"/>
  <pageMargins left="0.25" right="0.25" top="0.75" bottom="0.75" header="0.3" footer="0.3"/>
  <pageSetup scale="35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3A026-7C1C-4900-B8FB-DCC3F7EE0CE6}">
  <dimension ref="A1:K27"/>
  <sheetViews>
    <sheetView topLeftCell="C1" workbookViewId="0">
      <selection activeCell="I34" sqref="I34"/>
    </sheetView>
  </sheetViews>
  <sheetFormatPr xmlns:x14ac="http://schemas.microsoft.com/office/spreadsheetml/2009/9/ac" defaultRowHeight="14.5" x14ac:dyDescent="0.35"/>
  <cols>
    <col min="1" max="1" width="9.1796875" bestFit="true" customWidth="true"/>
    <col min="2" max="2" width="19.54296875" bestFit="true" customWidth="true"/>
  </cols>
  <sheetData>
    <row xmlns:x14ac="http://schemas.microsoft.com/office/spreadsheetml/2009/9/ac" r="1" ht="18.5" x14ac:dyDescent="0.45">
      <c r="A1" s="126" t="s">
        <v>417</v>
      </c>
      <c r="C1" t="s">
        <v>291</v>
      </c>
      <c r="D1" t="s">
        <v>292</v>
      </c>
      <c r="E1" t="s">
        <v>418</v>
      </c>
      <c r="F1" t="s">
        <v>419</v>
      </c>
    </row>
    <row xmlns:x14ac="http://schemas.microsoft.com/office/spreadsheetml/2009/9/ac" r="5" x14ac:dyDescent="0.35">
      <c r="A5" t="s">
        <v>420</v>
      </c>
      <c r="B5" s="59" t="s">
        <v>421</v>
      </c>
      <c r="C5" s="62">
        <v>0.191</v>
      </c>
      <c r="D5" s="62">
        <v>0.30599999999999999</v>
      </c>
      <c r="E5" s="62">
        <v>5.6500000000000002E-2</v>
      </c>
      <c r="F5" s="62">
        <v>6</v>
      </c>
      <c r="G5" s="63" t="s">
        <v>422</v>
      </c>
    </row>
    <row xmlns:x14ac="http://schemas.microsoft.com/office/spreadsheetml/2009/9/ac" r="6" x14ac:dyDescent="0.35">
      <c r="B6" s="2" t="s">
        <v>423</v>
      </c>
      <c r="C6">
        <v>0.191</v>
      </c>
      <c r="D6">
        <v>0.30599999999999999</v>
      </c>
      <c r="E6">
        <v>4.3999999999999997E-2</v>
      </c>
      <c r="F6">
        <v>6</v>
      </c>
      <c r="G6" s="3" t="s">
        <v>422</v>
      </c>
    </row>
    <row xmlns:x14ac="http://schemas.microsoft.com/office/spreadsheetml/2009/9/ac" r="7" x14ac:dyDescent="0.35">
      <c r="B7" s="2" t="s">
        <v>424</v>
      </c>
      <c r="C7">
        <v>0.191</v>
      </c>
      <c r="D7">
        <v>0.30599999999999999</v>
      </c>
      <c r="E7">
        <v>9.4E-2</v>
      </c>
      <c r="F7">
        <v>6</v>
      </c>
      <c r="G7" s="3" t="s">
        <v>422</v>
      </c>
    </row>
    <row xmlns:x14ac="http://schemas.microsoft.com/office/spreadsheetml/2009/9/ac" r="8" x14ac:dyDescent="0.35">
      <c r="B8" s="2" t="s">
        <v>425</v>
      </c>
      <c r="C8">
        <v>0.25</v>
      </c>
      <c r="D8">
        <v>0.39</v>
      </c>
      <c r="E8">
        <v>5.3999999999999999E-2</v>
      </c>
      <c r="F8">
        <v>6</v>
      </c>
      <c r="G8" s="3" t="s">
        <v>422</v>
      </c>
    </row>
    <row xmlns:x14ac="http://schemas.microsoft.com/office/spreadsheetml/2009/9/ac" r="9" x14ac:dyDescent="0.35">
      <c r="B9" s="2" t="s">
        <v>426</v>
      </c>
      <c r="C9">
        <v>0.25</v>
      </c>
      <c r="D9">
        <v>0.39</v>
      </c>
      <c r="E9">
        <v>4.0000000000000001E-3</v>
      </c>
      <c r="F9">
        <v>6</v>
      </c>
      <c r="G9" s="3" t="s">
        <v>422</v>
      </c>
      <c r="H9" t="s">
        <v>427</v>
      </c>
    </row>
    <row xmlns:x14ac="http://schemas.microsoft.com/office/spreadsheetml/2009/9/ac" r="10" x14ac:dyDescent="0.35">
      <c r="B10" s="2" t="s">
        <v>428</v>
      </c>
      <c r="C10">
        <v>0.191</v>
      </c>
      <c r="D10">
        <v>0.30599999999999999</v>
      </c>
      <c r="E10">
        <v>0.129</v>
      </c>
      <c r="F10">
        <v>6</v>
      </c>
      <c r="G10" s="3" t="s">
        <v>422</v>
      </c>
    </row>
    <row xmlns:x14ac="http://schemas.microsoft.com/office/spreadsheetml/2009/9/ac" r="11" x14ac:dyDescent="0.35">
      <c r="B11" s="2" t="s">
        <v>429</v>
      </c>
      <c r="C11">
        <v>0.191</v>
      </c>
      <c r="D11">
        <v>0.30599999999999999</v>
      </c>
      <c r="E11">
        <v>9.4E-2</v>
      </c>
      <c r="F11">
        <v>6</v>
      </c>
      <c r="G11" s="3" t="s">
        <v>422</v>
      </c>
    </row>
    <row xmlns:x14ac="http://schemas.microsoft.com/office/spreadsheetml/2009/9/ac" r="12" x14ac:dyDescent="0.35">
      <c r="B12" s="2" t="s">
        <v>430</v>
      </c>
      <c r="C12">
        <v>0.191</v>
      </c>
      <c r="D12">
        <v>0.30599999999999999</v>
      </c>
      <c r="E12">
        <v>9.4E-2</v>
      </c>
      <c r="F12">
        <v>6</v>
      </c>
      <c r="G12" s="3" t="s">
        <v>422</v>
      </c>
    </row>
    <row xmlns:x14ac="http://schemas.microsoft.com/office/spreadsheetml/2009/9/ac" r="13" x14ac:dyDescent="0.35">
      <c r="B13" s="2" t="s">
        <v>431</v>
      </c>
      <c r="C13">
        <v>0.191</v>
      </c>
      <c r="D13">
        <v>0.30599999999999999</v>
      </c>
      <c r="E13">
        <v>9.4E-2</v>
      </c>
      <c r="F13">
        <v>6</v>
      </c>
      <c r="G13" s="3" t="s">
        <v>422</v>
      </c>
    </row>
    <row xmlns:x14ac="http://schemas.microsoft.com/office/spreadsheetml/2009/9/ac" r="14" x14ac:dyDescent="0.35">
      <c r="B14" s="2"/>
      <c r="G14" s="3"/>
    </row>
    <row xmlns:x14ac="http://schemas.microsoft.com/office/spreadsheetml/2009/9/ac" r="15" x14ac:dyDescent="0.35">
      <c r="A15" t="s">
        <v>290</v>
      </c>
      <c r="B15" s="2" t="s">
        <v>432</v>
      </c>
      <c r="C15">
        <v>0.25</v>
      </c>
      <c r="D15">
        <v>0.39</v>
      </c>
      <c r="E15">
        <v>0.41649999999999998</v>
      </c>
      <c r="F15">
        <v>3</v>
      </c>
      <c r="G15" s="3" t="s">
        <v>422</v>
      </c>
    </row>
    <row xmlns:x14ac="http://schemas.microsoft.com/office/spreadsheetml/2009/9/ac" r="16" x14ac:dyDescent="0.35">
      <c r="B16" s="2" t="s">
        <v>433</v>
      </c>
      <c r="C16">
        <v>0.25</v>
      </c>
      <c r="D16">
        <v>0.39</v>
      </c>
      <c r="E16">
        <v>0.28000000000000003</v>
      </c>
      <c r="F16">
        <v>6</v>
      </c>
      <c r="G16" s="3" t="s">
        <v>422</v>
      </c>
    </row>
    <row xmlns:x14ac="http://schemas.microsoft.com/office/spreadsheetml/2009/9/ac" r="17" x14ac:dyDescent="0.35">
      <c r="B17" s="2" t="s">
        <v>425</v>
      </c>
      <c r="C17">
        <v>0.25</v>
      </c>
      <c r="D17">
        <v>0.39</v>
      </c>
      <c r="E17">
        <v>0.13900000000000001</v>
      </c>
      <c r="F17">
        <v>6</v>
      </c>
      <c r="G17" s="3" t="s">
        <v>422</v>
      </c>
    </row>
    <row xmlns:x14ac="http://schemas.microsoft.com/office/spreadsheetml/2009/9/ac" r="18" x14ac:dyDescent="0.35">
      <c r="B18" s="2" t="s">
        <v>434</v>
      </c>
      <c r="C18">
        <v>0.191</v>
      </c>
      <c r="D18">
        <v>0.30599999999999999</v>
      </c>
      <c r="E18">
        <v>0.04</v>
      </c>
      <c r="F18">
        <v>6</v>
      </c>
      <c r="G18" s="3" t="s">
        <v>435</v>
      </c>
    </row>
    <row xmlns:x14ac="http://schemas.microsoft.com/office/spreadsheetml/2009/9/ac" r="19" x14ac:dyDescent="0.35">
      <c r="B19" s="2" t="s">
        <v>436</v>
      </c>
      <c r="C19">
        <v>0.191</v>
      </c>
      <c r="D19">
        <v>0.30599999999999999</v>
      </c>
      <c r="E19">
        <v>0.107</v>
      </c>
      <c r="F19">
        <v>4</v>
      </c>
      <c r="G19" s="3" t="s">
        <v>435</v>
      </c>
    </row>
    <row xmlns:x14ac="http://schemas.microsoft.com/office/spreadsheetml/2009/9/ac" r="20" x14ac:dyDescent="0.35">
      <c r="B20" s="2" t="s">
        <v>437</v>
      </c>
      <c r="C20">
        <v>0.191</v>
      </c>
      <c r="D20">
        <v>0.30599999999999999</v>
      </c>
      <c r="E20">
        <v>0.107</v>
      </c>
      <c r="F20">
        <v>4</v>
      </c>
      <c r="G20" s="3" t="s">
        <v>435</v>
      </c>
      <c r="K20" t="s">
        <v>281</v>
      </c>
    </row>
    <row xmlns:x14ac="http://schemas.microsoft.com/office/spreadsheetml/2009/9/ac" r="21" x14ac:dyDescent="0.35">
      <c r="B21" s="2"/>
      <c r="G21" s="3"/>
    </row>
    <row xmlns:x14ac="http://schemas.microsoft.com/office/spreadsheetml/2009/9/ac" r="22" x14ac:dyDescent="0.35">
      <c r="B22" s="2"/>
      <c r="G22" s="3"/>
    </row>
    <row xmlns:x14ac="http://schemas.microsoft.com/office/spreadsheetml/2009/9/ac" r="23" x14ac:dyDescent="0.35">
      <c r="B23" s="2"/>
      <c r="G23" s="3"/>
    </row>
    <row xmlns:x14ac="http://schemas.microsoft.com/office/spreadsheetml/2009/9/ac" r="24" x14ac:dyDescent="0.35">
      <c r="B24" s="2"/>
      <c r="G24" s="3"/>
    </row>
    <row xmlns:x14ac="http://schemas.microsoft.com/office/spreadsheetml/2009/9/ac" r="25" x14ac:dyDescent="0.35">
      <c r="B25" s="2"/>
      <c r="G25" s="3"/>
    </row>
    <row xmlns:x14ac="http://schemas.microsoft.com/office/spreadsheetml/2009/9/ac" r="26" x14ac:dyDescent="0.35">
      <c r="B26" s="2"/>
      <c r="G26" s="3"/>
    </row>
    <row xmlns:x14ac="http://schemas.microsoft.com/office/spreadsheetml/2009/9/ac" r="27" x14ac:dyDescent="0.35">
      <c r="B27" s="125"/>
      <c r="C27" s="1"/>
      <c r="D27" s="1"/>
      <c r="E27" s="1"/>
      <c r="F27" s="1"/>
      <c r="G2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EDDC-C9DF-433A-901D-2589F92891DE}">
  <dimension ref="A1:O125"/>
  <sheetViews>
    <sheetView workbookViewId="0"/>
  </sheetViews>
  <sheetFormatPr xmlns:x14ac="http://schemas.microsoft.com/office/spreadsheetml/2009/9/ac" defaultRowHeight="14.5" x14ac:dyDescent="0.35"/>
  <cols>
    <col min="1" max="1" width="15.81640625" customWidth="true"/>
    <col min="2" max="2" width="32" bestFit="true" customWidth="true"/>
    <col min="3" max="3" width="27.1796875" bestFit="true" customWidth="true"/>
    <col min="13" max="13" width="11" bestFit="true" customWidth="true"/>
    <col min="14" max="14" width="27.1796875" bestFit="true" customWidth="true"/>
    <col min="15" max="15" width="21.54296875" bestFit="true" customWidth="true"/>
  </cols>
  <sheetData>
    <row xmlns:x14ac="http://schemas.microsoft.com/office/spreadsheetml/2009/9/ac" r="1" x14ac:dyDescent="0.35">
      <c r="A1" s="153" t="s">
        <v>438</v>
      </c>
      <c r="M1" t="s">
        <v>439</v>
      </c>
    </row>
    <row xmlns:x14ac="http://schemas.microsoft.com/office/spreadsheetml/2009/9/ac" r="2" x14ac:dyDescent="0.35">
      <c r="M2" t="s">
        <v>281</v>
      </c>
      <c r="N2" t="s">
        <v>440</v>
      </c>
      <c r="O2" t="s">
        <v>441</v>
      </c>
    </row>
    <row xmlns:x14ac="http://schemas.microsoft.com/office/spreadsheetml/2009/9/ac" r="3" x14ac:dyDescent="0.35">
      <c r="A3" t="s">
        <v>281</v>
      </c>
      <c r="B3" t="s">
        <v>442</v>
      </c>
      <c r="C3" t="s">
        <v>440</v>
      </c>
      <c r="M3" t="s">
        <v>281</v>
      </c>
      <c r="N3" t="s">
        <v>443</v>
      </c>
      <c r="O3" t="s">
        <v>443</v>
      </c>
    </row>
    <row xmlns:x14ac="http://schemas.microsoft.com/office/spreadsheetml/2009/9/ac" r="4" x14ac:dyDescent="0.35">
      <c r="A4" t="s">
        <v>281</v>
      </c>
      <c r="B4" t="s">
        <v>443</v>
      </c>
      <c r="C4" t="s">
        <v>443</v>
      </c>
      <c r="M4" t="s">
        <v>444</v>
      </c>
      <c r="N4">
        <v>0</v>
      </c>
      <c r="O4">
        <v>0.70499999999999996</v>
      </c>
    </row>
    <row xmlns:x14ac="http://schemas.microsoft.com/office/spreadsheetml/2009/9/ac" r="5" x14ac:dyDescent="0.35">
      <c r="A5" t="s">
        <v>444</v>
      </c>
      <c r="B5">
        <v>0.996</v>
      </c>
      <c r="C5">
        <v>0</v>
      </c>
      <c r="M5" t="s">
        <v>445</v>
      </c>
      <c r="N5">
        <v>-0.498</v>
      </c>
      <c r="O5">
        <v>0.68</v>
      </c>
    </row>
    <row xmlns:x14ac="http://schemas.microsoft.com/office/spreadsheetml/2009/9/ac" r="6" x14ac:dyDescent="0.35">
      <c r="A6" t="s">
        <v>445</v>
      </c>
      <c r="B6">
        <v>0.997</v>
      </c>
      <c r="C6">
        <v>-0.49</v>
      </c>
      <c r="M6" t="s">
        <v>446</v>
      </c>
      <c r="N6">
        <v>-0.997</v>
      </c>
      <c r="O6">
        <v>0.66</v>
      </c>
    </row>
    <row xmlns:x14ac="http://schemas.microsoft.com/office/spreadsheetml/2009/9/ac" r="7" x14ac:dyDescent="0.35">
      <c r="A7" t="s">
        <v>446</v>
      </c>
      <c r="B7">
        <v>0.999</v>
      </c>
      <c r="C7">
        <v>-0.99</v>
      </c>
      <c r="M7" t="s">
        <v>447</v>
      </c>
      <c r="N7">
        <v>-1.496</v>
      </c>
      <c r="O7">
        <v>0.63</v>
      </c>
    </row>
    <row xmlns:x14ac="http://schemas.microsoft.com/office/spreadsheetml/2009/9/ac" r="8" x14ac:dyDescent="0.35">
      <c r="A8" t="s">
        <v>447</v>
      </c>
      <c r="B8">
        <v>1</v>
      </c>
      <c r="C8">
        <v>-1.49</v>
      </c>
      <c r="M8" t="s">
        <v>448</v>
      </c>
      <c r="N8">
        <v>-1.994</v>
      </c>
      <c r="O8">
        <v>0.61</v>
      </c>
    </row>
    <row xmlns:x14ac="http://schemas.microsoft.com/office/spreadsheetml/2009/9/ac" r="9" x14ac:dyDescent="0.35">
      <c r="A9" t="s">
        <v>448</v>
      </c>
      <c r="B9">
        <v>1.002</v>
      </c>
      <c r="C9">
        <v>-1.99</v>
      </c>
      <c r="M9" t="s">
        <v>449</v>
      </c>
      <c r="N9">
        <v>-2.4929999999999999</v>
      </c>
      <c r="O9">
        <v>0.59</v>
      </c>
    </row>
    <row xmlns:x14ac="http://schemas.microsoft.com/office/spreadsheetml/2009/9/ac" r="10" x14ac:dyDescent="0.35">
      <c r="A10" t="s">
        <v>449</v>
      </c>
      <c r="B10">
        <v>1.0029999999999999</v>
      </c>
      <c r="C10">
        <v>-2.4900000000000002</v>
      </c>
      <c r="M10" t="s">
        <v>450</v>
      </c>
      <c r="N10">
        <v>-2.9910000000000001</v>
      </c>
      <c r="O10">
        <v>0.56000000000000005</v>
      </c>
    </row>
    <row xmlns:x14ac="http://schemas.microsoft.com/office/spreadsheetml/2009/9/ac" r="11" x14ac:dyDescent="0.35">
      <c r="A11" t="s">
        <v>450</v>
      </c>
      <c r="B11">
        <v>1.0049999999999999</v>
      </c>
      <c r="C11">
        <v>-2.99</v>
      </c>
      <c r="M11" t="s">
        <v>451</v>
      </c>
      <c r="N11">
        <v>-3.4889999999999999</v>
      </c>
      <c r="O11">
        <v>0.54</v>
      </c>
    </row>
    <row xmlns:x14ac="http://schemas.microsoft.com/office/spreadsheetml/2009/9/ac" r="12" x14ac:dyDescent="0.35">
      <c r="A12" t="s">
        <v>451</v>
      </c>
      <c r="B12">
        <v>1.006</v>
      </c>
      <c r="C12">
        <v>-3.48</v>
      </c>
      <c r="M12" t="s">
        <v>452</v>
      </c>
      <c r="N12">
        <v>-3.9860000000000002</v>
      </c>
      <c r="O12">
        <v>0.52</v>
      </c>
    </row>
    <row xmlns:x14ac="http://schemas.microsoft.com/office/spreadsheetml/2009/9/ac" r="13" x14ac:dyDescent="0.35">
      <c r="A13" t="s">
        <v>452</v>
      </c>
      <c r="B13">
        <v>1.0069999999999999</v>
      </c>
      <c r="C13">
        <v>-3.98</v>
      </c>
      <c r="M13" t="s">
        <v>453</v>
      </c>
      <c r="N13">
        <v>-4.484</v>
      </c>
      <c r="O13">
        <v>0.49</v>
      </c>
    </row>
    <row xmlns:x14ac="http://schemas.microsoft.com/office/spreadsheetml/2009/9/ac" r="14" x14ac:dyDescent="0.35">
      <c r="A14" t="s">
        <v>453</v>
      </c>
      <c r="B14">
        <v>1.008</v>
      </c>
      <c r="C14">
        <v>-4.4800000000000004</v>
      </c>
      <c r="M14" t="s">
        <v>454</v>
      </c>
      <c r="N14">
        <v>-4.9809999999999999</v>
      </c>
      <c r="O14">
        <v>0.47</v>
      </c>
    </row>
    <row xmlns:x14ac="http://schemas.microsoft.com/office/spreadsheetml/2009/9/ac" r="15" x14ac:dyDescent="0.35">
      <c r="A15" t="s">
        <v>454</v>
      </c>
      <c r="B15">
        <v>1.01</v>
      </c>
      <c r="C15">
        <v>-4.9800000000000004</v>
      </c>
      <c r="M15" t="s">
        <v>455</v>
      </c>
      <c r="N15">
        <v>-5.4779999999999998</v>
      </c>
      <c r="O15">
        <v>0.45</v>
      </c>
    </row>
    <row xmlns:x14ac="http://schemas.microsoft.com/office/spreadsheetml/2009/9/ac" r="16" x14ac:dyDescent="0.35">
      <c r="A16" t="s">
        <v>455</v>
      </c>
      <c r="B16">
        <v>1.0109999999999999</v>
      </c>
      <c r="C16">
        <v>-5.47</v>
      </c>
      <c r="M16" t="s">
        <v>456</v>
      </c>
      <c r="N16">
        <v>-5.9749999999999996</v>
      </c>
      <c r="O16">
        <v>0.43</v>
      </c>
    </row>
    <row xmlns:x14ac="http://schemas.microsoft.com/office/spreadsheetml/2009/9/ac" r="17" x14ac:dyDescent="0.35">
      <c r="A17" t="s">
        <v>456</v>
      </c>
      <c r="B17">
        <v>1.012</v>
      </c>
      <c r="C17">
        <v>-5.97</v>
      </c>
      <c r="M17" t="s">
        <v>457</v>
      </c>
      <c r="N17">
        <v>-6.4720000000000004</v>
      </c>
      <c r="O17">
        <v>0.4</v>
      </c>
    </row>
    <row xmlns:x14ac="http://schemas.microsoft.com/office/spreadsheetml/2009/9/ac" r="18" x14ac:dyDescent="0.35">
      <c r="A18" t="s">
        <v>457</v>
      </c>
      <c r="B18">
        <v>1.0129999999999999</v>
      </c>
      <c r="C18">
        <v>-6.47</v>
      </c>
      <c r="M18" t="s">
        <v>458</v>
      </c>
      <c r="N18">
        <v>-6.9690000000000003</v>
      </c>
      <c r="O18">
        <v>0.38</v>
      </c>
    </row>
    <row xmlns:x14ac="http://schemas.microsoft.com/office/spreadsheetml/2009/9/ac" r="19" x14ac:dyDescent="0.35">
      <c r="A19" t="s">
        <v>458</v>
      </c>
      <c r="B19">
        <v>1.014</v>
      </c>
      <c r="C19">
        <v>-6.96</v>
      </c>
      <c r="M19" t="s">
        <v>459</v>
      </c>
      <c r="N19">
        <v>-7.4649999999999999</v>
      </c>
      <c r="O19">
        <v>0.35</v>
      </c>
    </row>
    <row xmlns:x14ac="http://schemas.microsoft.com/office/spreadsheetml/2009/9/ac" r="20" x14ac:dyDescent="0.35">
      <c r="A20" t="s">
        <v>459</v>
      </c>
      <c r="B20">
        <v>1.014</v>
      </c>
      <c r="C20">
        <v>-7.46</v>
      </c>
      <c r="M20" t="s">
        <v>460</v>
      </c>
      <c r="N20">
        <v>-7.9619999999999997</v>
      </c>
      <c r="O20">
        <v>0.33</v>
      </c>
    </row>
    <row xmlns:x14ac="http://schemas.microsoft.com/office/spreadsheetml/2009/9/ac" r="21" x14ac:dyDescent="0.35">
      <c r="A21" t="s">
        <v>460</v>
      </c>
      <c r="B21">
        <v>1.0149999999999999</v>
      </c>
      <c r="C21">
        <v>-7.96</v>
      </c>
      <c r="M21" t="s">
        <v>461</v>
      </c>
      <c r="N21">
        <v>-8.4580000000000002</v>
      </c>
      <c r="O21">
        <v>0.31</v>
      </c>
    </row>
    <row xmlns:x14ac="http://schemas.microsoft.com/office/spreadsheetml/2009/9/ac" r="22" x14ac:dyDescent="0.35">
      <c r="A22" t="s">
        <v>461</v>
      </c>
      <c r="B22">
        <v>1.016</v>
      </c>
      <c r="C22">
        <v>-8.4499999999999993</v>
      </c>
      <c r="M22" t="s">
        <v>462</v>
      </c>
      <c r="N22">
        <v>-8.9550000000000001</v>
      </c>
      <c r="O22">
        <v>0.28000000000000003</v>
      </c>
    </row>
    <row xmlns:x14ac="http://schemas.microsoft.com/office/spreadsheetml/2009/9/ac" r="23" x14ac:dyDescent="0.35">
      <c r="A23" t="s">
        <v>462</v>
      </c>
      <c r="B23">
        <v>1.0169999999999999</v>
      </c>
      <c r="C23">
        <v>-8.9499999999999993</v>
      </c>
      <c r="M23" t="s">
        <v>463</v>
      </c>
      <c r="N23">
        <v>-9.4510000000000005</v>
      </c>
      <c r="O23">
        <v>0.26</v>
      </c>
    </row>
    <row xmlns:x14ac="http://schemas.microsoft.com/office/spreadsheetml/2009/9/ac" r="24" x14ac:dyDescent="0.35">
      <c r="A24" t="s">
        <v>463</v>
      </c>
      <c r="B24">
        <v>1.018</v>
      </c>
      <c r="C24">
        <v>-9.4499999999999993</v>
      </c>
      <c r="M24" t="s">
        <v>464</v>
      </c>
      <c r="N24">
        <v>-9.9469999999999992</v>
      </c>
      <c r="O24">
        <v>0.24</v>
      </c>
    </row>
    <row xmlns:x14ac="http://schemas.microsoft.com/office/spreadsheetml/2009/9/ac" r="25" x14ac:dyDescent="0.35">
      <c r="A25" t="s">
        <v>464</v>
      </c>
      <c r="B25">
        <v>1.018</v>
      </c>
      <c r="C25">
        <v>-9.94</v>
      </c>
      <c r="M25" t="s">
        <v>465</v>
      </c>
      <c r="N25">
        <v>-10.443</v>
      </c>
      <c r="O25">
        <v>0.21</v>
      </c>
    </row>
    <row xmlns:x14ac="http://schemas.microsoft.com/office/spreadsheetml/2009/9/ac" r="26" x14ac:dyDescent="0.35">
      <c r="A26" t="s">
        <v>465</v>
      </c>
      <c r="B26">
        <v>1.0189999999999999</v>
      </c>
      <c r="C26">
        <v>-10.44</v>
      </c>
      <c r="M26" t="s">
        <v>466</v>
      </c>
      <c r="N26">
        <v>-10.939</v>
      </c>
      <c r="O26">
        <v>0.19</v>
      </c>
    </row>
    <row xmlns:x14ac="http://schemas.microsoft.com/office/spreadsheetml/2009/9/ac" r="27" x14ac:dyDescent="0.35">
      <c r="A27" t="s">
        <v>466</v>
      </c>
      <c r="B27">
        <v>1.02</v>
      </c>
      <c r="C27">
        <v>-10.93</v>
      </c>
      <c r="M27" t="s">
        <v>467</v>
      </c>
      <c r="N27">
        <v>-11.435</v>
      </c>
      <c r="O27">
        <v>0.17</v>
      </c>
    </row>
    <row xmlns:x14ac="http://schemas.microsoft.com/office/spreadsheetml/2009/9/ac" r="28" x14ac:dyDescent="0.35">
      <c r="A28" t="s">
        <v>467</v>
      </c>
      <c r="B28">
        <v>1.02</v>
      </c>
      <c r="C28">
        <v>-11.43</v>
      </c>
      <c r="M28" t="s">
        <v>468</v>
      </c>
      <c r="N28">
        <v>-11.930999999999999</v>
      </c>
      <c r="O28">
        <v>0.14000000000000001</v>
      </c>
    </row>
    <row xmlns:x14ac="http://schemas.microsoft.com/office/spreadsheetml/2009/9/ac" r="29" x14ac:dyDescent="0.35">
      <c r="A29" t="s">
        <v>468</v>
      </c>
      <c r="B29">
        <v>1.0209999999999999</v>
      </c>
      <c r="C29">
        <v>-11.93</v>
      </c>
      <c r="M29" t="s">
        <v>469</v>
      </c>
      <c r="N29">
        <v>-12.426</v>
      </c>
      <c r="O29">
        <v>0.12</v>
      </c>
    </row>
    <row xmlns:x14ac="http://schemas.microsoft.com/office/spreadsheetml/2009/9/ac" r="30" x14ac:dyDescent="0.35">
      <c r="A30" t="s">
        <v>469</v>
      </c>
      <c r="B30">
        <v>1.0209999999999999</v>
      </c>
      <c r="C30">
        <v>-12.42</v>
      </c>
      <c r="M30" t="s">
        <v>470</v>
      </c>
      <c r="N30">
        <v>-12.922000000000001</v>
      </c>
      <c r="O30">
        <v>0.09</v>
      </c>
    </row>
    <row xmlns:x14ac="http://schemas.microsoft.com/office/spreadsheetml/2009/9/ac" r="31" x14ac:dyDescent="0.35">
      <c r="A31" t="s">
        <v>470</v>
      </c>
      <c r="B31">
        <v>1.022</v>
      </c>
      <c r="C31">
        <v>-12.92</v>
      </c>
      <c r="M31" t="s">
        <v>471</v>
      </c>
      <c r="N31">
        <v>-13.417999999999999</v>
      </c>
      <c r="O31">
        <v>7.0000000000000007E-2</v>
      </c>
    </row>
    <row xmlns:x14ac="http://schemas.microsoft.com/office/spreadsheetml/2009/9/ac" r="32" x14ac:dyDescent="0.35">
      <c r="A32" t="s">
        <v>471</v>
      </c>
      <c r="B32">
        <v>1.022</v>
      </c>
      <c r="C32">
        <v>-13.41</v>
      </c>
      <c r="M32" t="s">
        <v>472</v>
      </c>
      <c r="N32">
        <v>-13.914</v>
      </c>
      <c r="O32">
        <v>0.04</v>
      </c>
    </row>
    <row xmlns:x14ac="http://schemas.microsoft.com/office/spreadsheetml/2009/9/ac" r="33" x14ac:dyDescent="0.35">
      <c r="A33" t="s">
        <v>472</v>
      </c>
      <c r="B33">
        <v>1.022</v>
      </c>
      <c r="C33">
        <v>-13.91</v>
      </c>
      <c r="M33" t="s">
        <v>473</v>
      </c>
      <c r="N33">
        <v>-14.409000000000001</v>
      </c>
      <c r="O33">
        <v>0.02</v>
      </c>
    </row>
    <row xmlns:x14ac="http://schemas.microsoft.com/office/spreadsheetml/2009/9/ac" r="34" x14ac:dyDescent="0.35">
      <c r="A34" t="s">
        <v>473</v>
      </c>
      <c r="B34">
        <v>1.0229999999999999</v>
      </c>
      <c r="C34">
        <v>-14.4</v>
      </c>
      <c r="M34" t="s">
        <v>474</v>
      </c>
      <c r="N34">
        <v>-14.904999999999999</v>
      </c>
      <c r="O34">
        <v>0</v>
      </c>
    </row>
    <row xmlns:x14ac="http://schemas.microsoft.com/office/spreadsheetml/2009/9/ac" r="35" x14ac:dyDescent="0.35">
      <c r="A35" t="s">
        <v>474</v>
      </c>
      <c r="B35">
        <v>1.0229999999999999</v>
      </c>
      <c r="C35">
        <v>-14.9</v>
      </c>
      <c r="M35" t="s">
        <v>475</v>
      </c>
      <c r="N35">
        <v>-15.401</v>
      </c>
      <c r="O35">
        <v>-0.02</v>
      </c>
    </row>
    <row xmlns:x14ac="http://schemas.microsoft.com/office/spreadsheetml/2009/9/ac" r="36" x14ac:dyDescent="0.35">
      <c r="A36" t="s">
        <v>475</v>
      </c>
      <c r="B36">
        <v>1.0229999999999999</v>
      </c>
      <c r="C36">
        <v>-15.4</v>
      </c>
      <c r="M36" t="s">
        <v>476</v>
      </c>
      <c r="N36">
        <v>-15.897</v>
      </c>
      <c r="O36">
        <v>-0.04</v>
      </c>
    </row>
    <row xmlns:x14ac="http://schemas.microsoft.com/office/spreadsheetml/2009/9/ac" r="37" x14ac:dyDescent="0.35">
      <c r="A37" t="s">
        <v>476</v>
      </c>
      <c r="B37">
        <v>1.024</v>
      </c>
      <c r="C37">
        <v>-15.89</v>
      </c>
      <c r="M37" t="s">
        <v>477</v>
      </c>
      <c r="N37">
        <v>-16.393000000000001</v>
      </c>
      <c r="O37">
        <v>-7.0000000000000007E-2</v>
      </c>
    </row>
    <row xmlns:x14ac="http://schemas.microsoft.com/office/spreadsheetml/2009/9/ac" r="38" x14ac:dyDescent="0.35">
      <c r="A38" t="s">
        <v>477</v>
      </c>
      <c r="B38">
        <v>1.024</v>
      </c>
      <c r="C38">
        <v>-16.39</v>
      </c>
      <c r="M38" t="s">
        <v>478</v>
      </c>
      <c r="N38">
        <v>-16.888000000000002</v>
      </c>
      <c r="O38">
        <v>-0.09</v>
      </c>
    </row>
    <row xmlns:x14ac="http://schemas.microsoft.com/office/spreadsheetml/2009/9/ac" r="39" x14ac:dyDescent="0.35">
      <c r="A39" t="s">
        <v>478</v>
      </c>
      <c r="B39">
        <v>1.024</v>
      </c>
      <c r="C39">
        <v>-16.88</v>
      </c>
      <c r="M39" t="s">
        <v>479</v>
      </c>
      <c r="N39">
        <v>-17.384</v>
      </c>
      <c r="O39">
        <v>-0.12</v>
      </c>
    </row>
    <row xmlns:x14ac="http://schemas.microsoft.com/office/spreadsheetml/2009/9/ac" r="40" x14ac:dyDescent="0.35">
      <c r="A40" t="s">
        <v>479</v>
      </c>
      <c r="B40">
        <v>1.024</v>
      </c>
      <c r="C40">
        <v>-17.38</v>
      </c>
      <c r="M40" t="s">
        <v>480</v>
      </c>
      <c r="N40">
        <v>-17.88</v>
      </c>
      <c r="O40">
        <v>-0.14000000000000001</v>
      </c>
    </row>
    <row xmlns:x14ac="http://schemas.microsoft.com/office/spreadsheetml/2009/9/ac" r="41" x14ac:dyDescent="0.35">
      <c r="A41" t="s">
        <v>480</v>
      </c>
      <c r="B41">
        <v>1.024</v>
      </c>
      <c r="C41">
        <v>-17.88</v>
      </c>
      <c r="M41" t="s">
        <v>481</v>
      </c>
      <c r="N41">
        <v>-18.376000000000001</v>
      </c>
      <c r="O41">
        <v>-0.17</v>
      </c>
    </row>
    <row xmlns:x14ac="http://schemas.microsoft.com/office/spreadsheetml/2009/9/ac" r="42" x14ac:dyDescent="0.35">
      <c r="A42" t="s">
        <v>481</v>
      </c>
      <c r="B42">
        <v>1.024</v>
      </c>
      <c r="C42">
        <v>-18.37</v>
      </c>
      <c r="M42" t="s">
        <v>482</v>
      </c>
      <c r="N42">
        <v>-18.872</v>
      </c>
      <c r="O42">
        <v>-0.19</v>
      </c>
    </row>
    <row xmlns:x14ac="http://schemas.microsoft.com/office/spreadsheetml/2009/9/ac" r="43" x14ac:dyDescent="0.35">
      <c r="A43" t="s">
        <v>482</v>
      </c>
      <c r="B43">
        <v>1.024</v>
      </c>
      <c r="C43">
        <v>-18.87</v>
      </c>
      <c r="M43" t="s">
        <v>483</v>
      </c>
      <c r="N43">
        <v>-19.367999999999999</v>
      </c>
      <c r="O43">
        <v>-0.22</v>
      </c>
    </row>
    <row xmlns:x14ac="http://schemas.microsoft.com/office/spreadsheetml/2009/9/ac" r="44" x14ac:dyDescent="0.35">
      <c r="A44" t="s">
        <v>483</v>
      </c>
      <c r="B44">
        <v>1.024</v>
      </c>
      <c r="C44">
        <v>-19.36</v>
      </c>
      <c r="M44" t="s">
        <v>484</v>
      </c>
      <c r="N44">
        <v>-19.864999999999998</v>
      </c>
      <c r="O44">
        <v>-0.24</v>
      </c>
    </row>
    <row xmlns:x14ac="http://schemas.microsoft.com/office/spreadsheetml/2009/9/ac" r="45" x14ac:dyDescent="0.35">
      <c r="A45" t="s">
        <v>484</v>
      </c>
      <c r="B45">
        <v>1.0249999999999999</v>
      </c>
      <c r="C45">
        <v>-19.86</v>
      </c>
      <c r="M45" t="s">
        <v>485</v>
      </c>
      <c r="N45">
        <v>-20.361000000000001</v>
      </c>
      <c r="O45">
        <v>-0.27</v>
      </c>
    </row>
    <row xmlns:x14ac="http://schemas.microsoft.com/office/spreadsheetml/2009/9/ac" r="46" x14ac:dyDescent="0.35">
      <c r="A46" t="s">
        <v>485</v>
      </c>
      <c r="B46">
        <v>1.0249999999999999</v>
      </c>
      <c r="C46">
        <v>-20.36</v>
      </c>
      <c r="M46" t="s">
        <v>486</v>
      </c>
      <c r="N46">
        <v>-20.856999999999999</v>
      </c>
      <c r="O46">
        <v>-0.28999999999999998</v>
      </c>
    </row>
    <row xmlns:x14ac="http://schemas.microsoft.com/office/spreadsheetml/2009/9/ac" r="47" x14ac:dyDescent="0.35">
      <c r="A47" t="s">
        <v>486</v>
      </c>
      <c r="B47">
        <v>1.024</v>
      </c>
      <c r="C47">
        <v>-20.85</v>
      </c>
      <c r="M47" t="s">
        <v>487</v>
      </c>
      <c r="N47">
        <v>-21.353999999999999</v>
      </c>
      <c r="O47">
        <v>-0.32</v>
      </c>
    </row>
    <row xmlns:x14ac="http://schemas.microsoft.com/office/spreadsheetml/2009/9/ac" r="48" x14ac:dyDescent="0.35">
      <c r="A48" t="s">
        <v>487</v>
      </c>
      <c r="B48">
        <v>1.024</v>
      </c>
      <c r="C48">
        <v>-21.35</v>
      </c>
      <c r="M48" t="s">
        <v>488</v>
      </c>
      <c r="N48">
        <v>-21.85</v>
      </c>
      <c r="O48">
        <v>-0.34</v>
      </c>
    </row>
    <row xmlns:x14ac="http://schemas.microsoft.com/office/spreadsheetml/2009/9/ac" r="49" x14ac:dyDescent="0.35">
      <c r="A49" t="s">
        <v>488</v>
      </c>
      <c r="B49">
        <v>1.024</v>
      </c>
      <c r="C49">
        <v>-21.85</v>
      </c>
      <c r="M49" t="s">
        <v>489</v>
      </c>
      <c r="N49">
        <v>-22.347000000000001</v>
      </c>
      <c r="O49">
        <v>-0.37</v>
      </c>
    </row>
    <row xmlns:x14ac="http://schemas.microsoft.com/office/spreadsheetml/2009/9/ac" r="50" x14ac:dyDescent="0.35">
      <c r="A50" t="s">
        <v>489</v>
      </c>
      <c r="B50">
        <v>1.024</v>
      </c>
      <c r="C50">
        <v>-22.34</v>
      </c>
      <c r="M50" t="s">
        <v>490</v>
      </c>
      <c r="N50">
        <v>-22.843</v>
      </c>
      <c r="O50">
        <v>-0.39</v>
      </c>
    </row>
    <row xmlns:x14ac="http://schemas.microsoft.com/office/spreadsheetml/2009/9/ac" r="51" x14ac:dyDescent="0.35">
      <c r="A51" t="s">
        <v>490</v>
      </c>
      <c r="B51">
        <v>1.024</v>
      </c>
      <c r="C51">
        <v>-22.84</v>
      </c>
      <c r="M51" t="s">
        <v>491</v>
      </c>
      <c r="N51">
        <v>-23.34</v>
      </c>
      <c r="O51">
        <v>-0.42</v>
      </c>
    </row>
    <row xmlns:x14ac="http://schemas.microsoft.com/office/spreadsheetml/2009/9/ac" r="52" x14ac:dyDescent="0.35">
      <c r="A52" t="s">
        <v>491</v>
      </c>
      <c r="B52">
        <v>1.024</v>
      </c>
      <c r="C52">
        <v>-23.34</v>
      </c>
      <c r="M52" t="s">
        <v>492</v>
      </c>
      <c r="N52">
        <v>-23.837</v>
      </c>
      <c r="O52">
        <v>-0.45</v>
      </c>
    </row>
    <row xmlns:x14ac="http://schemas.microsoft.com/office/spreadsheetml/2009/9/ac" r="53" x14ac:dyDescent="0.35">
      <c r="A53" t="s">
        <v>492</v>
      </c>
      <c r="B53">
        <v>1.024</v>
      </c>
      <c r="C53">
        <v>-23.83</v>
      </c>
      <c r="M53" t="s">
        <v>493</v>
      </c>
      <c r="N53">
        <v>-24.334</v>
      </c>
      <c r="O53">
        <v>-0.47</v>
      </c>
    </row>
    <row xmlns:x14ac="http://schemas.microsoft.com/office/spreadsheetml/2009/9/ac" r="54" x14ac:dyDescent="0.35">
      <c r="A54" t="s">
        <v>493</v>
      </c>
      <c r="B54">
        <v>1.024</v>
      </c>
      <c r="C54">
        <v>-24.33</v>
      </c>
      <c r="M54" t="s">
        <v>494</v>
      </c>
      <c r="N54">
        <v>-24.831</v>
      </c>
      <c r="O54">
        <v>-0.5</v>
      </c>
    </row>
    <row xmlns:x14ac="http://schemas.microsoft.com/office/spreadsheetml/2009/9/ac" r="55" x14ac:dyDescent="0.35">
      <c r="A55" t="s">
        <v>494</v>
      </c>
      <c r="B55">
        <v>1.0229999999999999</v>
      </c>
      <c r="C55">
        <v>-24.83</v>
      </c>
      <c r="M55" t="s">
        <v>495</v>
      </c>
      <c r="N55">
        <v>-25.327999999999999</v>
      </c>
      <c r="O55">
        <v>-0.52</v>
      </c>
    </row>
    <row xmlns:x14ac="http://schemas.microsoft.com/office/spreadsheetml/2009/9/ac" r="56" x14ac:dyDescent="0.35">
      <c r="A56" t="s">
        <v>495</v>
      </c>
      <c r="B56">
        <v>1.0229999999999999</v>
      </c>
      <c r="C56">
        <v>-25.32</v>
      </c>
      <c r="M56" t="s">
        <v>496</v>
      </c>
      <c r="N56">
        <v>-25.826000000000001</v>
      </c>
      <c r="O56">
        <v>-0.55000000000000004</v>
      </c>
    </row>
    <row xmlns:x14ac="http://schemas.microsoft.com/office/spreadsheetml/2009/9/ac" r="57" x14ac:dyDescent="0.35">
      <c r="A57" t="s">
        <v>496</v>
      </c>
      <c r="B57">
        <v>1.0229999999999999</v>
      </c>
      <c r="C57">
        <v>-25.82</v>
      </c>
      <c r="M57" t="s">
        <v>497</v>
      </c>
      <c r="N57">
        <v>-26.323</v>
      </c>
      <c r="O57">
        <v>-0.56999999999999995</v>
      </c>
    </row>
    <row xmlns:x14ac="http://schemas.microsoft.com/office/spreadsheetml/2009/9/ac" r="58" x14ac:dyDescent="0.35">
      <c r="A58" t="s">
        <v>497</v>
      </c>
      <c r="B58">
        <v>1.0229999999999999</v>
      </c>
      <c r="C58">
        <v>-26.32</v>
      </c>
      <c r="M58" t="s">
        <v>498</v>
      </c>
      <c r="N58">
        <v>-26.821000000000002</v>
      </c>
      <c r="O58">
        <v>-0.6</v>
      </c>
    </row>
    <row xmlns:x14ac="http://schemas.microsoft.com/office/spreadsheetml/2009/9/ac" r="59" x14ac:dyDescent="0.35">
      <c r="A59" t="s">
        <v>498</v>
      </c>
      <c r="B59">
        <v>1.022</v>
      </c>
      <c r="C59">
        <v>-26.82</v>
      </c>
      <c r="M59" t="s">
        <v>499</v>
      </c>
      <c r="N59">
        <v>-27.318000000000001</v>
      </c>
      <c r="O59">
        <v>-0.63</v>
      </c>
    </row>
    <row xmlns:x14ac="http://schemas.microsoft.com/office/spreadsheetml/2009/9/ac" r="60" x14ac:dyDescent="0.35">
      <c r="A60" t="s">
        <v>499</v>
      </c>
      <c r="B60">
        <v>1.022</v>
      </c>
      <c r="C60">
        <v>-27.31</v>
      </c>
      <c r="M60" t="s">
        <v>500</v>
      </c>
      <c r="N60">
        <v>-27.815999999999999</v>
      </c>
      <c r="O60">
        <v>-0.65</v>
      </c>
    </row>
    <row xmlns:x14ac="http://schemas.microsoft.com/office/spreadsheetml/2009/9/ac" r="61" x14ac:dyDescent="0.35">
      <c r="A61" t="s">
        <v>500</v>
      </c>
      <c r="B61">
        <v>1.022</v>
      </c>
      <c r="C61">
        <v>-27.81</v>
      </c>
      <c r="M61" t="s">
        <v>501</v>
      </c>
      <c r="N61">
        <v>-28.314</v>
      </c>
      <c r="O61">
        <v>-0.68</v>
      </c>
    </row>
    <row xmlns:x14ac="http://schemas.microsoft.com/office/spreadsheetml/2009/9/ac" r="62" x14ac:dyDescent="0.35">
      <c r="A62" t="s">
        <v>501</v>
      </c>
      <c r="B62">
        <v>1.022</v>
      </c>
      <c r="C62">
        <v>-28.31</v>
      </c>
      <c r="M62" t="s">
        <v>502</v>
      </c>
      <c r="N62">
        <v>-28.812000000000001</v>
      </c>
      <c r="O62">
        <v>-0.71</v>
      </c>
    </row>
    <row xmlns:x14ac="http://schemas.microsoft.com/office/spreadsheetml/2009/9/ac" r="63" x14ac:dyDescent="0.35">
      <c r="A63" t="s">
        <v>502</v>
      </c>
      <c r="B63">
        <v>1.0209999999999999</v>
      </c>
      <c r="C63">
        <v>-28.81</v>
      </c>
      <c r="M63" t="s">
        <v>503</v>
      </c>
      <c r="N63">
        <v>-29.31</v>
      </c>
      <c r="O63">
        <v>-0.73</v>
      </c>
    </row>
    <row xmlns:x14ac="http://schemas.microsoft.com/office/spreadsheetml/2009/9/ac" r="64" x14ac:dyDescent="0.35">
      <c r="A64" t="s">
        <v>503</v>
      </c>
      <c r="B64">
        <v>1.0209999999999999</v>
      </c>
      <c r="C64">
        <v>-29.31</v>
      </c>
      <c r="M64" t="s">
        <v>504</v>
      </c>
      <c r="N64">
        <v>-29.809000000000001</v>
      </c>
      <c r="O64">
        <v>-0.76</v>
      </c>
    </row>
    <row xmlns:x14ac="http://schemas.microsoft.com/office/spreadsheetml/2009/9/ac" r="65" x14ac:dyDescent="0.35">
      <c r="A65" t="s">
        <v>504</v>
      </c>
      <c r="B65">
        <v>1.02</v>
      </c>
      <c r="C65">
        <v>-29.8</v>
      </c>
      <c r="M65" t="s">
        <v>505</v>
      </c>
      <c r="N65">
        <v>-30.306999999999999</v>
      </c>
      <c r="O65">
        <v>-0.78</v>
      </c>
    </row>
    <row xmlns:x14ac="http://schemas.microsoft.com/office/spreadsheetml/2009/9/ac" r="66" x14ac:dyDescent="0.35">
      <c r="A66" t="s">
        <v>505</v>
      </c>
      <c r="B66">
        <v>1.02</v>
      </c>
      <c r="C66">
        <v>-30.3</v>
      </c>
      <c r="M66" t="s">
        <v>506</v>
      </c>
      <c r="N66">
        <v>-30.806000000000001</v>
      </c>
      <c r="O66">
        <v>-0.81</v>
      </c>
    </row>
    <row xmlns:x14ac="http://schemas.microsoft.com/office/spreadsheetml/2009/9/ac" r="67" x14ac:dyDescent="0.35">
      <c r="A67" t="s">
        <v>506</v>
      </c>
      <c r="B67">
        <v>1.02</v>
      </c>
      <c r="C67">
        <v>-30.8</v>
      </c>
      <c r="M67" t="s">
        <v>507</v>
      </c>
      <c r="N67">
        <v>-31.303999999999998</v>
      </c>
      <c r="O67">
        <v>-0.84</v>
      </c>
    </row>
    <row xmlns:x14ac="http://schemas.microsoft.com/office/spreadsheetml/2009/9/ac" r="68" x14ac:dyDescent="0.35">
      <c r="A68" t="s">
        <v>507</v>
      </c>
      <c r="B68">
        <v>1.0189999999999999</v>
      </c>
      <c r="C68">
        <v>-31.3</v>
      </c>
      <c r="M68" t="s">
        <v>508</v>
      </c>
      <c r="N68">
        <v>-31.803000000000001</v>
      </c>
      <c r="O68">
        <v>-0.86</v>
      </c>
    </row>
    <row xmlns:x14ac="http://schemas.microsoft.com/office/spreadsheetml/2009/9/ac" r="69" x14ac:dyDescent="0.35">
      <c r="A69" t="s">
        <v>508</v>
      </c>
      <c r="B69">
        <v>1.0189999999999999</v>
      </c>
      <c r="C69">
        <v>-31.8</v>
      </c>
      <c r="M69" t="s">
        <v>509</v>
      </c>
      <c r="N69">
        <v>-32.302</v>
      </c>
      <c r="O69">
        <v>-0.89</v>
      </c>
    </row>
    <row xmlns:x14ac="http://schemas.microsoft.com/office/spreadsheetml/2009/9/ac" r="70" x14ac:dyDescent="0.35">
      <c r="A70" t="s">
        <v>509</v>
      </c>
      <c r="B70">
        <v>1.018</v>
      </c>
      <c r="C70">
        <v>-32.299999999999997</v>
      </c>
      <c r="M70" t="s">
        <v>510</v>
      </c>
      <c r="N70">
        <v>-32.801000000000002</v>
      </c>
      <c r="O70">
        <v>-0.92</v>
      </c>
    </row>
    <row xmlns:x14ac="http://schemas.microsoft.com/office/spreadsheetml/2009/9/ac" r="71" x14ac:dyDescent="0.35">
      <c r="A71" t="s">
        <v>510</v>
      </c>
      <c r="B71">
        <v>1.018</v>
      </c>
      <c r="C71">
        <v>-32.799999999999997</v>
      </c>
      <c r="M71" t="s">
        <v>511</v>
      </c>
      <c r="N71">
        <v>-33.299999999999997</v>
      </c>
      <c r="O71">
        <v>-0.94</v>
      </c>
    </row>
    <row xmlns:x14ac="http://schemas.microsoft.com/office/spreadsheetml/2009/9/ac" r="72" x14ac:dyDescent="0.35">
      <c r="A72" t="s">
        <v>511</v>
      </c>
      <c r="B72">
        <v>1.0169999999999999</v>
      </c>
      <c r="C72">
        <v>-33.299999999999997</v>
      </c>
      <c r="M72" t="s">
        <v>512</v>
      </c>
      <c r="N72">
        <v>-33.799999999999997</v>
      </c>
      <c r="O72">
        <v>-0.97</v>
      </c>
    </row>
    <row xmlns:x14ac="http://schemas.microsoft.com/office/spreadsheetml/2009/9/ac" r="73" x14ac:dyDescent="0.35">
      <c r="A73" t="s">
        <v>512</v>
      </c>
      <c r="B73">
        <v>1.0169999999999999</v>
      </c>
      <c r="C73">
        <v>-33.799999999999997</v>
      </c>
      <c r="M73" t="s">
        <v>513</v>
      </c>
      <c r="N73">
        <v>-34.298999999999999</v>
      </c>
      <c r="O73">
        <v>-1</v>
      </c>
    </row>
    <row xmlns:x14ac="http://schemas.microsoft.com/office/spreadsheetml/2009/9/ac" r="74" x14ac:dyDescent="0.35">
      <c r="A74" t="s">
        <v>513</v>
      </c>
      <c r="B74">
        <v>1.0169999999999999</v>
      </c>
      <c r="C74">
        <v>-34.29</v>
      </c>
      <c r="M74" t="s">
        <v>514</v>
      </c>
      <c r="N74">
        <v>-34.798999999999999</v>
      </c>
      <c r="O74">
        <v>-1.02</v>
      </c>
    </row>
    <row xmlns:x14ac="http://schemas.microsoft.com/office/spreadsheetml/2009/9/ac" r="75" x14ac:dyDescent="0.35">
      <c r="A75" t="s">
        <v>514</v>
      </c>
      <c r="B75">
        <v>1.016</v>
      </c>
      <c r="C75">
        <v>-34.79</v>
      </c>
      <c r="M75" t="s">
        <v>515</v>
      </c>
      <c r="N75">
        <v>-35.298999999999999</v>
      </c>
      <c r="O75">
        <v>-1.05</v>
      </c>
    </row>
    <row xmlns:x14ac="http://schemas.microsoft.com/office/spreadsheetml/2009/9/ac" r="76" x14ac:dyDescent="0.35">
      <c r="A76" t="s">
        <v>515</v>
      </c>
      <c r="B76">
        <v>1.016</v>
      </c>
      <c r="C76">
        <v>-35.29</v>
      </c>
      <c r="M76" t="s">
        <v>516</v>
      </c>
      <c r="N76">
        <v>-35.798000000000002</v>
      </c>
      <c r="O76">
        <v>-1.08</v>
      </c>
    </row>
    <row xmlns:x14ac="http://schemas.microsoft.com/office/spreadsheetml/2009/9/ac" r="77" x14ac:dyDescent="0.35">
      <c r="A77" t="s">
        <v>516</v>
      </c>
      <c r="B77">
        <v>1.0149999999999999</v>
      </c>
      <c r="C77">
        <v>-35.79</v>
      </c>
      <c r="M77" t="s">
        <v>517</v>
      </c>
      <c r="N77">
        <v>-36.298000000000002</v>
      </c>
      <c r="O77">
        <v>-1.1100000000000001</v>
      </c>
    </row>
    <row xmlns:x14ac="http://schemas.microsoft.com/office/spreadsheetml/2009/9/ac" r="78" x14ac:dyDescent="0.35">
      <c r="A78" t="s">
        <v>517</v>
      </c>
      <c r="B78">
        <v>1.0149999999999999</v>
      </c>
      <c r="C78">
        <v>-36.29</v>
      </c>
      <c r="M78" t="s">
        <v>518</v>
      </c>
      <c r="N78">
        <v>-36.798000000000002</v>
      </c>
      <c r="O78">
        <v>-1.1299999999999999</v>
      </c>
    </row>
    <row xmlns:x14ac="http://schemas.microsoft.com/office/spreadsheetml/2009/9/ac" r="79" x14ac:dyDescent="0.35">
      <c r="A79" t="s">
        <v>518</v>
      </c>
      <c r="B79">
        <v>1.014</v>
      </c>
      <c r="C79">
        <v>-36.79</v>
      </c>
      <c r="M79" t="s">
        <v>519</v>
      </c>
      <c r="N79">
        <v>-37.298000000000002</v>
      </c>
      <c r="O79">
        <v>-1.1599999999999999</v>
      </c>
    </row>
    <row xmlns:x14ac="http://schemas.microsoft.com/office/spreadsheetml/2009/9/ac" r="80" x14ac:dyDescent="0.35">
      <c r="A80" t="s">
        <v>519</v>
      </c>
      <c r="B80">
        <v>1.0129999999999999</v>
      </c>
      <c r="C80">
        <v>-37.29</v>
      </c>
      <c r="M80" t="s">
        <v>520</v>
      </c>
      <c r="N80">
        <v>-37.798999999999999</v>
      </c>
      <c r="O80">
        <v>-1.19</v>
      </c>
    </row>
    <row xmlns:x14ac="http://schemas.microsoft.com/office/spreadsheetml/2009/9/ac" r="81" x14ac:dyDescent="0.35">
      <c r="A81" t="s">
        <v>520</v>
      </c>
      <c r="B81">
        <v>1.0129999999999999</v>
      </c>
      <c r="C81">
        <v>-37.79</v>
      </c>
      <c r="M81" t="s">
        <v>521</v>
      </c>
      <c r="N81">
        <v>-38.298999999999999</v>
      </c>
      <c r="O81">
        <v>-1.22</v>
      </c>
    </row>
    <row xmlns:x14ac="http://schemas.microsoft.com/office/spreadsheetml/2009/9/ac" r="82" x14ac:dyDescent="0.35">
      <c r="A82" t="s">
        <v>521</v>
      </c>
      <c r="B82">
        <v>1.012</v>
      </c>
      <c r="C82">
        <v>-38.29</v>
      </c>
      <c r="M82" t="s">
        <v>522</v>
      </c>
      <c r="N82">
        <v>-38.798999999999999</v>
      </c>
      <c r="O82">
        <v>-1.24</v>
      </c>
    </row>
    <row xmlns:x14ac="http://schemas.microsoft.com/office/spreadsheetml/2009/9/ac" r="83" x14ac:dyDescent="0.35">
      <c r="A83" t="s">
        <v>522</v>
      </c>
      <c r="B83">
        <v>1.012</v>
      </c>
      <c r="C83">
        <v>-38.79</v>
      </c>
      <c r="M83" t="s">
        <v>523</v>
      </c>
      <c r="N83">
        <v>-39.299999999999997</v>
      </c>
      <c r="O83">
        <v>-1.27</v>
      </c>
    </row>
    <row xmlns:x14ac="http://schemas.microsoft.com/office/spreadsheetml/2009/9/ac" r="84" x14ac:dyDescent="0.35">
      <c r="A84" t="s">
        <v>523</v>
      </c>
      <c r="B84">
        <v>1.0109999999999999</v>
      </c>
      <c r="C84">
        <v>-39.299999999999997</v>
      </c>
      <c r="M84" t="s">
        <v>524</v>
      </c>
      <c r="N84">
        <v>-39.799999999999997</v>
      </c>
      <c r="O84">
        <v>-1.3</v>
      </c>
    </row>
    <row xmlns:x14ac="http://schemas.microsoft.com/office/spreadsheetml/2009/9/ac" r="85" x14ac:dyDescent="0.35">
      <c r="A85" t="s">
        <v>524</v>
      </c>
      <c r="B85">
        <v>1.0109999999999999</v>
      </c>
      <c r="C85">
        <v>-39.799999999999997</v>
      </c>
      <c r="M85" t="s">
        <v>525</v>
      </c>
      <c r="N85">
        <v>-40.301000000000002</v>
      </c>
      <c r="O85">
        <v>-1.33</v>
      </c>
    </row>
    <row xmlns:x14ac="http://schemas.microsoft.com/office/spreadsheetml/2009/9/ac" r="86" x14ac:dyDescent="0.35">
      <c r="A86" t="s">
        <v>525</v>
      </c>
      <c r="B86">
        <v>1.01</v>
      </c>
      <c r="C86">
        <v>-40.299999999999997</v>
      </c>
      <c r="M86" t="s">
        <v>526</v>
      </c>
      <c r="N86">
        <v>-40.802</v>
      </c>
      <c r="O86">
        <v>-1.35</v>
      </c>
    </row>
    <row xmlns:x14ac="http://schemas.microsoft.com/office/spreadsheetml/2009/9/ac" r="87" x14ac:dyDescent="0.35">
      <c r="A87" t="s">
        <v>526</v>
      </c>
      <c r="B87">
        <v>1.01</v>
      </c>
      <c r="C87">
        <v>-40.799999999999997</v>
      </c>
      <c r="M87" t="s">
        <v>527</v>
      </c>
      <c r="N87">
        <v>-41.302999999999997</v>
      </c>
      <c r="O87">
        <v>-1.38</v>
      </c>
    </row>
    <row xmlns:x14ac="http://schemas.microsoft.com/office/spreadsheetml/2009/9/ac" r="88" x14ac:dyDescent="0.35">
      <c r="A88" t="s">
        <v>527</v>
      </c>
      <c r="B88">
        <v>1.0089999999999999</v>
      </c>
      <c r="C88">
        <v>-41.3</v>
      </c>
      <c r="M88" t="s">
        <v>528</v>
      </c>
      <c r="N88">
        <v>-41.802999999999997</v>
      </c>
      <c r="O88">
        <v>-1.41</v>
      </c>
    </row>
    <row xmlns:x14ac="http://schemas.microsoft.com/office/spreadsheetml/2009/9/ac" r="89" x14ac:dyDescent="0.35">
      <c r="A89" t="s">
        <v>528</v>
      </c>
      <c r="B89">
        <v>1.008</v>
      </c>
      <c r="C89">
        <v>-41.8</v>
      </c>
      <c r="M89" t="s">
        <v>529</v>
      </c>
      <c r="N89">
        <v>-42.304000000000002</v>
      </c>
      <c r="O89">
        <v>-1.44</v>
      </c>
    </row>
    <row xmlns:x14ac="http://schemas.microsoft.com/office/spreadsheetml/2009/9/ac" r="90" x14ac:dyDescent="0.35">
      <c r="A90" t="s">
        <v>529</v>
      </c>
      <c r="B90">
        <v>1.008</v>
      </c>
      <c r="C90">
        <v>-42.3</v>
      </c>
      <c r="M90" t="s">
        <v>530</v>
      </c>
      <c r="N90">
        <v>-42.805</v>
      </c>
      <c r="O90">
        <v>-1.47</v>
      </c>
    </row>
    <row xmlns:x14ac="http://schemas.microsoft.com/office/spreadsheetml/2009/9/ac" r="91" x14ac:dyDescent="0.35">
      <c r="A91" t="s">
        <v>530</v>
      </c>
      <c r="B91">
        <v>1.0069999999999999</v>
      </c>
      <c r="C91">
        <v>-42.8</v>
      </c>
      <c r="M91" t="s">
        <v>531</v>
      </c>
      <c r="N91">
        <v>-43.305999999999997</v>
      </c>
      <c r="O91">
        <v>-1.49</v>
      </c>
    </row>
    <row xmlns:x14ac="http://schemas.microsoft.com/office/spreadsheetml/2009/9/ac" r="92" x14ac:dyDescent="0.35">
      <c r="A92" t="s">
        <v>531</v>
      </c>
      <c r="B92">
        <v>1.0069999999999999</v>
      </c>
      <c r="C92">
        <v>-43.3</v>
      </c>
      <c r="M92" t="s">
        <v>532</v>
      </c>
      <c r="N92">
        <v>-43.807000000000002</v>
      </c>
      <c r="O92">
        <v>-1.52</v>
      </c>
    </row>
    <row xmlns:x14ac="http://schemas.microsoft.com/office/spreadsheetml/2009/9/ac" r="93" x14ac:dyDescent="0.35">
      <c r="A93" t="s">
        <v>532</v>
      </c>
      <c r="B93">
        <v>1.006</v>
      </c>
      <c r="C93">
        <v>-43.8</v>
      </c>
      <c r="M93" t="s">
        <v>533</v>
      </c>
      <c r="N93">
        <v>-44.308</v>
      </c>
      <c r="O93">
        <v>-1.55</v>
      </c>
    </row>
    <row xmlns:x14ac="http://schemas.microsoft.com/office/spreadsheetml/2009/9/ac" r="94" x14ac:dyDescent="0.35">
      <c r="A94" t="s">
        <v>533</v>
      </c>
      <c r="B94">
        <v>1.006</v>
      </c>
      <c r="C94">
        <v>-44.3</v>
      </c>
      <c r="M94" t="s">
        <v>534</v>
      </c>
      <c r="N94">
        <v>-44.808999999999997</v>
      </c>
      <c r="O94">
        <v>-1.58</v>
      </c>
    </row>
    <row xmlns:x14ac="http://schemas.microsoft.com/office/spreadsheetml/2009/9/ac" r="95" x14ac:dyDescent="0.35">
      <c r="A95" t="s">
        <v>534</v>
      </c>
      <c r="B95">
        <v>1.0049999999999999</v>
      </c>
      <c r="C95">
        <v>-44.8</v>
      </c>
      <c r="M95" t="s">
        <v>535</v>
      </c>
      <c r="N95">
        <v>-45.308999999999997</v>
      </c>
      <c r="O95">
        <v>-1.61</v>
      </c>
    </row>
    <row xmlns:x14ac="http://schemas.microsoft.com/office/spreadsheetml/2009/9/ac" r="96" x14ac:dyDescent="0.35">
      <c r="A96" t="s">
        <v>535</v>
      </c>
      <c r="B96">
        <v>1.0049999999999999</v>
      </c>
      <c r="C96">
        <v>-45.3</v>
      </c>
      <c r="M96" t="s">
        <v>536</v>
      </c>
      <c r="N96">
        <v>-45.81</v>
      </c>
      <c r="O96">
        <v>-1.64</v>
      </c>
    </row>
    <row xmlns:x14ac="http://schemas.microsoft.com/office/spreadsheetml/2009/9/ac" r="97" x14ac:dyDescent="0.35">
      <c r="A97" t="s">
        <v>536</v>
      </c>
      <c r="B97">
        <v>1.004</v>
      </c>
      <c r="C97">
        <v>-45.81</v>
      </c>
      <c r="M97" t="s">
        <v>537</v>
      </c>
      <c r="N97">
        <v>-46.311</v>
      </c>
      <c r="O97">
        <v>-1.67</v>
      </c>
    </row>
    <row xmlns:x14ac="http://schemas.microsoft.com/office/spreadsheetml/2009/9/ac" r="98" x14ac:dyDescent="0.35">
      <c r="A98" t="s">
        <v>537</v>
      </c>
      <c r="B98">
        <v>1.004</v>
      </c>
      <c r="C98">
        <v>-46.31</v>
      </c>
      <c r="M98" t="s">
        <v>538</v>
      </c>
      <c r="N98">
        <v>-46.811999999999998</v>
      </c>
      <c r="O98">
        <v>-1.69</v>
      </c>
    </row>
    <row xmlns:x14ac="http://schemas.microsoft.com/office/spreadsheetml/2009/9/ac" r="99" x14ac:dyDescent="0.35">
      <c r="A99" t="s">
        <v>538</v>
      </c>
      <c r="B99">
        <v>1.0029999999999999</v>
      </c>
      <c r="C99">
        <v>-46.81</v>
      </c>
      <c r="M99" t="s">
        <v>539</v>
      </c>
      <c r="N99">
        <v>-47.311999999999998</v>
      </c>
      <c r="O99">
        <v>-1.72</v>
      </c>
    </row>
    <row xmlns:x14ac="http://schemas.microsoft.com/office/spreadsheetml/2009/9/ac" r="100" x14ac:dyDescent="0.35">
      <c r="A100" t="s">
        <v>539</v>
      </c>
      <c r="B100">
        <v>1.002</v>
      </c>
      <c r="C100">
        <v>-47.31</v>
      </c>
      <c r="M100" t="s">
        <v>540</v>
      </c>
      <c r="N100">
        <v>-47.813000000000002</v>
      </c>
      <c r="O100">
        <v>-1.75</v>
      </c>
    </row>
    <row xmlns:x14ac="http://schemas.microsoft.com/office/spreadsheetml/2009/9/ac" r="101" x14ac:dyDescent="0.35">
      <c r="A101" t="s">
        <v>540</v>
      </c>
      <c r="B101">
        <v>1.002</v>
      </c>
      <c r="C101">
        <v>-47.81</v>
      </c>
      <c r="M101" t="s">
        <v>541</v>
      </c>
      <c r="N101">
        <v>-48.313000000000002</v>
      </c>
      <c r="O101">
        <v>-1.78</v>
      </c>
    </row>
    <row xmlns:x14ac="http://schemas.microsoft.com/office/spreadsheetml/2009/9/ac" r="102" x14ac:dyDescent="0.35">
      <c r="A102" t="s">
        <v>541</v>
      </c>
      <c r="B102">
        <v>1.0009999999999999</v>
      </c>
      <c r="C102">
        <v>-48.31</v>
      </c>
      <c r="M102" t="s">
        <v>542</v>
      </c>
      <c r="N102">
        <v>-48.814</v>
      </c>
      <c r="O102">
        <v>-1.81</v>
      </c>
    </row>
    <row xmlns:x14ac="http://schemas.microsoft.com/office/spreadsheetml/2009/9/ac" r="103" x14ac:dyDescent="0.35">
      <c r="A103" t="s">
        <v>542</v>
      </c>
      <c r="B103">
        <v>1.0009999999999999</v>
      </c>
      <c r="C103">
        <v>-48.81</v>
      </c>
      <c r="M103" t="s">
        <v>543</v>
      </c>
      <c r="N103">
        <v>-49.314</v>
      </c>
      <c r="O103">
        <v>-1.84</v>
      </c>
    </row>
    <row xmlns:x14ac="http://schemas.microsoft.com/office/spreadsheetml/2009/9/ac" r="104" x14ac:dyDescent="0.35">
      <c r="A104" t="s">
        <v>543</v>
      </c>
      <c r="B104">
        <v>1.0009999999999999</v>
      </c>
      <c r="C104">
        <v>-49.31</v>
      </c>
      <c r="M104" t="s">
        <v>544</v>
      </c>
      <c r="N104">
        <v>-49.814</v>
      </c>
      <c r="O104">
        <v>-1.87</v>
      </c>
    </row>
    <row xmlns:x14ac="http://schemas.microsoft.com/office/spreadsheetml/2009/9/ac" r="105" x14ac:dyDescent="0.35">
      <c r="A105" t="s">
        <v>544</v>
      </c>
      <c r="B105">
        <v>1</v>
      </c>
      <c r="C105">
        <v>-49.81</v>
      </c>
      <c r="M105" t="s">
        <v>545</v>
      </c>
      <c r="N105">
        <v>-50.313000000000002</v>
      </c>
      <c r="O105">
        <v>-1.9</v>
      </c>
    </row>
    <row xmlns:x14ac="http://schemas.microsoft.com/office/spreadsheetml/2009/9/ac" r="106" x14ac:dyDescent="0.35">
      <c r="A106" t="s">
        <v>545</v>
      </c>
      <c r="B106">
        <v>1</v>
      </c>
      <c r="C106">
        <v>-50.31</v>
      </c>
      <c r="M106" t="s">
        <v>546</v>
      </c>
      <c r="N106">
        <v>-50.813000000000002</v>
      </c>
      <c r="O106">
        <v>-1.93</v>
      </c>
    </row>
    <row xmlns:x14ac="http://schemas.microsoft.com/office/spreadsheetml/2009/9/ac" r="107" x14ac:dyDescent="0.35">
      <c r="A107" t="s">
        <v>546</v>
      </c>
      <c r="B107">
        <v>0.999</v>
      </c>
      <c r="C107">
        <v>-50.81</v>
      </c>
      <c r="M107" t="s">
        <v>547</v>
      </c>
      <c r="N107">
        <v>-51.311999999999998</v>
      </c>
      <c r="O107">
        <v>-1.95</v>
      </c>
    </row>
    <row xmlns:x14ac="http://schemas.microsoft.com/office/spreadsheetml/2009/9/ac" r="108" x14ac:dyDescent="0.35">
      <c r="A108" t="s">
        <v>547</v>
      </c>
      <c r="B108">
        <v>0.999</v>
      </c>
      <c r="C108">
        <v>-51.31</v>
      </c>
      <c r="M108" t="s">
        <v>548</v>
      </c>
      <c r="N108">
        <v>-51.811999999999998</v>
      </c>
      <c r="O108">
        <v>-1.98</v>
      </c>
    </row>
    <row xmlns:x14ac="http://schemas.microsoft.com/office/spreadsheetml/2009/9/ac" r="109" x14ac:dyDescent="0.35">
      <c r="A109" t="s">
        <v>548</v>
      </c>
      <c r="B109">
        <v>0.998</v>
      </c>
      <c r="C109">
        <v>-51.81</v>
      </c>
      <c r="M109" t="s">
        <v>549</v>
      </c>
      <c r="N109">
        <v>-52.31</v>
      </c>
      <c r="O109">
        <v>-2.0099999999999998</v>
      </c>
    </row>
    <row xmlns:x14ac="http://schemas.microsoft.com/office/spreadsheetml/2009/9/ac" r="110" x14ac:dyDescent="0.35">
      <c r="A110" t="s">
        <v>549</v>
      </c>
      <c r="B110">
        <v>0.998</v>
      </c>
      <c r="C110">
        <v>-52.31</v>
      </c>
      <c r="M110" t="s">
        <v>550</v>
      </c>
      <c r="N110">
        <v>-52.808999999999997</v>
      </c>
      <c r="O110">
        <v>-2.04</v>
      </c>
    </row>
    <row xmlns:x14ac="http://schemas.microsoft.com/office/spreadsheetml/2009/9/ac" r="111" x14ac:dyDescent="0.35">
      <c r="A111" t="s">
        <v>550</v>
      </c>
      <c r="B111">
        <v>0.998</v>
      </c>
      <c r="C111">
        <v>-52.8</v>
      </c>
      <c r="M111" t="s">
        <v>551</v>
      </c>
      <c r="N111">
        <v>-53.307000000000002</v>
      </c>
      <c r="O111">
        <v>-2.0699999999999998</v>
      </c>
    </row>
    <row xmlns:x14ac="http://schemas.microsoft.com/office/spreadsheetml/2009/9/ac" r="112" x14ac:dyDescent="0.35">
      <c r="A112" t="s">
        <v>551</v>
      </c>
      <c r="B112">
        <v>0.997</v>
      </c>
      <c r="C112">
        <v>-53.3</v>
      </c>
      <c r="M112" t="s">
        <v>552</v>
      </c>
      <c r="N112">
        <v>-53.805</v>
      </c>
      <c r="O112">
        <v>-2.1</v>
      </c>
    </row>
    <row xmlns:x14ac="http://schemas.microsoft.com/office/spreadsheetml/2009/9/ac" r="113" x14ac:dyDescent="0.35">
      <c r="A113" t="s">
        <v>552</v>
      </c>
      <c r="B113">
        <v>0.997</v>
      </c>
      <c r="C113">
        <v>-53.8</v>
      </c>
      <c r="M113" t="s">
        <v>553</v>
      </c>
      <c r="N113">
        <v>-54.302999999999997</v>
      </c>
      <c r="O113">
        <v>-2.13</v>
      </c>
    </row>
    <row xmlns:x14ac="http://schemas.microsoft.com/office/spreadsheetml/2009/9/ac" r="114" x14ac:dyDescent="0.35">
      <c r="A114" t="s">
        <v>553</v>
      </c>
      <c r="B114">
        <v>0.997</v>
      </c>
      <c r="C114">
        <v>-54.3</v>
      </c>
      <c r="M114" t="s">
        <v>554</v>
      </c>
      <c r="N114">
        <v>-54.8</v>
      </c>
      <c r="O114">
        <v>-2.16</v>
      </c>
    </row>
    <row xmlns:x14ac="http://schemas.microsoft.com/office/spreadsheetml/2009/9/ac" r="115" x14ac:dyDescent="0.35">
      <c r="A115" t="s">
        <v>554</v>
      </c>
      <c r="B115">
        <v>0.996</v>
      </c>
      <c r="C115">
        <v>-54.8</v>
      </c>
      <c r="M115" t="s">
        <v>555</v>
      </c>
      <c r="N115">
        <v>-55.296999999999997</v>
      </c>
      <c r="O115">
        <v>-2.19</v>
      </c>
    </row>
    <row xmlns:x14ac="http://schemas.microsoft.com/office/spreadsheetml/2009/9/ac" r="116" x14ac:dyDescent="0.35">
      <c r="A116" t="s">
        <v>555</v>
      </c>
      <c r="B116">
        <v>0.996</v>
      </c>
      <c r="C116">
        <v>-55.29</v>
      </c>
      <c r="M116" t="s">
        <v>556</v>
      </c>
      <c r="N116">
        <v>-55.792999999999999</v>
      </c>
      <c r="O116">
        <v>-2.2200000000000002</v>
      </c>
    </row>
    <row xmlns:x14ac="http://schemas.microsoft.com/office/spreadsheetml/2009/9/ac" r="117" x14ac:dyDescent="0.35">
      <c r="A117" t="s">
        <v>556</v>
      </c>
      <c r="B117">
        <v>0.996</v>
      </c>
      <c r="C117">
        <v>-55.79</v>
      </c>
      <c r="M117" t="s">
        <v>557</v>
      </c>
      <c r="N117">
        <v>-56.289000000000001</v>
      </c>
      <c r="O117">
        <v>-2.25</v>
      </c>
    </row>
    <row xmlns:x14ac="http://schemas.microsoft.com/office/spreadsheetml/2009/9/ac" r="118" x14ac:dyDescent="0.35">
      <c r="A118" t="s">
        <v>557</v>
      </c>
      <c r="B118">
        <v>0.996</v>
      </c>
      <c r="C118">
        <v>-56.28</v>
      </c>
      <c r="M118" t="s">
        <v>558</v>
      </c>
      <c r="N118">
        <v>-56.783999999999999</v>
      </c>
      <c r="O118">
        <v>-2.2799999999999998</v>
      </c>
    </row>
    <row xmlns:x14ac="http://schemas.microsoft.com/office/spreadsheetml/2009/9/ac" r="119" x14ac:dyDescent="0.35">
      <c r="A119" t="s">
        <v>558</v>
      </c>
      <c r="B119">
        <v>0.996</v>
      </c>
      <c r="C119">
        <v>-56.78</v>
      </c>
      <c r="M119" t="s">
        <v>559</v>
      </c>
      <c r="N119">
        <v>-57.279000000000003</v>
      </c>
      <c r="O119">
        <v>-2.31</v>
      </c>
    </row>
    <row xmlns:x14ac="http://schemas.microsoft.com/office/spreadsheetml/2009/9/ac" r="120" x14ac:dyDescent="0.35">
      <c r="A120" t="s">
        <v>559</v>
      </c>
      <c r="B120">
        <v>0.995</v>
      </c>
      <c r="C120">
        <v>-57.27</v>
      </c>
      <c r="M120" t="s">
        <v>560</v>
      </c>
      <c r="N120">
        <v>-57.773000000000003</v>
      </c>
      <c r="O120">
        <v>-2.34</v>
      </c>
    </row>
    <row xmlns:x14ac="http://schemas.microsoft.com/office/spreadsheetml/2009/9/ac" r="121" x14ac:dyDescent="0.35">
      <c r="A121" t="s">
        <v>560</v>
      </c>
      <c r="B121">
        <v>0.995</v>
      </c>
      <c r="C121">
        <v>-57.77</v>
      </c>
      <c r="M121" t="s">
        <v>561</v>
      </c>
      <c r="N121">
        <v>-58.265999999999998</v>
      </c>
      <c r="O121">
        <v>-2.37</v>
      </c>
    </row>
    <row xmlns:x14ac="http://schemas.microsoft.com/office/spreadsheetml/2009/9/ac" r="122" x14ac:dyDescent="0.35">
      <c r="A122" t="s">
        <v>561</v>
      </c>
      <c r="B122">
        <v>0.995</v>
      </c>
      <c r="C122">
        <v>-58.26</v>
      </c>
      <c r="M122" t="s">
        <v>562</v>
      </c>
      <c r="N122">
        <v>-58.759</v>
      </c>
      <c r="O122">
        <v>-2.4</v>
      </c>
    </row>
    <row xmlns:x14ac="http://schemas.microsoft.com/office/spreadsheetml/2009/9/ac" r="123" x14ac:dyDescent="0.35">
      <c r="A123" t="s">
        <v>562</v>
      </c>
      <c r="B123">
        <v>0.995</v>
      </c>
      <c r="C123">
        <v>-58.75</v>
      </c>
      <c r="M123" t="s">
        <v>563</v>
      </c>
      <c r="N123">
        <v>-59.250999999999998</v>
      </c>
      <c r="O123">
        <v>-2.4300000000000002</v>
      </c>
    </row>
    <row xmlns:x14ac="http://schemas.microsoft.com/office/spreadsheetml/2009/9/ac" r="124" x14ac:dyDescent="0.35">
      <c r="A124" t="s">
        <v>563</v>
      </c>
      <c r="B124">
        <v>0.995</v>
      </c>
      <c r="C124">
        <v>-59.25</v>
      </c>
      <c r="M124" t="s">
        <v>564</v>
      </c>
      <c r="N124">
        <v>-59.743000000000002</v>
      </c>
      <c r="O124">
        <v>-2.46</v>
      </c>
    </row>
    <row xmlns:x14ac="http://schemas.microsoft.com/office/spreadsheetml/2009/9/ac" r="125" x14ac:dyDescent="0.35">
      <c r="A125" t="s">
        <v>564</v>
      </c>
      <c r="B125">
        <v>0.995</v>
      </c>
      <c r="C125">
        <v>-59.74</v>
      </c>
    </row>
  </sheetData>
  <pageMargins left="0.7" right="0.7" top="0.75" bottom="0.75" header="0.3" footer="0.3"/>
  <drawing r:id="rId1"/>
</worksheet>
</file>

<file path=customXml/_rels/item1.xml.rels><?xml version="1.0" encoding="UTF-8"?><Relationships xmlns="http://schemas.openxmlformats.org/package/2006/relationships"><Relationship Target="itemProps1.xml" Type="http://schemas.openxmlformats.org/officeDocument/2006/relationships/customXmlProps" Id="rId1"/></Relationships>
</file>

<file path=customXml/_rels/item2.xml.rels><?xml version="1.0" encoding="UTF-8"?><Relationships xmlns="http://schemas.openxmlformats.org/package/2006/relationships"><Relationship Target="itemProps2.xml" Type="http://schemas.openxmlformats.org/officeDocument/2006/relationships/customXmlProps" Id="rId1"/></Relationships>
</file>

<file path=customXml/_rels/item3.xml.rels><?xml version="1.0" encoding="UTF-8"?><Relationships xmlns="http://schemas.openxmlformats.org/package/2006/relationships"><Relationship Target="itemProps3.xml" Type="http://schemas.openxmlformats.org/officeDocument/2006/relationships/customXmlProps" Id="rId1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737A5A2592634E8FED2FAC952B8D28" ma:contentTypeVersion="23" ma:contentTypeDescription="Create a new document." ma:contentTypeScope="" ma:versionID="b0da1de9bdbca373357e2ea71548f425">
  <xsd:schema xmlns:xsd="http://www.w3.org/2001/XMLSchema" xmlns:xs="http://www.w3.org/2001/XMLSchema" xmlns:p="http://schemas.microsoft.com/office/2006/metadata/properties" xmlns:ns2="e0fbd615-6736-438a-9dea-3a44b9017499" xmlns:ns3="a940e585-78e5-4959-ae16-967e4a26c034" targetNamespace="http://schemas.microsoft.com/office/2006/metadata/properties" ma:root="true" ma:fieldsID="a28a606a56eb1cabbc9664e5ee22e24d" ns2:_="" ns3:_="">
    <xsd:import namespace="e0fbd615-6736-438a-9dea-3a44b9017499"/>
    <xsd:import namespace="a940e585-78e5-4959-ae16-967e4a26c0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fbd615-6736-438a-9dea-3a44b90174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9ed93d0-1c55-4ba2-8313-8535d6655d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40e585-78e5-4959-ae16-967e4a26c03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b68c91a0-05a7-4c5e-a9cd-9819d8acf107}" ma:internalName="TaxCatchAll" ma:showField="CatchAllData" ma:web="a940e585-78e5-4959-ae16-967e4a26c0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0fbd615-6736-438a-9dea-3a44b9017499">
      <Terms xmlns="http://schemas.microsoft.com/office/infopath/2007/PartnerControls"/>
    </lcf76f155ced4ddcb4097134ff3c332f>
    <TaxCatchAll xmlns="a940e585-78e5-4959-ae16-967e4a26c034" xsi:nil="true"/>
  </documentManagement>
</p:properties>
</file>

<file path=customXml/itemProps1.xml><?xml version="1.0" encoding="utf-8"?>
<ds:datastoreItem xmlns:ds="http://schemas.openxmlformats.org/officeDocument/2006/customXml" ds:itemID="{9B21C28D-C26B-402F-B1A8-F62B94FCCC2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0A46A7-9D55-4DD1-9878-DF12EC92E6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fbd615-6736-438a-9dea-3a44b9017499"/>
    <ds:schemaRef ds:uri="a940e585-78e5-4959-ae16-967e4a26c0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74BC40A-C59C-4CD1-B344-2B619854340D}">
  <ds:schemaRefs>
    <ds:schemaRef ds:uri="http://schemas.microsoft.com/office/2006/metadata/properties"/>
    <ds:schemaRef ds:uri="http://schemas.microsoft.com/office/infopath/2007/PartnerControls"/>
    <ds:schemaRef ds:uri="e0fbd615-6736-438a-9dea-3a44b9017499"/>
    <ds:schemaRef ds:uri="a940e585-78e5-4959-ae16-967e4a26c03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76</vt:i4>
      </vt:variant>
    </vt:vector>
  </HeadingPairs>
  <TitlesOfParts>
    <vt:vector size="91" baseType="lpstr">
      <vt:lpstr>points</vt:lpstr>
      <vt:lpstr>Front Suspension</vt:lpstr>
      <vt:lpstr>Rear Suspension</vt:lpstr>
      <vt:lpstr>Wheel Loads</vt:lpstr>
      <vt:lpstr>Suspension Forces</vt:lpstr>
      <vt:lpstr>Link Calcs</vt:lpstr>
      <vt:lpstr>Control Arm Manufacturing</vt:lpstr>
      <vt:lpstr>Materials</vt:lpstr>
      <vt:lpstr>Bolt Shear Calcs</vt:lpstr>
      <vt:lpstr>Thread Pullout</vt:lpstr>
      <vt:lpstr>Complete Knuckles</vt:lpstr>
      <vt:lpstr>Tubing weight calculator</vt:lpstr>
      <vt:lpstr>Bolts</vt:lpstr>
      <vt:lpstr>Spacers</vt:lpstr>
      <vt:lpstr>Design Slides Graphs </vt:lpstr>
      <vt:lpstr>AN_DashTable</vt:lpstr>
      <vt:lpstr>boltDashLengths</vt:lpstr>
      <vt:lpstr>Bolts!boltDiameters</vt:lpstr>
      <vt:lpstr>coqueRoofThickness</vt:lpstr>
      <vt:lpstr>coqueWallThickness</vt:lpstr>
      <vt:lpstr>dash3intercept</vt:lpstr>
      <vt:lpstr>dash3slope</vt:lpstr>
      <vt:lpstr>dash4intercept</vt:lpstr>
      <vt:lpstr>dash4slope</vt:lpstr>
      <vt:lpstr>F_LCA_AFT_X</vt:lpstr>
      <vt:lpstr>F_LCA_AFT_Y</vt:lpstr>
      <vt:lpstr>F_LCA_AFT_Z</vt:lpstr>
      <vt:lpstr>F_LCA_FORE_X</vt:lpstr>
      <vt:lpstr>F_LCA_FORE_Y</vt:lpstr>
      <vt:lpstr>F_LCA_FORE_Z</vt:lpstr>
      <vt:lpstr>F_LCA_OUT_X</vt:lpstr>
      <vt:lpstr>F_LCA_OUT_Y</vt:lpstr>
      <vt:lpstr>F_LCA_OUT_Z</vt:lpstr>
      <vt:lpstr>F_PUSH_IN_X</vt:lpstr>
      <vt:lpstr>F_PUSH_IN_Y</vt:lpstr>
      <vt:lpstr>F_PUSH_IN_Z</vt:lpstr>
      <vt:lpstr>F_PUSH_OUT_X</vt:lpstr>
      <vt:lpstr>F_PUSH_OUT_Y</vt:lpstr>
      <vt:lpstr>F_PUSH_OUT_Z</vt:lpstr>
      <vt:lpstr>F_TIE_IN_X</vt:lpstr>
      <vt:lpstr>F_TIE_IN_Y</vt:lpstr>
      <vt:lpstr>F_TIE_IN_Z</vt:lpstr>
      <vt:lpstr>F_TIE_OUT_X</vt:lpstr>
      <vt:lpstr>F_TIE_OUT_Y</vt:lpstr>
      <vt:lpstr>F_TIE_OUT_Z</vt:lpstr>
      <vt:lpstr>F_TIRE_CP_X</vt:lpstr>
      <vt:lpstr>F_TIRE_CP_Y</vt:lpstr>
      <vt:lpstr>F_TIRE_CP_Z</vt:lpstr>
      <vt:lpstr>F_UCA_AFT_X</vt:lpstr>
      <vt:lpstr>F_UCA_AFT_Y</vt:lpstr>
      <vt:lpstr>F_UCA_AFT_Z</vt:lpstr>
      <vt:lpstr>F_UCA_FORE_X</vt:lpstr>
      <vt:lpstr>F_UCA_FORE_Y</vt:lpstr>
      <vt:lpstr>F_UCA_FORE_Z</vt:lpstr>
      <vt:lpstr>F_UCA_OUT_X</vt:lpstr>
      <vt:lpstr>F_UCA_OUT_Y</vt:lpstr>
      <vt:lpstr>F_UCA_OUT_Z</vt:lpstr>
      <vt:lpstr>matlChoices</vt:lpstr>
      <vt:lpstr>R_LCA_AFT_X</vt:lpstr>
      <vt:lpstr>R_LCA_AFT_Y</vt:lpstr>
      <vt:lpstr>R_LCA_AFT_Z</vt:lpstr>
      <vt:lpstr>R_LCA_FORE_X</vt:lpstr>
      <vt:lpstr>R_LCA_FORE_Y</vt:lpstr>
      <vt:lpstr>R_LCA_FORE_Z</vt:lpstr>
      <vt:lpstr>R_LCA_OUT_X</vt:lpstr>
      <vt:lpstr>R_LCA_OUT_Y</vt:lpstr>
      <vt:lpstr>R_LCA_OUT_Z</vt:lpstr>
      <vt:lpstr>R_PUSH_IN_X</vt:lpstr>
      <vt:lpstr>R_PUSH_IN_Y</vt:lpstr>
      <vt:lpstr>R_PUSH_IN_Z</vt:lpstr>
      <vt:lpstr>R_PUSH_OUT_X</vt:lpstr>
      <vt:lpstr>R_PUSH_OUT_Y</vt:lpstr>
      <vt:lpstr>R_PUSH_OUT_Z</vt:lpstr>
      <vt:lpstr>R_TIE_IN_X</vt:lpstr>
      <vt:lpstr>R_TIE_IN_Y</vt:lpstr>
      <vt:lpstr>R_TIE_IN_Z</vt:lpstr>
      <vt:lpstr>R_TIE_OUT_X</vt:lpstr>
      <vt:lpstr>R_TIE_OUT_Y</vt:lpstr>
      <vt:lpstr>R_TIE_OUT_Z</vt:lpstr>
      <vt:lpstr>R_TIRE_CP_X</vt:lpstr>
      <vt:lpstr>R_TIRE_CP_Y</vt:lpstr>
      <vt:lpstr>R_TIRE_CP_Z</vt:lpstr>
      <vt:lpstr>R_UCA_AFT_X</vt:lpstr>
      <vt:lpstr>R_UCA_AFT_Y</vt:lpstr>
      <vt:lpstr>R_UCA_AFT_Z</vt:lpstr>
      <vt:lpstr>R_UCA_FORE_X</vt:lpstr>
      <vt:lpstr>R_UCA_FORE_Y</vt:lpstr>
      <vt:lpstr>R_UCA_FORE_Z</vt:lpstr>
      <vt:lpstr>R_UCA_OUT_X</vt:lpstr>
      <vt:lpstr>R_UCA_OUT_Y</vt:lpstr>
      <vt:lpstr>R_UCA_OUT_Z</vt:lpstr>
    </vt:vector>
  </TitlesOfParts>
  <Manager/>
  <Company>The University of Akron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Jared Sanderell</dc:creator>
  <cp:keywords/>
  <dc:description/>
  <cp:lastModifiedBy>Abigail Tucker</cp:lastModifiedBy>
  <cp:revision/>
  <dcterms:created xsi:type="dcterms:W3CDTF">2024-09-21T03:29:00Z</dcterms:created>
  <dcterms:modified xsi:type="dcterms:W3CDTF">2025-10-20T17:29:31Z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0x01010010737A5A2592634E8FED2FAC952B8D28</vt:lpwstr>
  </property>
</Properties>
</file>