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X:\Учеба\4 курс\8 сем\Мат методы\Персептрон и Кохонен\"/>
    </mc:Choice>
  </mc:AlternateContent>
  <xr:revisionPtr revIDLastSave="0" documentId="13_ncr:1_{A6D54CE9-2765-4180-976F-DC561B2DC528}" xr6:coauthVersionLast="47" xr6:coauthVersionMax="47" xr10:uidLastSave="{00000000-0000-0000-0000-000000000000}"/>
  <bookViews>
    <workbookView xWindow="-108" yWindow="-108" windowWidth="23256" windowHeight="12576" tabRatio="926" firstSheet="1" activeTab="2" xr2:uid="{00000000-000D-0000-FFFF-FFFF00000000}"/>
  </bookViews>
  <sheets>
    <sheet name="Данные" sheetId="1" r:id="rId1"/>
    <sheet name="Данные приведенные" sheetId="2" r:id="rId2"/>
    <sheet name="Cluster Membership" sheetId="3" r:id="rId3"/>
    <sheet name="Итоги" sheetId="11" r:id="rId4"/>
    <sheet name="МГК" sheetId="12" r:id="rId5"/>
    <sheet name="Факторный анализ" sheetId="13" r:id="rId6"/>
    <sheet name="Итоги метода к-средних" sheetId="10" r:id="rId7"/>
    <sheet name="Итоги метод ср взв" sheetId="8" r:id="rId8"/>
    <sheet name="Итоги метод полных связей" sheetId="5" r:id="rId9"/>
    <sheet name="Итоги метод Уорда" sheetId="4" r:id="rId10"/>
    <sheet name="Итоги нейросеть (Кохонен)" sheetId="14" r:id="rId11"/>
    <sheet name="Итоги нейросеть" sheetId="17" r:id="rId12"/>
  </sheets>
  <definedNames>
    <definedName name="_xlnm._FilterDatabase" localSheetId="0" hidden="1">Данные!$A$1:$M$86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2" i="3" l="1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G2" i="3"/>
  <c r="BF87" i="3"/>
  <c r="A8" i="14"/>
  <c r="A31" i="14"/>
  <c r="BD87" i="3"/>
  <c r="N31" i="14"/>
  <c r="BE2" i="3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BG85" i="3"/>
  <c r="BG80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1" i="3"/>
  <c r="BG82" i="3"/>
  <c r="BG83" i="3"/>
  <c r="BG84" i="3"/>
  <c r="BG86" i="3"/>
  <c r="AD8" i="11"/>
  <c r="AC8" i="11"/>
  <c r="N8" i="17"/>
  <c r="U86" i="3"/>
  <c r="BC87" i="3"/>
  <c r="N8" i="14"/>
  <c r="AB8" i="11"/>
  <c r="U2" i="3"/>
  <c r="AA8" i="11"/>
  <c r="Z8" i="11"/>
  <c r="Y8" i="11"/>
  <c r="X8" i="11"/>
  <c r="W8" i="11"/>
  <c r="V8" i="11"/>
  <c r="U8" i="11"/>
  <c r="T8" i="11"/>
  <c r="BH87" i="3" l="1"/>
  <c r="BE87" i="3"/>
  <c r="BG87" i="3"/>
  <c r="CB87" i="3"/>
  <c r="CA87" i="3"/>
  <c r="BZ87" i="3"/>
  <c r="BY87" i="3"/>
  <c r="L8" i="11"/>
  <c r="M8" i="11"/>
  <c r="N8" i="11"/>
  <c r="O8" i="11"/>
  <c r="P8" i="11"/>
  <c r="Q8" i="11"/>
  <c r="R8" i="11"/>
  <c r="S8" i="11"/>
  <c r="M87" i="3"/>
  <c r="L87" i="3"/>
  <c r="BW87" i="3"/>
  <c r="CC11" i="3" l="1"/>
  <c r="CC4" i="3"/>
  <c r="CC44" i="3"/>
  <c r="CC36" i="3"/>
  <c r="CC76" i="3"/>
  <c r="CC12" i="3"/>
  <c r="CC68" i="3"/>
  <c r="CC9" i="3"/>
  <c r="CC60" i="3"/>
  <c r="CC28" i="3"/>
  <c r="CC84" i="3"/>
  <c r="CC20" i="3"/>
  <c r="CC2" i="3"/>
  <c r="CC52" i="3"/>
  <c r="CC3" i="3"/>
  <c r="CC73" i="3"/>
  <c r="CC57" i="3"/>
  <c r="CC41" i="3"/>
  <c r="CC25" i="3"/>
  <c r="CC17" i="3"/>
  <c r="CC80" i="3"/>
  <c r="CC56" i="3"/>
  <c r="CC40" i="3"/>
  <c r="CC24" i="3"/>
  <c r="CC16" i="3"/>
  <c r="CC79" i="3"/>
  <c r="CC71" i="3"/>
  <c r="CC63" i="3"/>
  <c r="CC55" i="3"/>
  <c r="CC47" i="3"/>
  <c r="CC39" i="3"/>
  <c r="CC31" i="3"/>
  <c r="CC23" i="3"/>
  <c r="CC15" i="3"/>
  <c r="CC7" i="3"/>
  <c r="CC86" i="3"/>
  <c r="CC78" i="3"/>
  <c r="CC70" i="3"/>
  <c r="CC62" i="3"/>
  <c r="CC54" i="3"/>
  <c r="CC46" i="3"/>
  <c r="CC38" i="3"/>
  <c r="CC30" i="3"/>
  <c r="CC22" i="3"/>
  <c r="CC14" i="3"/>
  <c r="CC6" i="3"/>
  <c r="CC75" i="3"/>
  <c r="CC81" i="3"/>
  <c r="CC65" i="3"/>
  <c r="CC49" i="3"/>
  <c r="CC33" i="3"/>
  <c r="CC72" i="3"/>
  <c r="CC64" i="3"/>
  <c r="CC48" i="3"/>
  <c r="CC32" i="3"/>
  <c r="CC8" i="3"/>
  <c r="CC85" i="3"/>
  <c r="CC77" i="3"/>
  <c r="CC69" i="3"/>
  <c r="CC61" i="3"/>
  <c r="CC53" i="3"/>
  <c r="CC45" i="3"/>
  <c r="CC37" i="3"/>
  <c r="CC29" i="3"/>
  <c r="CC21" i="3"/>
  <c r="CC13" i="3"/>
  <c r="CC5" i="3"/>
  <c r="CC83" i="3"/>
  <c r="CC67" i="3"/>
  <c r="CC59" i="3"/>
  <c r="CC51" i="3"/>
  <c r="CC43" i="3"/>
  <c r="CC35" i="3"/>
  <c r="CC27" i="3"/>
  <c r="CC19" i="3"/>
  <c r="CC82" i="3"/>
  <c r="CC74" i="3"/>
  <c r="CC66" i="3"/>
  <c r="CC58" i="3"/>
  <c r="CC50" i="3"/>
  <c r="CC42" i="3"/>
  <c r="CC34" i="3"/>
  <c r="CC26" i="3"/>
  <c r="CC18" i="3"/>
  <c r="CC10" i="3"/>
  <c r="F15" i="12"/>
  <c r="BV87" i="3"/>
  <c r="BU87" i="3"/>
  <c r="K87" i="3"/>
  <c r="J87" i="3"/>
  <c r="CC87" i="3" l="1"/>
  <c r="BX6" i="3"/>
  <c r="BX2" i="3"/>
  <c r="BX10" i="3"/>
  <c r="BX18" i="3"/>
  <c r="BX26" i="3"/>
  <c r="BX34" i="3"/>
  <c r="BX42" i="3"/>
  <c r="BX50" i="3"/>
  <c r="BX58" i="3"/>
  <c r="BX66" i="3"/>
  <c r="BX74" i="3"/>
  <c r="BX82" i="3"/>
  <c r="BX41" i="3"/>
  <c r="BX3" i="3"/>
  <c r="BX11" i="3"/>
  <c r="BX19" i="3"/>
  <c r="BX27" i="3"/>
  <c r="BX35" i="3"/>
  <c r="BX43" i="3"/>
  <c r="BX51" i="3"/>
  <c r="BX59" i="3"/>
  <c r="BX67" i="3"/>
  <c r="BX75" i="3"/>
  <c r="BX83" i="3"/>
  <c r="BX13" i="3"/>
  <c r="BX21" i="3"/>
  <c r="BX37" i="3"/>
  <c r="BX53" i="3"/>
  <c r="BX69" i="3"/>
  <c r="BX85" i="3"/>
  <c r="BX14" i="3"/>
  <c r="BX22" i="3"/>
  <c r="BX38" i="3"/>
  <c r="BX54" i="3"/>
  <c r="BX70" i="3"/>
  <c r="BX86" i="3"/>
  <c r="BX7" i="3"/>
  <c r="BX23" i="3"/>
  <c r="BX39" i="3"/>
  <c r="BX55" i="3"/>
  <c r="BX71" i="3"/>
  <c r="BX8" i="3"/>
  <c r="BX24" i="3"/>
  <c r="BX40" i="3"/>
  <c r="BX56" i="3"/>
  <c r="BX72" i="3"/>
  <c r="BX9" i="3"/>
  <c r="BX25" i="3"/>
  <c r="BX49" i="3"/>
  <c r="BX65" i="3"/>
  <c r="BX81" i="3"/>
  <c r="BX4" i="3"/>
  <c r="BX12" i="3"/>
  <c r="BX20" i="3"/>
  <c r="BX28" i="3"/>
  <c r="BX36" i="3"/>
  <c r="BX44" i="3"/>
  <c r="BX52" i="3"/>
  <c r="BX60" i="3"/>
  <c r="BX68" i="3"/>
  <c r="BX76" i="3"/>
  <c r="BX84" i="3"/>
  <c r="BX5" i="3"/>
  <c r="BX29" i="3"/>
  <c r="BX45" i="3"/>
  <c r="BX61" i="3"/>
  <c r="BX77" i="3"/>
  <c r="BX30" i="3"/>
  <c r="BX46" i="3"/>
  <c r="BX62" i="3"/>
  <c r="BX78" i="3"/>
  <c r="BX15" i="3"/>
  <c r="BX31" i="3"/>
  <c r="BX47" i="3"/>
  <c r="BX63" i="3"/>
  <c r="BX79" i="3"/>
  <c r="BX16" i="3"/>
  <c r="BX32" i="3"/>
  <c r="BX48" i="3"/>
  <c r="BX64" i="3"/>
  <c r="BX80" i="3"/>
  <c r="BX17" i="3"/>
  <c r="BX33" i="3"/>
  <c r="BX57" i="3"/>
  <c r="BX73" i="3"/>
  <c r="F16" i="12"/>
  <c r="F17" i="12"/>
  <c r="B15" i="12"/>
  <c r="H2" i="12"/>
  <c r="B2" i="12" s="1"/>
  <c r="C21" i="12"/>
  <c r="B18" i="12"/>
  <c r="B17" i="12"/>
  <c r="B16" i="12"/>
  <c r="M12" i="12"/>
  <c r="K12" i="12"/>
  <c r="M11" i="12"/>
  <c r="K11" i="12"/>
  <c r="M10" i="12"/>
  <c r="K10" i="12"/>
  <c r="M9" i="12"/>
  <c r="K9" i="12"/>
  <c r="M8" i="12"/>
  <c r="K8" i="12"/>
  <c r="M7" i="12"/>
  <c r="K7" i="12"/>
  <c r="M6" i="12"/>
  <c r="K6" i="12"/>
  <c r="M5" i="12"/>
  <c r="K5" i="12"/>
  <c r="M4" i="12"/>
  <c r="K4" i="12"/>
  <c r="M3" i="12"/>
  <c r="K3" i="12"/>
  <c r="M2" i="12"/>
  <c r="K2" i="12"/>
  <c r="D2" i="12"/>
  <c r="C2" i="12"/>
  <c r="X5" i="3"/>
  <c r="AB86" i="3"/>
  <c r="AB3" i="3"/>
  <c r="AB2" i="3"/>
  <c r="AB5" i="3"/>
  <c r="AB25" i="3"/>
  <c r="AB7" i="3"/>
  <c r="AB73" i="3"/>
  <c r="AB72" i="3"/>
  <c r="AB43" i="3"/>
  <c r="AB10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67" i="3"/>
  <c r="AB9" i="3"/>
  <c r="AB64" i="3"/>
  <c r="AB28" i="3"/>
  <c r="AB29" i="3"/>
  <c r="AB70" i="3"/>
  <c r="AB31" i="3"/>
  <c r="AB65" i="3"/>
  <c r="AB33" i="3"/>
  <c r="AB34" i="3"/>
  <c r="AB35" i="3"/>
  <c r="AB36" i="3"/>
  <c r="AB37" i="3"/>
  <c r="AB38" i="3"/>
  <c r="AB39" i="3"/>
  <c r="AB40" i="3"/>
  <c r="AB41" i="3"/>
  <c r="AB78" i="3"/>
  <c r="AB57" i="3"/>
  <c r="AB44" i="3"/>
  <c r="AB45" i="3"/>
  <c r="AB66" i="3"/>
  <c r="AB47" i="3"/>
  <c r="AB48" i="3"/>
  <c r="AB83" i="3"/>
  <c r="AB50" i="3"/>
  <c r="AB51" i="3"/>
  <c r="AB52" i="3"/>
  <c r="AB53" i="3"/>
  <c r="AB11" i="3"/>
  <c r="AB55" i="3"/>
  <c r="AB30" i="3"/>
  <c r="AB32" i="3"/>
  <c r="AB8" i="3"/>
  <c r="AB59" i="3"/>
  <c r="AB60" i="3"/>
  <c r="AB61" i="3"/>
  <c r="AB62" i="3"/>
  <c r="AB63" i="3"/>
  <c r="AB49" i="3"/>
  <c r="AB26" i="3"/>
  <c r="AB42" i="3"/>
  <c r="AB27" i="3"/>
  <c r="AB68" i="3"/>
  <c r="AB69" i="3"/>
  <c r="AB75" i="3"/>
  <c r="AB71" i="3"/>
  <c r="AB56" i="3"/>
  <c r="AB58" i="3"/>
  <c r="AB74" i="3"/>
  <c r="AB54" i="3"/>
  <c r="AB76" i="3"/>
  <c r="AB77" i="3"/>
  <c r="AB6" i="3"/>
  <c r="AB79" i="3"/>
  <c r="AB80" i="3"/>
  <c r="AB81" i="3"/>
  <c r="AB82" i="3"/>
  <c r="AB46" i="3"/>
  <c r="AB84" i="3"/>
  <c r="AB85" i="3"/>
  <c r="AB4" i="3"/>
  <c r="U3" i="3"/>
  <c r="U5" i="3"/>
  <c r="U25" i="3"/>
  <c r="U7" i="3"/>
  <c r="U73" i="3"/>
  <c r="U72" i="3"/>
  <c r="U43" i="3"/>
  <c r="U10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67" i="3"/>
  <c r="U9" i="3"/>
  <c r="U64" i="3"/>
  <c r="U28" i="3"/>
  <c r="U29" i="3"/>
  <c r="U70" i="3"/>
  <c r="U31" i="3"/>
  <c r="U65" i="3"/>
  <c r="U33" i="3"/>
  <c r="U34" i="3"/>
  <c r="U35" i="3"/>
  <c r="U36" i="3"/>
  <c r="U37" i="3"/>
  <c r="U38" i="3"/>
  <c r="U39" i="3"/>
  <c r="U40" i="3"/>
  <c r="U41" i="3"/>
  <c r="U78" i="3"/>
  <c r="U57" i="3"/>
  <c r="U44" i="3"/>
  <c r="U45" i="3"/>
  <c r="U66" i="3"/>
  <c r="U47" i="3"/>
  <c r="U48" i="3"/>
  <c r="U83" i="3"/>
  <c r="U50" i="3"/>
  <c r="U51" i="3"/>
  <c r="U52" i="3"/>
  <c r="U53" i="3"/>
  <c r="U11" i="3"/>
  <c r="U55" i="3"/>
  <c r="U30" i="3"/>
  <c r="U32" i="3"/>
  <c r="U8" i="3"/>
  <c r="U59" i="3"/>
  <c r="U60" i="3"/>
  <c r="U61" i="3"/>
  <c r="U62" i="3"/>
  <c r="U63" i="3"/>
  <c r="U49" i="3"/>
  <c r="U26" i="3"/>
  <c r="U42" i="3"/>
  <c r="U27" i="3"/>
  <c r="U68" i="3"/>
  <c r="U69" i="3"/>
  <c r="U75" i="3"/>
  <c r="U71" i="3"/>
  <c r="U56" i="3"/>
  <c r="U58" i="3"/>
  <c r="U74" i="3"/>
  <c r="U54" i="3"/>
  <c r="U76" i="3"/>
  <c r="U77" i="3"/>
  <c r="U6" i="3"/>
  <c r="U79" i="3"/>
  <c r="U80" i="3"/>
  <c r="U81" i="3"/>
  <c r="U82" i="3"/>
  <c r="U46" i="3"/>
  <c r="U84" i="3"/>
  <c r="U85" i="3"/>
  <c r="U4" i="3"/>
  <c r="I87" i="3"/>
  <c r="AA87" i="3"/>
  <c r="T87" i="3"/>
  <c r="BX87" i="3" l="1"/>
  <c r="AB87" i="3"/>
  <c r="U87" i="3"/>
  <c r="F8" i="11"/>
  <c r="C8" i="11"/>
  <c r="D8" i="11"/>
  <c r="E8" i="11"/>
  <c r="G8" i="11"/>
  <c r="H8" i="11"/>
  <c r="I8" i="11"/>
  <c r="J8" i="11"/>
  <c r="K8" i="11"/>
  <c r="B8" i="11"/>
  <c r="G87" i="3"/>
  <c r="E87" i="3"/>
  <c r="C87" i="3"/>
  <c r="Z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X2" i="3"/>
  <c r="X3" i="3"/>
  <c r="X4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R87" i="3"/>
  <c r="U88" i="3" l="1"/>
  <c r="BE88" i="3"/>
  <c r="AB88" i="3"/>
  <c r="Y87" i="3"/>
  <c r="Z87" i="3"/>
  <c r="X87" i="3"/>
  <c r="W87" i="3"/>
  <c r="V87" i="3" l="1"/>
  <c r="S87" i="3"/>
  <c r="M8" i="4" l="1"/>
  <c r="M8" i="5"/>
  <c r="M8" i="8"/>
  <c r="N8" i="10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2" i="2"/>
  <c r="B87" i="3"/>
  <c r="D87" i="3"/>
  <c r="F87" i="3"/>
  <c r="BJ87" i="3"/>
  <c r="BK87" i="3"/>
  <c r="BL87" i="3"/>
  <c r="BM87" i="3"/>
  <c r="BN87" i="3"/>
  <c r="BO87" i="3"/>
  <c r="BP87" i="3"/>
  <c r="BQ87" i="3"/>
  <c r="BR87" i="3"/>
  <c r="BS87" i="3"/>
  <c r="BI87" i="3"/>
  <c r="H87" i="3"/>
  <c r="BT17" i="3" l="1"/>
  <c r="BT70" i="3"/>
  <c r="BT30" i="3"/>
  <c r="BT26" i="3"/>
  <c r="BT72" i="3"/>
  <c r="BT52" i="3"/>
  <c r="BT11" i="3"/>
  <c r="BT47" i="3"/>
  <c r="BT8" i="3"/>
  <c r="BT22" i="3"/>
  <c r="BT43" i="3"/>
  <c r="BT73" i="3"/>
  <c r="BT59" i="3"/>
  <c r="BT41" i="3"/>
  <c r="BT4" i="3"/>
  <c r="BT16" i="3"/>
  <c r="BT37" i="3"/>
  <c r="BT13" i="3"/>
  <c r="BT50" i="3"/>
  <c r="BT25" i="3"/>
  <c r="BT46" i="3"/>
  <c r="BT74" i="3"/>
  <c r="BT44" i="3"/>
  <c r="BT38" i="3"/>
  <c r="BT3" i="3"/>
  <c r="BT40" i="3"/>
  <c r="BT48" i="3"/>
  <c r="BT78" i="3"/>
  <c r="BT83" i="3"/>
  <c r="BT60" i="3"/>
  <c r="BT5" i="3"/>
  <c r="BT35" i="3"/>
  <c r="BT12" i="3"/>
  <c r="BT34" i="3"/>
  <c r="BT7" i="3"/>
  <c r="BT18" i="3"/>
  <c r="BT58" i="3"/>
  <c r="BT10" i="3"/>
  <c r="BT84" i="3"/>
  <c r="BT80" i="3"/>
  <c r="BT51" i="3"/>
  <c r="BT21" i="3"/>
  <c r="BT15" i="3"/>
  <c r="BT69" i="3"/>
  <c r="BT14" i="3"/>
  <c r="BT36" i="3"/>
  <c r="BT68" i="3"/>
  <c r="BT29" i="3"/>
  <c r="BT64" i="3"/>
  <c r="BT55" i="3"/>
  <c r="BT9" i="3"/>
  <c r="BT54" i="3"/>
  <c r="BT79" i="3"/>
  <c r="BT39" i="3"/>
  <c r="BT81" i="3"/>
  <c r="BT67" i="3"/>
  <c r="BT77" i="3"/>
  <c r="BT23" i="3"/>
  <c r="BT27" i="3"/>
  <c r="BT31" i="3"/>
  <c r="BT86" i="3"/>
  <c r="BT32" i="3"/>
  <c r="BT6" i="3"/>
  <c r="BT85" i="3"/>
  <c r="BT53" i="3"/>
  <c r="BT28" i="3"/>
  <c r="BT57" i="3"/>
  <c r="BT2" i="3"/>
  <c r="BT49" i="3"/>
  <c r="BT63" i="3"/>
  <c r="BT71" i="3"/>
  <c r="BT65" i="3"/>
  <c r="BT33" i="3"/>
  <c r="BT62" i="3"/>
  <c r="BT82" i="3"/>
  <c r="BT42" i="3"/>
  <c r="BT45" i="3"/>
  <c r="BT24" i="3"/>
  <c r="BT76" i="3"/>
  <c r="BT66" i="3"/>
  <c r="BT61" i="3"/>
  <c r="BT19" i="3"/>
  <c r="BT56" i="3"/>
  <c r="BT20" i="3"/>
  <c r="BT75" i="3"/>
  <c r="BT87" i="3" l="1"/>
</calcChain>
</file>

<file path=xl/sharedStrings.xml><?xml version="1.0" encoding="utf-8"?>
<sst xmlns="http://schemas.openxmlformats.org/spreadsheetml/2006/main" count="814" uniqueCount="252">
  <si>
    <t>Субъект Российской Федерации</t>
  </si>
  <si>
    <t>ЧИСЛЕННОСТЬ НАСЕЛЕНИЯ
(оценка на конец года; тысяч человек)</t>
  </si>
  <si>
    <t>ВАЛОВОЙ РЕГИОНАЛЬНЫЙ ПРОДУКТ
(миллионов рублей)</t>
  </si>
  <si>
    <t>ИНВЕСТИЦИИ В ОСНОВНОЙ КАПИТАЛ
(в фактически действовавших ценах; миллионов рублей)</t>
  </si>
  <si>
    <t xml:space="preserve"> КОЭФФИЦИЕНТЫ МИГРАЦИОННОГО ПРИРОСТА на 10 000 человек населения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</si>
  <si>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</si>
  <si>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</si>
  <si>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</si>
  <si>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</si>
  <si>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</si>
  <si>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</si>
  <si>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</si>
  <si>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</si>
  <si>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</si>
  <si>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</si>
  <si>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</si>
  <si>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</si>
  <si>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</si>
  <si>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</si>
  <si>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</si>
  <si>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</si>
  <si>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</si>
  <si>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 xml:space="preserve">Количество крупных и средних организаций агропромыленного комплекса на начало года </t>
  </si>
  <si>
    <t>Количество преступлений, связанных с незаконным оборотом наркотических средств, психотропных веществ и их прекурсоров или аналогов, сильнодействующих веществ, новых потенциально опасных психоактивных веществ, зарегистрированных в отчетном периоде (единица)</t>
  </si>
  <si>
    <t>Количество тяжких и особо тяжких преступлений</t>
  </si>
  <si>
    <t>Число зарегистрированных умерших в расчете на 1000 населения (оперативные данные) (промилле (0,1 процента))</t>
  </si>
  <si>
    <t>Численность врачей всех специальностей (физических лиц) в организациях, оказывающих медицинские услуги населению, на конец отчетного года (человек, значение показателя за год)</t>
  </si>
  <si>
    <t>Общая численность пенсионеров (тысяча человек)</t>
  </si>
  <si>
    <t>Число зарегистрированных заболеваний у пациентов с диагнозом, установленным впервые в жизни (единица, значение показателя за год)</t>
  </si>
  <si>
    <t>Уровень занятости для людей в возрасте 15 лет и старше (процентов)</t>
  </si>
  <si>
    <t>Архангельская область (кроме Ненецкого автономного округа)</t>
  </si>
  <si>
    <t>Ненецкий автономный округ (Архангельская область)</t>
  </si>
  <si>
    <t>Тюменская область (кроме Ханты-Мансийского автономного округа-Югры и Ямало-Ненецкого автономного округа)</t>
  </si>
  <si>
    <t>Ханты-Мансийский автономный округ - Югра (Тюменская область)</t>
  </si>
  <si>
    <t>Ямало-Ненецкий автономный округ (Тюменская область)</t>
  </si>
  <si>
    <t>Алтайский край</t>
  </si>
  <si>
    <t>Амурская область</t>
  </si>
  <si>
    <t>Астраханская область</t>
  </si>
  <si>
    <t>Волгоградская область</t>
  </si>
  <si>
    <t>Вологодская область</t>
  </si>
  <si>
    <t>Город Москва столица Российской Федерации город федерального значения</t>
  </si>
  <si>
    <t>Город Санкт-Петербург город федерального значения</t>
  </si>
  <si>
    <t>Город федерального значения Севастополь</t>
  </si>
  <si>
    <t>Еврейская автономная область</t>
  </si>
  <si>
    <t>Забайкальский край</t>
  </si>
  <si>
    <t>Иркутская область</t>
  </si>
  <si>
    <t>Кабардино-Балкарская Республика</t>
  </si>
  <si>
    <t>Калининградская область</t>
  </si>
  <si>
    <t>Камчатский край</t>
  </si>
  <si>
    <t>Карачаево-Черкесская Республика</t>
  </si>
  <si>
    <t>Кемеровская область - Кузбасс</t>
  </si>
  <si>
    <t>Кировская область</t>
  </si>
  <si>
    <t>Краснодарский край</t>
  </si>
  <si>
    <t>Красноярский край</t>
  </si>
  <si>
    <t>Курганская область</t>
  </si>
  <si>
    <t>Ленинградская область</t>
  </si>
  <si>
    <t>Магаданская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</si>
  <si>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</si>
  <si>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</si>
  <si>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</si>
  <si>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</si>
  <si>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</si>
  <si>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</si>
  <si>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</si>
  <si>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</si>
  <si>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</si>
  <si>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</si>
  <si>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</si>
  <si>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</si>
  <si>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</si>
  <si>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</si>
  <si>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</si>
  <si>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</si>
  <si>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</si>
  <si>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</si>
  <si>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</si>
  <si>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</si>
  <si>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</si>
  <si>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</si>
  <si>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</si>
  <si>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</si>
  <si>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</si>
  <si>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</si>
  <si>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</si>
  <si>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</si>
  <si>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</si>
  <si>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</si>
  <si>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</si>
  <si>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</si>
  <si>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Ставропольский край</t>
  </si>
  <si>
    <t>Томская область</t>
  </si>
  <si>
    <t>Удмуртская Республика</t>
  </si>
  <si>
    <t>Ульяновская область</t>
  </si>
  <si>
    <t>Хабаровский край</t>
  </si>
  <si>
    <t>Челябинская область</t>
  </si>
  <si>
    <t>Чеченская Республика</t>
  </si>
  <si>
    <t>Чувашская Республика - Чувашия</t>
  </si>
  <si>
    <t>Чукотский автономный округ</t>
  </si>
  <si>
    <t>ВАЛОВОЙ РЕГИОНАЛЬНЫЙ ПРОДУКТ
(миллионов рублей на 1 000 человек населения)</t>
  </si>
  <si>
    <t>ИНВЕСТИЦИИ В ОСНОВНОЙ КАПИТАЛ
(в фактически действовавших ценах; миллионов рублей, на 1 000 человек населения)</t>
  </si>
  <si>
    <t>Количество крупных и средних организаций агропромыленного комплекса на начало года на 1 000 человек населения</t>
  </si>
  <si>
    <t>Количество тяжких и особо тяжких преступлений на 1 000 человек населения</t>
  </si>
  <si>
    <t>Количество преступлений, связанных с незаконным оборотом наркотических средств, на 1 000 человек населения</t>
  </si>
  <si>
    <t>Число зарегистрированных заболеваний у пациентов с диагнозом, установленным впервые в жизни (на 1 000 человек населения)</t>
  </si>
  <si>
    <t>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</t>
  </si>
  <si>
    <t>Общая численность пенсионеров (тысяча человек на 1 000 человек населения)</t>
  </si>
  <si>
    <t xml:space="preserve">Субъект Российской Федерации </t>
  </si>
  <si>
    <t>КОЭФФИЦИЕНТЫ МИГРАЦИОННОГО ПРИРОСТА на 10 000 человек населения</t>
  </si>
  <si>
    <t>Метод Уорда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</si>
  <si>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</si>
  <si>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</si>
  <si>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</si>
  <si>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</si>
  <si>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</si>
  <si>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</si>
  <si>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</si>
  <si>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</si>
  <si>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</si>
  <si>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</si>
  <si>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</si>
  <si>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Типичные представители</t>
  </si>
  <si>
    <t>Сумма кв расст</t>
  </si>
  <si>
    <t>Метод полных связей</t>
  </si>
  <si>
    <t>Метод взвешенной средней связи</t>
  </si>
  <si>
    <t>Метод К-средних</t>
  </si>
  <si>
    <t>Регион</t>
  </si>
  <si>
    <t>Обучающая выборка</t>
  </si>
  <si>
    <t>Номер класса по классификации Махаланобиса</t>
  </si>
  <si>
    <t>G_3:3</t>
  </si>
  <si>
    <t>G_6:6</t>
  </si>
  <si>
    <t>G_1:1</t>
  </si>
  <si>
    <t>G_2:2</t>
  </si>
  <si>
    <t>G_4:4</t>
  </si>
  <si>
    <t>G_5:5</t>
  </si>
  <si>
    <t>Номер класса по классификации дискр функции</t>
  </si>
  <si>
    <t>Номер класса по классификации через апостериорные вер-ти</t>
  </si>
  <si>
    <t>Классификация дискр ф-ции</t>
  </si>
  <si>
    <t>Махаланобис 1</t>
  </si>
  <si>
    <t>Махаланобис 2</t>
  </si>
  <si>
    <t>Махаланобис 3</t>
  </si>
  <si>
    <t>Махаланобис 4</t>
  </si>
  <si>
    <t>Махаланобис 5</t>
  </si>
  <si>
    <t>Махаланобис 6</t>
  </si>
  <si>
    <t>Апостериорные вер-ти 1</t>
  </si>
  <si>
    <t>Апостериорные вер-ти 2</t>
  </si>
  <si>
    <t>Апостериорные вер-ти 3</t>
  </si>
  <si>
    <t>Апостериорные вер-ти 4</t>
  </si>
  <si>
    <t>Апостериорные вер-ти 5</t>
  </si>
  <si>
    <t>Апостериорные вер-ти 6</t>
  </si>
  <si>
    <t>Forward Классификация дискр ф-ции</t>
  </si>
  <si>
    <t>Forward Махаланобис 1</t>
  </si>
  <si>
    <t>Forward Махаланобис 2</t>
  </si>
  <si>
    <t>Forward Махаланобис 3</t>
  </si>
  <si>
    <t>Forward Махаланобис 4</t>
  </si>
  <si>
    <t>Forward Махаланобис 5</t>
  </si>
  <si>
    <t>Forward Махаланобис 6</t>
  </si>
  <si>
    <t>Forward Апостериорные вер-ти 1</t>
  </si>
  <si>
    <t>Forward Апостериорные вер-ти 2</t>
  </si>
  <si>
    <t>Forward Апостериорные вер-ти 3</t>
  </si>
  <si>
    <t>Forward Апостериорные вер-ти 4</t>
  </si>
  <si>
    <t>Forward Апостериорные вер-ти 5</t>
  </si>
  <si>
    <t>Forward Апостериорные вер-ти 6</t>
  </si>
  <si>
    <t>Номер класса по классификации дискр функции (пошаговый дискр анализ с включением)</t>
  </si>
  <si>
    <t>Номер класса по классификации Махаланобиса (пошаговый дискр анализ с включением)</t>
  </si>
  <si>
    <t>Номер класса по классификации через апостериорные вер-ти (пошаговый дискр анализ с включением)</t>
  </si>
  <si>
    <t>Суммы</t>
  </si>
  <si>
    <t>Уорд</t>
  </si>
  <si>
    <t>Уорд (Python)</t>
  </si>
  <si>
    <t>Метод К-средних (Python)</t>
  </si>
  <si>
    <t>Метод Уорда (Python)</t>
  </si>
  <si>
    <t>Метод взвешенной средней связи (Python)</t>
  </si>
  <si>
    <t>Метод полных связей (Python)</t>
  </si>
  <si>
    <t>k-средних</t>
  </si>
  <si>
    <t>k-средних (Python)</t>
  </si>
  <si>
    <t>срвзв</t>
  </si>
  <si>
    <t>срвзв (Python)</t>
  </si>
  <si>
    <t>полных связей</t>
  </si>
  <si>
    <t>полных связей (Python)</t>
  </si>
  <si>
    <t>Номер класса по классификации дискр функции (Python)</t>
  </si>
  <si>
    <t>Номер класса (пошаговый дискр анализ с включением) Python</t>
  </si>
  <si>
    <t>Дискр анализ</t>
  </si>
  <si>
    <t>Дискр анализ вкл</t>
  </si>
  <si>
    <t>Точность  (пошаговый дискр анализ с включением) Python</t>
  </si>
  <si>
    <t>Eigenvalue</t>
  </si>
  <si>
    <t>Hi2набл</t>
  </si>
  <si>
    <t>Hi2крит1</t>
  </si>
  <si>
    <t>Hi2крит2</t>
  </si>
  <si>
    <t>alpha</t>
  </si>
  <si>
    <t>k</t>
  </si>
  <si>
    <t>n</t>
  </si>
  <si>
    <t>det(R) =</t>
  </si>
  <si>
    <t>Предел 1</t>
  </si>
  <si>
    <t>Собственные числа</t>
  </si>
  <si>
    <t>Предел 2</t>
  </si>
  <si>
    <t>Оценка информативности</t>
  </si>
  <si>
    <t xml:space="preserve">I_1(z(x)) = </t>
  </si>
  <si>
    <t xml:space="preserve">I_2(z(x)) = </t>
  </si>
  <si>
    <t xml:space="preserve">I_3(z(x)) = </t>
  </si>
  <si>
    <t xml:space="preserve">I_4(z(x)) = </t>
  </si>
  <si>
    <t xml:space="preserve">Критерий Кайзера = </t>
  </si>
  <si>
    <t>Кратность</t>
  </si>
  <si>
    <t>gamma н</t>
  </si>
  <si>
    <t>gamma кр1</t>
  </si>
  <si>
    <t>gamma кр2</t>
  </si>
  <si>
    <t>МГК Statistica (k-means)</t>
  </si>
  <si>
    <t>МГК Statistica (Ward)</t>
  </si>
  <si>
    <t>Расстояние МГК</t>
  </si>
  <si>
    <t>МГК Python (k-means)</t>
  </si>
  <si>
    <t>МГК Python (Ward)</t>
  </si>
  <si>
    <t>Показатель экономической активности (F1)</t>
  </si>
  <si>
    <t>Влияние уровня медицины на возрастной состав населения (F2)</t>
  </si>
  <si>
    <t>Расстояние</t>
  </si>
  <si>
    <t xml:space="preserve">МГК Statistica (k-means) в новой СК </t>
  </si>
  <si>
    <t>МГК Statistica (Ward) в новой СК</t>
  </si>
  <si>
    <t xml:space="preserve">МГК Python (k-means) в новой СК </t>
  </si>
  <si>
    <t>МГК Python (Ward) в новой СК</t>
  </si>
  <si>
    <t>K-means new</t>
  </si>
  <si>
    <t>K-means old</t>
  </si>
  <si>
    <t>Ward old</t>
  </si>
  <si>
    <t>Ward new</t>
  </si>
  <si>
    <t xml:space="preserve">Показатель экономической активности </t>
  </si>
  <si>
    <t>Влияние уровня медицины на возрастной состав населения</t>
  </si>
  <si>
    <t>Уровень преступности</t>
  </si>
  <si>
    <t>Преступность</t>
  </si>
  <si>
    <t>Обеспеченность врачами</t>
  </si>
  <si>
    <t>Показатель экономической активности</t>
  </si>
  <si>
    <t>Влияние возрастного состава населения на уровень смертности</t>
  </si>
  <si>
    <t>Факторный анализ Уорд Statistica</t>
  </si>
  <si>
    <t>Факторный анализ k-means Statistica</t>
  </si>
  <si>
    <t>Факторный анализ Уорд Python</t>
  </si>
  <si>
    <t>Факторный анализ k-means Python</t>
  </si>
  <si>
    <t>Расстояние факторный анализ</t>
  </si>
  <si>
    <t>k-means new</t>
  </si>
  <si>
    <t>ФА Statistica (k-means)</t>
  </si>
  <si>
    <t>ФА Statistica (Ward)</t>
  </si>
  <si>
    <t xml:space="preserve">ФА Statistica (k-means) в новой СК </t>
  </si>
  <si>
    <t>ФА Statistica (Ward) в новой СК</t>
  </si>
  <si>
    <t>ФА Python (k-means)</t>
  </si>
  <si>
    <t>ФА Python (Ward)</t>
  </si>
  <si>
    <t xml:space="preserve">ФА Python (k-means) в новой СК </t>
  </si>
  <si>
    <t>ФА Python (Ward) в новой СК</t>
  </si>
  <si>
    <t>Кохонен</t>
  </si>
  <si>
    <t>Регионы</t>
  </si>
  <si>
    <t>Neuron id (Кохонен)</t>
  </si>
  <si>
    <t>Точность</t>
  </si>
  <si>
    <t>Персептрон</t>
  </si>
  <si>
    <t>Точность классификации дискр функции</t>
  </si>
  <si>
    <t>Кохонен 2020</t>
  </si>
  <si>
    <t>Совпадения 2019 и 2020</t>
  </si>
  <si>
    <t>Кол-во объектов</t>
  </si>
  <si>
    <t>Совпадения дискр анализ и персептрон</t>
  </si>
  <si>
    <t>Точность персептрон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</si>
</sst>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####"/>
    <numFmt numFmtId="165" formatCode="0.000"/>
    <numFmt numFmtId="166" formatCode="0.0000"/>
    <numFmt numFmtId="167" formatCode="0.000000"/>
    <numFmt numFmtId="168" formatCode="0.0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rgb="FFC5E0B3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rgb="FFC5E0B3"/>
      </patternFill>
    </fill>
    <fill>
      <patternFill patternType="solid">
        <fgColor rgb="FFFFFF00"/>
        <bgColor rgb="FFEAD1DC"/>
      </patternFill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4" fillId="0" borderId="0"/>
    <xf numFmtId="0" fontId="14" fillId="0" borderId="0"/>
  </cellStyleXfs>
  <cellXfs count="95">
    <xf numFmtId="0" fontId="0" fillId="0" borderId="0" xfId="0"/>
    <xf numFmtId="3" fontId="0" fillId="0" borderId="0" xfId="0" applyNumberFormat="1" applyBorder="1" applyAlignment="1">
      <alignment horizontal="right" vertical="top"/>
    </xf>
    <xf numFmtId="3" fontId="0" fillId="0" borderId="2" xfId="0" applyNumberFormat="1" applyBorder="1" applyAlignment="1">
      <alignment horizontal="right" vertical="top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3" fontId="4" fillId="0" borderId="1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vertical="top"/>
    </xf>
    <xf numFmtId="0" fontId="4" fillId="0" borderId="1" xfId="0" applyFont="1" applyBorder="1"/>
    <xf numFmtId="0" fontId="0" fillId="0" borderId="1" xfId="0" applyBorder="1"/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left" vertical="center"/>
    </xf>
    <xf numFmtId="0" fontId="6" fillId="0" borderId="0" xfId="2" applyNumberFormat="1" applyFont="1" applyAlignment="1">
      <alignment vertical="center" wrapText="1"/>
    </xf>
    <xf numFmtId="0" fontId="6" fillId="0" borderId="0" xfId="0" applyNumberFormat="1" applyFont="1" applyAlignment="1">
      <alignment wrapText="1"/>
    </xf>
    <xf numFmtId="0" fontId="6" fillId="0" borderId="0" xfId="0" applyNumberFormat="1" applyFont="1" applyAlignment="1"/>
    <xf numFmtId="0" fontId="6" fillId="0" borderId="0" xfId="2" applyNumberFormat="1" applyFont="1" applyFill="1" applyAlignment="1">
      <alignment wrapText="1"/>
    </xf>
    <xf numFmtId="0" fontId="0" fillId="0" borderId="0" xfId="0" applyBorder="1"/>
    <xf numFmtId="0" fontId="6" fillId="0" borderId="0" xfId="1" applyNumberFormat="1" applyFont="1" applyFill="1" applyAlignment="1"/>
    <xf numFmtId="0" fontId="6" fillId="0" borderId="0" xfId="1" applyNumberFormat="1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8" fillId="0" borderId="0" xfId="3" applyNumberFormat="1" applyFont="1" applyAlignment="1">
      <alignment horizontal="right" vertical="center"/>
    </xf>
    <xf numFmtId="0" fontId="0" fillId="0" borderId="1" xfId="0" applyFill="1" applyBorder="1" applyAlignment="1">
      <alignment wrapText="1"/>
    </xf>
    <xf numFmtId="0" fontId="3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3" fontId="0" fillId="0" borderId="4" xfId="0" applyNumberForma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3" fontId="0" fillId="0" borderId="0" xfId="0" applyNumberFormat="1" applyFill="1" applyBorder="1" applyAlignment="1">
      <alignment horizontal="left" vertical="center"/>
    </xf>
    <xf numFmtId="0" fontId="6" fillId="0" borderId="0" xfId="4" applyNumberFormat="1" applyFont="1" applyAlignment="1"/>
    <xf numFmtId="0" fontId="6" fillId="0" borderId="0" xfId="2" applyFont="1" applyAlignment="1">
      <alignment vertical="center" wrapText="1"/>
    </xf>
    <xf numFmtId="0" fontId="6" fillId="0" borderId="0" xfId="0" applyFont="1"/>
    <xf numFmtId="1" fontId="8" fillId="0" borderId="0" xfId="5" applyNumberFormat="1" applyFont="1" applyAlignment="1">
      <alignment horizontal="right" vertical="center"/>
    </xf>
    <xf numFmtId="1" fontId="8" fillId="0" borderId="0" xfId="3" applyNumberFormat="1" applyFont="1" applyAlignment="1">
      <alignment horizontal="right" vertical="center"/>
    </xf>
    <xf numFmtId="165" fontId="8" fillId="0" borderId="0" xfId="3" applyNumberFormat="1" applyFont="1" applyAlignment="1">
      <alignment horizontal="right" vertical="center"/>
    </xf>
    <xf numFmtId="166" fontId="8" fillId="0" borderId="0" xfId="3" applyNumberFormat="1" applyFont="1" applyAlignment="1">
      <alignment horizontal="right" vertical="center"/>
    </xf>
    <xf numFmtId="167" fontId="8" fillId="0" borderId="0" xfId="3" applyNumberFormat="1" applyFont="1" applyAlignment="1">
      <alignment horizontal="right"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10" fillId="0" borderId="0" xfId="0" applyFont="1"/>
    <xf numFmtId="167" fontId="8" fillId="0" borderId="0" xfId="6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2" fillId="0" borderId="0" xfId="8" applyNumberFormat="1" applyFont="1" applyAlignment="1">
      <alignment horizontal="right" vertical="center"/>
    </xf>
    <xf numFmtId="1" fontId="12" fillId="0" borderId="0" xfId="8" applyNumberFormat="1" applyFont="1" applyAlignment="1">
      <alignment horizontal="right" vertical="center"/>
    </xf>
    <xf numFmtId="0" fontId="0" fillId="0" borderId="7" xfId="0" applyFont="1" applyBorder="1"/>
    <xf numFmtId="0" fontId="13" fillId="6" borderId="7" xfId="1" applyNumberFormat="1" applyFont="1" applyFill="1" applyBorder="1" applyAlignment="1">
      <alignment vertical="center" wrapText="1"/>
    </xf>
    <xf numFmtId="0" fontId="8" fillId="0" borderId="7" xfId="8" applyNumberFormat="1" applyFont="1" applyBorder="1" applyAlignment="1">
      <alignment horizontal="right" vertical="center"/>
    </xf>
    <xf numFmtId="0" fontId="13" fillId="6" borderId="0" xfId="2" applyNumberFormat="1" applyFont="1" applyFill="1" applyBorder="1" applyAlignment="1">
      <alignment vertical="center" wrapText="1"/>
    </xf>
    <xf numFmtId="0" fontId="13" fillId="6" borderId="0" xfId="1" applyNumberFormat="1" applyFont="1" applyFill="1" applyBorder="1" applyAlignment="1">
      <alignment vertical="center" wrapText="1"/>
    </xf>
    <xf numFmtId="0" fontId="8" fillId="0" borderId="7" xfId="3" applyNumberFormat="1" applyFont="1" applyBorder="1" applyAlignment="1">
      <alignment horizontal="right" vertical="center"/>
    </xf>
    <xf numFmtId="0" fontId="0" fillId="7" borderId="0" xfId="0" applyFill="1" applyAlignment="1">
      <alignment horizontal="center" vertical="center"/>
    </xf>
    <xf numFmtId="1" fontId="8" fillId="0" borderId="7" xfId="8" applyNumberFormat="1" applyFont="1" applyBorder="1" applyAlignment="1">
      <alignment horizontal="right" vertical="center"/>
    </xf>
    <xf numFmtId="0" fontId="13" fillId="6" borderId="8" xfId="1" applyNumberFormat="1" applyFont="1" applyFill="1" applyBorder="1" applyAlignment="1">
      <alignment vertical="center" wrapText="1"/>
    </xf>
    <xf numFmtId="167" fontId="15" fillId="0" borderId="0" xfId="9" applyNumberFormat="1" applyFont="1" applyAlignment="1">
      <alignment horizontal="right" vertical="center"/>
    </xf>
    <xf numFmtId="167" fontId="0" fillId="0" borderId="0" xfId="0" applyNumberFormat="1"/>
    <xf numFmtId="167" fontId="15" fillId="0" borderId="0" xfId="10" applyNumberFormat="1" applyFont="1" applyAlignment="1">
      <alignment horizontal="right" vertical="center"/>
    </xf>
    <xf numFmtId="168" fontId="15" fillId="0" borderId="0" xfId="10" applyNumberFormat="1" applyFont="1" applyAlignment="1">
      <alignment horizontal="right" vertical="center"/>
    </xf>
    <xf numFmtId="0" fontId="15" fillId="0" borderId="0" xfId="10" applyNumberFormat="1" applyFont="1" applyAlignment="1">
      <alignment horizontal="right" vertical="center"/>
    </xf>
    <xf numFmtId="1" fontId="15" fillId="0" borderId="0" xfId="1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 wrapText="1"/>
    </xf>
    <xf numFmtId="168" fontId="0" fillId="0" borderId="0" xfId="0" applyNumberFormat="1"/>
    <xf numFmtId="167" fontId="6" fillId="0" borderId="0" xfId="0" applyNumberFormat="1" applyFont="1" applyFill="1" applyAlignment="1"/>
    <xf numFmtId="167" fontId="8" fillId="0" borderId="7" xfId="10" applyNumberFormat="1" applyFont="1" applyBorder="1" applyAlignment="1">
      <alignment horizontal="right" vertical="center"/>
    </xf>
    <xf numFmtId="168" fontId="8" fillId="0" borderId="7" xfId="10" applyNumberFormat="1" applyFont="1" applyBorder="1" applyAlignment="1">
      <alignment horizontal="right" vertical="center"/>
    </xf>
    <xf numFmtId="167" fontId="8" fillId="8" borderId="7" xfId="10" applyNumberFormat="1" applyFont="1" applyFill="1" applyBorder="1" applyAlignment="1">
      <alignment horizontal="right" vertical="center"/>
    </xf>
    <xf numFmtId="168" fontId="8" fillId="8" borderId="7" xfId="10" applyNumberFormat="1" applyFont="1" applyFill="1" applyBorder="1" applyAlignment="1">
      <alignment horizontal="right" vertical="center"/>
    </xf>
    <xf numFmtId="167" fontId="8" fillId="8" borderId="8" xfId="10" applyNumberFormat="1" applyFont="1" applyFill="1" applyBorder="1" applyAlignment="1">
      <alignment horizontal="right" vertical="center"/>
    </xf>
    <xf numFmtId="168" fontId="8" fillId="8" borderId="8" xfId="10" applyNumberFormat="1" applyFont="1" applyFill="1" applyBorder="1" applyAlignment="1">
      <alignment horizontal="right" vertical="center"/>
    </xf>
    <xf numFmtId="0" fontId="13" fillId="6" borderId="9" xfId="1" applyNumberFormat="1" applyFont="1" applyFill="1" applyBorder="1" applyAlignment="1">
      <alignment vertical="center" wrapText="1"/>
    </xf>
    <xf numFmtId="0" fontId="8" fillId="0" borderId="7" xfId="10" applyNumberFormat="1" applyFont="1" applyBorder="1" applyAlignment="1">
      <alignment horizontal="right" vertical="center"/>
    </xf>
    <xf numFmtId="1" fontId="8" fillId="0" borderId="7" xfId="10" applyNumberFormat="1" applyFont="1" applyBorder="1" applyAlignment="1">
      <alignment horizontal="right" vertical="center"/>
    </xf>
    <xf numFmtId="167" fontId="8" fillId="0" borderId="8" xfId="10" applyNumberFormat="1" applyFont="1" applyBorder="1" applyAlignment="1">
      <alignment horizontal="right" vertical="center"/>
    </xf>
    <xf numFmtId="168" fontId="8" fillId="0" borderId="8" xfId="1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0" xfId="2" applyNumberFormat="1" applyFont="1" applyBorder="1" applyAlignment="1">
      <alignment wrapText="1"/>
    </xf>
    <xf numFmtId="0" fontId="0" fillId="0" borderId="11" xfId="0" applyFill="1" applyBorder="1"/>
    <xf numFmtId="0" fontId="0" fillId="0" borderId="11" xfId="0" applyFill="1" applyBorder="1" applyAlignment="1">
      <alignment wrapText="1"/>
    </xf>
    <xf numFmtId="0" fontId="0" fillId="0" borderId="0" xfId="0" applyAlignment="1">
      <alignment wrapText="1"/>
    </xf>
    <xf numFmtId="1" fontId="6" fillId="0" borderId="0" xfId="0" applyNumberFormat="1" applyFont="1"/>
    <xf numFmtId="1" fontId="0" fillId="0" borderId="0" xfId="0" applyNumberFormat="1"/>
    <xf numFmtId="0" fontId="0" fillId="9" borderId="1" xfId="0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1">
    <cellStyle name="Обычный" xfId="0" builtinId="0"/>
    <cellStyle name="Обычный_Cluster Membership" xfId="3" xr:uid="{D70B05C2-C6E8-4AE1-8847-2D6AC70922F2}"/>
    <cellStyle name="Обычный_Cluster Membership_1" xfId="4" xr:uid="{BAF344FD-D9A3-4BC4-BA04-1FF58B89089F}"/>
    <cellStyle name="Обычный_Cluster Membership_2" xfId="8" xr:uid="{BE925B8E-14D1-4C35-98E1-A09588E3A5E5}"/>
    <cellStyle name="Обычный_Cluster Membership_3" xfId="10" xr:uid="{1286A1F4-CCB1-4B32-9CE3-8BBC34E09F74}"/>
    <cellStyle name="Обычный_Sheet1" xfId="7" xr:uid="{650018FE-4BE5-4237-B246-EAFBDF76B833}"/>
    <cellStyle name="Обычный_Классификация функц" xfId="5" xr:uid="{515F9EC4-875C-44BB-8DB4-D4FFD304663C}"/>
    <cellStyle name="Обычный_МГК" xfId="9" xr:uid="{4D0BE9D8-C914-40A3-85BD-F2772D1FE0A4}"/>
    <cellStyle name="Обычный_РСА" xfId="6" xr:uid="{F1B2D3C4-4C7C-4154-AEBA-9849587F9FF7}"/>
    <cellStyle name="Обычный_сс" xfId="2" xr:uid="{3271BA47-23D9-41C5-9149-2FD9579C8797}"/>
    <cellStyle name="Текст предупреждения" xfId="1" builtinId="11"/>
  </cellStyles>
  <dxfs count="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8" formatCode="0.000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7" formatCode="0.0000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8" formatCode="0.000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7" formatCode="0.0000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8" formatCode="0.000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7" formatCode="0.0000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8" formatCode="0.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7" formatCode="0.0000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solid">
          <fgColor theme="6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solid">
          <fgColor theme="6"/>
          <bgColor theme="6"/>
        </patternFill>
      </fill>
      <alignment horizontal="general" vertical="center" textRotation="0" wrapText="1" indent="0" justifyLastLine="0" shrinkToFit="0" readingOrder="0"/>
    </dxf>
    <dxf>
      <numFmt numFmtId="167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167" formatCode="0.000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8" formatCode="0.00000"/>
    </dxf>
    <dxf>
      <numFmt numFmtId="168" formatCode="0.00000"/>
    </dxf>
    <dxf>
      <numFmt numFmtId="168" formatCode="0.00000"/>
    </dxf>
    <dxf>
      <numFmt numFmtId="167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К-средних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741523310264265E-2"/>
          <c:y val="4.7014954178576582E-2"/>
          <c:w val="0.95163557832852252"/>
          <c:h val="0.92894860759667308"/>
        </c:manualLayout>
      </c:layout>
      <c:lineChart>
        <c:grouping val="standard"/>
        <c:varyColors val="0"/>
        <c:ser>
          <c:idx val="0"/>
          <c:order val="0"/>
          <c:tx>
            <c:strRef>
              <c:f>'Итоги метода к-средних'!$B$2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к-средних'!$C$2:$M$2</c:f>
              <c:numCache>
                <c:formatCode>General</c:formatCode>
                <c:ptCount val="11"/>
                <c:pt idx="0">
                  <c:v>-8.5777769783093538E-2</c:v>
                </c:pt>
                <c:pt idx="1">
                  <c:v>-0.15084056431478274</c:v>
                </c:pt>
                <c:pt idx="2">
                  <c:v>1.590940457643554E-2</c:v>
                </c:pt>
                <c:pt idx="3">
                  <c:v>0.38635214173465926</c:v>
                </c:pt>
                <c:pt idx="4">
                  <c:v>0.11108090229376172</c:v>
                </c:pt>
                <c:pt idx="5">
                  <c:v>0.20486848152942816</c:v>
                </c:pt>
                <c:pt idx="6">
                  <c:v>0.15951932181058504</c:v>
                </c:pt>
                <c:pt idx="7">
                  <c:v>9.7549891319920159E-2</c:v>
                </c:pt>
                <c:pt idx="8">
                  <c:v>1.2194385055604304</c:v>
                </c:pt>
                <c:pt idx="9">
                  <c:v>0.21737973164600322</c:v>
                </c:pt>
                <c:pt idx="10">
                  <c:v>-0.29570161372310111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A-4DA3-8243-F6BE34DFFD8B}"/>
            </c:ext>
          </c:extLst>
        </c:ser>
        <c:ser>
          <c:idx val="1"/>
          <c:order val="1"/>
          <c:tx>
            <c:strRef>
              <c:f>'Итоги метода к-средних'!$B$3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к-средних'!$C$3:$M$3</c:f>
              <c:numCache>
                <c:formatCode>General</c:formatCode>
                <c:ptCount val="11"/>
                <c:pt idx="0">
                  <c:v>-0.40117445819171077</c:v>
                </c:pt>
                <c:pt idx="1">
                  <c:v>-0.26323472896034794</c:v>
                </c:pt>
                <c:pt idx="2">
                  <c:v>-0.59445670698184383</c:v>
                </c:pt>
                <c:pt idx="3">
                  <c:v>-0.74831509222117942</c:v>
                </c:pt>
                <c:pt idx="4">
                  <c:v>0.8539963513879647</c:v>
                </c:pt>
                <c:pt idx="5">
                  <c:v>-1.0933889115649791</c:v>
                </c:pt>
                <c:pt idx="6">
                  <c:v>-0.5724198782756178</c:v>
                </c:pt>
                <c:pt idx="7">
                  <c:v>-1.3202873221747859</c:v>
                </c:pt>
                <c:pt idx="8">
                  <c:v>-1.2435390914398965</c:v>
                </c:pt>
                <c:pt idx="9">
                  <c:v>-0.59698110684834238</c:v>
                </c:pt>
                <c:pt idx="10">
                  <c:v>-1.3859999219998067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A-4DA3-8243-F6BE34DFFD8B}"/>
            </c:ext>
          </c:extLst>
        </c:ser>
        <c:ser>
          <c:idx val="2"/>
          <c:order val="2"/>
          <c:tx>
            <c:strRef>
              <c:f>'Итоги метода к-средних'!$B$4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к-средних'!$C$4:$M$4</c:f>
              <c:numCache>
                <c:formatCode>General</c:formatCode>
                <c:ptCount val="11"/>
                <c:pt idx="0">
                  <c:v>-0.29383595741402468</c:v>
                </c:pt>
                <c:pt idx="1">
                  <c:v>-0.28376431745106706</c:v>
                </c:pt>
                <c:pt idx="2">
                  <c:v>9.3596679432283114E-2</c:v>
                </c:pt>
                <c:pt idx="3">
                  <c:v>-0.26430257805447349</c:v>
                </c:pt>
                <c:pt idx="4">
                  <c:v>-6.2467100523230602E-2</c:v>
                </c:pt>
                <c:pt idx="5">
                  <c:v>-0.39338388208609193</c:v>
                </c:pt>
                <c:pt idx="6">
                  <c:v>-0.50249109582656226</c:v>
                </c:pt>
                <c:pt idx="7">
                  <c:v>0.66773767039077203</c:v>
                </c:pt>
                <c:pt idx="8">
                  <c:v>-0.18734802024280911</c:v>
                </c:pt>
                <c:pt idx="9">
                  <c:v>-0.3813452346705698</c:v>
                </c:pt>
                <c:pt idx="10">
                  <c:v>0.58462476533598851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A-4DA3-8243-F6BE34DFFD8B}"/>
            </c:ext>
          </c:extLst>
        </c:ser>
        <c:ser>
          <c:idx val="3"/>
          <c:order val="3"/>
          <c:tx>
            <c:strRef>
              <c:f>'Итоги метода к-средних'!$B$5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к-средних'!$C$5:$M$5</c:f>
              <c:numCache>
                <c:formatCode>General</c:formatCode>
                <c:ptCount val="11"/>
                <c:pt idx="0">
                  <c:v>0.94546507481097397</c:v>
                </c:pt>
                <c:pt idx="1">
                  <c:v>0.66946840531568996</c:v>
                </c:pt>
                <c:pt idx="2">
                  <c:v>1.2256651873443887</c:v>
                </c:pt>
                <c:pt idx="3">
                  <c:v>1.8827543898102079</c:v>
                </c:pt>
                <c:pt idx="4">
                  <c:v>0.12298704232247878</c:v>
                </c:pt>
                <c:pt idx="5">
                  <c:v>-2.9584936392048625E-2</c:v>
                </c:pt>
                <c:pt idx="6">
                  <c:v>-0.12895250400757308</c:v>
                </c:pt>
                <c:pt idx="7">
                  <c:v>-0.99658266434039466</c:v>
                </c:pt>
                <c:pt idx="8">
                  <c:v>0.38008667117291584</c:v>
                </c:pt>
                <c:pt idx="9">
                  <c:v>1.8934750268025426</c:v>
                </c:pt>
                <c:pt idx="10">
                  <c:v>0.50147550976177546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A-4DA3-8243-F6BE34DFFD8B}"/>
            </c:ext>
          </c:extLst>
        </c:ser>
        <c:ser>
          <c:idx val="4"/>
          <c:order val="4"/>
          <c:tx>
            <c:strRef>
              <c:f>'Итоги метода к-средних'!$B$6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к-средних'!$C$6:$M$6</c:f>
              <c:numCache>
                <c:formatCode>General</c:formatCode>
                <c:ptCount val="11"/>
                <c:pt idx="0">
                  <c:v>5.7462770269576238</c:v>
                </c:pt>
                <c:pt idx="1">
                  <c:v>5.9049781269580119</c:v>
                </c:pt>
                <c:pt idx="2">
                  <c:v>1.6296869343920357</c:v>
                </c:pt>
                <c:pt idx="3">
                  <c:v>1.9311908677562943</c:v>
                </c:pt>
                <c:pt idx="4">
                  <c:v>-0.2080774870031652</c:v>
                </c:pt>
                <c:pt idx="5">
                  <c:v>0.55459797346785666</c:v>
                </c:pt>
                <c:pt idx="6">
                  <c:v>-0.65648515448619627</c:v>
                </c:pt>
                <c:pt idx="7">
                  <c:v>-2.0636847698196972</c:v>
                </c:pt>
                <c:pt idx="8">
                  <c:v>-0.42314784923426446</c:v>
                </c:pt>
                <c:pt idx="9">
                  <c:v>0.73658747277901915</c:v>
                </c:pt>
                <c:pt idx="10">
                  <c:v>-0.45731752806434312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A-4DA3-8243-F6BE34DFFD8B}"/>
            </c:ext>
          </c:extLst>
        </c:ser>
        <c:ser>
          <c:idx val="5"/>
          <c:order val="5"/>
          <c:tx>
            <c:strRef>
              <c:f>'Итоги метода к-средних'!$B$7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к-средних'!$C$7:$M$7</c:f>
              <c:numCache>
                <c:formatCode>General</c:formatCode>
                <c:ptCount val="11"/>
                <c:pt idx="0">
                  <c:v>-0.18401601966872208</c:v>
                </c:pt>
                <c:pt idx="1">
                  <c:v>-0.12096098326786553</c:v>
                </c:pt>
                <c:pt idx="2">
                  <c:v>-0.57835083809007282</c:v>
                </c:pt>
                <c:pt idx="3">
                  <c:v>-0.46278205472900291</c:v>
                </c:pt>
                <c:pt idx="4">
                  <c:v>-0.55072992861612569</c:v>
                </c:pt>
                <c:pt idx="5">
                  <c:v>1.2206682278936987</c:v>
                </c:pt>
                <c:pt idx="6">
                  <c:v>1.3631383944548849</c:v>
                </c:pt>
                <c:pt idx="7">
                  <c:v>3.8289383527242239E-2</c:v>
                </c:pt>
                <c:pt idx="8">
                  <c:v>-0.24543062574109406</c:v>
                </c:pt>
                <c:pt idx="9">
                  <c:v>8.2030150908942862E-3</c:v>
                </c:pt>
                <c:pt idx="10">
                  <c:v>-0.18758650718751249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A-4DA3-8243-F6BE34DF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76207"/>
        <c:axId val="547777039"/>
      </c:lineChart>
      <c:catAx>
        <c:axId val="54777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777039"/>
        <c:crosses val="autoZero"/>
        <c:auto val="1"/>
        <c:lblAlgn val="ctr"/>
        <c:lblOffset val="100"/>
        <c:noMultiLvlLbl val="0"/>
      </c:catAx>
      <c:valAx>
        <c:axId val="5477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77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new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МГК!$J$25:$J$43</c:f>
              <c:numCache>
                <c:formatCode>General</c:formatCode>
                <c:ptCount val="19"/>
                <c:pt idx="0">
                  <c:v>-0.20358744852449989</c:v>
                </c:pt>
                <c:pt idx="1">
                  <c:v>-0.6648509172153666</c:v>
                </c:pt>
                <c:pt idx="2">
                  <c:v>-3.7071935064339909E-2</c:v>
                </c:pt>
                <c:pt idx="3">
                  <c:v>-0.5665560790059545</c:v>
                </c:pt>
                <c:pt idx="4">
                  <c:v>-0.72846973281192684</c:v>
                </c:pt>
                <c:pt idx="5">
                  <c:v>-1.3044339289824241</c:v>
                </c:pt>
                <c:pt idx="6">
                  <c:v>3.1720081622347678E-2</c:v>
                </c:pt>
                <c:pt idx="7">
                  <c:v>-0.24418559558900249</c:v>
                </c:pt>
                <c:pt idx="8">
                  <c:v>-8.5016739583504225E-2</c:v>
                </c:pt>
                <c:pt idx="9">
                  <c:v>1.021556620924061E-2</c:v>
                </c:pt>
                <c:pt idx="10">
                  <c:v>-0.84649791588204726</c:v>
                </c:pt>
                <c:pt idx="11">
                  <c:v>-0.31516961159511719</c:v>
                </c:pt>
                <c:pt idx="12">
                  <c:v>8.6513407413434329E-2</c:v>
                </c:pt>
                <c:pt idx="13">
                  <c:v>-0.53299913848085567</c:v>
                </c:pt>
                <c:pt idx="14">
                  <c:v>-0.24506025237174539</c:v>
                </c:pt>
                <c:pt idx="15">
                  <c:v>-0.34031604079733468</c:v>
                </c:pt>
                <c:pt idx="16">
                  <c:v>0.11078902409726329</c:v>
                </c:pt>
                <c:pt idx="17">
                  <c:v>0.26006044206293422</c:v>
                </c:pt>
                <c:pt idx="18">
                  <c:v>-0.2198954936920878</c:v>
                </c:pt>
              </c:numCache>
            </c:numRef>
          </c:xVal>
          <c:yVal>
            <c:numRef>
              <c:f>МГК!$K$25:$K$43</c:f>
              <c:numCache>
                <c:formatCode>General</c:formatCode>
                <c:ptCount val="19"/>
                <c:pt idx="0">
                  <c:v>-1.0617351172693319</c:v>
                </c:pt>
                <c:pt idx="1">
                  <c:v>-1.796419806012999</c:v>
                </c:pt>
                <c:pt idx="2">
                  <c:v>-0.90200958403461506</c:v>
                </c:pt>
                <c:pt idx="3">
                  <c:v>-0.54502190246970417</c:v>
                </c:pt>
                <c:pt idx="4">
                  <c:v>-0.55279689893376893</c:v>
                </c:pt>
                <c:pt idx="5">
                  <c:v>-1.027174771022366</c:v>
                </c:pt>
                <c:pt idx="6">
                  <c:v>-0.81829414329810202</c:v>
                </c:pt>
                <c:pt idx="7">
                  <c:v>-1.814981607050397</c:v>
                </c:pt>
                <c:pt idx="8">
                  <c:v>-0.59415005529581244</c:v>
                </c:pt>
                <c:pt idx="9">
                  <c:v>-1.1229826982314379</c:v>
                </c:pt>
                <c:pt idx="10">
                  <c:v>-0.81803900878934133</c:v>
                </c:pt>
                <c:pt idx="11">
                  <c:v>-0.83362856247693917</c:v>
                </c:pt>
                <c:pt idx="12">
                  <c:v>-1.359026800227596</c:v>
                </c:pt>
                <c:pt idx="13">
                  <c:v>-0.6780388326989415</c:v>
                </c:pt>
                <c:pt idx="14">
                  <c:v>-0.54222900004647601</c:v>
                </c:pt>
                <c:pt idx="15">
                  <c:v>-0.56952514670434229</c:v>
                </c:pt>
                <c:pt idx="16">
                  <c:v>-0.67218631621112024</c:v>
                </c:pt>
                <c:pt idx="17">
                  <c:v>-0.7256298100087728</c:v>
                </c:pt>
                <c:pt idx="18">
                  <c:v>-0.71366170339373525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4-4407-9EC9-60BEB797F82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МГК!$J$44:$J$57</c:f>
              <c:numCache>
                <c:formatCode>General</c:formatCode>
                <c:ptCount val="14"/>
                <c:pt idx="0">
                  <c:v>0.13326043326521089</c:v>
                </c:pt>
                <c:pt idx="1">
                  <c:v>-0.36954184096567472</c:v>
                </c:pt>
                <c:pt idx="2">
                  <c:v>0.94821359838146468</c:v>
                </c:pt>
                <c:pt idx="3">
                  <c:v>-0.2091517114189663</c:v>
                </c:pt>
                <c:pt idx="4">
                  <c:v>0.15765351620655499</c:v>
                </c:pt>
                <c:pt idx="5">
                  <c:v>0.32586958656467713</c:v>
                </c:pt>
                <c:pt idx="6">
                  <c:v>-0.49544674921168991</c:v>
                </c:pt>
                <c:pt idx="7">
                  <c:v>-0.26136751096930211</c:v>
                </c:pt>
                <c:pt idx="8">
                  <c:v>-0.68588353693613324</c:v>
                </c:pt>
                <c:pt idx="9">
                  <c:v>8.4325000070732972E-2</c:v>
                </c:pt>
                <c:pt idx="10">
                  <c:v>1.121229902042258</c:v>
                </c:pt>
                <c:pt idx="11">
                  <c:v>0.16889997583475061</c:v>
                </c:pt>
                <c:pt idx="12">
                  <c:v>1.8196413197788011</c:v>
                </c:pt>
                <c:pt idx="13">
                  <c:v>-0.32027827125410657</c:v>
                </c:pt>
              </c:numCache>
            </c:numRef>
          </c:xVal>
          <c:yVal>
            <c:numRef>
              <c:f>МГК!$K$44:$K$57</c:f>
              <c:numCache>
                <c:formatCode>General</c:formatCode>
                <c:ptCount val="14"/>
                <c:pt idx="0">
                  <c:v>0.60145959237000013</c:v>
                </c:pt>
                <c:pt idx="1">
                  <c:v>1.1721645312051181</c:v>
                </c:pt>
                <c:pt idx="2">
                  <c:v>-7.6697335812402206E-2</c:v>
                </c:pt>
                <c:pt idx="3">
                  <c:v>0.75509757599440697</c:v>
                </c:pt>
                <c:pt idx="4">
                  <c:v>1.1211276078498911</c:v>
                </c:pt>
                <c:pt idx="5">
                  <c:v>1.0186246715872449</c:v>
                </c:pt>
                <c:pt idx="6">
                  <c:v>1.115353070475857</c:v>
                </c:pt>
                <c:pt idx="7">
                  <c:v>1.1035108561914391</c:v>
                </c:pt>
                <c:pt idx="8">
                  <c:v>0.93345779702703258</c:v>
                </c:pt>
                <c:pt idx="9">
                  <c:v>0.39680165548718072</c:v>
                </c:pt>
                <c:pt idx="10">
                  <c:v>1.1725198224488911</c:v>
                </c:pt>
                <c:pt idx="11">
                  <c:v>0.27544703319235853</c:v>
                </c:pt>
                <c:pt idx="12">
                  <c:v>1.032419465872529</c:v>
                </c:pt>
                <c:pt idx="13">
                  <c:v>0.52635557242732678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44-4407-9EC9-60BEB797F82C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МГК!$J$58:$J$60</c:f>
              <c:numCache>
                <c:formatCode>General</c:formatCode>
                <c:ptCount val="3"/>
                <c:pt idx="0">
                  <c:v>4.9273383747189534</c:v>
                </c:pt>
                <c:pt idx="1">
                  <c:v>3.6351435977879998</c:v>
                </c:pt>
                <c:pt idx="2">
                  <c:v>4.2002999629511084</c:v>
                </c:pt>
              </c:numCache>
            </c:numRef>
          </c:xVal>
          <c:yVal>
            <c:numRef>
              <c:f>МГК!$K$58:$K$60</c:f>
              <c:numCache>
                <c:formatCode>General</c:formatCode>
                <c:ptCount val="3"/>
                <c:pt idx="0">
                  <c:v>0.97987216546339162</c:v>
                </c:pt>
                <c:pt idx="1">
                  <c:v>0.71448876319000676</c:v>
                </c:pt>
                <c:pt idx="2">
                  <c:v>0.99386585785850912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44-4407-9EC9-60BEB797F82C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МГК!$J$61:$J$66</c:f>
              <c:numCache>
                <c:formatCode>General</c:formatCode>
                <c:ptCount val="6"/>
                <c:pt idx="0">
                  <c:v>-0.38939534933886888</c:v>
                </c:pt>
                <c:pt idx="1">
                  <c:v>-0.92242027962921991</c:v>
                </c:pt>
                <c:pt idx="2">
                  <c:v>-0.78490744119068034</c:v>
                </c:pt>
                <c:pt idx="3">
                  <c:v>-0.70700965584710662</c:v>
                </c:pt>
                <c:pt idx="4">
                  <c:v>-0.43140673599964918</c:v>
                </c:pt>
                <c:pt idx="5">
                  <c:v>-0.76757470034949304</c:v>
                </c:pt>
              </c:numCache>
            </c:numRef>
          </c:xVal>
          <c:yVal>
            <c:numRef>
              <c:f>МГК!$K$61:$K$66</c:f>
              <c:numCache>
                <c:formatCode>General</c:formatCode>
                <c:ptCount val="6"/>
                <c:pt idx="0">
                  <c:v>1.6518154811154091</c:v>
                </c:pt>
                <c:pt idx="1">
                  <c:v>1.395614150759894</c:v>
                </c:pt>
                <c:pt idx="2">
                  <c:v>2.0046384175698848</c:v>
                </c:pt>
                <c:pt idx="3">
                  <c:v>2.9021994871095971</c:v>
                </c:pt>
                <c:pt idx="4">
                  <c:v>3.388114173027192</c:v>
                </c:pt>
                <c:pt idx="5">
                  <c:v>2.8757050527121928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44-4407-9EC9-60BEB797F82C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МГК!$J$67:$J$103</c:f>
              <c:numCache>
                <c:formatCode>General</c:formatCode>
                <c:ptCount val="37"/>
                <c:pt idx="0">
                  <c:v>-0.50237504782949305</c:v>
                </c:pt>
                <c:pt idx="1">
                  <c:v>-3.8212745948197527E-2</c:v>
                </c:pt>
                <c:pt idx="2">
                  <c:v>-0.62839207837731759</c:v>
                </c:pt>
                <c:pt idx="3">
                  <c:v>-0.5318566872201016</c:v>
                </c:pt>
                <c:pt idx="4">
                  <c:v>-0.41871693897660012</c:v>
                </c:pt>
                <c:pt idx="5">
                  <c:v>-0.49721749439533452</c:v>
                </c:pt>
                <c:pt idx="6">
                  <c:v>8.5954187587156169E-3</c:v>
                </c:pt>
                <c:pt idx="7">
                  <c:v>-0.34315388149080278</c:v>
                </c:pt>
                <c:pt idx="8">
                  <c:v>-0.64357211356757515</c:v>
                </c:pt>
                <c:pt idx="9">
                  <c:v>-0.18802689119077171</c:v>
                </c:pt>
                <c:pt idx="10">
                  <c:v>0.24460451534785099</c:v>
                </c:pt>
                <c:pt idx="11">
                  <c:v>-0.22613340436470469</c:v>
                </c:pt>
                <c:pt idx="12">
                  <c:v>0.17838914956971641</c:v>
                </c:pt>
                <c:pt idx="13">
                  <c:v>2.528258983073951E-3</c:v>
                </c:pt>
                <c:pt idx="14">
                  <c:v>-3.5123336270706518E-2</c:v>
                </c:pt>
                <c:pt idx="15">
                  <c:v>0.17596595900598799</c:v>
                </c:pt>
                <c:pt idx="16">
                  <c:v>-0.36064252165046218</c:v>
                </c:pt>
                <c:pt idx="17">
                  <c:v>-0.59077230029766203</c:v>
                </c:pt>
                <c:pt idx="18">
                  <c:v>-0.54371657298208187</c:v>
                </c:pt>
                <c:pt idx="19">
                  <c:v>-0.27862104997515502</c:v>
                </c:pt>
                <c:pt idx="20">
                  <c:v>-0.45980382713707668</c:v>
                </c:pt>
                <c:pt idx="21">
                  <c:v>-0.61976387824194501</c:v>
                </c:pt>
                <c:pt idx="22">
                  <c:v>-0.55884460135654623</c:v>
                </c:pt>
                <c:pt idx="23">
                  <c:v>-0.6212174548353967</c:v>
                </c:pt>
                <c:pt idx="24">
                  <c:v>-0.63968873005441784</c:v>
                </c:pt>
                <c:pt idx="25">
                  <c:v>-0.55091131822310535</c:v>
                </c:pt>
                <c:pt idx="26">
                  <c:v>-0.4175150727312596</c:v>
                </c:pt>
                <c:pt idx="27">
                  <c:v>-0.12430014231727909</c:v>
                </c:pt>
                <c:pt idx="28">
                  <c:v>-0.41912117283982497</c:v>
                </c:pt>
                <c:pt idx="29">
                  <c:v>-0.29218144166185439</c:v>
                </c:pt>
                <c:pt idx="30">
                  <c:v>-0.27363935034735481</c:v>
                </c:pt>
                <c:pt idx="31">
                  <c:v>-0.67115693799561926</c:v>
                </c:pt>
                <c:pt idx="32">
                  <c:v>0.18691987494831011</c:v>
                </c:pt>
                <c:pt idx="33">
                  <c:v>-0.51320041213897072</c:v>
                </c:pt>
                <c:pt idx="34">
                  <c:v>0.45983944747392991</c:v>
                </c:pt>
                <c:pt idx="35">
                  <c:v>-0.66851841039636117</c:v>
                </c:pt>
                <c:pt idx="36">
                  <c:v>-0.22392924928003691</c:v>
                </c:pt>
              </c:numCache>
            </c:numRef>
          </c:xVal>
          <c:yVal>
            <c:numRef>
              <c:f>МГК!$K$67:$K$103</c:f>
              <c:numCache>
                <c:formatCode>General</c:formatCode>
                <c:ptCount val="37"/>
                <c:pt idx="0">
                  <c:v>-0.16116346192215131</c:v>
                </c:pt>
                <c:pt idx="1">
                  <c:v>0.21905190358718621</c:v>
                </c:pt>
                <c:pt idx="2">
                  <c:v>0.25152034473080243</c:v>
                </c:pt>
                <c:pt idx="3">
                  <c:v>8.6892631445448856E-2</c:v>
                </c:pt>
                <c:pt idx="4">
                  <c:v>0.16073090400338791</c:v>
                </c:pt>
                <c:pt idx="5">
                  <c:v>0.32952881862386268</c:v>
                </c:pt>
                <c:pt idx="6">
                  <c:v>-0.15051297263562799</c:v>
                </c:pt>
                <c:pt idx="7">
                  <c:v>-0.27394319116909749</c:v>
                </c:pt>
                <c:pt idx="8">
                  <c:v>-2.8880430724861302E-2</c:v>
                </c:pt>
                <c:pt idx="9">
                  <c:v>-0.47038412939546931</c:v>
                </c:pt>
                <c:pt idx="10">
                  <c:v>8.7790956808891873E-2</c:v>
                </c:pt>
                <c:pt idx="11">
                  <c:v>-0.44307943598526428</c:v>
                </c:pt>
                <c:pt idx="12">
                  <c:v>-0.36260768078392402</c:v>
                </c:pt>
                <c:pt idx="13">
                  <c:v>-0.3292263470351387</c:v>
                </c:pt>
                <c:pt idx="14">
                  <c:v>-0.16599117592249671</c:v>
                </c:pt>
                <c:pt idx="15">
                  <c:v>4.3450521407391522E-2</c:v>
                </c:pt>
                <c:pt idx="16">
                  <c:v>-3.9136253460996598E-2</c:v>
                </c:pt>
                <c:pt idx="17">
                  <c:v>-0.1697642554712003</c:v>
                </c:pt>
                <c:pt idx="18">
                  <c:v>-0.14867230706768619</c:v>
                </c:pt>
                <c:pt idx="19">
                  <c:v>-0.28313972205390597</c:v>
                </c:pt>
                <c:pt idx="20">
                  <c:v>0.31327658127355301</c:v>
                </c:pt>
                <c:pt idx="21">
                  <c:v>6.2236044476361822E-2</c:v>
                </c:pt>
                <c:pt idx="22">
                  <c:v>0.53788996433742164</c:v>
                </c:pt>
                <c:pt idx="23">
                  <c:v>-6.602829279792416E-2</c:v>
                </c:pt>
                <c:pt idx="24">
                  <c:v>-9.6011254439684585E-2</c:v>
                </c:pt>
                <c:pt idx="25">
                  <c:v>0.42895246553102412</c:v>
                </c:pt>
                <c:pt idx="26">
                  <c:v>-0.31249377650187837</c:v>
                </c:pt>
                <c:pt idx="27">
                  <c:v>7.3867624675114402E-2</c:v>
                </c:pt>
                <c:pt idx="28">
                  <c:v>-3.3728576589710187E-2</c:v>
                </c:pt>
                <c:pt idx="29">
                  <c:v>-0.39383945115898922</c:v>
                </c:pt>
                <c:pt idx="30">
                  <c:v>0.32471919314082309</c:v>
                </c:pt>
                <c:pt idx="31">
                  <c:v>-0.22528053776934481</c:v>
                </c:pt>
                <c:pt idx="32">
                  <c:v>-0.39507514385095721</c:v>
                </c:pt>
                <c:pt idx="33">
                  <c:v>-0.1686003451277002</c:v>
                </c:pt>
                <c:pt idx="34">
                  <c:v>-3.0324175665240091E-2</c:v>
                </c:pt>
                <c:pt idx="35">
                  <c:v>-1.855117772373651E-2</c:v>
                </c:pt>
                <c:pt idx="36">
                  <c:v>-0.2069671997572696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44-4407-9EC9-60BEB797F82C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МГК!$J$104:$J$109</c:f>
              <c:numCache>
                <c:formatCode>General</c:formatCode>
                <c:ptCount val="6"/>
                <c:pt idx="0">
                  <c:v>0.43930730948387348</c:v>
                </c:pt>
                <c:pt idx="1">
                  <c:v>1.148744790042856</c:v>
                </c:pt>
                <c:pt idx="2">
                  <c:v>1.443834071439968</c:v>
                </c:pt>
                <c:pt idx="3">
                  <c:v>1.122695056631043</c:v>
                </c:pt>
                <c:pt idx="4">
                  <c:v>0.48088868778164501</c:v>
                </c:pt>
                <c:pt idx="5">
                  <c:v>1.645333348326435</c:v>
                </c:pt>
              </c:numCache>
            </c:numRef>
          </c:xVal>
          <c:yVal>
            <c:numRef>
              <c:f>МГК!$K$104:$K$109</c:f>
              <c:numCache>
                <c:formatCode>General</c:formatCode>
                <c:ptCount val="6"/>
                <c:pt idx="0">
                  <c:v>-1.6243701570924891</c:v>
                </c:pt>
                <c:pt idx="1">
                  <c:v>-1.4724866272143511</c:v>
                </c:pt>
                <c:pt idx="2">
                  <c:v>-1.676028796176702</c:v>
                </c:pt>
                <c:pt idx="3">
                  <c:v>-1.3838149561797639</c:v>
                </c:pt>
                <c:pt idx="4">
                  <c:v>-1.362272718916929</c:v>
                </c:pt>
                <c:pt idx="5">
                  <c:v>-1.3339571043980221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44-4407-9EC9-60BEB797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8384"/>
        <c:axId val="482353824"/>
      </c:scatterChart>
      <c:valAx>
        <c:axId val="4823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353824"/>
        <c:crosses val="autoZero"/>
        <c:crossBetween val="midCat"/>
      </c:valAx>
      <c:valAx>
        <c:axId val="4823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3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old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'Факторный анализ'!$B$2:$B$18</c:f>
              <c:numCache>
                <c:formatCode>0.000000</c:formatCode>
                <c:ptCount val="17"/>
                <c:pt idx="0">
                  <c:v>-0.16270020200605442</c:v>
                </c:pt>
                <c:pt idx="1">
                  <c:v>-0.26495632077596187</c:v>
                </c:pt>
                <c:pt idx="2">
                  <c:v>-0.15839253405056183</c:v>
                </c:pt>
                <c:pt idx="3">
                  <c:v>2.3175945982798266E-2</c:v>
                </c:pt>
                <c:pt idx="4">
                  <c:v>-6.7014405902649676E-2</c:v>
                </c:pt>
                <c:pt idx="5">
                  <c:v>0.11592298896448995</c:v>
                </c:pt>
                <c:pt idx="6">
                  <c:v>-0.20139740388381464</c:v>
                </c:pt>
                <c:pt idx="7">
                  <c:v>-0.20224720305840158</c:v>
                </c:pt>
                <c:pt idx="8">
                  <c:v>-0.26535457813533819</c:v>
                </c:pt>
                <c:pt idx="9">
                  <c:v>-0.29561799662161825</c:v>
                </c:pt>
                <c:pt idx="10">
                  <c:v>-0.17137545545870481</c:v>
                </c:pt>
                <c:pt idx="11">
                  <c:v>-0.18934348522764002</c:v>
                </c:pt>
                <c:pt idx="12">
                  <c:v>-0.17671548699715928</c:v>
                </c:pt>
                <c:pt idx="13">
                  <c:v>-0.24934428069971565</c:v>
                </c:pt>
                <c:pt idx="14">
                  <c:v>2.9417536701888247E-2</c:v>
                </c:pt>
                <c:pt idx="15">
                  <c:v>-0.36082999267794907</c:v>
                </c:pt>
                <c:pt idx="16">
                  <c:v>-8.9743142965848816E-2</c:v>
                </c:pt>
              </c:numCache>
            </c:numRef>
          </c:xVal>
          <c:yVal>
            <c:numRef>
              <c:f>'Факторный анализ'!$C$2:$C$18</c:f>
              <c:numCache>
                <c:formatCode>0.00000</c:formatCode>
                <c:ptCount val="17"/>
                <c:pt idx="0">
                  <c:v>-0.78435416938950853</c:v>
                </c:pt>
                <c:pt idx="1">
                  <c:v>-2.0215504067373741E-2</c:v>
                </c:pt>
                <c:pt idx="2">
                  <c:v>0.688906576382595</c:v>
                </c:pt>
                <c:pt idx="3">
                  <c:v>-7.541802114820334E-2</c:v>
                </c:pt>
                <c:pt idx="4">
                  <c:v>-0.59294495589958618</c:v>
                </c:pt>
                <c:pt idx="5">
                  <c:v>0.17273804155155356</c:v>
                </c:pt>
                <c:pt idx="6">
                  <c:v>0.75375521317174266</c:v>
                </c:pt>
                <c:pt idx="7">
                  <c:v>1.3490027104041777</c:v>
                </c:pt>
                <c:pt idx="8">
                  <c:v>1.6648859334291527E-2</c:v>
                </c:pt>
                <c:pt idx="9">
                  <c:v>1.9791202342583577E-2</c:v>
                </c:pt>
                <c:pt idx="10">
                  <c:v>0.12422239903213468</c:v>
                </c:pt>
                <c:pt idx="11">
                  <c:v>-0.40814445497794682</c:v>
                </c:pt>
                <c:pt idx="12">
                  <c:v>0.2923288403027719</c:v>
                </c:pt>
                <c:pt idx="13">
                  <c:v>-0.5447504785677324</c:v>
                </c:pt>
                <c:pt idx="14">
                  <c:v>-0.77272595242131381</c:v>
                </c:pt>
                <c:pt idx="15">
                  <c:v>-0.16066659713505652</c:v>
                </c:pt>
                <c:pt idx="16">
                  <c:v>0.20265314476348506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1-4EB6-81E0-EDE0FB6B4003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'Факторный анализ'!$B$19:$B$28</c:f>
              <c:numCache>
                <c:formatCode>0.000000</c:formatCode>
                <c:ptCount val="10"/>
                <c:pt idx="0">
                  <c:v>-0.17849210459986792</c:v>
                </c:pt>
                <c:pt idx="1">
                  <c:v>-0.54764676139993218</c:v>
                </c:pt>
                <c:pt idx="2">
                  <c:v>-0.46746061687532736</c:v>
                </c:pt>
                <c:pt idx="3">
                  <c:v>0.12434694276125456</c:v>
                </c:pt>
                <c:pt idx="4">
                  <c:v>-0.20957398762090854</c:v>
                </c:pt>
                <c:pt idx="5">
                  <c:v>-0.3698584897715298</c:v>
                </c:pt>
                <c:pt idx="6">
                  <c:v>-0.66620519198016026</c:v>
                </c:pt>
                <c:pt idx="7">
                  <c:v>-0.70779514646681529</c:v>
                </c:pt>
                <c:pt idx="8">
                  <c:v>-0.37799342349605825</c:v>
                </c:pt>
                <c:pt idx="9">
                  <c:v>-0.68554978307534165</c:v>
                </c:pt>
              </c:numCache>
            </c:numRef>
          </c:xVal>
          <c:yVal>
            <c:numRef>
              <c:f>'Факторный анализ'!$C$19:$C$28</c:f>
              <c:numCache>
                <c:formatCode>0.00000</c:formatCode>
                <c:ptCount val="10"/>
                <c:pt idx="0">
                  <c:v>-0.20664601821082978</c:v>
                </c:pt>
                <c:pt idx="1">
                  <c:v>-1.9042755717368767</c:v>
                </c:pt>
                <c:pt idx="2">
                  <c:v>-1.3921925748368169</c:v>
                </c:pt>
                <c:pt idx="3">
                  <c:v>-0.45202041420544214</c:v>
                </c:pt>
                <c:pt idx="4">
                  <c:v>-0.42289884352843815</c:v>
                </c:pt>
                <c:pt idx="5">
                  <c:v>-0.98762317320116955</c:v>
                </c:pt>
                <c:pt idx="6">
                  <c:v>-2.8128684018734589</c:v>
                </c:pt>
                <c:pt idx="7">
                  <c:v>-3.1696011303963672</c:v>
                </c:pt>
                <c:pt idx="8">
                  <c:v>-1.0717941727159046</c:v>
                </c:pt>
                <c:pt idx="9">
                  <c:v>-2.1827617256419747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1-4EB6-81E0-EDE0FB6B4003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'Факторный анализ'!$B$29:$B$61</c:f>
              <c:numCache>
                <c:formatCode>0.000000</c:formatCode>
                <c:ptCount val="33"/>
                <c:pt idx="0">
                  <c:v>-0.32181139898184385</c:v>
                </c:pt>
                <c:pt idx="1">
                  <c:v>-0.27549197491135691</c:v>
                </c:pt>
                <c:pt idx="2">
                  <c:v>-0.10343926311498607</c:v>
                </c:pt>
                <c:pt idx="3">
                  <c:v>-0.23377616678058347</c:v>
                </c:pt>
                <c:pt idx="4">
                  <c:v>-0.21634356631258705</c:v>
                </c:pt>
                <c:pt idx="5">
                  <c:v>-0.32452741189534534</c:v>
                </c:pt>
                <c:pt idx="6">
                  <c:v>-1.4205006848594071E-3</c:v>
                </c:pt>
                <c:pt idx="7">
                  <c:v>-0.10370171227607496</c:v>
                </c:pt>
                <c:pt idx="8">
                  <c:v>-0.30797823652138556</c:v>
                </c:pt>
                <c:pt idx="9">
                  <c:v>-0.30097065353978592</c:v>
                </c:pt>
                <c:pt idx="10">
                  <c:v>-0.35213331891755267</c:v>
                </c:pt>
                <c:pt idx="11">
                  <c:v>-0.21922305900610112</c:v>
                </c:pt>
                <c:pt idx="12">
                  <c:v>-3.8474524967869045E-2</c:v>
                </c:pt>
                <c:pt idx="13">
                  <c:v>-7.875031072928422E-2</c:v>
                </c:pt>
                <c:pt idx="14">
                  <c:v>-0.16619292781093989</c:v>
                </c:pt>
                <c:pt idx="15">
                  <c:v>-0.29278663515833553</c:v>
                </c:pt>
                <c:pt idx="16">
                  <c:v>-0.22471764623746665</c:v>
                </c:pt>
                <c:pt idx="17">
                  <c:v>-0.28090075875153475</c:v>
                </c:pt>
                <c:pt idx="18">
                  <c:v>-0.18646747354294799</c:v>
                </c:pt>
                <c:pt idx="19">
                  <c:v>-0.150473659871601</c:v>
                </c:pt>
                <c:pt idx="20">
                  <c:v>-0.44447996185923871</c:v>
                </c:pt>
                <c:pt idx="21">
                  <c:v>-0.2163054048224122</c:v>
                </c:pt>
                <c:pt idx="22">
                  <c:v>-0.27491190881269362</c:v>
                </c:pt>
                <c:pt idx="23">
                  <c:v>-0.14186278915832581</c:v>
                </c:pt>
                <c:pt idx="24">
                  <c:v>-0.1491216585766077</c:v>
                </c:pt>
                <c:pt idx="25">
                  <c:v>-0.27757403885481802</c:v>
                </c:pt>
                <c:pt idx="26">
                  <c:v>-0.20038239257698973</c:v>
                </c:pt>
                <c:pt idx="27">
                  <c:v>-0.16549629064595822</c:v>
                </c:pt>
                <c:pt idx="28">
                  <c:v>-0.17103763736924052</c:v>
                </c:pt>
                <c:pt idx="29">
                  <c:v>-5.4713110727113094E-2</c:v>
                </c:pt>
                <c:pt idx="30">
                  <c:v>-0.30713389614631048</c:v>
                </c:pt>
                <c:pt idx="31">
                  <c:v>-0.36096927160702535</c:v>
                </c:pt>
                <c:pt idx="32">
                  <c:v>-0.19046031795779103</c:v>
                </c:pt>
              </c:numCache>
            </c:numRef>
          </c:xVal>
          <c:yVal>
            <c:numRef>
              <c:f>'Факторный анализ'!$C$29:$C$61</c:f>
              <c:numCache>
                <c:formatCode>0.00000</c:formatCode>
                <c:ptCount val="33"/>
                <c:pt idx="0">
                  <c:v>0.42368240965941273</c:v>
                </c:pt>
                <c:pt idx="1">
                  <c:v>0.88270588183856691</c:v>
                </c:pt>
                <c:pt idx="2">
                  <c:v>0.5053479623092707</c:v>
                </c:pt>
                <c:pt idx="3">
                  <c:v>0.80851930515186088</c:v>
                </c:pt>
                <c:pt idx="4">
                  <c:v>0.99549541023016541</c:v>
                </c:pt>
                <c:pt idx="5">
                  <c:v>0.11625872361159867</c:v>
                </c:pt>
                <c:pt idx="6">
                  <c:v>0.49268239316799389</c:v>
                </c:pt>
                <c:pt idx="7">
                  <c:v>0.49656195870621178</c:v>
                </c:pt>
                <c:pt idx="8">
                  <c:v>0.81144324333778883</c:v>
                </c:pt>
                <c:pt idx="9">
                  <c:v>0.74415869064351015</c:v>
                </c:pt>
                <c:pt idx="10">
                  <c:v>0.82118039392338793</c:v>
                </c:pt>
                <c:pt idx="11">
                  <c:v>-0.21991098454252</c:v>
                </c:pt>
                <c:pt idx="12">
                  <c:v>1.0306353980961891</c:v>
                </c:pt>
                <c:pt idx="13">
                  <c:v>0.7514032289002035</c:v>
                </c:pt>
                <c:pt idx="14">
                  <c:v>1.1490868773559895</c:v>
                </c:pt>
                <c:pt idx="15">
                  <c:v>0.59945579000748772</c:v>
                </c:pt>
                <c:pt idx="16">
                  <c:v>1.2839223494793768</c:v>
                </c:pt>
                <c:pt idx="17">
                  <c:v>-0.332382762111257</c:v>
                </c:pt>
                <c:pt idx="18">
                  <c:v>1.1333183098806623</c:v>
                </c:pt>
                <c:pt idx="19">
                  <c:v>0.15909090451359026</c:v>
                </c:pt>
                <c:pt idx="20">
                  <c:v>-1.2949870794165305E-2</c:v>
                </c:pt>
                <c:pt idx="21">
                  <c:v>0.19957158416687718</c:v>
                </c:pt>
                <c:pt idx="22">
                  <c:v>0.14166965212518415</c:v>
                </c:pt>
                <c:pt idx="23">
                  <c:v>0.91322372358109161</c:v>
                </c:pt>
                <c:pt idx="24">
                  <c:v>0.12248515472305399</c:v>
                </c:pt>
                <c:pt idx="25">
                  <c:v>0.24156928761857535</c:v>
                </c:pt>
                <c:pt idx="26">
                  <c:v>0.71866054793306744</c:v>
                </c:pt>
                <c:pt idx="27">
                  <c:v>0.89136518932570818</c:v>
                </c:pt>
                <c:pt idx="28">
                  <c:v>1.1159358708581468</c:v>
                </c:pt>
                <c:pt idx="29">
                  <c:v>1.2801565770937464</c:v>
                </c:pt>
                <c:pt idx="30">
                  <c:v>0.53757056721813889</c:v>
                </c:pt>
                <c:pt idx="31">
                  <c:v>-0.17324800730389722</c:v>
                </c:pt>
                <c:pt idx="32">
                  <c:v>0.64703169794031024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1-4EB6-81E0-EDE0FB6B4003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'Факторный анализ'!$B$62:$B$68</c:f>
              <c:numCache>
                <c:formatCode>0.000000</c:formatCode>
                <c:ptCount val="7"/>
                <c:pt idx="0">
                  <c:v>0.24338535129144961</c:v>
                </c:pt>
                <c:pt idx="1">
                  <c:v>-2.1822419940736745E-2</c:v>
                </c:pt>
                <c:pt idx="2">
                  <c:v>2.6277662319781892E-2</c:v>
                </c:pt>
                <c:pt idx="3">
                  <c:v>0.64128775949397099</c:v>
                </c:pt>
                <c:pt idx="4">
                  <c:v>1.3380518227119345</c:v>
                </c:pt>
                <c:pt idx="5">
                  <c:v>1.4273149184845846</c:v>
                </c:pt>
                <c:pt idx="6">
                  <c:v>1.2725410249837343</c:v>
                </c:pt>
              </c:numCache>
            </c:numRef>
          </c:xVal>
          <c:yVal>
            <c:numRef>
              <c:f>'Факторный анализ'!$C$62:$C$68</c:f>
              <c:numCache>
                <c:formatCode>0.00000</c:formatCode>
                <c:ptCount val="7"/>
                <c:pt idx="0">
                  <c:v>0.81354118464140424</c:v>
                </c:pt>
                <c:pt idx="1">
                  <c:v>0.53035727215167605</c:v>
                </c:pt>
                <c:pt idx="2">
                  <c:v>-0.23280156445382849</c:v>
                </c:pt>
                <c:pt idx="3">
                  <c:v>-1.2204209043791268</c:v>
                </c:pt>
                <c:pt idx="4">
                  <c:v>0.56220402087958066</c:v>
                </c:pt>
                <c:pt idx="5">
                  <c:v>-1.6723888065842798</c:v>
                </c:pt>
                <c:pt idx="6">
                  <c:v>-0.32870288008931531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41-4EB6-81E0-EDE0FB6B4003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'Факторный анализ'!$B$69:$B$70</c:f>
              <c:numCache>
                <c:formatCode>0.000000</c:formatCode>
                <c:ptCount val="2"/>
                <c:pt idx="0">
                  <c:v>6.9391574620972811</c:v>
                </c:pt>
                <c:pt idx="1">
                  <c:v>4.7195969102510622</c:v>
                </c:pt>
              </c:numCache>
            </c:numRef>
          </c:xVal>
          <c:yVal>
            <c:numRef>
              <c:f>'Факторный анализ'!$C$69:$C$70</c:f>
              <c:numCache>
                <c:formatCode>0.00000</c:formatCode>
                <c:ptCount val="2"/>
                <c:pt idx="0">
                  <c:v>0.26812944697561042</c:v>
                </c:pt>
                <c:pt idx="1">
                  <c:v>-1.3441493510926148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41-4EB6-81E0-EDE0FB6B4003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'Факторный анализ'!$B$71:$B$86</c:f>
              <c:numCache>
                <c:formatCode>0.000000</c:formatCode>
                <c:ptCount val="16"/>
                <c:pt idx="0">
                  <c:v>0.53407881110530298</c:v>
                </c:pt>
                <c:pt idx="1">
                  <c:v>-0.29188832645835072</c:v>
                </c:pt>
                <c:pt idx="2">
                  <c:v>-0.30839554150087894</c:v>
                </c:pt>
                <c:pt idx="3">
                  <c:v>-0.10365728858882617</c:v>
                </c:pt>
                <c:pt idx="4">
                  <c:v>-0.17744366620818197</c:v>
                </c:pt>
                <c:pt idx="5">
                  <c:v>-0.32536759661920223</c:v>
                </c:pt>
                <c:pt idx="6">
                  <c:v>0.4041859942130856</c:v>
                </c:pt>
                <c:pt idx="7">
                  <c:v>-0.10814188686673687</c:v>
                </c:pt>
                <c:pt idx="8">
                  <c:v>-0.14008065462866126</c:v>
                </c:pt>
                <c:pt idx="9">
                  <c:v>-0.45390385660803501</c:v>
                </c:pt>
                <c:pt idx="10">
                  <c:v>-4.5145227051949455E-2</c:v>
                </c:pt>
                <c:pt idx="11">
                  <c:v>-0.33288202860527621</c:v>
                </c:pt>
                <c:pt idx="12">
                  <c:v>-0.51973729734378693</c:v>
                </c:pt>
                <c:pt idx="13">
                  <c:v>-0.25337476848637808</c:v>
                </c:pt>
                <c:pt idx="14">
                  <c:v>-0.29645628680402175</c:v>
                </c:pt>
                <c:pt idx="15">
                  <c:v>-0.26080641277727334</c:v>
                </c:pt>
              </c:numCache>
            </c:numRef>
          </c:xVal>
          <c:yVal>
            <c:numRef>
              <c:f>'Факторный анализ'!$C$71:$C$86</c:f>
              <c:numCache>
                <c:formatCode>0.00000</c:formatCode>
                <c:ptCount val="16"/>
                <c:pt idx="0">
                  <c:v>0.25038518979723234</c:v>
                </c:pt>
                <c:pt idx="1">
                  <c:v>0.30543903248056148</c:v>
                </c:pt>
                <c:pt idx="2">
                  <c:v>-0.44346987400952714</c:v>
                </c:pt>
                <c:pt idx="3">
                  <c:v>0.28222787870018873</c:v>
                </c:pt>
                <c:pt idx="4">
                  <c:v>0.40357203301481304</c:v>
                </c:pt>
                <c:pt idx="5">
                  <c:v>0.96291421227186724</c:v>
                </c:pt>
                <c:pt idx="6">
                  <c:v>1.6072855925000434E-2</c:v>
                </c:pt>
                <c:pt idx="7">
                  <c:v>6.7681770107067218E-2</c:v>
                </c:pt>
                <c:pt idx="8">
                  <c:v>6.0917702201532233E-2</c:v>
                </c:pt>
                <c:pt idx="9">
                  <c:v>-0.71419758197951011</c:v>
                </c:pt>
                <c:pt idx="10">
                  <c:v>0.41154290021220158</c:v>
                </c:pt>
                <c:pt idx="11">
                  <c:v>-1.0011364466363786</c:v>
                </c:pt>
                <c:pt idx="12">
                  <c:v>-1.7003304098735432</c:v>
                </c:pt>
                <c:pt idx="13">
                  <c:v>-0.33231270843934846</c:v>
                </c:pt>
                <c:pt idx="14">
                  <c:v>-0.90822187484699035</c:v>
                </c:pt>
                <c:pt idx="15">
                  <c:v>2.9304617049063689E-2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41-4EB6-81E0-EDE0FB6B4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90272"/>
        <c:axId val="463490688"/>
      </c:scatterChart>
      <c:valAx>
        <c:axId val="4634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490688"/>
        <c:crosses val="autoZero"/>
        <c:crossBetween val="midCat"/>
      </c:valAx>
      <c:valAx>
        <c:axId val="4634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49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Ward old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201443569553813E-2"/>
          <c:y val="6.4814814814814811E-2"/>
          <c:w val="0.8400903324584426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'Факторный анализ'!$F$2:$F$34</c:f>
              <c:numCache>
                <c:formatCode>0.000000</c:formatCode>
                <c:ptCount val="33"/>
                <c:pt idx="0">
                  <c:v>-0.32181139898184385</c:v>
                </c:pt>
                <c:pt idx="1">
                  <c:v>-0.27549197491135691</c:v>
                </c:pt>
                <c:pt idx="2">
                  <c:v>-0.10343926311498607</c:v>
                </c:pt>
                <c:pt idx="3">
                  <c:v>-0.23377616678058347</c:v>
                </c:pt>
                <c:pt idx="4">
                  <c:v>-0.21634356631258705</c:v>
                </c:pt>
                <c:pt idx="5">
                  <c:v>-0.32452741189534534</c:v>
                </c:pt>
                <c:pt idx="6">
                  <c:v>-1.4205006848594071E-3</c:v>
                </c:pt>
                <c:pt idx="7">
                  <c:v>-0.10370171227607496</c:v>
                </c:pt>
                <c:pt idx="8">
                  <c:v>-0.30797823652138556</c:v>
                </c:pt>
                <c:pt idx="9">
                  <c:v>-0.30097065353978592</c:v>
                </c:pt>
                <c:pt idx="10">
                  <c:v>-0.35213331891755267</c:v>
                </c:pt>
                <c:pt idx="11">
                  <c:v>-0.21922305900610112</c:v>
                </c:pt>
                <c:pt idx="12">
                  <c:v>-3.8474524967869045E-2</c:v>
                </c:pt>
                <c:pt idx="13">
                  <c:v>-7.875031072928422E-2</c:v>
                </c:pt>
                <c:pt idx="14">
                  <c:v>-0.26535457813533819</c:v>
                </c:pt>
                <c:pt idx="15">
                  <c:v>-0.16619292781093989</c:v>
                </c:pt>
                <c:pt idx="16">
                  <c:v>-0.29278663515833553</c:v>
                </c:pt>
                <c:pt idx="17">
                  <c:v>-0.28090075875153475</c:v>
                </c:pt>
                <c:pt idx="18">
                  <c:v>-0.18646747354294799</c:v>
                </c:pt>
                <c:pt idx="19">
                  <c:v>-0.150473659871601</c:v>
                </c:pt>
                <c:pt idx="20">
                  <c:v>-0.44447996185923871</c:v>
                </c:pt>
                <c:pt idx="21">
                  <c:v>-0.2163054048224122</c:v>
                </c:pt>
                <c:pt idx="22">
                  <c:v>-0.27491190881269362</c:v>
                </c:pt>
                <c:pt idx="23">
                  <c:v>-0.14186278915832581</c:v>
                </c:pt>
                <c:pt idx="24">
                  <c:v>-0.1491216585766077</c:v>
                </c:pt>
                <c:pt idx="25">
                  <c:v>-0.27757403885481802</c:v>
                </c:pt>
                <c:pt idx="26">
                  <c:v>-0.20038239257698973</c:v>
                </c:pt>
                <c:pt idx="27">
                  <c:v>-0.16549629064595822</c:v>
                </c:pt>
                <c:pt idx="28">
                  <c:v>-0.17103763736924052</c:v>
                </c:pt>
                <c:pt idx="29">
                  <c:v>-5.4713110727113094E-2</c:v>
                </c:pt>
                <c:pt idx="30">
                  <c:v>-0.30713389614631048</c:v>
                </c:pt>
                <c:pt idx="31">
                  <c:v>-0.36096927160702535</c:v>
                </c:pt>
                <c:pt idx="32">
                  <c:v>-0.19046031795779103</c:v>
                </c:pt>
              </c:numCache>
            </c:numRef>
          </c:xVal>
          <c:yVal>
            <c:numRef>
              <c:f>'Факторный анализ'!$G$2:$G$34</c:f>
              <c:numCache>
                <c:formatCode>0.00000</c:formatCode>
                <c:ptCount val="33"/>
                <c:pt idx="0">
                  <c:v>0.42368240965941273</c:v>
                </c:pt>
                <c:pt idx="1">
                  <c:v>0.88270588183856691</c:v>
                </c:pt>
                <c:pt idx="2">
                  <c:v>0.5053479623092707</c:v>
                </c:pt>
                <c:pt idx="3">
                  <c:v>0.80851930515186088</c:v>
                </c:pt>
                <c:pt idx="4">
                  <c:v>0.99549541023016541</c:v>
                </c:pt>
                <c:pt idx="5">
                  <c:v>0.11625872361159867</c:v>
                </c:pt>
                <c:pt idx="6">
                  <c:v>0.49268239316799389</c:v>
                </c:pt>
                <c:pt idx="7">
                  <c:v>0.49656195870621178</c:v>
                </c:pt>
                <c:pt idx="8">
                  <c:v>0.81144324333778883</c:v>
                </c:pt>
                <c:pt idx="9">
                  <c:v>0.74415869064351015</c:v>
                </c:pt>
                <c:pt idx="10">
                  <c:v>0.82118039392338793</c:v>
                </c:pt>
                <c:pt idx="11">
                  <c:v>-0.21991098454252</c:v>
                </c:pt>
                <c:pt idx="12">
                  <c:v>1.0306353980961891</c:v>
                </c:pt>
                <c:pt idx="13">
                  <c:v>0.7514032289002035</c:v>
                </c:pt>
                <c:pt idx="14">
                  <c:v>1.6648859334291527E-2</c:v>
                </c:pt>
                <c:pt idx="15">
                  <c:v>1.1490868773559895</c:v>
                </c:pt>
                <c:pt idx="16">
                  <c:v>0.59945579000748772</c:v>
                </c:pt>
                <c:pt idx="17">
                  <c:v>-0.332382762111257</c:v>
                </c:pt>
                <c:pt idx="18">
                  <c:v>1.1333183098806623</c:v>
                </c:pt>
                <c:pt idx="19">
                  <c:v>0.15909090451359026</c:v>
                </c:pt>
                <c:pt idx="20">
                  <c:v>-1.2949870794165305E-2</c:v>
                </c:pt>
                <c:pt idx="21">
                  <c:v>0.19957158416687718</c:v>
                </c:pt>
                <c:pt idx="22">
                  <c:v>0.14166965212518415</c:v>
                </c:pt>
                <c:pt idx="23">
                  <c:v>0.91322372358109161</c:v>
                </c:pt>
                <c:pt idx="24">
                  <c:v>0.12248515472305399</c:v>
                </c:pt>
                <c:pt idx="25">
                  <c:v>0.24156928761857535</c:v>
                </c:pt>
                <c:pt idx="26">
                  <c:v>0.71866054793306744</c:v>
                </c:pt>
                <c:pt idx="27">
                  <c:v>0.89136518932570818</c:v>
                </c:pt>
                <c:pt idx="28">
                  <c:v>1.1159358708581468</c:v>
                </c:pt>
                <c:pt idx="29">
                  <c:v>1.2801565770937464</c:v>
                </c:pt>
                <c:pt idx="30">
                  <c:v>0.53757056721813889</c:v>
                </c:pt>
                <c:pt idx="31">
                  <c:v>-0.17324800730389722</c:v>
                </c:pt>
                <c:pt idx="32">
                  <c:v>0.64703169794031024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D-4E1F-BB41-2C153A2A19DF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'Факторный анализ'!$F$35:$F$41</c:f>
              <c:numCache>
                <c:formatCode>0.000000</c:formatCode>
                <c:ptCount val="7"/>
                <c:pt idx="0">
                  <c:v>-0.17849210459986792</c:v>
                </c:pt>
                <c:pt idx="1">
                  <c:v>-0.26495632077596187</c:v>
                </c:pt>
                <c:pt idx="2">
                  <c:v>0.12434694276125456</c:v>
                </c:pt>
                <c:pt idx="3">
                  <c:v>-6.7014405902649676E-2</c:v>
                </c:pt>
                <c:pt idx="4">
                  <c:v>-0.20957398762090854</c:v>
                </c:pt>
                <c:pt idx="5">
                  <c:v>-0.24934428069971565</c:v>
                </c:pt>
                <c:pt idx="6">
                  <c:v>2.9417536701888247E-2</c:v>
                </c:pt>
              </c:numCache>
            </c:numRef>
          </c:xVal>
          <c:yVal>
            <c:numRef>
              <c:f>'Факторный анализ'!$G$35:$G$41</c:f>
              <c:numCache>
                <c:formatCode>0.00000</c:formatCode>
                <c:ptCount val="7"/>
                <c:pt idx="0">
                  <c:v>-0.20664601821082978</c:v>
                </c:pt>
                <c:pt idx="1">
                  <c:v>-2.0215504067373741E-2</c:v>
                </c:pt>
                <c:pt idx="2">
                  <c:v>-0.45202041420544214</c:v>
                </c:pt>
                <c:pt idx="3">
                  <c:v>-0.59294495589958618</c:v>
                </c:pt>
                <c:pt idx="4">
                  <c:v>-0.42289884352843815</c:v>
                </c:pt>
                <c:pt idx="5">
                  <c:v>-0.5447504785677324</c:v>
                </c:pt>
                <c:pt idx="6">
                  <c:v>-0.77272595242131381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D-4E1F-BB41-2C153A2A19DF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'Факторный анализ'!$F$42:$F$56</c:f>
              <c:numCache>
                <c:formatCode>0.000000</c:formatCode>
                <c:ptCount val="15"/>
                <c:pt idx="0">
                  <c:v>-0.29188832645835072</c:v>
                </c:pt>
                <c:pt idx="1">
                  <c:v>-0.30839554150087894</c:v>
                </c:pt>
                <c:pt idx="2">
                  <c:v>-0.10365728858882617</c:v>
                </c:pt>
                <c:pt idx="3">
                  <c:v>-0.17744366620818197</c:v>
                </c:pt>
                <c:pt idx="4">
                  <c:v>-0.32536759661920223</c:v>
                </c:pt>
                <c:pt idx="5">
                  <c:v>-0.10814188686673687</c:v>
                </c:pt>
                <c:pt idx="6">
                  <c:v>-0.14008065462866126</c:v>
                </c:pt>
                <c:pt idx="7">
                  <c:v>-0.17137545545870481</c:v>
                </c:pt>
                <c:pt idx="8">
                  <c:v>-0.22471764623746665</c:v>
                </c:pt>
                <c:pt idx="9">
                  <c:v>-0.45390385660803501</c:v>
                </c:pt>
                <c:pt idx="10">
                  <c:v>-0.33288202860527621</c:v>
                </c:pt>
                <c:pt idx="11">
                  <c:v>-0.51973729734378693</c:v>
                </c:pt>
                <c:pt idx="12">
                  <c:v>-0.25337476848637808</c:v>
                </c:pt>
                <c:pt idx="13">
                  <c:v>-0.29645628680402175</c:v>
                </c:pt>
                <c:pt idx="14">
                  <c:v>-0.26080641277727334</c:v>
                </c:pt>
              </c:numCache>
            </c:numRef>
          </c:xVal>
          <c:yVal>
            <c:numRef>
              <c:f>'Факторный анализ'!$G$42:$G$56</c:f>
              <c:numCache>
                <c:formatCode>0.00000</c:formatCode>
                <c:ptCount val="15"/>
                <c:pt idx="0">
                  <c:v>0.30543903248056148</c:v>
                </c:pt>
                <c:pt idx="1">
                  <c:v>-0.44346987400952714</c:v>
                </c:pt>
                <c:pt idx="2">
                  <c:v>0.28222787870018873</c:v>
                </c:pt>
                <c:pt idx="3">
                  <c:v>0.40357203301481304</c:v>
                </c:pt>
                <c:pt idx="4">
                  <c:v>0.96291421227186724</c:v>
                </c:pt>
                <c:pt idx="5">
                  <c:v>6.7681770107067218E-2</c:v>
                </c:pt>
                <c:pt idx="6">
                  <c:v>6.0917702201532233E-2</c:v>
                </c:pt>
                <c:pt idx="7">
                  <c:v>0.12422239903213468</c:v>
                </c:pt>
                <c:pt idx="8">
                  <c:v>1.2839223494793768</c:v>
                </c:pt>
                <c:pt idx="9">
                  <c:v>-0.71419758197951011</c:v>
                </c:pt>
                <c:pt idx="10">
                  <c:v>-1.0011364466363786</c:v>
                </c:pt>
                <c:pt idx="11">
                  <c:v>-1.7003304098735432</c:v>
                </c:pt>
                <c:pt idx="12">
                  <c:v>-0.33231270843934846</c:v>
                </c:pt>
                <c:pt idx="13">
                  <c:v>-0.90822187484699035</c:v>
                </c:pt>
                <c:pt idx="14">
                  <c:v>2.9304617049063689E-2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D-4E1F-BB41-2C153A2A19DF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'Факторный анализ'!$F$57:$F$66</c:f>
              <c:numCache>
                <c:formatCode>0.000000</c:formatCode>
                <c:ptCount val="10"/>
                <c:pt idx="0">
                  <c:v>-0.16270020200605442</c:v>
                </c:pt>
                <c:pt idx="1">
                  <c:v>-0.54764676139993218</c:v>
                </c:pt>
                <c:pt idx="2">
                  <c:v>-0.46746061687532736</c:v>
                </c:pt>
                <c:pt idx="3">
                  <c:v>-0.3698584897715298</c:v>
                </c:pt>
                <c:pt idx="4">
                  <c:v>-0.66620519198016026</c:v>
                </c:pt>
                <c:pt idx="5">
                  <c:v>-0.70779514646681529</c:v>
                </c:pt>
                <c:pt idx="6">
                  <c:v>-0.37799342349605825</c:v>
                </c:pt>
                <c:pt idx="7">
                  <c:v>0.64128775949397099</c:v>
                </c:pt>
                <c:pt idx="8">
                  <c:v>1.4273149184845846</c:v>
                </c:pt>
                <c:pt idx="9">
                  <c:v>-0.68554978307534165</c:v>
                </c:pt>
              </c:numCache>
            </c:numRef>
          </c:xVal>
          <c:yVal>
            <c:numRef>
              <c:f>'Факторный анализ'!$G$57:$G$66</c:f>
              <c:numCache>
                <c:formatCode>0.00000</c:formatCode>
                <c:ptCount val="10"/>
                <c:pt idx="0">
                  <c:v>-0.78435416938950853</c:v>
                </c:pt>
                <c:pt idx="1">
                  <c:v>-1.9042755717368767</c:v>
                </c:pt>
                <c:pt idx="2">
                  <c:v>-1.3921925748368169</c:v>
                </c:pt>
                <c:pt idx="3">
                  <c:v>-0.98762317320116955</c:v>
                </c:pt>
                <c:pt idx="4">
                  <c:v>-2.8128684018734589</c:v>
                </c:pt>
                <c:pt idx="5">
                  <c:v>-3.1696011303963672</c:v>
                </c:pt>
                <c:pt idx="6">
                  <c:v>-1.0717941727159046</c:v>
                </c:pt>
                <c:pt idx="7">
                  <c:v>-1.2204209043791268</c:v>
                </c:pt>
                <c:pt idx="8">
                  <c:v>-1.6723888065842798</c:v>
                </c:pt>
                <c:pt idx="9">
                  <c:v>-2.1827617256419747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5D-4E1F-BB41-2C153A2A19DF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'Факторный анализ'!$F$67:$F$83</c:f>
              <c:numCache>
                <c:formatCode>0.000000</c:formatCode>
                <c:ptCount val="17"/>
                <c:pt idx="0">
                  <c:v>0.53407881110530298</c:v>
                </c:pt>
                <c:pt idx="1">
                  <c:v>0.24338535129144961</c:v>
                </c:pt>
                <c:pt idx="2">
                  <c:v>-2.1822419940736745E-2</c:v>
                </c:pt>
                <c:pt idx="3">
                  <c:v>-0.15839253405056183</c:v>
                </c:pt>
                <c:pt idx="4">
                  <c:v>2.6277662319781892E-2</c:v>
                </c:pt>
                <c:pt idx="5">
                  <c:v>2.3175945982798266E-2</c:v>
                </c:pt>
                <c:pt idx="6">
                  <c:v>0.4041859942130856</c:v>
                </c:pt>
                <c:pt idx="7">
                  <c:v>0.11592298896448995</c:v>
                </c:pt>
                <c:pt idx="8">
                  <c:v>-0.20139740388381464</c:v>
                </c:pt>
                <c:pt idx="9">
                  <c:v>-0.20224720305840158</c:v>
                </c:pt>
                <c:pt idx="10">
                  <c:v>-0.29561799662161825</c:v>
                </c:pt>
                <c:pt idx="11">
                  <c:v>-4.5145227051949455E-2</c:v>
                </c:pt>
                <c:pt idx="12">
                  <c:v>-0.18934348522764002</c:v>
                </c:pt>
                <c:pt idx="13">
                  <c:v>1.3380518227119345</c:v>
                </c:pt>
                <c:pt idx="14">
                  <c:v>-0.17671548699715928</c:v>
                </c:pt>
                <c:pt idx="15">
                  <c:v>-0.36082999267794907</c:v>
                </c:pt>
                <c:pt idx="16">
                  <c:v>-8.9743142965848816E-2</c:v>
                </c:pt>
              </c:numCache>
            </c:numRef>
          </c:xVal>
          <c:yVal>
            <c:numRef>
              <c:f>'Факторный анализ'!$G$67:$G$83</c:f>
              <c:numCache>
                <c:formatCode>0.00000</c:formatCode>
                <c:ptCount val="17"/>
                <c:pt idx="0">
                  <c:v>0.25038518979723234</c:v>
                </c:pt>
                <c:pt idx="1">
                  <c:v>0.81354118464140424</c:v>
                </c:pt>
                <c:pt idx="2">
                  <c:v>0.53035727215167605</c:v>
                </c:pt>
                <c:pt idx="3">
                  <c:v>0.688906576382595</c:v>
                </c:pt>
                <c:pt idx="4">
                  <c:v>-0.23280156445382849</c:v>
                </c:pt>
                <c:pt idx="5">
                  <c:v>-7.541802114820334E-2</c:v>
                </c:pt>
                <c:pt idx="6">
                  <c:v>1.6072855925000434E-2</c:v>
                </c:pt>
                <c:pt idx="7">
                  <c:v>0.17273804155155356</c:v>
                </c:pt>
                <c:pt idx="8">
                  <c:v>0.75375521317174266</c:v>
                </c:pt>
                <c:pt idx="9">
                  <c:v>1.3490027104041777</c:v>
                </c:pt>
                <c:pt idx="10">
                  <c:v>1.9791202342583577E-2</c:v>
                </c:pt>
                <c:pt idx="11">
                  <c:v>0.41154290021220158</c:v>
                </c:pt>
                <c:pt idx="12">
                  <c:v>-0.40814445497794682</c:v>
                </c:pt>
                <c:pt idx="13">
                  <c:v>0.56220402087958066</c:v>
                </c:pt>
                <c:pt idx="14">
                  <c:v>0.2923288403027719</c:v>
                </c:pt>
                <c:pt idx="15">
                  <c:v>-0.16066659713505652</c:v>
                </c:pt>
                <c:pt idx="16">
                  <c:v>0.20265314476348506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D-4E1F-BB41-2C153A2A19DF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'Факторный анализ'!$F$84:$F$86</c:f>
              <c:numCache>
                <c:formatCode>0.000000</c:formatCode>
                <c:ptCount val="3"/>
                <c:pt idx="0">
                  <c:v>6.9391574620972811</c:v>
                </c:pt>
                <c:pt idx="1">
                  <c:v>1.2725410249837343</c:v>
                </c:pt>
                <c:pt idx="2">
                  <c:v>4.7195969102510622</c:v>
                </c:pt>
              </c:numCache>
            </c:numRef>
          </c:xVal>
          <c:yVal>
            <c:numRef>
              <c:f>'Факторный анализ'!$G$84:$G$86</c:f>
              <c:numCache>
                <c:formatCode>0.00000</c:formatCode>
                <c:ptCount val="3"/>
                <c:pt idx="0">
                  <c:v>0.26812944697561042</c:v>
                </c:pt>
                <c:pt idx="1">
                  <c:v>-0.32870288008931531</c:v>
                </c:pt>
                <c:pt idx="2">
                  <c:v>-1.3441493510926148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5D-4E1F-BB41-2C153A2A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24304"/>
        <c:axId val="303022640"/>
      </c:scatterChart>
      <c:valAx>
        <c:axId val="3030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022640"/>
        <c:crosses val="autoZero"/>
        <c:crossBetween val="midCat"/>
      </c:valAx>
      <c:valAx>
        <c:axId val="3030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0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new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'Факторный анализ'!$J$2:$J$7</c:f>
              <c:numCache>
                <c:formatCode>0.000000</c:formatCode>
                <c:ptCount val="6"/>
                <c:pt idx="0">
                  <c:v>0.24338535129144961</c:v>
                </c:pt>
                <c:pt idx="1">
                  <c:v>-2.1822419940736745E-2</c:v>
                </c:pt>
                <c:pt idx="2">
                  <c:v>2.6277662319781892E-2</c:v>
                </c:pt>
                <c:pt idx="3">
                  <c:v>1.3380518227119345</c:v>
                </c:pt>
                <c:pt idx="4">
                  <c:v>1.4273149184845846</c:v>
                </c:pt>
                <c:pt idx="5">
                  <c:v>1.2725410249837343</c:v>
                </c:pt>
              </c:numCache>
            </c:numRef>
          </c:xVal>
          <c:yVal>
            <c:numRef>
              <c:f>'Факторный анализ'!$K$2:$K$7</c:f>
              <c:numCache>
                <c:formatCode>0.00000</c:formatCode>
                <c:ptCount val="6"/>
                <c:pt idx="0">
                  <c:v>0.81354118464140424</c:v>
                </c:pt>
                <c:pt idx="1">
                  <c:v>0.53035727215167605</c:v>
                </c:pt>
                <c:pt idx="2">
                  <c:v>-0.23280156445382849</c:v>
                </c:pt>
                <c:pt idx="3">
                  <c:v>0.56220402087958066</c:v>
                </c:pt>
                <c:pt idx="4">
                  <c:v>-1.6723888065842798</c:v>
                </c:pt>
                <c:pt idx="5">
                  <c:v>-0.32870288008931531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6-4CB5-BC34-F467AAE292D7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'Факторный анализ'!$J$8:$J$15</c:f>
              <c:numCache>
                <c:formatCode>0.000000</c:formatCode>
                <c:ptCount val="8"/>
                <c:pt idx="0">
                  <c:v>-0.54764676139993218</c:v>
                </c:pt>
                <c:pt idx="1">
                  <c:v>-0.46746061687532736</c:v>
                </c:pt>
                <c:pt idx="2">
                  <c:v>-0.3698584897715298</c:v>
                </c:pt>
                <c:pt idx="3">
                  <c:v>-0.66620519198016026</c:v>
                </c:pt>
                <c:pt idx="4">
                  <c:v>-0.70779514646681529</c:v>
                </c:pt>
                <c:pt idx="5">
                  <c:v>-0.37799342349605825</c:v>
                </c:pt>
                <c:pt idx="6">
                  <c:v>0.64128775949397099</c:v>
                </c:pt>
                <c:pt idx="7">
                  <c:v>-0.68554978307534165</c:v>
                </c:pt>
              </c:numCache>
            </c:numRef>
          </c:xVal>
          <c:yVal>
            <c:numRef>
              <c:f>'Факторный анализ'!$K$8:$K$15</c:f>
              <c:numCache>
                <c:formatCode>0.00000</c:formatCode>
                <c:ptCount val="8"/>
                <c:pt idx="0">
                  <c:v>-1.9042755717368767</c:v>
                </c:pt>
                <c:pt idx="1">
                  <c:v>-1.3921925748368169</c:v>
                </c:pt>
                <c:pt idx="2">
                  <c:v>-0.98762317320116955</c:v>
                </c:pt>
                <c:pt idx="3">
                  <c:v>-2.8128684018734589</c:v>
                </c:pt>
                <c:pt idx="4">
                  <c:v>-3.1696011303963672</c:v>
                </c:pt>
                <c:pt idx="5">
                  <c:v>-1.0717941727159046</c:v>
                </c:pt>
                <c:pt idx="6">
                  <c:v>-1.2204209043791268</c:v>
                </c:pt>
                <c:pt idx="7">
                  <c:v>-2.1827617256419747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6-4CB5-BC34-F467AAE292D7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'Факторный анализ'!$J$16:$J$37</c:f>
              <c:numCache>
                <c:formatCode>0.000000</c:formatCode>
                <c:ptCount val="22"/>
                <c:pt idx="0">
                  <c:v>-0.32181139898184385</c:v>
                </c:pt>
                <c:pt idx="1">
                  <c:v>-0.27549197491135691</c:v>
                </c:pt>
                <c:pt idx="2">
                  <c:v>-0.10365728858882617</c:v>
                </c:pt>
                <c:pt idx="3">
                  <c:v>-0.15839253405056183</c:v>
                </c:pt>
                <c:pt idx="4">
                  <c:v>-0.17744366620818197</c:v>
                </c:pt>
                <c:pt idx="5">
                  <c:v>-0.30097065353978592</c:v>
                </c:pt>
                <c:pt idx="6">
                  <c:v>-0.35213331891755267</c:v>
                </c:pt>
                <c:pt idx="7">
                  <c:v>2.3175945982798266E-2</c:v>
                </c:pt>
                <c:pt idx="8">
                  <c:v>-0.32536759661920223</c:v>
                </c:pt>
                <c:pt idx="9">
                  <c:v>-0.20139740388381464</c:v>
                </c:pt>
                <c:pt idx="10">
                  <c:v>-0.20224720305840158</c:v>
                </c:pt>
                <c:pt idx="11">
                  <c:v>-0.29561799662161825</c:v>
                </c:pt>
                <c:pt idx="12">
                  <c:v>-0.10814188686673687</c:v>
                </c:pt>
                <c:pt idx="13">
                  <c:v>-0.14008065462866126</c:v>
                </c:pt>
                <c:pt idx="14">
                  <c:v>-0.22471764623746665</c:v>
                </c:pt>
                <c:pt idx="15">
                  <c:v>-0.18646747354294799</c:v>
                </c:pt>
                <c:pt idx="16">
                  <c:v>-0.1491216585766077</c:v>
                </c:pt>
                <c:pt idx="17">
                  <c:v>-0.17671548699715928</c:v>
                </c:pt>
                <c:pt idx="18">
                  <c:v>-0.20038239257698973</c:v>
                </c:pt>
                <c:pt idx="19">
                  <c:v>-0.17103763736924052</c:v>
                </c:pt>
                <c:pt idx="20">
                  <c:v>-8.9743142965848816E-2</c:v>
                </c:pt>
                <c:pt idx="21">
                  <c:v>-0.19046031795779103</c:v>
                </c:pt>
              </c:numCache>
            </c:numRef>
          </c:xVal>
          <c:yVal>
            <c:numRef>
              <c:f>'Факторный анализ'!$K$16:$K$37</c:f>
              <c:numCache>
                <c:formatCode>0.00000</c:formatCode>
                <c:ptCount val="22"/>
                <c:pt idx="0">
                  <c:v>0.42368240965941273</c:v>
                </c:pt>
                <c:pt idx="1">
                  <c:v>0.88270588183856691</c:v>
                </c:pt>
                <c:pt idx="2">
                  <c:v>0.28222787870018873</c:v>
                </c:pt>
                <c:pt idx="3">
                  <c:v>0.688906576382595</c:v>
                </c:pt>
                <c:pt idx="4">
                  <c:v>0.40357203301481304</c:v>
                </c:pt>
                <c:pt idx="5">
                  <c:v>0.74415869064351015</c:v>
                </c:pt>
                <c:pt idx="6">
                  <c:v>0.82118039392338793</c:v>
                </c:pt>
                <c:pt idx="7">
                  <c:v>-7.541802114820334E-2</c:v>
                </c:pt>
                <c:pt idx="8">
                  <c:v>0.96291421227186724</c:v>
                </c:pt>
                <c:pt idx="9">
                  <c:v>0.75375521317174266</c:v>
                </c:pt>
                <c:pt idx="10">
                  <c:v>1.3490027104041777</c:v>
                </c:pt>
                <c:pt idx="11">
                  <c:v>1.9791202342583577E-2</c:v>
                </c:pt>
                <c:pt idx="12">
                  <c:v>6.7681770107067218E-2</c:v>
                </c:pt>
                <c:pt idx="13">
                  <c:v>6.0917702201532233E-2</c:v>
                </c:pt>
                <c:pt idx="14">
                  <c:v>1.2839223494793768</c:v>
                </c:pt>
                <c:pt idx="15">
                  <c:v>1.1333183098806623</c:v>
                </c:pt>
                <c:pt idx="16">
                  <c:v>0.12248515472305399</c:v>
                </c:pt>
                <c:pt idx="17">
                  <c:v>0.2923288403027719</c:v>
                </c:pt>
                <c:pt idx="18">
                  <c:v>0.71866054793306744</c:v>
                </c:pt>
                <c:pt idx="19">
                  <c:v>1.1159358708581468</c:v>
                </c:pt>
                <c:pt idx="20">
                  <c:v>0.20265314476348506</c:v>
                </c:pt>
                <c:pt idx="21">
                  <c:v>0.64703169794031024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6-4CB5-BC34-F467AAE292D7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'Факторный анализ'!$J$38:$J$54</c:f>
              <c:numCache>
                <c:formatCode>0.000000</c:formatCode>
                <c:ptCount val="17"/>
                <c:pt idx="0">
                  <c:v>0.53407881110530298</c:v>
                </c:pt>
                <c:pt idx="1">
                  <c:v>-0.16270020200605442</c:v>
                </c:pt>
                <c:pt idx="2">
                  <c:v>-0.29188832645835072</c:v>
                </c:pt>
                <c:pt idx="3">
                  <c:v>-0.30839554150087894</c:v>
                </c:pt>
                <c:pt idx="4">
                  <c:v>0.4041859942130856</c:v>
                </c:pt>
                <c:pt idx="5">
                  <c:v>0.11592298896448995</c:v>
                </c:pt>
                <c:pt idx="6">
                  <c:v>-0.17137545545870481</c:v>
                </c:pt>
                <c:pt idx="7">
                  <c:v>-0.45390385660803501</c:v>
                </c:pt>
                <c:pt idx="8">
                  <c:v>-4.5145227051949455E-2</c:v>
                </c:pt>
                <c:pt idx="9">
                  <c:v>-0.33288202860527621</c:v>
                </c:pt>
                <c:pt idx="10">
                  <c:v>-0.51973729734378693</c:v>
                </c:pt>
                <c:pt idx="11">
                  <c:v>-0.25337476848637808</c:v>
                </c:pt>
                <c:pt idx="12">
                  <c:v>-0.29645628680402175</c:v>
                </c:pt>
                <c:pt idx="13">
                  <c:v>-0.24934428069971565</c:v>
                </c:pt>
                <c:pt idx="14">
                  <c:v>2.9417536701888247E-2</c:v>
                </c:pt>
                <c:pt idx="15">
                  <c:v>-0.36082999267794907</c:v>
                </c:pt>
                <c:pt idx="16">
                  <c:v>-0.26080641277727334</c:v>
                </c:pt>
              </c:numCache>
            </c:numRef>
          </c:xVal>
          <c:yVal>
            <c:numRef>
              <c:f>'Факторный анализ'!$K$38:$K$54</c:f>
              <c:numCache>
                <c:formatCode>0.00000</c:formatCode>
                <c:ptCount val="17"/>
                <c:pt idx="0">
                  <c:v>0.25038518979723234</c:v>
                </c:pt>
                <c:pt idx="1">
                  <c:v>-0.78435416938950853</c:v>
                </c:pt>
                <c:pt idx="2">
                  <c:v>0.30543903248056148</c:v>
                </c:pt>
                <c:pt idx="3">
                  <c:v>-0.44346987400952714</c:v>
                </c:pt>
                <c:pt idx="4">
                  <c:v>1.6072855925000434E-2</c:v>
                </c:pt>
                <c:pt idx="5">
                  <c:v>0.17273804155155356</c:v>
                </c:pt>
                <c:pt idx="6">
                  <c:v>0.12422239903213468</c:v>
                </c:pt>
                <c:pt idx="7">
                  <c:v>-0.71419758197951011</c:v>
                </c:pt>
                <c:pt idx="8">
                  <c:v>0.41154290021220158</c:v>
                </c:pt>
                <c:pt idx="9">
                  <c:v>-1.0011364466363786</c:v>
                </c:pt>
                <c:pt idx="10">
                  <c:v>-1.7003304098735432</c:v>
                </c:pt>
                <c:pt idx="11">
                  <c:v>-0.33231270843934846</c:v>
                </c:pt>
                <c:pt idx="12">
                  <c:v>-0.90822187484699035</c:v>
                </c:pt>
                <c:pt idx="13">
                  <c:v>-0.5447504785677324</c:v>
                </c:pt>
                <c:pt idx="14">
                  <c:v>-0.77272595242131381</c:v>
                </c:pt>
                <c:pt idx="15">
                  <c:v>-0.16066659713505652</c:v>
                </c:pt>
                <c:pt idx="16">
                  <c:v>2.9304617049063689E-2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16-4CB5-BC34-F467AAE292D7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'Факторный анализ'!$J$55:$J$84</c:f>
              <c:numCache>
                <c:formatCode>0.000000</c:formatCode>
                <c:ptCount val="30"/>
                <c:pt idx="0">
                  <c:v>-0.10343926311498607</c:v>
                </c:pt>
                <c:pt idx="1">
                  <c:v>-0.23377616678058347</c:v>
                </c:pt>
                <c:pt idx="2">
                  <c:v>-0.21634356631258705</c:v>
                </c:pt>
                <c:pt idx="3">
                  <c:v>-0.32452741189534534</c:v>
                </c:pt>
                <c:pt idx="4">
                  <c:v>-1.4205006848594071E-3</c:v>
                </c:pt>
                <c:pt idx="5">
                  <c:v>-0.10370171227607496</c:v>
                </c:pt>
                <c:pt idx="6">
                  <c:v>-0.17849210459986792</c:v>
                </c:pt>
                <c:pt idx="7">
                  <c:v>-0.30797823652138556</c:v>
                </c:pt>
                <c:pt idx="8">
                  <c:v>-0.26495632077596187</c:v>
                </c:pt>
                <c:pt idx="9">
                  <c:v>-0.21922305900610112</c:v>
                </c:pt>
                <c:pt idx="10">
                  <c:v>-3.8474524967869045E-2</c:v>
                </c:pt>
                <c:pt idx="11">
                  <c:v>0.12434694276125456</c:v>
                </c:pt>
                <c:pt idx="12">
                  <c:v>-7.875031072928422E-2</c:v>
                </c:pt>
                <c:pt idx="13">
                  <c:v>-6.7014405902649676E-2</c:v>
                </c:pt>
                <c:pt idx="14">
                  <c:v>-0.26535457813533819</c:v>
                </c:pt>
                <c:pt idx="15">
                  <c:v>-0.16619292781093989</c:v>
                </c:pt>
                <c:pt idx="16">
                  <c:v>-0.29278663515833553</c:v>
                </c:pt>
                <c:pt idx="17">
                  <c:v>-0.20957398762090854</c:v>
                </c:pt>
                <c:pt idx="18">
                  <c:v>-0.28090075875153475</c:v>
                </c:pt>
                <c:pt idx="19">
                  <c:v>-0.150473659871601</c:v>
                </c:pt>
                <c:pt idx="20">
                  <c:v>-0.44447996185923871</c:v>
                </c:pt>
                <c:pt idx="21">
                  <c:v>-0.2163054048224122</c:v>
                </c:pt>
                <c:pt idx="22">
                  <c:v>-0.18934348522764002</c:v>
                </c:pt>
                <c:pt idx="23">
                  <c:v>-0.27491190881269362</c:v>
                </c:pt>
                <c:pt idx="24">
                  <c:v>-0.14186278915832581</c:v>
                </c:pt>
                <c:pt idx="25">
                  <c:v>-0.27757403885481802</c:v>
                </c:pt>
                <c:pt idx="26">
                  <c:v>-0.16549629064595822</c:v>
                </c:pt>
                <c:pt idx="27">
                  <c:v>-5.4713110727113094E-2</c:v>
                </c:pt>
                <c:pt idx="28">
                  <c:v>-0.30713389614631048</c:v>
                </c:pt>
                <c:pt idx="29">
                  <c:v>-0.36096927160702535</c:v>
                </c:pt>
              </c:numCache>
            </c:numRef>
          </c:xVal>
          <c:yVal>
            <c:numRef>
              <c:f>'Факторный анализ'!$K$55:$K$84</c:f>
              <c:numCache>
                <c:formatCode>0.00000</c:formatCode>
                <c:ptCount val="30"/>
                <c:pt idx="0">
                  <c:v>0.5053479623092707</c:v>
                </c:pt>
                <c:pt idx="1">
                  <c:v>0.80851930515186088</c:v>
                </c:pt>
                <c:pt idx="2">
                  <c:v>0.99549541023016541</c:v>
                </c:pt>
                <c:pt idx="3">
                  <c:v>0.11625872361159867</c:v>
                </c:pt>
                <c:pt idx="4">
                  <c:v>0.49268239316799389</c:v>
                </c:pt>
                <c:pt idx="5">
                  <c:v>0.49656195870621178</c:v>
                </c:pt>
                <c:pt idx="6">
                  <c:v>-0.20664601821082978</c:v>
                </c:pt>
                <c:pt idx="7">
                  <c:v>0.81144324333778883</c:v>
                </c:pt>
                <c:pt idx="8">
                  <c:v>-2.0215504067373741E-2</c:v>
                </c:pt>
                <c:pt idx="9">
                  <c:v>-0.21991098454252</c:v>
                </c:pt>
                <c:pt idx="10">
                  <c:v>1.0306353980961891</c:v>
                </c:pt>
                <c:pt idx="11">
                  <c:v>-0.45202041420544214</c:v>
                </c:pt>
                <c:pt idx="12">
                  <c:v>0.7514032289002035</c:v>
                </c:pt>
                <c:pt idx="13">
                  <c:v>-0.59294495589958618</c:v>
                </c:pt>
                <c:pt idx="14">
                  <c:v>1.6648859334291527E-2</c:v>
                </c:pt>
                <c:pt idx="15">
                  <c:v>1.1490868773559895</c:v>
                </c:pt>
                <c:pt idx="16">
                  <c:v>0.59945579000748772</c:v>
                </c:pt>
                <c:pt idx="17">
                  <c:v>-0.42289884352843815</c:v>
                </c:pt>
                <c:pt idx="18">
                  <c:v>-0.332382762111257</c:v>
                </c:pt>
                <c:pt idx="19">
                  <c:v>0.15909090451359026</c:v>
                </c:pt>
                <c:pt idx="20">
                  <c:v>-1.2949870794165305E-2</c:v>
                </c:pt>
                <c:pt idx="21">
                  <c:v>0.19957158416687718</c:v>
                </c:pt>
                <c:pt idx="22">
                  <c:v>-0.40814445497794682</c:v>
                </c:pt>
                <c:pt idx="23">
                  <c:v>0.14166965212518415</c:v>
                </c:pt>
                <c:pt idx="24">
                  <c:v>0.91322372358109161</c:v>
                </c:pt>
                <c:pt idx="25">
                  <c:v>0.24156928761857535</c:v>
                </c:pt>
                <c:pt idx="26">
                  <c:v>0.89136518932570818</c:v>
                </c:pt>
                <c:pt idx="27">
                  <c:v>1.2801565770937464</c:v>
                </c:pt>
                <c:pt idx="28">
                  <c:v>0.53757056721813889</c:v>
                </c:pt>
                <c:pt idx="29">
                  <c:v>-0.17324800730389722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16-4CB5-BC34-F467AAE292D7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'Факторный анализ'!$J$85:$J$86</c:f>
              <c:numCache>
                <c:formatCode>0.000000</c:formatCode>
                <c:ptCount val="2"/>
                <c:pt idx="0">
                  <c:v>6.9391574620972811</c:v>
                </c:pt>
                <c:pt idx="1">
                  <c:v>4.7195969102510622</c:v>
                </c:pt>
              </c:numCache>
            </c:numRef>
          </c:xVal>
          <c:yVal>
            <c:numRef>
              <c:f>'Факторный анализ'!$K$85:$K$86</c:f>
              <c:numCache>
                <c:formatCode>0.00000</c:formatCode>
                <c:ptCount val="2"/>
                <c:pt idx="0">
                  <c:v>0.26812944697561042</c:v>
                </c:pt>
                <c:pt idx="1">
                  <c:v>-1.3441493510926148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16-4CB5-BC34-F467AAE2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46960"/>
        <c:axId val="228639888"/>
      </c:scatterChart>
      <c:valAx>
        <c:axId val="2286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639888"/>
        <c:crosses val="autoZero"/>
        <c:crossBetween val="midCat"/>
      </c:valAx>
      <c:valAx>
        <c:axId val="2286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6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Ward new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'Факторный анализ'!$N$2:$N$4</c:f>
              <c:numCache>
                <c:formatCode>0.000000</c:formatCode>
                <c:ptCount val="3"/>
                <c:pt idx="0">
                  <c:v>-0.66620519198016026</c:v>
                </c:pt>
                <c:pt idx="1">
                  <c:v>-0.70779514646681529</c:v>
                </c:pt>
                <c:pt idx="2">
                  <c:v>-0.68554978307534165</c:v>
                </c:pt>
              </c:numCache>
            </c:numRef>
          </c:xVal>
          <c:yVal>
            <c:numRef>
              <c:f>'Факторный анализ'!$O$2:$O$4</c:f>
              <c:numCache>
                <c:formatCode>0.00000</c:formatCode>
                <c:ptCount val="3"/>
                <c:pt idx="0">
                  <c:v>-2.8128684018734589</c:v>
                </c:pt>
                <c:pt idx="1">
                  <c:v>-3.1696011303963672</c:v>
                </c:pt>
                <c:pt idx="2">
                  <c:v>-2.1827617256419747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6-4E32-B240-06DFAC759A7F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'Факторный анализ'!$N$5:$N$6</c:f>
              <c:numCache>
                <c:formatCode>0.000000</c:formatCode>
                <c:ptCount val="2"/>
                <c:pt idx="0">
                  <c:v>6.9391574620972811</c:v>
                </c:pt>
                <c:pt idx="1">
                  <c:v>4.7195969102510622</c:v>
                </c:pt>
              </c:numCache>
            </c:numRef>
          </c:xVal>
          <c:yVal>
            <c:numRef>
              <c:f>'Факторный анализ'!$O$5:$O$6</c:f>
              <c:numCache>
                <c:formatCode>0.00000</c:formatCode>
                <c:ptCount val="2"/>
                <c:pt idx="0">
                  <c:v>0.26812944697561042</c:v>
                </c:pt>
                <c:pt idx="1">
                  <c:v>-1.3441493510926148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6-4E32-B240-06DFAC759A7F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'Факторный анализ'!$N$7:$N$24</c:f>
              <c:numCache>
                <c:formatCode>0.000000</c:formatCode>
                <c:ptCount val="18"/>
                <c:pt idx="0">
                  <c:v>-0.27549197491135691</c:v>
                </c:pt>
                <c:pt idx="1">
                  <c:v>-0.10370171227607496</c:v>
                </c:pt>
                <c:pt idx="2">
                  <c:v>-0.10365728858882617</c:v>
                </c:pt>
                <c:pt idx="3">
                  <c:v>-0.15839253405056183</c:v>
                </c:pt>
                <c:pt idx="4">
                  <c:v>-0.17744366620818197</c:v>
                </c:pt>
                <c:pt idx="5">
                  <c:v>-0.30097065353978592</c:v>
                </c:pt>
                <c:pt idx="6">
                  <c:v>-0.32536759661920223</c:v>
                </c:pt>
                <c:pt idx="7">
                  <c:v>-0.20139740388381464</c:v>
                </c:pt>
                <c:pt idx="8">
                  <c:v>-0.20224720305840158</c:v>
                </c:pt>
                <c:pt idx="9">
                  <c:v>-0.10814188686673687</c:v>
                </c:pt>
                <c:pt idx="10">
                  <c:v>-0.14008065462866126</c:v>
                </c:pt>
                <c:pt idx="11">
                  <c:v>-0.22471764623746665</c:v>
                </c:pt>
                <c:pt idx="12">
                  <c:v>-0.18646747354294799</c:v>
                </c:pt>
                <c:pt idx="13">
                  <c:v>-0.1491216585766077</c:v>
                </c:pt>
                <c:pt idx="14">
                  <c:v>-0.17671548699715928</c:v>
                </c:pt>
                <c:pt idx="15">
                  <c:v>-0.20038239257698973</c:v>
                </c:pt>
                <c:pt idx="16">
                  <c:v>-0.17103763736924052</c:v>
                </c:pt>
                <c:pt idx="17">
                  <c:v>-0.19046031795779103</c:v>
                </c:pt>
              </c:numCache>
            </c:numRef>
          </c:xVal>
          <c:yVal>
            <c:numRef>
              <c:f>'Факторный анализ'!$O$7:$O$24</c:f>
              <c:numCache>
                <c:formatCode>0.00000</c:formatCode>
                <c:ptCount val="18"/>
                <c:pt idx="0">
                  <c:v>0.88270588183856691</c:v>
                </c:pt>
                <c:pt idx="1">
                  <c:v>0.49656195870621178</c:v>
                </c:pt>
                <c:pt idx="2">
                  <c:v>0.28222787870018873</c:v>
                </c:pt>
                <c:pt idx="3">
                  <c:v>0.688906576382595</c:v>
                </c:pt>
                <c:pt idx="4">
                  <c:v>0.40357203301481304</c:v>
                </c:pt>
                <c:pt idx="5">
                  <c:v>0.74415869064351015</c:v>
                </c:pt>
                <c:pt idx="6">
                  <c:v>0.96291421227186724</c:v>
                </c:pt>
                <c:pt idx="7">
                  <c:v>0.75375521317174266</c:v>
                </c:pt>
                <c:pt idx="8">
                  <c:v>1.3490027104041777</c:v>
                </c:pt>
                <c:pt idx="9">
                  <c:v>6.7681770107067218E-2</c:v>
                </c:pt>
                <c:pt idx="10">
                  <c:v>6.0917702201532233E-2</c:v>
                </c:pt>
                <c:pt idx="11">
                  <c:v>1.2839223494793768</c:v>
                </c:pt>
                <c:pt idx="12">
                  <c:v>1.1333183098806623</c:v>
                </c:pt>
                <c:pt idx="13">
                  <c:v>0.12248515472305399</c:v>
                </c:pt>
                <c:pt idx="14">
                  <c:v>0.2923288403027719</c:v>
                </c:pt>
                <c:pt idx="15">
                  <c:v>0.71866054793306744</c:v>
                </c:pt>
                <c:pt idx="16">
                  <c:v>1.1159358708581468</c:v>
                </c:pt>
                <c:pt idx="17">
                  <c:v>0.64703169794031024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96-4E32-B240-06DFAC759A7F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'Факторный анализ'!$N$25:$N$51</c:f>
              <c:numCache>
                <c:formatCode>0.000000</c:formatCode>
                <c:ptCount val="27"/>
                <c:pt idx="0">
                  <c:v>-0.32181139898184385</c:v>
                </c:pt>
                <c:pt idx="1">
                  <c:v>-0.10343926311498607</c:v>
                </c:pt>
                <c:pt idx="2">
                  <c:v>-0.23377616678058347</c:v>
                </c:pt>
                <c:pt idx="3">
                  <c:v>-0.21634356631258705</c:v>
                </c:pt>
                <c:pt idx="4">
                  <c:v>-0.32452741189534534</c:v>
                </c:pt>
                <c:pt idx="5">
                  <c:v>-1.4205006848594071E-3</c:v>
                </c:pt>
                <c:pt idx="6">
                  <c:v>-0.17849210459986792</c:v>
                </c:pt>
                <c:pt idx="7">
                  <c:v>-0.30797823652138556</c:v>
                </c:pt>
                <c:pt idx="8">
                  <c:v>-0.35213331891755267</c:v>
                </c:pt>
                <c:pt idx="9">
                  <c:v>-0.21922305900610112</c:v>
                </c:pt>
                <c:pt idx="10">
                  <c:v>-3.8474524967869045E-2</c:v>
                </c:pt>
                <c:pt idx="11">
                  <c:v>0.12434694276125456</c:v>
                </c:pt>
                <c:pt idx="12">
                  <c:v>-7.875031072928422E-2</c:v>
                </c:pt>
                <c:pt idx="13">
                  <c:v>-0.16619292781093989</c:v>
                </c:pt>
                <c:pt idx="14">
                  <c:v>-0.29278663515833553</c:v>
                </c:pt>
                <c:pt idx="15">
                  <c:v>-0.20957398762090854</c:v>
                </c:pt>
                <c:pt idx="16">
                  <c:v>-0.28090075875153475</c:v>
                </c:pt>
                <c:pt idx="17">
                  <c:v>-0.150473659871601</c:v>
                </c:pt>
                <c:pt idx="18">
                  <c:v>-0.44447996185923871</c:v>
                </c:pt>
                <c:pt idx="19">
                  <c:v>-0.2163054048224122</c:v>
                </c:pt>
                <c:pt idx="20">
                  <c:v>-0.27491190881269362</c:v>
                </c:pt>
                <c:pt idx="21">
                  <c:v>-0.14186278915832581</c:v>
                </c:pt>
                <c:pt idx="22">
                  <c:v>-0.27757403885481802</c:v>
                </c:pt>
                <c:pt idx="23">
                  <c:v>-0.16549629064595822</c:v>
                </c:pt>
                <c:pt idx="24">
                  <c:v>-5.4713110727113094E-2</c:v>
                </c:pt>
                <c:pt idx="25">
                  <c:v>-0.30713389614631048</c:v>
                </c:pt>
                <c:pt idx="26">
                  <c:v>-0.36096927160702535</c:v>
                </c:pt>
              </c:numCache>
            </c:numRef>
          </c:xVal>
          <c:yVal>
            <c:numRef>
              <c:f>'Факторный анализ'!$O$25:$O$51</c:f>
              <c:numCache>
                <c:formatCode>0.00000</c:formatCode>
                <c:ptCount val="27"/>
                <c:pt idx="0">
                  <c:v>0.42368240965941273</c:v>
                </c:pt>
                <c:pt idx="1">
                  <c:v>0.5053479623092707</c:v>
                </c:pt>
                <c:pt idx="2">
                  <c:v>0.80851930515186088</c:v>
                </c:pt>
                <c:pt idx="3">
                  <c:v>0.99549541023016541</c:v>
                </c:pt>
                <c:pt idx="4">
                  <c:v>0.11625872361159867</c:v>
                </c:pt>
                <c:pt idx="5">
                  <c:v>0.49268239316799389</c:v>
                </c:pt>
                <c:pt idx="6">
                  <c:v>-0.20664601821082978</c:v>
                </c:pt>
                <c:pt idx="7">
                  <c:v>0.81144324333778883</c:v>
                </c:pt>
                <c:pt idx="8">
                  <c:v>0.82118039392338793</c:v>
                </c:pt>
                <c:pt idx="9">
                  <c:v>-0.21991098454252</c:v>
                </c:pt>
                <c:pt idx="10">
                  <c:v>1.0306353980961891</c:v>
                </c:pt>
                <c:pt idx="11">
                  <c:v>-0.45202041420544214</c:v>
                </c:pt>
                <c:pt idx="12">
                  <c:v>0.7514032289002035</c:v>
                </c:pt>
                <c:pt idx="13">
                  <c:v>1.1490868773559895</c:v>
                </c:pt>
                <c:pt idx="14">
                  <c:v>0.59945579000748772</c:v>
                </c:pt>
                <c:pt idx="15">
                  <c:v>-0.42289884352843815</c:v>
                </c:pt>
                <c:pt idx="16">
                  <c:v>-0.332382762111257</c:v>
                </c:pt>
                <c:pt idx="17">
                  <c:v>0.15909090451359026</c:v>
                </c:pt>
                <c:pt idx="18">
                  <c:v>-1.2949870794165305E-2</c:v>
                </c:pt>
                <c:pt idx="19">
                  <c:v>0.19957158416687718</c:v>
                </c:pt>
                <c:pt idx="20">
                  <c:v>0.14166965212518415</c:v>
                </c:pt>
                <c:pt idx="21">
                  <c:v>0.91322372358109161</c:v>
                </c:pt>
                <c:pt idx="22">
                  <c:v>0.24156928761857535</c:v>
                </c:pt>
                <c:pt idx="23">
                  <c:v>0.89136518932570818</c:v>
                </c:pt>
                <c:pt idx="24">
                  <c:v>1.2801565770937464</c:v>
                </c:pt>
                <c:pt idx="25">
                  <c:v>0.53757056721813889</c:v>
                </c:pt>
                <c:pt idx="26">
                  <c:v>-0.17324800730389722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96-4E32-B240-06DFAC759A7F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'Факторный анализ'!$N$52:$N$64</c:f>
              <c:numCache>
                <c:formatCode>0.000000</c:formatCode>
                <c:ptCount val="13"/>
                <c:pt idx="0">
                  <c:v>0.53407881110530298</c:v>
                </c:pt>
                <c:pt idx="1">
                  <c:v>-0.16270020200605442</c:v>
                </c:pt>
                <c:pt idx="2">
                  <c:v>-0.29188832645835072</c:v>
                </c:pt>
                <c:pt idx="3">
                  <c:v>-0.30839554150087894</c:v>
                </c:pt>
                <c:pt idx="4">
                  <c:v>-0.54764676139993218</c:v>
                </c:pt>
                <c:pt idx="5">
                  <c:v>-0.46746061687532736</c:v>
                </c:pt>
                <c:pt idx="6">
                  <c:v>-0.3698584897715298</c:v>
                </c:pt>
                <c:pt idx="7">
                  <c:v>-0.45390385660803501</c:v>
                </c:pt>
                <c:pt idx="8">
                  <c:v>-0.37799342349605825</c:v>
                </c:pt>
                <c:pt idx="9">
                  <c:v>-0.33288202860527621</c:v>
                </c:pt>
                <c:pt idx="10">
                  <c:v>-0.51973729734378693</c:v>
                </c:pt>
                <c:pt idx="11">
                  <c:v>-0.25337476848637808</c:v>
                </c:pt>
                <c:pt idx="12">
                  <c:v>-0.29645628680402175</c:v>
                </c:pt>
              </c:numCache>
            </c:numRef>
          </c:xVal>
          <c:yVal>
            <c:numRef>
              <c:f>'Факторный анализ'!$O$52:$O$64</c:f>
              <c:numCache>
                <c:formatCode>0.00000</c:formatCode>
                <c:ptCount val="13"/>
                <c:pt idx="0">
                  <c:v>0.25038518979723234</c:v>
                </c:pt>
                <c:pt idx="1">
                  <c:v>-0.78435416938950853</c:v>
                </c:pt>
                <c:pt idx="2">
                  <c:v>0.30543903248056148</c:v>
                </c:pt>
                <c:pt idx="3">
                  <c:v>-0.44346987400952714</c:v>
                </c:pt>
                <c:pt idx="4">
                  <c:v>-1.9042755717368767</c:v>
                </c:pt>
                <c:pt idx="5">
                  <c:v>-1.3921925748368169</c:v>
                </c:pt>
                <c:pt idx="6">
                  <c:v>-0.98762317320116955</c:v>
                </c:pt>
                <c:pt idx="7">
                  <c:v>-0.71419758197951011</c:v>
                </c:pt>
                <c:pt idx="8">
                  <c:v>-1.0717941727159046</c:v>
                </c:pt>
                <c:pt idx="9">
                  <c:v>-1.0011364466363786</c:v>
                </c:pt>
                <c:pt idx="10">
                  <c:v>-1.7003304098735432</c:v>
                </c:pt>
                <c:pt idx="11">
                  <c:v>-0.33231270843934846</c:v>
                </c:pt>
                <c:pt idx="12">
                  <c:v>-0.90822187484699035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96-4E32-B240-06DFAC759A7F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'Факторный анализ'!$N$65:$N$86</c:f>
              <c:numCache>
                <c:formatCode>0.000000</c:formatCode>
                <c:ptCount val="22"/>
                <c:pt idx="0">
                  <c:v>0.24338535129144961</c:v>
                </c:pt>
                <c:pt idx="1">
                  <c:v>-2.1822419940736745E-2</c:v>
                </c:pt>
                <c:pt idx="2">
                  <c:v>-0.26495632077596187</c:v>
                </c:pt>
                <c:pt idx="3">
                  <c:v>2.6277662319781892E-2</c:v>
                </c:pt>
                <c:pt idx="4">
                  <c:v>2.3175945982798266E-2</c:v>
                </c:pt>
                <c:pt idx="5">
                  <c:v>0.4041859942130856</c:v>
                </c:pt>
                <c:pt idx="6">
                  <c:v>-6.7014405902649676E-2</c:v>
                </c:pt>
                <c:pt idx="7">
                  <c:v>0.11592298896448995</c:v>
                </c:pt>
                <c:pt idx="8">
                  <c:v>-0.26535457813533819</c:v>
                </c:pt>
                <c:pt idx="9">
                  <c:v>-0.29561799662161825</c:v>
                </c:pt>
                <c:pt idx="10">
                  <c:v>-0.17137545545870481</c:v>
                </c:pt>
                <c:pt idx="11">
                  <c:v>-4.5145227051949455E-2</c:v>
                </c:pt>
                <c:pt idx="12">
                  <c:v>0.64128775949397099</c:v>
                </c:pt>
                <c:pt idx="13">
                  <c:v>-0.18934348522764002</c:v>
                </c:pt>
                <c:pt idx="14">
                  <c:v>1.3380518227119345</c:v>
                </c:pt>
                <c:pt idx="15">
                  <c:v>-0.24934428069971565</c:v>
                </c:pt>
                <c:pt idx="16">
                  <c:v>2.9417536701888247E-2</c:v>
                </c:pt>
                <c:pt idx="17">
                  <c:v>-0.36082999267794907</c:v>
                </c:pt>
                <c:pt idx="18">
                  <c:v>-8.9743142965848816E-2</c:v>
                </c:pt>
                <c:pt idx="19">
                  <c:v>1.4273149184845846</c:v>
                </c:pt>
                <c:pt idx="20">
                  <c:v>-0.26080641277727334</c:v>
                </c:pt>
                <c:pt idx="21">
                  <c:v>1.2725410249837343</c:v>
                </c:pt>
              </c:numCache>
            </c:numRef>
          </c:xVal>
          <c:yVal>
            <c:numRef>
              <c:f>'Факторный анализ'!$O$65:$O$86</c:f>
              <c:numCache>
                <c:formatCode>0.00000</c:formatCode>
                <c:ptCount val="22"/>
                <c:pt idx="0">
                  <c:v>0.81354118464140424</c:v>
                </c:pt>
                <c:pt idx="1">
                  <c:v>0.53035727215167605</c:v>
                </c:pt>
                <c:pt idx="2">
                  <c:v>-2.0215504067373741E-2</c:v>
                </c:pt>
                <c:pt idx="3">
                  <c:v>-0.23280156445382849</c:v>
                </c:pt>
                <c:pt idx="4">
                  <c:v>-7.541802114820334E-2</c:v>
                </c:pt>
                <c:pt idx="5">
                  <c:v>1.6072855925000434E-2</c:v>
                </c:pt>
                <c:pt idx="6">
                  <c:v>-0.59294495589958618</c:v>
                </c:pt>
                <c:pt idx="7">
                  <c:v>0.17273804155155356</c:v>
                </c:pt>
                <c:pt idx="8">
                  <c:v>1.6648859334291527E-2</c:v>
                </c:pt>
                <c:pt idx="9">
                  <c:v>1.9791202342583577E-2</c:v>
                </c:pt>
                <c:pt idx="10">
                  <c:v>0.12422239903213468</c:v>
                </c:pt>
                <c:pt idx="11">
                  <c:v>0.41154290021220158</c:v>
                </c:pt>
                <c:pt idx="12">
                  <c:v>-1.2204209043791268</c:v>
                </c:pt>
                <c:pt idx="13">
                  <c:v>-0.40814445497794682</c:v>
                </c:pt>
                <c:pt idx="14">
                  <c:v>0.56220402087958066</c:v>
                </c:pt>
                <c:pt idx="15">
                  <c:v>-0.5447504785677324</c:v>
                </c:pt>
                <c:pt idx="16">
                  <c:v>-0.77272595242131381</c:v>
                </c:pt>
                <c:pt idx="17">
                  <c:v>-0.16066659713505652</c:v>
                </c:pt>
                <c:pt idx="18">
                  <c:v>0.20265314476348506</c:v>
                </c:pt>
                <c:pt idx="19">
                  <c:v>-1.6723888065842798</c:v>
                </c:pt>
                <c:pt idx="20">
                  <c:v>2.9304617049063689E-2</c:v>
                </c:pt>
                <c:pt idx="21">
                  <c:v>-0.32870288008931531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96-4E32-B240-06DFAC759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35008"/>
        <c:axId val="237031680"/>
      </c:scatterChart>
      <c:valAx>
        <c:axId val="2370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031680"/>
        <c:crosses val="autoZero"/>
        <c:crossBetween val="midCat"/>
      </c:valAx>
      <c:valAx>
        <c:axId val="2370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0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К-средних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0026003612972368E-2"/>
          <c:y val="6.0617076095808721E-2"/>
          <c:w val="0.95163557832852252"/>
          <c:h val="0.92894860759667308"/>
        </c:manualLayout>
      </c:layout>
      <c:lineChart>
        <c:grouping val="standard"/>
        <c:varyColors val="0"/>
        <c:ser>
          <c:idx val="0"/>
          <c:order val="0"/>
          <c:tx>
            <c:strRef>
              <c:f>'Итоги метода к-средних'!$B$2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к-средних'!$C$2:$M$2</c:f>
              <c:numCache>
                <c:formatCode>General</c:formatCode>
                <c:ptCount val="11"/>
                <c:pt idx="0">
                  <c:v>-8.5777769783093538E-2</c:v>
                </c:pt>
                <c:pt idx="1">
                  <c:v>-0.15084056431478274</c:v>
                </c:pt>
                <c:pt idx="2">
                  <c:v>1.590940457643554E-2</c:v>
                </c:pt>
                <c:pt idx="3">
                  <c:v>0.38635214173465926</c:v>
                </c:pt>
                <c:pt idx="4">
                  <c:v>0.11108090229376172</c:v>
                </c:pt>
                <c:pt idx="5">
                  <c:v>0.20486848152942816</c:v>
                </c:pt>
                <c:pt idx="6">
                  <c:v>0.15951932181058504</c:v>
                </c:pt>
                <c:pt idx="7">
                  <c:v>9.7549891319920159E-2</c:v>
                </c:pt>
                <c:pt idx="8">
                  <c:v>1.2194385055604304</c:v>
                </c:pt>
                <c:pt idx="9">
                  <c:v>0.21737973164600322</c:v>
                </c:pt>
                <c:pt idx="10">
                  <c:v>-0.29570161372310111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E-425A-997D-7051C8986B34}"/>
            </c:ext>
          </c:extLst>
        </c:ser>
        <c:ser>
          <c:idx val="1"/>
          <c:order val="1"/>
          <c:tx>
            <c:strRef>
              <c:f>'Итоги метода к-средних'!$B$3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к-средних'!$C$3:$M$3</c:f>
              <c:numCache>
                <c:formatCode>General</c:formatCode>
                <c:ptCount val="11"/>
                <c:pt idx="0">
                  <c:v>-0.40117445819171077</c:v>
                </c:pt>
                <c:pt idx="1">
                  <c:v>-0.26323472896034794</c:v>
                </c:pt>
                <c:pt idx="2">
                  <c:v>-0.59445670698184383</c:v>
                </c:pt>
                <c:pt idx="3">
                  <c:v>-0.74831509222117942</c:v>
                </c:pt>
                <c:pt idx="4">
                  <c:v>0.8539963513879647</c:v>
                </c:pt>
                <c:pt idx="5">
                  <c:v>-1.0933889115649791</c:v>
                </c:pt>
                <c:pt idx="6">
                  <c:v>-0.5724198782756178</c:v>
                </c:pt>
                <c:pt idx="7">
                  <c:v>-1.3202873221747859</c:v>
                </c:pt>
                <c:pt idx="8">
                  <c:v>-1.2435390914398965</c:v>
                </c:pt>
                <c:pt idx="9">
                  <c:v>-0.59698110684834238</c:v>
                </c:pt>
                <c:pt idx="10">
                  <c:v>-1.3859999219998067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E-425A-997D-7051C8986B34}"/>
            </c:ext>
          </c:extLst>
        </c:ser>
        <c:ser>
          <c:idx val="2"/>
          <c:order val="2"/>
          <c:tx>
            <c:strRef>
              <c:f>'Итоги метода к-средних'!$B$4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к-средних'!$C$4:$M$4</c:f>
              <c:numCache>
                <c:formatCode>General</c:formatCode>
                <c:ptCount val="11"/>
                <c:pt idx="0">
                  <c:v>-0.29383595741402468</c:v>
                </c:pt>
                <c:pt idx="1">
                  <c:v>-0.28376431745106706</c:v>
                </c:pt>
                <c:pt idx="2">
                  <c:v>9.3596679432283114E-2</c:v>
                </c:pt>
                <c:pt idx="3">
                  <c:v>-0.26430257805447349</c:v>
                </c:pt>
                <c:pt idx="4">
                  <c:v>-6.2467100523230602E-2</c:v>
                </c:pt>
                <c:pt idx="5">
                  <c:v>-0.39338388208609193</c:v>
                </c:pt>
                <c:pt idx="6">
                  <c:v>-0.50249109582656226</c:v>
                </c:pt>
                <c:pt idx="7">
                  <c:v>0.66773767039077203</c:v>
                </c:pt>
                <c:pt idx="8">
                  <c:v>-0.18734802024280911</c:v>
                </c:pt>
                <c:pt idx="9">
                  <c:v>-0.3813452346705698</c:v>
                </c:pt>
                <c:pt idx="10">
                  <c:v>0.58462476533598851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E-425A-997D-7051C8986B34}"/>
            </c:ext>
          </c:extLst>
        </c:ser>
        <c:ser>
          <c:idx val="3"/>
          <c:order val="3"/>
          <c:tx>
            <c:strRef>
              <c:f>'Итоги метода к-средних'!$B$5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к-средних'!$C$5:$M$5</c:f>
              <c:numCache>
                <c:formatCode>General</c:formatCode>
                <c:ptCount val="11"/>
                <c:pt idx="0">
                  <c:v>0.94546507481097397</c:v>
                </c:pt>
                <c:pt idx="1">
                  <c:v>0.66946840531568996</c:v>
                </c:pt>
                <c:pt idx="2">
                  <c:v>1.2256651873443887</c:v>
                </c:pt>
                <c:pt idx="3">
                  <c:v>1.8827543898102079</c:v>
                </c:pt>
                <c:pt idx="4">
                  <c:v>0.12298704232247878</c:v>
                </c:pt>
                <c:pt idx="5">
                  <c:v>-2.9584936392048625E-2</c:v>
                </c:pt>
                <c:pt idx="6">
                  <c:v>-0.12895250400757308</c:v>
                </c:pt>
                <c:pt idx="7">
                  <c:v>-0.99658266434039466</c:v>
                </c:pt>
                <c:pt idx="8">
                  <c:v>0.38008667117291584</c:v>
                </c:pt>
                <c:pt idx="9">
                  <c:v>1.8934750268025426</c:v>
                </c:pt>
                <c:pt idx="10">
                  <c:v>0.50147550976177546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E-425A-997D-7051C8986B34}"/>
            </c:ext>
          </c:extLst>
        </c:ser>
        <c:ser>
          <c:idx val="4"/>
          <c:order val="4"/>
          <c:tx>
            <c:strRef>
              <c:f>'Итоги метода к-средних'!$B$6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к-средних'!$C$6:$M$6</c:f>
              <c:numCache>
                <c:formatCode>General</c:formatCode>
                <c:ptCount val="11"/>
                <c:pt idx="0">
                  <c:v>5.7462770269576238</c:v>
                </c:pt>
                <c:pt idx="1">
                  <c:v>5.9049781269580119</c:v>
                </c:pt>
                <c:pt idx="2">
                  <c:v>1.6296869343920357</c:v>
                </c:pt>
                <c:pt idx="3">
                  <c:v>1.9311908677562943</c:v>
                </c:pt>
                <c:pt idx="4">
                  <c:v>-0.2080774870031652</c:v>
                </c:pt>
                <c:pt idx="5">
                  <c:v>0.55459797346785666</c:v>
                </c:pt>
                <c:pt idx="6">
                  <c:v>-0.65648515448619627</c:v>
                </c:pt>
                <c:pt idx="7">
                  <c:v>-2.0636847698196972</c:v>
                </c:pt>
                <c:pt idx="8">
                  <c:v>-0.42314784923426446</c:v>
                </c:pt>
                <c:pt idx="9">
                  <c:v>0.73658747277901915</c:v>
                </c:pt>
                <c:pt idx="10">
                  <c:v>-0.45731752806434312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E-425A-997D-7051C8986B34}"/>
            </c:ext>
          </c:extLst>
        </c:ser>
        <c:ser>
          <c:idx val="5"/>
          <c:order val="5"/>
          <c:tx>
            <c:strRef>
              <c:f>'Итоги метода к-средних'!$B$7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метода к-средних'!$C$1:$M$1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метода к-средних'!$C$7:$M$7</c:f>
              <c:numCache>
                <c:formatCode>General</c:formatCode>
                <c:ptCount val="11"/>
                <c:pt idx="0">
                  <c:v>-0.18401601966872208</c:v>
                </c:pt>
                <c:pt idx="1">
                  <c:v>-0.12096098326786553</c:v>
                </c:pt>
                <c:pt idx="2">
                  <c:v>-0.57835083809007282</c:v>
                </c:pt>
                <c:pt idx="3">
                  <c:v>-0.46278205472900291</c:v>
                </c:pt>
                <c:pt idx="4">
                  <c:v>-0.55072992861612569</c:v>
                </c:pt>
                <c:pt idx="5">
                  <c:v>1.2206682278936987</c:v>
                </c:pt>
                <c:pt idx="6">
                  <c:v>1.3631383944548849</c:v>
                </c:pt>
                <c:pt idx="7">
                  <c:v>3.8289383527242239E-2</c:v>
                </c:pt>
                <c:pt idx="8">
                  <c:v>-0.24543062574109406</c:v>
                </c:pt>
                <c:pt idx="9">
                  <c:v>8.2030150908942862E-3</c:v>
                </c:pt>
                <c:pt idx="10">
                  <c:v>-0.18758650718751249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E-425A-997D-7051C898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76207"/>
        <c:axId val="547777039"/>
      </c:lineChart>
      <c:catAx>
        <c:axId val="54777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777039"/>
        <c:crosses val="autoZero"/>
        <c:auto val="1"/>
        <c:lblAlgn val="ctr"/>
        <c:lblOffset val="100"/>
        <c:noMultiLvlLbl val="0"/>
      </c:catAx>
      <c:valAx>
        <c:axId val="5477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77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взвешенной средней связи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'Итоги метод ср взв'!$A$2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взв'!$B$2:$L$2</c:f>
              <c:numCache>
                <c:formatCode>General</c:formatCode>
                <c:ptCount val="11"/>
                <c:pt idx="0">
                  <c:v>1.1748659054027062</c:v>
                </c:pt>
                <c:pt idx="1">
                  <c:v>1.3250541294586633</c:v>
                </c:pt>
                <c:pt idx="2">
                  <c:v>6.4902804864535319</c:v>
                </c:pt>
                <c:pt idx="3">
                  <c:v>3.7039659605830395</c:v>
                </c:pt>
                <c:pt idx="4">
                  <c:v>1.8842189578107982</c:v>
                </c:pt>
                <c:pt idx="5">
                  <c:v>2.9503246035669856E-2</c:v>
                </c:pt>
                <c:pt idx="6">
                  <c:v>-1.5243140099543966</c:v>
                </c:pt>
                <c:pt idx="7">
                  <c:v>-1.1344379602635584</c:v>
                </c:pt>
                <c:pt idx="8">
                  <c:v>-0.83705571518161315</c:v>
                </c:pt>
                <c:pt idx="9">
                  <c:v>2.6721019969415645</c:v>
                </c:pt>
                <c:pt idx="10">
                  <c:v>-0.15587572530949298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4-4559-B882-A5F94E12E3F2}"/>
            </c:ext>
          </c:extLst>
        </c:ser>
        <c:ser>
          <c:idx val="1"/>
          <c:order val="1"/>
          <c:tx>
            <c:strRef>
              <c:f>'Итоги метод ср взв'!$A$3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взв'!$B$3:$L$3</c:f>
              <c:numCache>
                <c:formatCode>General</c:formatCode>
                <c:ptCount val="11"/>
                <c:pt idx="0">
                  <c:v>-0.49586085164208815</c:v>
                </c:pt>
                <c:pt idx="1">
                  <c:v>-0.37468514609178732</c:v>
                </c:pt>
                <c:pt idx="2">
                  <c:v>-1.2324468896143668</c:v>
                </c:pt>
                <c:pt idx="3">
                  <c:v>-0.82323017811112553</c:v>
                </c:pt>
                <c:pt idx="4">
                  <c:v>1.8908304035269979E-2</c:v>
                </c:pt>
                <c:pt idx="5">
                  <c:v>-2.437560763386617</c:v>
                </c:pt>
                <c:pt idx="6">
                  <c:v>-1.2599856167926518</c:v>
                </c:pt>
                <c:pt idx="7">
                  <c:v>-3.0048450000111711</c:v>
                </c:pt>
                <c:pt idx="8">
                  <c:v>-1.4101273224894884</c:v>
                </c:pt>
                <c:pt idx="9">
                  <c:v>-0.98077694711248731</c:v>
                </c:pt>
                <c:pt idx="10">
                  <c:v>-1.9893902750135775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4-4559-B882-A5F94E12E3F2}"/>
            </c:ext>
          </c:extLst>
        </c:ser>
        <c:ser>
          <c:idx val="2"/>
          <c:order val="2"/>
          <c:tx>
            <c:strRef>
              <c:f>'Итоги метод ср взв'!$A$4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взв'!$B$4:$L$4</c:f>
              <c:numCache>
                <c:formatCode>General</c:formatCode>
                <c:ptCount val="11"/>
                <c:pt idx="0">
                  <c:v>-0.43398694567505031</c:v>
                </c:pt>
                <c:pt idx="1">
                  <c:v>-0.34071573052145881</c:v>
                </c:pt>
                <c:pt idx="2">
                  <c:v>-0.90381174760723626</c:v>
                </c:pt>
                <c:pt idx="3">
                  <c:v>-1.9824765502874486</c:v>
                </c:pt>
                <c:pt idx="4">
                  <c:v>-0.74899927129233945</c:v>
                </c:pt>
                <c:pt idx="5">
                  <c:v>1.4987161048862845</c:v>
                </c:pt>
                <c:pt idx="6">
                  <c:v>3.2205839650382497</c:v>
                </c:pt>
                <c:pt idx="7">
                  <c:v>-1.0986976983575525</c:v>
                </c:pt>
                <c:pt idx="8">
                  <c:v>-1.2938709798018824</c:v>
                </c:pt>
                <c:pt idx="9">
                  <c:v>1.2527131333823336</c:v>
                </c:pt>
                <c:pt idx="10">
                  <c:v>-0.87725442141811916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4-4559-B882-A5F94E12E3F2}"/>
            </c:ext>
          </c:extLst>
        </c:ser>
        <c:ser>
          <c:idx val="3"/>
          <c:order val="3"/>
          <c:tx>
            <c:strRef>
              <c:f>'Итоги метод ср взв'!$A$5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взв'!$B$5:$L$5</c:f>
              <c:numCache>
                <c:formatCode>General</c:formatCode>
                <c:ptCount val="11"/>
                <c:pt idx="0">
                  <c:v>0.54188864880776777</c:v>
                </c:pt>
                <c:pt idx="1">
                  <c:v>1.7927261798593941E-2</c:v>
                </c:pt>
                <c:pt idx="2">
                  <c:v>2.390711893678843E-3</c:v>
                </c:pt>
                <c:pt idx="3">
                  <c:v>1.6502592956689961</c:v>
                </c:pt>
                <c:pt idx="4">
                  <c:v>0.44450666223233604</c:v>
                </c:pt>
                <c:pt idx="5">
                  <c:v>-1.8000722425666069E-2</c:v>
                </c:pt>
                <c:pt idx="6">
                  <c:v>-6.2947173545920693E-2</c:v>
                </c:pt>
                <c:pt idx="7">
                  <c:v>-0.74129507929749949</c:v>
                </c:pt>
                <c:pt idx="8">
                  <c:v>2.3130559214379387</c:v>
                </c:pt>
                <c:pt idx="9">
                  <c:v>2.8293681707528116</c:v>
                </c:pt>
                <c:pt idx="10">
                  <c:v>2.4879962397070816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4-4559-B882-A5F94E12E3F2}"/>
            </c:ext>
          </c:extLst>
        </c:ser>
        <c:ser>
          <c:idx val="4"/>
          <c:order val="4"/>
          <c:tx>
            <c:strRef>
              <c:f>'Итоги метод ср взв'!$A$6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взв'!$B$6:$L$6</c:f>
              <c:numCache>
                <c:formatCode>General</c:formatCode>
                <c:ptCount val="11"/>
                <c:pt idx="0">
                  <c:v>-0.15194187747542828</c:v>
                </c:pt>
                <c:pt idx="1">
                  <c:v>-0.15153837343538121</c:v>
                </c:pt>
                <c:pt idx="2">
                  <c:v>-5.6659621532899343E-2</c:v>
                </c:pt>
                <c:pt idx="3">
                  <c:v>-5.9096302033674192E-2</c:v>
                </c:pt>
                <c:pt idx="4">
                  <c:v>-1.2210715703870299E-2</c:v>
                </c:pt>
                <c:pt idx="5">
                  <c:v>4.2834031096896527E-2</c:v>
                </c:pt>
                <c:pt idx="6">
                  <c:v>4.0262344842673693E-3</c:v>
                </c:pt>
                <c:pt idx="7">
                  <c:v>0.23941770740328716</c:v>
                </c:pt>
                <c:pt idx="8">
                  <c:v>5.1671513304620303E-2</c:v>
                </c:pt>
                <c:pt idx="9">
                  <c:v>-0.12489478279243281</c:v>
                </c:pt>
                <c:pt idx="10">
                  <c:v>5.0895972932018224E-2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34-4559-B882-A5F94E12E3F2}"/>
            </c:ext>
          </c:extLst>
        </c:ser>
        <c:ser>
          <c:idx val="5"/>
          <c:order val="5"/>
          <c:tx>
            <c:strRef>
              <c:f>'Итоги метод ср взв'!$A$7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взв'!$B$7:$L$7</c:f>
              <c:numCache>
                <c:formatCode>General</c:formatCode>
                <c:ptCount val="11"/>
                <c:pt idx="0">
                  <c:v>5.7462770269576238</c:v>
                </c:pt>
                <c:pt idx="1">
                  <c:v>5.9049781269580119</c:v>
                </c:pt>
                <c:pt idx="2">
                  <c:v>1.6296869343920357</c:v>
                </c:pt>
                <c:pt idx="3">
                  <c:v>1.9311908677562943</c:v>
                </c:pt>
                <c:pt idx="4">
                  <c:v>-0.2080774870031652</c:v>
                </c:pt>
                <c:pt idx="5">
                  <c:v>0.55459797346785666</c:v>
                </c:pt>
                <c:pt idx="6">
                  <c:v>-0.65648515448619627</c:v>
                </c:pt>
                <c:pt idx="7">
                  <c:v>-2.0636847698196972</c:v>
                </c:pt>
                <c:pt idx="8">
                  <c:v>-0.42314784923426446</c:v>
                </c:pt>
                <c:pt idx="9">
                  <c:v>0.73658747277901915</c:v>
                </c:pt>
                <c:pt idx="10">
                  <c:v>-0.45731752806434312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34-4559-B882-A5F94E12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18048"/>
        <c:axId val="2136418464"/>
      </c:lineChart>
      <c:catAx>
        <c:axId val="2136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418464"/>
        <c:crosses val="autoZero"/>
        <c:auto val="1"/>
        <c:lblAlgn val="ctr"/>
        <c:lblOffset val="100"/>
        <c:noMultiLvlLbl val="0"/>
      </c:catAx>
      <c:valAx>
        <c:axId val="21364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4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полных связей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'Итоги метод полных связей'!$A$2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связей'!$B$2:$L$2</c:f>
              <c:numCache>
                <c:formatCode>General</c:formatCode>
                <c:ptCount val="11"/>
                <c:pt idx="0">
                  <c:v>1.1748659054027062</c:v>
                </c:pt>
                <c:pt idx="1">
                  <c:v>1.3250541294586633</c:v>
                </c:pt>
                <c:pt idx="2">
                  <c:v>6.4902804864535319</c:v>
                </c:pt>
                <c:pt idx="3">
                  <c:v>3.7039659605830395</c:v>
                </c:pt>
                <c:pt idx="4">
                  <c:v>1.8842189578107982</c:v>
                </c:pt>
                <c:pt idx="5">
                  <c:v>2.9503246035669856E-2</c:v>
                </c:pt>
                <c:pt idx="6">
                  <c:v>-1.5243140099543966</c:v>
                </c:pt>
                <c:pt idx="7">
                  <c:v>-1.1344379602635584</c:v>
                </c:pt>
                <c:pt idx="8">
                  <c:v>-0.83705571518161315</c:v>
                </c:pt>
                <c:pt idx="9">
                  <c:v>2.6721019969415645</c:v>
                </c:pt>
                <c:pt idx="10">
                  <c:v>-0.15587572530949298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4-49BA-8990-8BB505B8214C}"/>
            </c:ext>
          </c:extLst>
        </c:ser>
        <c:ser>
          <c:idx val="1"/>
          <c:order val="1"/>
          <c:tx>
            <c:strRef>
              <c:f>'Итоги метод полных связей'!$A$3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связей'!$B$3:$L$3</c:f>
              <c:numCache>
                <c:formatCode>General</c:formatCode>
                <c:ptCount val="11"/>
                <c:pt idx="0">
                  <c:v>-0.43398694567505031</c:v>
                </c:pt>
                <c:pt idx="1">
                  <c:v>-0.34071573052145881</c:v>
                </c:pt>
                <c:pt idx="2">
                  <c:v>-0.90381174760723626</c:v>
                </c:pt>
                <c:pt idx="3">
                  <c:v>-1.9824765502874486</c:v>
                </c:pt>
                <c:pt idx="4">
                  <c:v>-0.74899927129233945</c:v>
                </c:pt>
                <c:pt idx="5">
                  <c:v>1.4987161048862845</c:v>
                </c:pt>
                <c:pt idx="6">
                  <c:v>3.2205839650382497</c:v>
                </c:pt>
                <c:pt idx="7">
                  <c:v>-1.0986976983575525</c:v>
                </c:pt>
                <c:pt idx="8">
                  <c:v>-1.2938709798018824</c:v>
                </c:pt>
                <c:pt idx="9">
                  <c:v>1.2527131333823336</c:v>
                </c:pt>
                <c:pt idx="10">
                  <c:v>-0.87725442141811916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4-49BA-8990-8BB505B8214C}"/>
            </c:ext>
          </c:extLst>
        </c:ser>
        <c:ser>
          <c:idx val="2"/>
          <c:order val="2"/>
          <c:tx>
            <c:strRef>
              <c:f>'Итоги метод полных связей'!$A$4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связей'!$B$4:$L$4</c:f>
              <c:numCache>
                <c:formatCode>General</c:formatCode>
                <c:ptCount val="11"/>
                <c:pt idx="0">
                  <c:v>5.7462770269576238</c:v>
                </c:pt>
                <c:pt idx="1">
                  <c:v>5.9049781269580119</c:v>
                </c:pt>
                <c:pt idx="2">
                  <c:v>1.6296869343920357</c:v>
                </c:pt>
                <c:pt idx="3">
                  <c:v>1.9311908677562943</c:v>
                </c:pt>
                <c:pt idx="4">
                  <c:v>-0.2080774870031652</c:v>
                </c:pt>
                <c:pt idx="5">
                  <c:v>0.55459797346785666</c:v>
                </c:pt>
                <c:pt idx="6">
                  <c:v>-0.65648515448619627</c:v>
                </c:pt>
                <c:pt idx="7">
                  <c:v>-2.0636847698196972</c:v>
                </c:pt>
                <c:pt idx="8">
                  <c:v>-0.42314784923426446</c:v>
                </c:pt>
                <c:pt idx="9">
                  <c:v>0.73658747277901915</c:v>
                </c:pt>
                <c:pt idx="10">
                  <c:v>-0.45731752806434312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4-49BA-8990-8BB505B8214C}"/>
            </c:ext>
          </c:extLst>
        </c:ser>
        <c:ser>
          <c:idx val="3"/>
          <c:order val="3"/>
          <c:tx>
            <c:strRef>
              <c:f>'Итоги метод полных связей'!$A$5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связей'!$B$5:$L$5</c:f>
              <c:numCache>
                <c:formatCode>General</c:formatCode>
                <c:ptCount val="11"/>
                <c:pt idx="0">
                  <c:v>-0.24802599991530225</c:v>
                </c:pt>
                <c:pt idx="1">
                  <c:v>-0.24918631315119311</c:v>
                </c:pt>
                <c:pt idx="2">
                  <c:v>-7.2625180182090979E-2</c:v>
                </c:pt>
                <c:pt idx="3">
                  <c:v>-0.20213325778162802</c:v>
                </c:pt>
                <c:pt idx="4">
                  <c:v>-7.4791979664567965E-2</c:v>
                </c:pt>
                <c:pt idx="5">
                  <c:v>-3.9771302296632595E-2</c:v>
                </c:pt>
                <c:pt idx="6">
                  <c:v>-6.8477001175736449E-2</c:v>
                </c:pt>
                <c:pt idx="7">
                  <c:v>0.34710758405881953</c:v>
                </c:pt>
                <c:pt idx="8">
                  <c:v>9.4413035476600835E-2</c:v>
                </c:pt>
                <c:pt idx="9">
                  <c:v>-0.23605899715684059</c:v>
                </c:pt>
                <c:pt idx="10">
                  <c:v>8.9598573623663275E-2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4-49BA-8990-8BB505B8214C}"/>
            </c:ext>
          </c:extLst>
        </c:ser>
        <c:ser>
          <c:idx val="4"/>
          <c:order val="4"/>
          <c:tx>
            <c:strRef>
              <c:f>'Итоги метод полных связей'!$A$6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связей'!$B$6:$L$6</c:f>
              <c:numCache>
                <c:formatCode>General</c:formatCode>
                <c:ptCount val="11"/>
                <c:pt idx="0">
                  <c:v>0.63567899466192701</c:v>
                </c:pt>
                <c:pt idx="1">
                  <c:v>0.48388362531898244</c:v>
                </c:pt>
                <c:pt idx="2">
                  <c:v>8.9595156963792277E-2</c:v>
                </c:pt>
                <c:pt idx="3">
                  <c:v>1.3112039500463941</c:v>
                </c:pt>
                <c:pt idx="4">
                  <c:v>-0.54910533273268536</c:v>
                </c:pt>
                <c:pt idx="5">
                  <c:v>0.65701341569923744</c:v>
                </c:pt>
                <c:pt idx="6">
                  <c:v>0.64311021722780104</c:v>
                </c:pt>
                <c:pt idx="7">
                  <c:v>-0.61263013643588005</c:v>
                </c:pt>
                <c:pt idx="8">
                  <c:v>0.51755931274370626</c:v>
                </c:pt>
                <c:pt idx="9">
                  <c:v>1.3616697444510479</c:v>
                </c:pt>
                <c:pt idx="10">
                  <c:v>0.5962432773138332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4-49BA-8990-8BB505B8214C}"/>
            </c:ext>
          </c:extLst>
        </c:ser>
        <c:ser>
          <c:idx val="5"/>
          <c:order val="5"/>
          <c:tx>
            <c:strRef>
              <c:f>'Итоги метод полных связей'!$A$7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связей'!$B$7:$L$7</c:f>
              <c:numCache>
                <c:formatCode>General</c:formatCode>
                <c:ptCount val="11"/>
                <c:pt idx="0">
                  <c:v>-0.38042867000129604</c:v>
                </c:pt>
                <c:pt idx="1">
                  <c:v>-0.22408185564087232</c:v>
                </c:pt>
                <c:pt idx="2">
                  <c:v>-0.69832848300121564</c:v>
                </c:pt>
                <c:pt idx="3">
                  <c:v>-0.62948426632678212</c:v>
                </c:pt>
                <c:pt idx="4">
                  <c:v>1.7179457641065679</c:v>
                </c:pt>
                <c:pt idx="5">
                  <c:v>-1.3601503687919714</c:v>
                </c:pt>
                <c:pt idx="6">
                  <c:v>-0.94207628469677041</c:v>
                </c:pt>
                <c:pt idx="7">
                  <c:v>-1.4382301864646037</c:v>
                </c:pt>
                <c:pt idx="8">
                  <c:v>-1.1578223374475971</c:v>
                </c:pt>
                <c:pt idx="9">
                  <c:v>-0.85993747262282971</c:v>
                </c:pt>
                <c:pt idx="10">
                  <c:v>-1.4786203101296636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F4-49BA-8990-8BB505B8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06912"/>
        <c:axId val="2136905248"/>
      </c:lineChart>
      <c:catAx>
        <c:axId val="21369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905248"/>
        <c:crosses val="autoZero"/>
        <c:auto val="1"/>
        <c:lblAlgn val="ctr"/>
        <c:lblOffset val="100"/>
        <c:noMultiLvlLbl val="0"/>
      </c:catAx>
      <c:valAx>
        <c:axId val="21369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9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Уорда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'Итоги метод Уорда'!$A$2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Уорда'!$B$2:$L$2</c:f>
              <c:numCache>
                <c:formatCode>General</c:formatCode>
                <c:ptCount val="11"/>
                <c:pt idx="0">
                  <c:v>-0.2882303138900717</c:v>
                </c:pt>
                <c:pt idx="1">
                  <c:v>-0.2818097115365224</c:v>
                </c:pt>
                <c:pt idx="2">
                  <c:v>0.10766268787806314</c:v>
                </c:pt>
                <c:pt idx="3">
                  <c:v>-0.2490377486411616</c:v>
                </c:pt>
                <c:pt idx="4">
                  <c:v>-5.7197391298242486E-2</c:v>
                </c:pt>
                <c:pt idx="5">
                  <c:v>-0.40451885107255148</c:v>
                </c:pt>
                <c:pt idx="6">
                  <c:v>-0.55252957437133077</c:v>
                </c:pt>
                <c:pt idx="7">
                  <c:v>0.62333310256815933</c:v>
                </c:pt>
                <c:pt idx="8">
                  <c:v>-0.17714826589796456</c:v>
                </c:pt>
                <c:pt idx="9">
                  <c:v>-0.30118201856683408</c:v>
                </c:pt>
                <c:pt idx="10">
                  <c:v>0.54568070814663983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DB-494E-9288-D751C51F7AE8}"/>
            </c:ext>
          </c:extLst>
        </c:ser>
        <c:ser>
          <c:idx val="1"/>
          <c:order val="1"/>
          <c:tx>
            <c:strRef>
              <c:f>'Итоги метод Уорда'!$A$3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Уорда'!$B$3:$L$3</c:f>
              <c:numCache>
                <c:formatCode>General</c:formatCode>
                <c:ptCount val="11"/>
                <c:pt idx="0">
                  <c:v>-0.13866974947869487</c:v>
                </c:pt>
                <c:pt idx="1">
                  <c:v>-8.7616425991093441E-2</c:v>
                </c:pt>
                <c:pt idx="2">
                  <c:v>-4.1968954211100877E-3</c:v>
                </c:pt>
                <c:pt idx="3">
                  <c:v>0.10305980013402218</c:v>
                </c:pt>
                <c:pt idx="4">
                  <c:v>2.44148476507221</c:v>
                </c:pt>
                <c:pt idx="5">
                  <c:v>-5.1317187265946682E-2</c:v>
                </c:pt>
                <c:pt idx="6">
                  <c:v>-0.24867507214044934</c:v>
                </c:pt>
                <c:pt idx="7">
                  <c:v>-0.12860487519455074</c:v>
                </c:pt>
                <c:pt idx="8">
                  <c:v>0.3533618420290523</c:v>
                </c:pt>
                <c:pt idx="9">
                  <c:v>-0.15470613193372171</c:v>
                </c:pt>
                <c:pt idx="10">
                  <c:v>-0.98535120262585962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DB-494E-9288-D751C51F7AE8}"/>
            </c:ext>
          </c:extLst>
        </c:ser>
        <c:ser>
          <c:idx val="2"/>
          <c:order val="2"/>
          <c:tx>
            <c:strRef>
              <c:f>'Итоги метод Уорда'!$A$4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Уорда'!$B$4:$L$4</c:f>
              <c:numCache>
                <c:formatCode>General</c:formatCode>
                <c:ptCount val="11"/>
                <c:pt idx="0">
                  <c:v>-0.28208372380800262</c:v>
                </c:pt>
                <c:pt idx="1">
                  <c:v>-0.24985521799464858</c:v>
                </c:pt>
                <c:pt idx="2">
                  <c:v>-0.55170491894454432</c:v>
                </c:pt>
                <c:pt idx="3">
                  <c:v>-0.67469164574312879</c:v>
                </c:pt>
                <c:pt idx="4">
                  <c:v>-0.36037763066766371</c:v>
                </c:pt>
                <c:pt idx="5">
                  <c:v>0.93997349718396561</c:v>
                </c:pt>
                <c:pt idx="6">
                  <c:v>1.3045635790261969</c:v>
                </c:pt>
                <c:pt idx="7">
                  <c:v>0.16889025724210335</c:v>
                </c:pt>
                <c:pt idx="8">
                  <c:v>-0.13739903162118508</c:v>
                </c:pt>
                <c:pt idx="9">
                  <c:v>-0.26483966334988379</c:v>
                </c:pt>
                <c:pt idx="10">
                  <c:v>-0.25736397227964808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DB-494E-9288-D751C51F7AE8}"/>
            </c:ext>
          </c:extLst>
        </c:ser>
        <c:ser>
          <c:idx val="3"/>
          <c:order val="3"/>
          <c:tx>
            <c:strRef>
              <c:f>'Итоги метод Уорда'!$A$5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Уорда'!$B$5:$L$5</c:f>
              <c:numCache>
                <c:formatCode>General</c:formatCode>
                <c:ptCount val="11"/>
                <c:pt idx="0">
                  <c:v>-7.8741928492249508E-2</c:v>
                </c:pt>
                <c:pt idx="1">
                  <c:v>-3.0087386700612478E-2</c:v>
                </c:pt>
                <c:pt idx="2">
                  <c:v>-0.69286579106920554</c:v>
                </c:pt>
                <c:pt idx="3">
                  <c:v>-0.3336988410026841</c:v>
                </c:pt>
                <c:pt idx="4">
                  <c:v>-0.35873015315206219</c:v>
                </c:pt>
                <c:pt idx="5">
                  <c:v>-1.1326919503901951</c:v>
                </c:pt>
                <c:pt idx="6">
                  <c:v>-0.46247493704297238</c:v>
                </c:pt>
                <c:pt idx="7">
                  <c:v>-1.7849107269528552</c:v>
                </c:pt>
                <c:pt idx="8">
                  <c:v>-1.1184179136620074</c:v>
                </c:pt>
                <c:pt idx="9">
                  <c:v>3.4195661673337166E-2</c:v>
                </c:pt>
                <c:pt idx="10">
                  <c:v>-1.4388637169658054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DB-494E-9288-D751C51F7AE8}"/>
            </c:ext>
          </c:extLst>
        </c:ser>
        <c:ser>
          <c:idx val="4"/>
          <c:order val="4"/>
          <c:tx>
            <c:strRef>
              <c:f>'Итоги метод Уорда'!$A$6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Уорда'!$B$6:$L$6</c:f>
              <c:numCache>
                <c:formatCode>General</c:formatCode>
                <c:ptCount val="11"/>
                <c:pt idx="0">
                  <c:v>0.16667904632045943</c:v>
                </c:pt>
                <c:pt idx="1">
                  <c:v>4.8631012717298035E-2</c:v>
                </c:pt>
                <c:pt idx="2">
                  <c:v>0.11359334750554355</c:v>
                </c:pt>
                <c:pt idx="3">
                  <c:v>0.78752014731165354</c:v>
                </c:pt>
                <c:pt idx="4">
                  <c:v>-0.45164573146660941</c:v>
                </c:pt>
                <c:pt idx="5">
                  <c:v>0.57629177937805398</c:v>
                </c:pt>
                <c:pt idx="6">
                  <c:v>0.4628106743059166</c:v>
                </c:pt>
                <c:pt idx="7">
                  <c:v>5.3400156024266537E-2</c:v>
                </c:pt>
                <c:pt idx="8">
                  <c:v>1.0765221120598523</c:v>
                </c:pt>
                <c:pt idx="9">
                  <c:v>0.61807711336804894</c:v>
                </c:pt>
                <c:pt idx="10">
                  <c:v>0.48291779910783733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DB-494E-9288-D751C51F7AE8}"/>
            </c:ext>
          </c:extLst>
        </c:ser>
        <c:ser>
          <c:idx val="5"/>
          <c:order val="5"/>
          <c:tx>
            <c:strRef>
              <c:f>'Итоги метод Уорда'!$A$7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Уорда'!$B$7:$L$7</c:f>
              <c:numCache>
                <c:formatCode>General</c:formatCode>
                <c:ptCount val="11"/>
                <c:pt idx="0">
                  <c:v>4.2224733197726509</c:v>
                </c:pt>
                <c:pt idx="1">
                  <c:v>4.378336794458229</c:v>
                </c:pt>
                <c:pt idx="2">
                  <c:v>3.2498847850792014</c:v>
                </c:pt>
                <c:pt idx="3">
                  <c:v>2.522115898698543</c:v>
                </c:pt>
                <c:pt idx="4">
                  <c:v>0.48935466126815591</c:v>
                </c:pt>
                <c:pt idx="5">
                  <c:v>0.37956639765712774</c:v>
                </c:pt>
                <c:pt idx="6">
                  <c:v>-0.945761439642263</c:v>
                </c:pt>
                <c:pt idx="7">
                  <c:v>-1.753935833300984</c:v>
                </c:pt>
                <c:pt idx="8">
                  <c:v>-0.56111713788338069</c:v>
                </c:pt>
                <c:pt idx="9">
                  <c:v>1.3817589808332009</c:v>
                </c:pt>
                <c:pt idx="10">
                  <c:v>-0.35683692714605969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DB-494E-9288-D751C51F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3584"/>
        <c:axId val="193713168"/>
      </c:lineChart>
      <c:catAx>
        <c:axId val="1937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168"/>
        <c:crosses val="autoZero"/>
        <c:auto val="1"/>
        <c:lblAlgn val="ctr"/>
        <c:lblOffset val="100"/>
        <c:noMultiLvlLbl val="0"/>
      </c:catAx>
      <c:valAx>
        <c:axId val="193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Нейросеть (Кохонен)</a:t>
            </a:r>
            <a:r>
              <a:rPr lang="en-US" sz="2000"/>
              <a:t> 2019</a:t>
            </a:r>
            <a:endParaRPr lang="ru-RU" sz="2000"/>
          </a:p>
        </c:rich>
      </c:tx>
      <c:layout>
        <c:manualLayout>
          <c:xMode val="edge"/>
          <c:yMode val="edge"/>
          <c:x val="0.43975181338868874"/>
          <c:y val="3.133628862140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(Кохонен)'!$C$2:$M$2</c:f>
              <c:numCache>
                <c:formatCode>General</c:formatCode>
                <c:ptCount val="11"/>
                <c:pt idx="0">
                  <c:v>3.6616042576521353</c:v>
                </c:pt>
                <c:pt idx="1">
                  <c:v>3.6290894912189322</c:v>
                </c:pt>
                <c:pt idx="2">
                  <c:v>2.2819479360385011</c:v>
                </c:pt>
                <c:pt idx="3">
                  <c:v>2.4155556472171531</c:v>
                </c:pt>
                <c:pt idx="4">
                  <c:v>0.33696299107501293</c:v>
                </c:pt>
                <c:pt idx="5">
                  <c:v>0.30287994154228742</c:v>
                </c:pt>
                <c:pt idx="6">
                  <c:v>-0.58147370034787449</c:v>
                </c:pt>
                <c:pt idx="7">
                  <c:v>-1.8760483948131692</c:v>
                </c:pt>
                <c:pt idx="8">
                  <c:v>-0.66509617511165031</c:v>
                </c:pt>
                <c:pt idx="9">
                  <c:v>1.3093326088785671</c:v>
                </c:pt>
                <c:pt idx="10">
                  <c:v>-0.60297501591356273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5B-433F-89A5-8549A9F2E92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(Кохонен)'!$C$3:$M$3</c:f>
              <c:numCache>
                <c:formatCode>General</c:formatCode>
                <c:ptCount val="11"/>
                <c:pt idx="0">
                  <c:v>-0.33501050521811049</c:v>
                </c:pt>
                <c:pt idx="1">
                  <c:v>-0.22506757648287223</c:v>
                </c:pt>
                <c:pt idx="2">
                  <c:v>-0.63669284726232456</c:v>
                </c:pt>
                <c:pt idx="3">
                  <c:v>-0.80062648840295203</c:v>
                </c:pt>
                <c:pt idx="4">
                  <c:v>-0.36046915719630829</c:v>
                </c:pt>
                <c:pt idx="5">
                  <c:v>-0.71774863476391548</c:v>
                </c:pt>
                <c:pt idx="6">
                  <c:v>0.32272734024190397</c:v>
                </c:pt>
                <c:pt idx="7">
                  <c:v>-1.5156674205942817</c:v>
                </c:pt>
                <c:pt idx="8">
                  <c:v>-1.1306877569595397</c:v>
                </c:pt>
                <c:pt idx="9">
                  <c:v>0.11433392797362352</c:v>
                </c:pt>
                <c:pt idx="10">
                  <c:v>-1.3311996561651143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5B-433F-89A5-8549A9F2E92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(Кохонен)'!$C$4:$M$4</c:f>
              <c:numCache>
                <c:formatCode>General</c:formatCode>
                <c:ptCount val="11"/>
                <c:pt idx="0">
                  <c:v>-8.7506220760223144E-2</c:v>
                </c:pt>
                <c:pt idx="1">
                  <c:v>-5.2748112704460136E-2</c:v>
                </c:pt>
                <c:pt idx="2">
                  <c:v>-0.4150586482959206</c:v>
                </c:pt>
                <c:pt idx="3">
                  <c:v>9.2219255069898198E-2</c:v>
                </c:pt>
                <c:pt idx="4">
                  <c:v>-0.36931672163194623</c:v>
                </c:pt>
                <c:pt idx="5">
                  <c:v>1.2368839192622478</c:v>
                </c:pt>
                <c:pt idx="6">
                  <c:v>1.171102214940561</c:v>
                </c:pt>
                <c:pt idx="7">
                  <c:v>-1.755477570089117E-2</c:v>
                </c:pt>
                <c:pt idx="8">
                  <c:v>0.54230316315052884</c:v>
                </c:pt>
                <c:pt idx="9">
                  <c:v>0.22281799823202775</c:v>
                </c:pt>
                <c:pt idx="10">
                  <c:v>-0.3527536552292701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5B-433F-89A5-8549A9F2E92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(Кохонен)'!$C$5:$M$5</c:f>
              <c:numCache>
                <c:formatCode>General</c:formatCode>
                <c:ptCount val="11"/>
                <c:pt idx="0">
                  <c:v>0.14592667617592106</c:v>
                </c:pt>
                <c:pt idx="1">
                  <c:v>-1.5677141350052083E-2</c:v>
                </c:pt>
                <c:pt idx="2">
                  <c:v>4.7409633094029451E-2</c:v>
                </c:pt>
                <c:pt idx="3">
                  <c:v>0.73220174444472097</c:v>
                </c:pt>
                <c:pt idx="4">
                  <c:v>-5.7692359937998448E-2</c:v>
                </c:pt>
                <c:pt idx="5">
                  <c:v>0.19919769797926151</c:v>
                </c:pt>
                <c:pt idx="6">
                  <c:v>8.7373950819494492E-2</c:v>
                </c:pt>
                <c:pt idx="7">
                  <c:v>0.10272495186739607</c:v>
                </c:pt>
                <c:pt idx="8">
                  <c:v>1.5715950065855215</c:v>
                </c:pt>
                <c:pt idx="9">
                  <c:v>0.54213556165855303</c:v>
                </c:pt>
                <c:pt idx="10">
                  <c:v>0.50577654612772438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5B-433F-89A5-8549A9F2E92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(Кохонен)'!$C$6:$M$6</c:f>
              <c:numCache>
                <c:formatCode>General</c:formatCode>
                <c:ptCount val="11"/>
                <c:pt idx="0">
                  <c:v>-0.26646987136708866</c:v>
                </c:pt>
                <c:pt idx="1">
                  <c:v>-0.26698052576089115</c:v>
                </c:pt>
                <c:pt idx="2">
                  <c:v>7.9233563135759438E-2</c:v>
                </c:pt>
                <c:pt idx="3">
                  <c:v>-0.26782523099600708</c:v>
                </c:pt>
                <c:pt idx="4">
                  <c:v>-0.11458313799277746</c:v>
                </c:pt>
                <c:pt idx="5">
                  <c:v>-0.21618068903823481</c:v>
                </c:pt>
                <c:pt idx="6">
                  <c:v>-0.36210183754494857</c:v>
                </c:pt>
                <c:pt idx="7">
                  <c:v>0.6070063011065524</c:v>
                </c:pt>
                <c:pt idx="8">
                  <c:v>-0.21029712699084974</c:v>
                </c:pt>
                <c:pt idx="9">
                  <c:v>-0.33986511340082132</c:v>
                </c:pt>
                <c:pt idx="10">
                  <c:v>0.51372641189065993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5B-433F-89A5-8549A9F2E923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(Кохонен)'!$C$7:$M$7</c:f>
              <c:numCache>
                <c:formatCode>General</c:formatCode>
                <c:ptCount val="11"/>
                <c:pt idx="0">
                  <c:v>-0.20361706361799173</c:v>
                </c:pt>
                <c:pt idx="1">
                  <c:v>-7.4886456660353179E-2</c:v>
                </c:pt>
                <c:pt idx="2">
                  <c:v>-7.3110388276971638E-2</c:v>
                </c:pt>
                <c:pt idx="3">
                  <c:v>8.262693296682555E-3</c:v>
                </c:pt>
                <c:pt idx="4">
                  <c:v>3.1857261951360196</c:v>
                </c:pt>
                <c:pt idx="5">
                  <c:v>-0.3458714230875336</c:v>
                </c:pt>
                <c:pt idx="6">
                  <c:v>-0.56296192991340011</c:v>
                </c:pt>
                <c:pt idx="7">
                  <c:v>7.1795879064122103E-2</c:v>
                </c:pt>
                <c:pt idx="8">
                  <c:v>-0.57446254495575733</c:v>
                </c:pt>
                <c:pt idx="9">
                  <c:v>-0.68407782887761315</c:v>
                </c:pt>
                <c:pt idx="10">
                  <c:v>-1.1262029437248935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5B-433F-89A5-8549A9F2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3584"/>
        <c:axId val="193713168"/>
      </c:lineChart>
      <c:catAx>
        <c:axId val="1937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168"/>
        <c:crosses val="autoZero"/>
        <c:auto val="1"/>
        <c:lblAlgn val="ctr"/>
        <c:lblOffset val="100"/>
        <c:noMultiLvlLbl val="0"/>
      </c:catAx>
      <c:valAx>
        <c:axId val="19371316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68859686337033"/>
          <c:y val="0.83076925057200535"/>
          <c:w val="0.28790048955574937"/>
          <c:h val="0.13802247674328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взвешенной средней связи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'Итоги метод ср взв'!$A$2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взв'!$B$2:$L$2</c:f>
              <c:numCache>
                <c:formatCode>General</c:formatCode>
                <c:ptCount val="11"/>
                <c:pt idx="0">
                  <c:v>1.1748659054027062</c:v>
                </c:pt>
                <c:pt idx="1">
                  <c:v>1.3250541294586633</c:v>
                </c:pt>
                <c:pt idx="2">
                  <c:v>6.4902804864535319</c:v>
                </c:pt>
                <c:pt idx="3">
                  <c:v>3.7039659605830395</c:v>
                </c:pt>
                <c:pt idx="4">
                  <c:v>1.8842189578107982</c:v>
                </c:pt>
                <c:pt idx="5">
                  <c:v>2.9503246035669856E-2</c:v>
                </c:pt>
                <c:pt idx="6">
                  <c:v>-1.5243140099543966</c:v>
                </c:pt>
                <c:pt idx="7">
                  <c:v>-1.1344379602635584</c:v>
                </c:pt>
                <c:pt idx="8">
                  <c:v>-0.83705571518161315</c:v>
                </c:pt>
                <c:pt idx="9">
                  <c:v>2.6721019969415645</c:v>
                </c:pt>
                <c:pt idx="10">
                  <c:v>-0.15587572530949298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8-41F7-B70F-1512BF41754F}"/>
            </c:ext>
          </c:extLst>
        </c:ser>
        <c:ser>
          <c:idx val="1"/>
          <c:order val="1"/>
          <c:tx>
            <c:strRef>
              <c:f>'Итоги метод ср взв'!$A$3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взв'!$B$3:$L$3</c:f>
              <c:numCache>
                <c:formatCode>General</c:formatCode>
                <c:ptCount val="11"/>
                <c:pt idx="0">
                  <c:v>-0.49586085164208815</c:v>
                </c:pt>
                <c:pt idx="1">
                  <c:v>-0.37468514609178732</c:v>
                </c:pt>
                <c:pt idx="2">
                  <c:v>-1.2324468896143668</c:v>
                </c:pt>
                <c:pt idx="3">
                  <c:v>-0.82323017811112553</c:v>
                </c:pt>
                <c:pt idx="4">
                  <c:v>1.8908304035269979E-2</c:v>
                </c:pt>
                <c:pt idx="5">
                  <c:v>-2.437560763386617</c:v>
                </c:pt>
                <c:pt idx="6">
                  <c:v>-1.2599856167926518</c:v>
                </c:pt>
                <c:pt idx="7">
                  <c:v>-3.0048450000111711</c:v>
                </c:pt>
                <c:pt idx="8">
                  <c:v>-1.4101273224894884</c:v>
                </c:pt>
                <c:pt idx="9">
                  <c:v>-0.98077694711248731</c:v>
                </c:pt>
                <c:pt idx="10">
                  <c:v>-1.9893902750135775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1F7-B70F-1512BF41754F}"/>
            </c:ext>
          </c:extLst>
        </c:ser>
        <c:ser>
          <c:idx val="2"/>
          <c:order val="2"/>
          <c:tx>
            <c:strRef>
              <c:f>'Итоги метод ср взв'!$A$4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взв'!$B$4:$L$4</c:f>
              <c:numCache>
                <c:formatCode>General</c:formatCode>
                <c:ptCount val="11"/>
                <c:pt idx="0">
                  <c:v>-0.43398694567505031</c:v>
                </c:pt>
                <c:pt idx="1">
                  <c:v>-0.34071573052145881</c:v>
                </c:pt>
                <c:pt idx="2">
                  <c:v>-0.90381174760723626</c:v>
                </c:pt>
                <c:pt idx="3">
                  <c:v>-1.9824765502874486</c:v>
                </c:pt>
                <c:pt idx="4">
                  <c:v>-0.74899927129233945</c:v>
                </c:pt>
                <c:pt idx="5">
                  <c:v>1.4987161048862845</c:v>
                </c:pt>
                <c:pt idx="6">
                  <c:v>3.2205839650382497</c:v>
                </c:pt>
                <c:pt idx="7">
                  <c:v>-1.0986976983575525</c:v>
                </c:pt>
                <c:pt idx="8">
                  <c:v>-1.2938709798018824</c:v>
                </c:pt>
                <c:pt idx="9">
                  <c:v>1.2527131333823336</c:v>
                </c:pt>
                <c:pt idx="10">
                  <c:v>-0.87725442141811916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8-41F7-B70F-1512BF41754F}"/>
            </c:ext>
          </c:extLst>
        </c:ser>
        <c:ser>
          <c:idx val="3"/>
          <c:order val="3"/>
          <c:tx>
            <c:strRef>
              <c:f>'Итоги метод ср взв'!$A$5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взв'!$B$5:$L$5</c:f>
              <c:numCache>
                <c:formatCode>General</c:formatCode>
                <c:ptCount val="11"/>
                <c:pt idx="0">
                  <c:v>0.54188864880776777</c:v>
                </c:pt>
                <c:pt idx="1">
                  <c:v>1.7927261798593941E-2</c:v>
                </c:pt>
                <c:pt idx="2">
                  <c:v>2.390711893678843E-3</c:v>
                </c:pt>
                <c:pt idx="3">
                  <c:v>1.6502592956689961</c:v>
                </c:pt>
                <c:pt idx="4">
                  <c:v>0.44450666223233604</c:v>
                </c:pt>
                <c:pt idx="5">
                  <c:v>-1.8000722425666069E-2</c:v>
                </c:pt>
                <c:pt idx="6">
                  <c:v>-6.2947173545920693E-2</c:v>
                </c:pt>
                <c:pt idx="7">
                  <c:v>-0.74129507929749949</c:v>
                </c:pt>
                <c:pt idx="8">
                  <c:v>2.3130559214379387</c:v>
                </c:pt>
                <c:pt idx="9">
                  <c:v>2.8293681707528116</c:v>
                </c:pt>
                <c:pt idx="10">
                  <c:v>2.4879962397070816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8-41F7-B70F-1512BF41754F}"/>
            </c:ext>
          </c:extLst>
        </c:ser>
        <c:ser>
          <c:idx val="4"/>
          <c:order val="4"/>
          <c:tx>
            <c:strRef>
              <c:f>'Итоги метод ср взв'!$A$6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взв'!$B$6:$L$6</c:f>
              <c:numCache>
                <c:formatCode>General</c:formatCode>
                <c:ptCount val="11"/>
                <c:pt idx="0">
                  <c:v>-0.15194187747542828</c:v>
                </c:pt>
                <c:pt idx="1">
                  <c:v>-0.15153837343538121</c:v>
                </c:pt>
                <c:pt idx="2">
                  <c:v>-5.6659621532899343E-2</c:v>
                </c:pt>
                <c:pt idx="3">
                  <c:v>-5.9096302033674192E-2</c:v>
                </c:pt>
                <c:pt idx="4">
                  <c:v>-1.2210715703870299E-2</c:v>
                </c:pt>
                <c:pt idx="5">
                  <c:v>4.2834031096896527E-2</c:v>
                </c:pt>
                <c:pt idx="6">
                  <c:v>4.0262344842673693E-3</c:v>
                </c:pt>
                <c:pt idx="7">
                  <c:v>0.23941770740328716</c:v>
                </c:pt>
                <c:pt idx="8">
                  <c:v>5.1671513304620303E-2</c:v>
                </c:pt>
                <c:pt idx="9">
                  <c:v>-0.12489478279243281</c:v>
                </c:pt>
                <c:pt idx="10">
                  <c:v>5.0895972932018224E-2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8-41F7-B70F-1512BF41754F}"/>
            </c:ext>
          </c:extLst>
        </c:ser>
        <c:ser>
          <c:idx val="5"/>
          <c:order val="5"/>
          <c:tx>
            <c:strRef>
              <c:f>'Итоги метод ср взв'!$A$7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метод ср взв'!$B$1:$L$1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ср взв'!$B$7:$L$7</c:f>
              <c:numCache>
                <c:formatCode>General</c:formatCode>
                <c:ptCount val="11"/>
                <c:pt idx="0">
                  <c:v>5.7462770269576238</c:v>
                </c:pt>
                <c:pt idx="1">
                  <c:v>5.9049781269580119</c:v>
                </c:pt>
                <c:pt idx="2">
                  <c:v>1.6296869343920357</c:v>
                </c:pt>
                <c:pt idx="3">
                  <c:v>1.9311908677562943</c:v>
                </c:pt>
                <c:pt idx="4">
                  <c:v>-0.2080774870031652</c:v>
                </c:pt>
                <c:pt idx="5">
                  <c:v>0.55459797346785666</c:v>
                </c:pt>
                <c:pt idx="6">
                  <c:v>-0.65648515448619627</c:v>
                </c:pt>
                <c:pt idx="7">
                  <c:v>-2.0636847698196972</c:v>
                </c:pt>
                <c:pt idx="8">
                  <c:v>-0.42314784923426446</c:v>
                </c:pt>
                <c:pt idx="9">
                  <c:v>0.73658747277901915</c:v>
                </c:pt>
                <c:pt idx="10">
                  <c:v>-0.45731752806434312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8-41F7-B70F-1512BF41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18048"/>
        <c:axId val="2136418464"/>
      </c:lineChart>
      <c:catAx>
        <c:axId val="2136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418464"/>
        <c:crosses val="autoZero"/>
        <c:auto val="1"/>
        <c:lblAlgn val="ctr"/>
        <c:lblOffset val="100"/>
        <c:noMultiLvlLbl val="0"/>
      </c:catAx>
      <c:valAx>
        <c:axId val="21364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4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Нейросеть (Кохонен)</a:t>
            </a:r>
            <a:r>
              <a:rPr lang="en-US" sz="2000"/>
              <a:t> 2020</a:t>
            </a:r>
          </a:p>
        </c:rich>
      </c:tx>
      <c:layout>
        <c:manualLayout>
          <c:xMode val="edge"/>
          <c:yMode val="edge"/>
          <c:x val="0.40787947506561684"/>
          <c:y val="5.8790690582764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3077465316835396E-2"/>
          <c:y val="6.4125200117620157E-2"/>
          <c:w val="0.9532187476565428"/>
          <c:h val="0.88756254015965841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(Кохонен)'!$C$25:$M$25</c:f>
              <c:numCache>
                <c:formatCode>General</c:formatCode>
                <c:ptCount val="11"/>
                <c:pt idx="0">
                  <c:v>4.2224733197726509</c:v>
                </c:pt>
                <c:pt idx="1">
                  <c:v>4.378336794458229</c:v>
                </c:pt>
                <c:pt idx="2">
                  <c:v>3.2498847850792014</c:v>
                </c:pt>
                <c:pt idx="3">
                  <c:v>2.522115898698543</c:v>
                </c:pt>
                <c:pt idx="4">
                  <c:v>0.48935466126815591</c:v>
                </c:pt>
                <c:pt idx="5">
                  <c:v>0.37956639765712774</c:v>
                </c:pt>
                <c:pt idx="6">
                  <c:v>-0.945761439642263</c:v>
                </c:pt>
                <c:pt idx="7">
                  <c:v>-1.753935833300984</c:v>
                </c:pt>
                <c:pt idx="8">
                  <c:v>-0.56111713788338069</c:v>
                </c:pt>
                <c:pt idx="9">
                  <c:v>1.3817589808332009</c:v>
                </c:pt>
                <c:pt idx="10">
                  <c:v>-0.35683692714605969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F-4387-8E76-D6AAFE65A574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(Кохонен)'!$C$26:$M$26</c:f>
              <c:numCache>
                <c:formatCode>General</c:formatCode>
                <c:ptCount val="11"/>
                <c:pt idx="0">
                  <c:v>-0.14160124926266521</c:v>
                </c:pt>
                <c:pt idx="1">
                  <c:v>-8.1691092092695705E-2</c:v>
                </c:pt>
                <c:pt idx="2">
                  <c:v>-0.57702107463825558</c:v>
                </c:pt>
                <c:pt idx="3">
                  <c:v>-0.57930904301852881</c:v>
                </c:pt>
                <c:pt idx="4">
                  <c:v>-0.17414226638265479</c:v>
                </c:pt>
                <c:pt idx="5">
                  <c:v>-0.53395658378187039</c:v>
                </c:pt>
                <c:pt idx="6">
                  <c:v>0.18670391428232452</c:v>
                </c:pt>
                <c:pt idx="7">
                  <c:v>-1.513834586650384</c:v>
                </c:pt>
                <c:pt idx="8">
                  <c:v>-0.98888130099969507</c:v>
                </c:pt>
                <c:pt idx="9">
                  <c:v>0.12255495676457709</c:v>
                </c:pt>
                <c:pt idx="10">
                  <c:v>-1.2203871011967364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F-4387-8E76-D6AAFE65A574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(Кохонен)'!$C$27:$M$27</c:f>
              <c:numCache>
                <c:formatCode>General</c:formatCode>
                <c:ptCount val="11"/>
                <c:pt idx="0">
                  <c:v>-0.11878740098205329</c:v>
                </c:pt>
                <c:pt idx="1">
                  <c:v>-0.10115562794156775</c:v>
                </c:pt>
                <c:pt idx="2">
                  <c:v>-0.33920540747103634</c:v>
                </c:pt>
                <c:pt idx="3">
                  <c:v>6.5694517147041664E-2</c:v>
                </c:pt>
                <c:pt idx="4">
                  <c:v>-0.38642346567622149</c:v>
                </c:pt>
                <c:pt idx="5">
                  <c:v>1.0935326829057457</c:v>
                </c:pt>
                <c:pt idx="6">
                  <c:v>0.9832614269609804</c:v>
                </c:pt>
                <c:pt idx="7">
                  <c:v>0.2773023850236529</c:v>
                </c:pt>
                <c:pt idx="8">
                  <c:v>0.45344017638280104</c:v>
                </c:pt>
                <c:pt idx="9">
                  <c:v>-0.12196721710091267</c:v>
                </c:pt>
                <c:pt idx="10">
                  <c:v>-7.8942843483055941E-2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F-4387-8E76-D6AAFE65A574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(Кохонен)'!$C$28:$M$28</c:f>
              <c:numCache>
                <c:formatCode>General</c:formatCode>
                <c:ptCount val="11"/>
                <c:pt idx="0">
                  <c:v>-1.6271155352084763E-2</c:v>
                </c:pt>
                <c:pt idx="1">
                  <c:v>-0.13684352167216551</c:v>
                </c:pt>
                <c:pt idx="2">
                  <c:v>-2.8204789223488808E-2</c:v>
                </c:pt>
                <c:pt idx="3">
                  <c:v>0.60701207836868354</c:v>
                </c:pt>
                <c:pt idx="4">
                  <c:v>0.26405859075854277</c:v>
                </c:pt>
                <c:pt idx="5">
                  <c:v>6.977616113985631E-2</c:v>
                </c:pt>
                <c:pt idx="6">
                  <c:v>-0.23445378700748426</c:v>
                </c:pt>
                <c:pt idx="7">
                  <c:v>7.7981693624776971E-2</c:v>
                </c:pt>
                <c:pt idx="8">
                  <c:v>1.328659600773789</c:v>
                </c:pt>
                <c:pt idx="9">
                  <c:v>0.40624347076659395</c:v>
                </c:pt>
                <c:pt idx="10">
                  <c:v>0.46118869245646638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F-4387-8E76-D6AAFE65A57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(Кохонен)'!$C$29:$M$29</c:f>
              <c:numCache>
                <c:formatCode>General</c:formatCode>
                <c:ptCount val="11"/>
                <c:pt idx="0">
                  <c:v>-0.20924266454305657</c:v>
                </c:pt>
                <c:pt idx="1">
                  <c:v>-0.2112707243140961</c:v>
                </c:pt>
                <c:pt idx="2">
                  <c:v>8.7139720696292486E-2</c:v>
                </c:pt>
                <c:pt idx="3">
                  <c:v>-0.21584462051728073</c:v>
                </c:pt>
                <c:pt idx="4">
                  <c:v>-3.1473570137045886E-3</c:v>
                </c:pt>
                <c:pt idx="5">
                  <c:v>-0.22765190384416487</c:v>
                </c:pt>
                <c:pt idx="6">
                  <c:v>-0.2429688044061516</c:v>
                </c:pt>
                <c:pt idx="7">
                  <c:v>0.48259096255692774</c:v>
                </c:pt>
                <c:pt idx="8">
                  <c:v>-0.20892139813693442</c:v>
                </c:pt>
                <c:pt idx="9">
                  <c:v>-0.22222295099692671</c:v>
                </c:pt>
                <c:pt idx="10">
                  <c:v>0.30871166521403381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F-4387-8E76-D6AAFE65A574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(Кохонен)'!$C$30:$M$30</c:f>
              <c:numCache>
                <c:formatCode>General</c:formatCode>
                <c:ptCount val="11"/>
                <c:pt idx="0">
                  <c:v>-0.37310583931213614</c:v>
                </c:pt>
                <c:pt idx="1">
                  <c:v>-0.21578191637159555</c:v>
                </c:pt>
                <c:pt idx="2">
                  <c:v>-0.70557096898847227</c:v>
                </c:pt>
                <c:pt idx="3">
                  <c:v>3.4190455020735437E-3</c:v>
                </c:pt>
                <c:pt idx="4">
                  <c:v>2.9019939563379755</c:v>
                </c:pt>
                <c:pt idx="5">
                  <c:v>-1.0800832016948654</c:v>
                </c:pt>
                <c:pt idx="6">
                  <c:v>-0.34590633244768243</c:v>
                </c:pt>
                <c:pt idx="7">
                  <c:v>0.25943225407065013</c:v>
                </c:pt>
                <c:pt idx="8">
                  <c:v>-0.51615162915795654</c:v>
                </c:pt>
                <c:pt idx="9">
                  <c:v>-0.20097447011807923</c:v>
                </c:pt>
                <c:pt idx="10">
                  <c:v>-0.6118883699505353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F-4387-8E76-D6AAFE65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3584"/>
        <c:axId val="193713168"/>
      </c:lineChart>
      <c:catAx>
        <c:axId val="1937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168"/>
        <c:crosses val="autoZero"/>
        <c:auto val="1"/>
        <c:lblAlgn val="ctr"/>
        <c:lblOffset val="100"/>
        <c:noMultiLvlLbl val="0"/>
      </c:catAx>
      <c:valAx>
        <c:axId val="19371316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Нейросеть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нейросеть'!$C$2:$M$2</c:f>
              <c:numCache>
                <c:formatCode>General</c:formatCode>
                <c:ptCount val="11"/>
                <c:pt idx="0">
                  <c:v>-4.3682904557296814E-2</c:v>
                </c:pt>
                <c:pt idx="1">
                  <c:v>-0.10896393912852384</c:v>
                </c:pt>
                <c:pt idx="2">
                  <c:v>4.9531410348004547E-2</c:v>
                </c:pt>
                <c:pt idx="3">
                  <c:v>0.42261474554456319</c:v>
                </c:pt>
                <c:pt idx="4">
                  <c:v>0.83166387839869926</c:v>
                </c:pt>
                <c:pt idx="5">
                  <c:v>0.2677076581599383</c:v>
                </c:pt>
                <c:pt idx="6">
                  <c:v>0.14924197275837869</c:v>
                </c:pt>
                <c:pt idx="7">
                  <c:v>-6.5479217802125594E-2</c:v>
                </c:pt>
                <c:pt idx="8">
                  <c:v>1.0289441532937271</c:v>
                </c:pt>
                <c:pt idx="9">
                  <c:v>7.0196779205735374E-2</c:v>
                </c:pt>
                <c:pt idx="10">
                  <c:v>-0.66162824576152768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F-4C25-B3F7-401340059DB0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нейросеть'!$C$3:$M$3</c:f>
              <c:numCache>
                <c:formatCode>General</c:formatCode>
                <c:ptCount val="11"/>
                <c:pt idx="0">
                  <c:v>-0.44830518862822621</c:v>
                </c:pt>
                <c:pt idx="1">
                  <c:v>-0.34616081510387081</c:v>
                </c:pt>
                <c:pt idx="2">
                  <c:v>-0.6780264050512349</c:v>
                </c:pt>
                <c:pt idx="3">
                  <c:v>-0.91795040165013786</c:v>
                </c:pt>
                <c:pt idx="4">
                  <c:v>-0.2455016676044843</c:v>
                </c:pt>
                <c:pt idx="5">
                  <c:v>-1.0799003273440455</c:v>
                </c:pt>
                <c:pt idx="6">
                  <c:v>0.26056236564434915</c:v>
                </c:pt>
                <c:pt idx="7">
                  <c:v>-1.6348016269476331</c:v>
                </c:pt>
                <c:pt idx="8">
                  <c:v>-1.2991828947994304</c:v>
                </c:pt>
                <c:pt idx="9">
                  <c:v>-0.21080877913774895</c:v>
                </c:pt>
                <c:pt idx="10">
                  <c:v>-1.3785149759508468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F-4C25-B3F7-401340059DB0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нейросеть'!$C$4:$M$4</c:f>
              <c:numCache>
                <c:formatCode>General</c:formatCode>
                <c:ptCount val="11"/>
                <c:pt idx="0">
                  <c:v>-0.2843799992083712</c:v>
                </c:pt>
                <c:pt idx="1">
                  <c:v>-0.27208706019755119</c:v>
                </c:pt>
                <c:pt idx="2">
                  <c:v>4.7485912863489271E-2</c:v>
                </c:pt>
                <c:pt idx="3">
                  <c:v>-0.27633114907434414</c:v>
                </c:pt>
                <c:pt idx="4">
                  <c:v>9.8290824976721189E-2</c:v>
                </c:pt>
                <c:pt idx="5">
                  <c:v>-0.24476401001360368</c:v>
                </c:pt>
                <c:pt idx="6">
                  <c:v>-0.44555835389007559</c:v>
                </c:pt>
                <c:pt idx="7">
                  <c:v>0.65431856244675823</c:v>
                </c:pt>
                <c:pt idx="8">
                  <c:v>-6.5240544838895201E-2</c:v>
                </c:pt>
                <c:pt idx="9">
                  <c:v>-0.38906265677372798</c:v>
                </c:pt>
                <c:pt idx="10">
                  <c:v>0.49872069181468931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F-4C25-B3F7-401340059DB0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нейросеть'!$C$5:$M$5</c:f>
              <c:numCache>
                <c:formatCode>General</c:formatCode>
                <c:ptCount val="11"/>
                <c:pt idx="0">
                  <c:v>0.48515114150211291</c:v>
                </c:pt>
                <c:pt idx="1">
                  <c:v>0.30938684766831964</c:v>
                </c:pt>
                <c:pt idx="2">
                  <c:v>0.66762609926847183</c:v>
                </c:pt>
                <c:pt idx="3">
                  <c:v>1.3103232868110108</c:v>
                </c:pt>
                <c:pt idx="4">
                  <c:v>-0.56386606562499397</c:v>
                </c:pt>
                <c:pt idx="5">
                  <c:v>0.24990403216455512</c:v>
                </c:pt>
                <c:pt idx="6">
                  <c:v>0.23515337473268502</c:v>
                </c:pt>
                <c:pt idx="7">
                  <c:v>-0.53660085201765062</c:v>
                </c:pt>
                <c:pt idx="8">
                  <c:v>0.56717862918840034</c:v>
                </c:pt>
                <c:pt idx="9">
                  <c:v>1.4699137055491462</c:v>
                </c:pt>
                <c:pt idx="10">
                  <c:v>0.55007847870056004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F-4C25-B3F7-401340059DB0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нейросеть'!$C$6:$M$6</c:f>
              <c:numCache>
                <c:formatCode>General</c:formatCode>
                <c:ptCount val="11"/>
                <c:pt idx="0">
                  <c:v>4.490517041735278</c:v>
                </c:pt>
                <c:pt idx="1">
                  <c:v>4.3971012784723547</c:v>
                </c:pt>
                <c:pt idx="2">
                  <c:v>0.87917041923349049</c:v>
                </c:pt>
                <c:pt idx="3">
                  <c:v>1.9860855427618578</c:v>
                </c:pt>
                <c:pt idx="4">
                  <c:v>-0.17878899783691549</c:v>
                </c:pt>
                <c:pt idx="5">
                  <c:v>0.39400550671115991</c:v>
                </c:pt>
                <c:pt idx="6">
                  <c:v>-0.26719359714570046</c:v>
                </c:pt>
                <c:pt idx="7">
                  <c:v>-2.1232518729963723</c:v>
                </c:pt>
                <c:pt idx="8">
                  <c:v>-0.60777632842166274</c:v>
                </c:pt>
                <c:pt idx="9">
                  <c:v>0.85507614619090155</c:v>
                </c:pt>
                <c:pt idx="10">
                  <c:v>-0.75200811278158619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F-4C25-B3F7-401340059DB0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нейросеть'!$C$7:$M$7</c:f>
              <c:numCache>
                <c:formatCode>General</c:formatCode>
                <c:ptCount val="11"/>
                <c:pt idx="0">
                  <c:v>-0.26333750664015582</c:v>
                </c:pt>
                <c:pt idx="1">
                  <c:v>-0.1124939025320377</c:v>
                </c:pt>
                <c:pt idx="2">
                  <c:v>-0.63709286454237202</c:v>
                </c:pt>
                <c:pt idx="3">
                  <c:v>-0.54294442572977508</c:v>
                </c:pt>
                <c:pt idx="4">
                  <c:v>-0.42298177626052247</c:v>
                </c:pt>
                <c:pt idx="5">
                  <c:v>1.2878682242951265</c:v>
                </c:pt>
                <c:pt idx="6">
                  <c:v>1.249606318772932</c:v>
                </c:pt>
                <c:pt idx="7">
                  <c:v>8.7878996921824631E-2</c:v>
                </c:pt>
                <c:pt idx="8">
                  <c:v>-0.13665132304488087</c:v>
                </c:pt>
                <c:pt idx="9">
                  <c:v>-0.16575958309138447</c:v>
                </c:pt>
                <c:pt idx="10">
                  <c:v>-0.4557841804828861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1F-4C25-B3F7-40134005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3584"/>
        <c:axId val="193713168"/>
      </c:lineChart>
      <c:catAx>
        <c:axId val="1937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168"/>
        <c:crosses val="autoZero"/>
        <c:auto val="1"/>
        <c:lblAlgn val="ctr"/>
        <c:lblOffset val="100"/>
        <c:noMultiLvlLbl val="0"/>
      </c:catAx>
      <c:valAx>
        <c:axId val="193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полных связей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'Итоги метод полных связей'!$A$2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связей'!$B$2:$L$2</c:f>
              <c:numCache>
                <c:formatCode>General</c:formatCode>
                <c:ptCount val="11"/>
                <c:pt idx="0">
                  <c:v>1.1748659054027062</c:v>
                </c:pt>
                <c:pt idx="1">
                  <c:v>1.3250541294586633</c:v>
                </c:pt>
                <c:pt idx="2">
                  <c:v>6.4902804864535319</c:v>
                </c:pt>
                <c:pt idx="3">
                  <c:v>3.7039659605830395</c:v>
                </c:pt>
                <c:pt idx="4">
                  <c:v>1.8842189578107982</c:v>
                </c:pt>
                <c:pt idx="5">
                  <c:v>2.9503246035669856E-2</c:v>
                </c:pt>
                <c:pt idx="6">
                  <c:v>-1.5243140099543966</c:v>
                </c:pt>
                <c:pt idx="7">
                  <c:v>-1.1344379602635584</c:v>
                </c:pt>
                <c:pt idx="8">
                  <c:v>-0.83705571518161315</c:v>
                </c:pt>
                <c:pt idx="9">
                  <c:v>2.6721019969415645</c:v>
                </c:pt>
                <c:pt idx="10">
                  <c:v>-0.15587572530949298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B-4BE3-BD05-3DD12F9DD5B0}"/>
            </c:ext>
          </c:extLst>
        </c:ser>
        <c:ser>
          <c:idx val="1"/>
          <c:order val="1"/>
          <c:tx>
            <c:strRef>
              <c:f>'Итоги метод полных связей'!$A$3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связей'!$B$3:$L$3</c:f>
              <c:numCache>
                <c:formatCode>General</c:formatCode>
                <c:ptCount val="11"/>
                <c:pt idx="0">
                  <c:v>-0.43398694567505031</c:v>
                </c:pt>
                <c:pt idx="1">
                  <c:v>-0.34071573052145881</c:v>
                </c:pt>
                <c:pt idx="2">
                  <c:v>-0.90381174760723626</c:v>
                </c:pt>
                <c:pt idx="3">
                  <c:v>-1.9824765502874486</c:v>
                </c:pt>
                <c:pt idx="4">
                  <c:v>-0.74899927129233945</c:v>
                </c:pt>
                <c:pt idx="5">
                  <c:v>1.4987161048862845</c:v>
                </c:pt>
                <c:pt idx="6">
                  <c:v>3.2205839650382497</c:v>
                </c:pt>
                <c:pt idx="7">
                  <c:v>-1.0986976983575525</c:v>
                </c:pt>
                <c:pt idx="8">
                  <c:v>-1.2938709798018824</c:v>
                </c:pt>
                <c:pt idx="9">
                  <c:v>1.2527131333823336</c:v>
                </c:pt>
                <c:pt idx="10">
                  <c:v>-0.87725442141811916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B-4BE3-BD05-3DD12F9DD5B0}"/>
            </c:ext>
          </c:extLst>
        </c:ser>
        <c:ser>
          <c:idx val="2"/>
          <c:order val="2"/>
          <c:tx>
            <c:strRef>
              <c:f>'Итоги метод полных связей'!$A$4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связей'!$B$4:$L$4</c:f>
              <c:numCache>
                <c:formatCode>General</c:formatCode>
                <c:ptCount val="11"/>
                <c:pt idx="0">
                  <c:v>5.7462770269576238</c:v>
                </c:pt>
                <c:pt idx="1">
                  <c:v>5.9049781269580119</c:v>
                </c:pt>
                <c:pt idx="2">
                  <c:v>1.6296869343920357</c:v>
                </c:pt>
                <c:pt idx="3">
                  <c:v>1.9311908677562943</c:v>
                </c:pt>
                <c:pt idx="4">
                  <c:v>-0.2080774870031652</c:v>
                </c:pt>
                <c:pt idx="5">
                  <c:v>0.55459797346785666</c:v>
                </c:pt>
                <c:pt idx="6">
                  <c:v>-0.65648515448619627</c:v>
                </c:pt>
                <c:pt idx="7">
                  <c:v>-2.0636847698196972</c:v>
                </c:pt>
                <c:pt idx="8">
                  <c:v>-0.42314784923426446</c:v>
                </c:pt>
                <c:pt idx="9">
                  <c:v>0.73658747277901915</c:v>
                </c:pt>
                <c:pt idx="10">
                  <c:v>-0.45731752806434312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B-4BE3-BD05-3DD12F9DD5B0}"/>
            </c:ext>
          </c:extLst>
        </c:ser>
        <c:ser>
          <c:idx val="3"/>
          <c:order val="3"/>
          <c:tx>
            <c:strRef>
              <c:f>'Итоги метод полных связей'!$A$5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связей'!$B$5:$L$5</c:f>
              <c:numCache>
                <c:formatCode>General</c:formatCode>
                <c:ptCount val="11"/>
                <c:pt idx="0">
                  <c:v>-0.24802599991530225</c:v>
                </c:pt>
                <c:pt idx="1">
                  <c:v>-0.24918631315119311</c:v>
                </c:pt>
                <c:pt idx="2">
                  <c:v>-7.2625180182090979E-2</c:v>
                </c:pt>
                <c:pt idx="3">
                  <c:v>-0.20213325778162802</c:v>
                </c:pt>
                <c:pt idx="4">
                  <c:v>-7.4791979664567965E-2</c:v>
                </c:pt>
                <c:pt idx="5">
                  <c:v>-3.9771302296632595E-2</c:v>
                </c:pt>
                <c:pt idx="6">
                  <c:v>-6.8477001175736449E-2</c:v>
                </c:pt>
                <c:pt idx="7">
                  <c:v>0.34710758405881953</c:v>
                </c:pt>
                <c:pt idx="8">
                  <c:v>9.4413035476600835E-2</c:v>
                </c:pt>
                <c:pt idx="9">
                  <c:v>-0.23605899715684059</c:v>
                </c:pt>
                <c:pt idx="10">
                  <c:v>8.9598573623663275E-2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CB-4BE3-BD05-3DD12F9DD5B0}"/>
            </c:ext>
          </c:extLst>
        </c:ser>
        <c:ser>
          <c:idx val="4"/>
          <c:order val="4"/>
          <c:tx>
            <c:strRef>
              <c:f>'Итоги метод полных связей'!$A$6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связей'!$B$6:$L$6</c:f>
              <c:numCache>
                <c:formatCode>General</c:formatCode>
                <c:ptCount val="11"/>
                <c:pt idx="0">
                  <c:v>0.63567899466192701</c:v>
                </c:pt>
                <c:pt idx="1">
                  <c:v>0.48388362531898244</c:v>
                </c:pt>
                <c:pt idx="2">
                  <c:v>8.9595156963792277E-2</c:v>
                </c:pt>
                <c:pt idx="3">
                  <c:v>1.3112039500463941</c:v>
                </c:pt>
                <c:pt idx="4">
                  <c:v>-0.54910533273268536</c:v>
                </c:pt>
                <c:pt idx="5">
                  <c:v>0.65701341569923744</c:v>
                </c:pt>
                <c:pt idx="6">
                  <c:v>0.64311021722780104</c:v>
                </c:pt>
                <c:pt idx="7">
                  <c:v>-0.61263013643588005</c:v>
                </c:pt>
                <c:pt idx="8">
                  <c:v>0.51755931274370626</c:v>
                </c:pt>
                <c:pt idx="9">
                  <c:v>1.3616697444510479</c:v>
                </c:pt>
                <c:pt idx="10">
                  <c:v>0.5962432773138332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CB-4BE3-BD05-3DD12F9DD5B0}"/>
            </c:ext>
          </c:extLst>
        </c:ser>
        <c:ser>
          <c:idx val="5"/>
          <c:order val="5"/>
          <c:tx>
            <c:strRef>
              <c:f>'Итоги метод полных связей'!$A$7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метод полных связей'!$B$1:$L$1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полных связей'!$B$7:$L$7</c:f>
              <c:numCache>
                <c:formatCode>General</c:formatCode>
                <c:ptCount val="11"/>
                <c:pt idx="0">
                  <c:v>-0.38042867000129604</c:v>
                </c:pt>
                <c:pt idx="1">
                  <c:v>-0.22408185564087232</c:v>
                </c:pt>
                <c:pt idx="2">
                  <c:v>-0.69832848300121564</c:v>
                </c:pt>
                <c:pt idx="3">
                  <c:v>-0.62948426632678212</c:v>
                </c:pt>
                <c:pt idx="4">
                  <c:v>1.7179457641065679</c:v>
                </c:pt>
                <c:pt idx="5">
                  <c:v>-1.3601503687919714</c:v>
                </c:pt>
                <c:pt idx="6">
                  <c:v>-0.94207628469677041</c:v>
                </c:pt>
                <c:pt idx="7">
                  <c:v>-1.4382301864646037</c:v>
                </c:pt>
                <c:pt idx="8">
                  <c:v>-1.1578223374475971</c:v>
                </c:pt>
                <c:pt idx="9">
                  <c:v>-0.85993747262282971</c:v>
                </c:pt>
                <c:pt idx="10">
                  <c:v>-1.4786203101296636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CB-4BE3-BD05-3DD12F9D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06912"/>
        <c:axId val="2136905248"/>
      </c:lineChart>
      <c:catAx>
        <c:axId val="21369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905248"/>
        <c:crosses val="autoZero"/>
        <c:auto val="1"/>
        <c:lblAlgn val="ctr"/>
        <c:lblOffset val="100"/>
        <c:noMultiLvlLbl val="0"/>
      </c:catAx>
      <c:valAx>
        <c:axId val="21369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9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Уорда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'Итоги метод Уорда'!$A$2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Уорда'!$B$2:$L$2</c:f>
              <c:numCache>
                <c:formatCode>General</c:formatCode>
                <c:ptCount val="11"/>
                <c:pt idx="0">
                  <c:v>-0.2882303138900717</c:v>
                </c:pt>
                <c:pt idx="1">
                  <c:v>-0.2818097115365224</c:v>
                </c:pt>
                <c:pt idx="2">
                  <c:v>0.10766268787806314</c:v>
                </c:pt>
                <c:pt idx="3">
                  <c:v>-0.2490377486411616</c:v>
                </c:pt>
                <c:pt idx="4">
                  <c:v>-5.7197391298242486E-2</c:v>
                </c:pt>
                <c:pt idx="5">
                  <c:v>-0.40451885107255148</c:v>
                </c:pt>
                <c:pt idx="6">
                  <c:v>-0.55252957437133077</c:v>
                </c:pt>
                <c:pt idx="7">
                  <c:v>0.62333310256815933</c:v>
                </c:pt>
                <c:pt idx="8">
                  <c:v>-0.17714826589796456</c:v>
                </c:pt>
                <c:pt idx="9">
                  <c:v>-0.30118201856683408</c:v>
                </c:pt>
                <c:pt idx="10">
                  <c:v>0.54568070814663983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41EB-A2FA-70349178E336}"/>
            </c:ext>
          </c:extLst>
        </c:ser>
        <c:ser>
          <c:idx val="1"/>
          <c:order val="1"/>
          <c:tx>
            <c:strRef>
              <c:f>'Итоги метод Уорда'!$A$3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Уорда'!$B$3:$L$3</c:f>
              <c:numCache>
                <c:formatCode>General</c:formatCode>
                <c:ptCount val="11"/>
                <c:pt idx="0">
                  <c:v>-0.13866974947869487</c:v>
                </c:pt>
                <c:pt idx="1">
                  <c:v>-8.7616425991093441E-2</c:v>
                </c:pt>
                <c:pt idx="2">
                  <c:v>-4.1968954211100877E-3</c:v>
                </c:pt>
                <c:pt idx="3">
                  <c:v>0.10305980013402218</c:v>
                </c:pt>
                <c:pt idx="4">
                  <c:v>2.44148476507221</c:v>
                </c:pt>
                <c:pt idx="5">
                  <c:v>-5.1317187265946682E-2</c:v>
                </c:pt>
                <c:pt idx="6">
                  <c:v>-0.24867507214044934</c:v>
                </c:pt>
                <c:pt idx="7">
                  <c:v>-0.12860487519455074</c:v>
                </c:pt>
                <c:pt idx="8">
                  <c:v>0.3533618420290523</c:v>
                </c:pt>
                <c:pt idx="9">
                  <c:v>-0.15470613193372171</c:v>
                </c:pt>
                <c:pt idx="10">
                  <c:v>-0.98535120262585962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E-41EB-A2FA-70349178E336}"/>
            </c:ext>
          </c:extLst>
        </c:ser>
        <c:ser>
          <c:idx val="2"/>
          <c:order val="2"/>
          <c:tx>
            <c:strRef>
              <c:f>'Итоги метод Уорда'!$A$4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Уорда'!$B$4:$L$4</c:f>
              <c:numCache>
                <c:formatCode>General</c:formatCode>
                <c:ptCount val="11"/>
                <c:pt idx="0">
                  <c:v>-0.28208372380800262</c:v>
                </c:pt>
                <c:pt idx="1">
                  <c:v>-0.24985521799464858</c:v>
                </c:pt>
                <c:pt idx="2">
                  <c:v>-0.55170491894454432</c:v>
                </c:pt>
                <c:pt idx="3">
                  <c:v>-0.67469164574312879</c:v>
                </c:pt>
                <c:pt idx="4">
                  <c:v>-0.36037763066766371</c:v>
                </c:pt>
                <c:pt idx="5">
                  <c:v>0.93997349718396561</c:v>
                </c:pt>
                <c:pt idx="6">
                  <c:v>1.3045635790261969</c:v>
                </c:pt>
                <c:pt idx="7">
                  <c:v>0.16889025724210335</c:v>
                </c:pt>
                <c:pt idx="8">
                  <c:v>-0.13739903162118508</c:v>
                </c:pt>
                <c:pt idx="9">
                  <c:v>-0.26483966334988379</c:v>
                </c:pt>
                <c:pt idx="10">
                  <c:v>-0.25736397227964808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E-41EB-A2FA-70349178E336}"/>
            </c:ext>
          </c:extLst>
        </c:ser>
        <c:ser>
          <c:idx val="3"/>
          <c:order val="3"/>
          <c:tx>
            <c:strRef>
              <c:f>'Итоги метод Уорда'!$A$5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Уорда'!$B$5:$L$5</c:f>
              <c:numCache>
                <c:formatCode>General</c:formatCode>
                <c:ptCount val="11"/>
                <c:pt idx="0">
                  <c:v>-7.8741928492249508E-2</c:v>
                </c:pt>
                <c:pt idx="1">
                  <c:v>-3.0087386700612478E-2</c:v>
                </c:pt>
                <c:pt idx="2">
                  <c:v>-0.69286579106920554</c:v>
                </c:pt>
                <c:pt idx="3">
                  <c:v>-0.3336988410026841</c:v>
                </c:pt>
                <c:pt idx="4">
                  <c:v>-0.35873015315206219</c:v>
                </c:pt>
                <c:pt idx="5">
                  <c:v>-1.1326919503901951</c:v>
                </c:pt>
                <c:pt idx="6">
                  <c:v>-0.46247493704297238</c:v>
                </c:pt>
                <c:pt idx="7">
                  <c:v>-1.7849107269528552</c:v>
                </c:pt>
                <c:pt idx="8">
                  <c:v>-1.1184179136620074</c:v>
                </c:pt>
                <c:pt idx="9">
                  <c:v>3.4195661673337166E-2</c:v>
                </c:pt>
                <c:pt idx="10">
                  <c:v>-1.4388637169658054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E-41EB-A2FA-70349178E336}"/>
            </c:ext>
          </c:extLst>
        </c:ser>
        <c:ser>
          <c:idx val="4"/>
          <c:order val="4"/>
          <c:tx>
            <c:strRef>
              <c:f>'Итоги метод Уорда'!$A$6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Уорда'!$B$6:$L$6</c:f>
              <c:numCache>
                <c:formatCode>General</c:formatCode>
                <c:ptCount val="11"/>
                <c:pt idx="0">
                  <c:v>0.16667904632045943</c:v>
                </c:pt>
                <c:pt idx="1">
                  <c:v>4.8631012717298035E-2</c:v>
                </c:pt>
                <c:pt idx="2">
                  <c:v>0.11359334750554355</c:v>
                </c:pt>
                <c:pt idx="3">
                  <c:v>0.78752014731165354</c:v>
                </c:pt>
                <c:pt idx="4">
                  <c:v>-0.45164573146660941</c:v>
                </c:pt>
                <c:pt idx="5">
                  <c:v>0.57629177937805398</c:v>
                </c:pt>
                <c:pt idx="6">
                  <c:v>0.4628106743059166</c:v>
                </c:pt>
                <c:pt idx="7">
                  <c:v>5.3400156024266537E-2</c:v>
                </c:pt>
                <c:pt idx="8">
                  <c:v>1.0765221120598523</c:v>
                </c:pt>
                <c:pt idx="9">
                  <c:v>0.61807711336804894</c:v>
                </c:pt>
                <c:pt idx="10">
                  <c:v>0.48291779910783733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E-41EB-A2FA-70349178E336}"/>
            </c:ext>
          </c:extLst>
        </c:ser>
        <c:ser>
          <c:idx val="5"/>
          <c:order val="5"/>
          <c:tx>
            <c:strRef>
              <c:f>'Итоги метод Уорда'!$A$7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метод Уорда'!$B$1:$L$1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метод Уорда'!$B$7:$L$7</c:f>
              <c:numCache>
                <c:formatCode>General</c:formatCode>
                <c:ptCount val="11"/>
                <c:pt idx="0">
                  <c:v>4.2224733197726509</c:v>
                </c:pt>
                <c:pt idx="1">
                  <c:v>4.378336794458229</c:v>
                </c:pt>
                <c:pt idx="2">
                  <c:v>3.2498847850792014</c:v>
                </c:pt>
                <c:pt idx="3">
                  <c:v>2.522115898698543</c:v>
                </c:pt>
                <c:pt idx="4">
                  <c:v>0.48935466126815591</c:v>
                </c:pt>
                <c:pt idx="5">
                  <c:v>0.37956639765712774</c:v>
                </c:pt>
                <c:pt idx="6">
                  <c:v>-0.945761439642263</c:v>
                </c:pt>
                <c:pt idx="7">
                  <c:v>-1.753935833300984</c:v>
                </c:pt>
                <c:pt idx="8">
                  <c:v>-0.56111713788338069</c:v>
                </c:pt>
                <c:pt idx="9">
                  <c:v>1.3817589808332009</c:v>
                </c:pt>
                <c:pt idx="10">
                  <c:v>-0.35683692714605969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E-41EB-A2FA-70349178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3584"/>
        <c:axId val="193713168"/>
      </c:lineChart>
      <c:catAx>
        <c:axId val="1937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168"/>
        <c:crosses val="autoZero"/>
        <c:auto val="1"/>
        <c:lblAlgn val="ctr"/>
        <c:lblOffset val="100"/>
        <c:noMultiLvlLbl val="0"/>
      </c:catAx>
      <c:valAx>
        <c:axId val="193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Нейросеть (Кохонен)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(Кохонен)'!$C$2:$M$2</c:f>
              <c:numCache>
                <c:formatCode>General</c:formatCode>
                <c:ptCount val="11"/>
                <c:pt idx="0">
                  <c:v>3.6616042576521353</c:v>
                </c:pt>
                <c:pt idx="1">
                  <c:v>3.6290894912189322</c:v>
                </c:pt>
                <c:pt idx="2">
                  <c:v>2.2819479360385011</c:v>
                </c:pt>
                <c:pt idx="3">
                  <c:v>2.4155556472171531</c:v>
                </c:pt>
                <c:pt idx="4">
                  <c:v>0.33696299107501293</c:v>
                </c:pt>
                <c:pt idx="5">
                  <c:v>0.30287994154228742</c:v>
                </c:pt>
                <c:pt idx="6">
                  <c:v>-0.58147370034787449</c:v>
                </c:pt>
                <c:pt idx="7">
                  <c:v>-1.8760483948131692</c:v>
                </c:pt>
                <c:pt idx="8">
                  <c:v>-0.66509617511165031</c:v>
                </c:pt>
                <c:pt idx="9">
                  <c:v>1.3093326088785671</c:v>
                </c:pt>
                <c:pt idx="10">
                  <c:v>-0.60297501591356273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8-437D-B997-A89ABD6CCE1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(Кохонен)'!$C$3:$M$3</c:f>
              <c:numCache>
                <c:formatCode>General</c:formatCode>
                <c:ptCount val="11"/>
                <c:pt idx="0">
                  <c:v>-0.33501050521811049</c:v>
                </c:pt>
                <c:pt idx="1">
                  <c:v>-0.22506757648287223</c:v>
                </c:pt>
                <c:pt idx="2">
                  <c:v>-0.63669284726232456</c:v>
                </c:pt>
                <c:pt idx="3">
                  <c:v>-0.80062648840295203</c:v>
                </c:pt>
                <c:pt idx="4">
                  <c:v>-0.36046915719630829</c:v>
                </c:pt>
                <c:pt idx="5">
                  <c:v>-0.71774863476391548</c:v>
                </c:pt>
                <c:pt idx="6">
                  <c:v>0.32272734024190397</c:v>
                </c:pt>
                <c:pt idx="7">
                  <c:v>-1.5156674205942817</c:v>
                </c:pt>
                <c:pt idx="8">
                  <c:v>-1.1306877569595397</c:v>
                </c:pt>
                <c:pt idx="9">
                  <c:v>0.11433392797362352</c:v>
                </c:pt>
                <c:pt idx="10">
                  <c:v>-1.3311996561651143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8-437D-B997-A89ABD6CCE1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(Кохонен)'!$C$4:$M$4</c:f>
              <c:numCache>
                <c:formatCode>General</c:formatCode>
                <c:ptCount val="11"/>
                <c:pt idx="0">
                  <c:v>-8.7506220760223144E-2</c:v>
                </c:pt>
                <c:pt idx="1">
                  <c:v>-5.2748112704460136E-2</c:v>
                </c:pt>
                <c:pt idx="2">
                  <c:v>-0.4150586482959206</c:v>
                </c:pt>
                <c:pt idx="3">
                  <c:v>9.2219255069898198E-2</c:v>
                </c:pt>
                <c:pt idx="4">
                  <c:v>-0.36931672163194623</c:v>
                </c:pt>
                <c:pt idx="5">
                  <c:v>1.2368839192622478</c:v>
                </c:pt>
                <c:pt idx="6">
                  <c:v>1.171102214940561</c:v>
                </c:pt>
                <c:pt idx="7">
                  <c:v>-1.755477570089117E-2</c:v>
                </c:pt>
                <c:pt idx="8">
                  <c:v>0.54230316315052884</c:v>
                </c:pt>
                <c:pt idx="9">
                  <c:v>0.22281799823202775</c:v>
                </c:pt>
                <c:pt idx="10">
                  <c:v>-0.3527536552292701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8-437D-B997-A89ABD6CCE1B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(Кохонен)'!$C$5:$M$5</c:f>
              <c:numCache>
                <c:formatCode>General</c:formatCode>
                <c:ptCount val="11"/>
                <c:pt idx="0">
                  <c:v>0.14592667617592106</c:v>
                </c:pt>
                <c:pt idx="1">
                  <c:v>-1.5677141350052083E-2</c:v>
                </c:pt>
                <c:pt idx="2">
                  <c:v>4.7409633094029451E-2</c:v>
                </c:pt>
                <c:pt idx="3">
                  <c:v>0.73220174444472097</c:v>
                </c:pt>
                <c:pt idx="4">
                  <c:v>-5.7692359937998448E-2</c:v>
                </c:pt>
                <c:pt idx="5">
                  <c:v>0.19919769797926151</c:v>
                </c:pt>
                <c:pt idx="6">
                  <c:v>8.7373950819494492E-2</c:v>
                </c:pt>
                <c:pt idx="7">
                  <c:v>0.10272495186739607</c:v>
                </c:pt>
                <c:pt idx="8">
                  <c:v>1.5715950065855215</c:v>
                </c:pt>
                <c:pt idx="9">
                  <c:v>0.54213556165855303</c:v>
                </c:pt>
                <c:pt idx="10">
                  <c:v>0.50577654612772438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8-437D-B997-A89ABD6CCE1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(Кохонен)'!$C$6:$M$6</c:f>
              <c:numCache>
                <c:formatCode>General</c:formatCode>
                <c:ptCount val="11"/>
                <c:pt idx="0">
                  <c:v>-0.26646987136708866</c:v>
                </c:pt>
                <c:pt idx="1">
                  <c:v>-0.26698052576089115</c:v>
                </c:pt>
                <c:pt idx="2">
                  <c:v>7.9233563135759438E-2</c:v>
                </c:pt>
                <c:pt idx="3">
                  <c:v>-0.26782523099600708</c:v>
                </c:pt>
                <c:pt idx="4">
                  <c:v>-0.11458313799277746</c:v>
                </c:pt>
                <c:pt idx="5">
                  <c:v>-0.21618068903823481</c:v>
                </c:pt>
                <c:pt idx="6">
                  <c:v>-0.36210183754494857</c:v>
                </c:pt>
                <c:pt idx="7">
                  <c:v>0.6070063011065524</c:v>
                </c:pt>
                <c:pt idx="8">
                  <c:v>-0.21029712699084974</c:v>
                </c:pt>
                <c:pt idx="9">
                  <c:v>-0.33986511340082132</c:v>
                </c:pt>
                <c:pt idx="10">
                  <c:v>0.51372641189065993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8-437D-B997-A89ABD6CCE1B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 (Кохонен)'!$C$7:$M$7</c:f>
              <c:numCache>
                <c:formatCode>General</c:formatCode>
                <c:ptCount val="11"/>
                <c:pt idx="0">
                  <c:v>-0.20361706361799173</c:v>
                </c:pt>
                <c:pt idx="1">
                  <c:v>-7.4886456660353179E-2</c:v>
                </c:pt>
                <c:pt idx="2">
                  <c:v>-7.3110388276971638E-2</c:v>
                </c:pt>
                <c:pt idx="3">
                  <c:v>8.262693296682555E-3</c:v>
                </c:pt>
                <c:pt idx="4">
                  <c:v>3.1857261951360196</c:v>
                </c:pt>
                <c:pt idx="5">
                  <c:v>-0.3458714230875336</c:v>
                </c:pt>
                <c:pt idx="6">
                  <c:v>-0.56296192991340011</c:v>
                </c:pt>
                <c:pt idx="7">
                  <c:v>7.1795879064122103E-2</c:v>
                </c:pt>
                <c:pt idx="8">
                  <c:v>-0.57446254495575733</c:v>
                </c:pt>
                <c:pt idx="9">
                  <c:v>-0.68407782887761315</c:v>
                </c:pt>
                <c:pt idx="10">
                  <c:v>-1.1262029437248935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8-437D-B997-A89ABD6C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3584"/>
        <c:axId val="193713168"/>
      </c:lineChart>
      <c:catAx>
        <c:axId val="1937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168"/>
        <c:crosses val="autoZero"/>
        <c:auto val="1"/>
        <c:lblAlgn val="ctr"/>
        <c:lblOffset val="100"/>
        <c:noMultiLvlLbl val="0"/>
      </c:catAx>
      <c:valAx>
        <c:axId val="193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Нейросеть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нейросеть'!$C$2:$M$2</c:f>
              <c:numCache>
                <c:formatCode>General</c:formatCode>
                <c:ptCount val="11"/>
                <c:pt idx="0">
                  <c:v>-4.3682904557296814E-2</c:v>
                </c:pt>
                <c:pt idx="1">
                  <c:v>-0.10896393912852384</c:v>
                </c:pt>
                <c:pt idx="2">
                  <c:v>4.9531410348004547E-2</c:v>
                </c:pt>
                <c:pt idx="3">
                  <c:v>0.42261474554456319</c:v>
                </c:pt>
                <c:pt idx="4">
                  <c:v>0.83166387839869926</c:v>
                </c:pt>
                <c:pt idx="5">
                  <c:v>0.2677076581599383</c:v>
                </c:pt>
                <c:pt idx="6">
                  <c:v>0.14924197275837869</c:v>
                </c:pt>
                <c:pt idx="7">
                  <c:v>-6.5479217802125594E-2</c:v>
                </c:pt>
                <c:pt idx="8">
                  <c:v>1.0289441532937271</c:v>
                </c:pt>
                <c:pt idx="9">
                  <c:v>7.0196779205735374E-2</c:v>
                </c:pt>
                <c:pt idx="10">
                  <c:v>-0.66162824576152768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B-42C3-B5B6-AC96C0E5852A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нейросеть'!$C$3:$M$3</c:f>
              <c:numCache>
                <c:formatCode>General</c:formatCode>
                <c:ptCount val="11"/>
                <c:pt idx="0">
                  <c:v>-0.44830518862822621</c:v>
                </c:pt>
                <c:pt idx="1">
                  <c:v>-0.34616081510387081</c:v>
                </c:pt>
                <c:pt idx="2">
                  <c:v>-0.6780264050512349</c:v>
                </c:pt>
                <c:pt idx="3">
                  <c:v>-0.91795040165013786</c:v>
                </c:pt>
                <c:pt idx="4">
                  <c:v>-0.2455016676044843</c:v>
                </c:pt>
                <c:pt idx="5">
                  <c:v>-1.0799003273440455</c:v>
                </c:pt>
                <c:pt idx="6">
                  <c:v>0.26056236564434915</c:v>
                </c:pt>
                <c:pt idx="7">
                  <c:v>-1.6348016269476331</c:v>
                </c:pt>
                <c:pt idx="8">
                  <c:v>-1.2991828947994304</c:v>
                </c:pt>
                <c:pt idx="9">
                  <c:v>-0.21080877913774895</c:v>
                </c:pt>
                <c:pt idx="10">
                  <c:v>-1.3785149759508468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B-42C3-B5B6-AC96C0E5852A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нейросеть'!$C$4:$M$4</c:f>
              <c:numCache>
                <c:formatCode>General</c:formatCode>
                <c:ptCount val="11"/>
                <c:pt idx="0">
                  <c:v>-0.2843799992083712</c:v>
                </c:pt>
                <c:pt idx="1">
                  <c:v>-0.27208706019755119</c:v>
                </c:pt>
                <c:pt idx="2">
                  <c:v>4.7485912863489271E-2</c:v>
                </c:pt>
                <c:pt idx="3">
                  <c:v>-0.27633114907434414</c:v>
                </c:pt>
                <c:pt idx="4">
                  <c:v>9.8290824976721189E-2</c:v>
                </c:pt>
                <c:pt idx="5">
                  <c:v>-0.24476401001360368</c:v>
                </c:pt>
                <c:pt idx="6">
                  <c:v>-0.44555835389007559</c:v>
                </c:pt>
                <c:pt idx="7">
                  <c:v>0.65431856244675823</c:v>
                </c:pt>
                <c:pt idx="8">
                  <c:v>-6.5240544838895201E-2</c:v>
                </c:pt>
                <c:pt idx="9">
                  <c:v>-0.38906265677372798</c:v>
                </c:pt>
                <c:pt idx="10">
                  <c:v>0.49872069181468931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B-42C3-B5B6-AC96C0E5852A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нейросеть'!$C$5:$M$5</c:f>
              <c:numCache>
                <c:formatCode>General</c:formatCode>
                <c:ptCount val="11"/>
                <c:pt idx="0">
                  <c:v>0.48515114150211291</c:v>
                </c:pt>
                <c:pt idx="1">
                  <c:v>0.30938684766831964</c:v>
                </c:pt>
                <c:pt idx="2">
                  <c:v>0.66762609926847183</c:v>
                </c:pt>
                <c:pt idx="3">
                  <c:v>1.3103232868110108</c:v>
                </c:pt>
                <c:pt idx="4">
                  <c:v>-0.56386606562499397</c:v>
                </c:pt>
                <c:pt idx="5">
                  <c:v>0.24990403216455512</c:v>
                </c:pt>
                <c:pt idx="6">
                  <c:v>0.23515337473268502</c:v>
                </c:pt>
                <c:pt idx="7">
                  <c:v>-0.53660085201765062</c:v>
                </c:pt>
                <c:pt idx="8">
                  <c:v>0.56717862918840034</c:v>
                </c:pt>
                <c:pt idx="9">
                  <c:v>1.4699137055491462</c:v>
                </c:pt>
                <c:pt idx="10">
                  <c:v>0.55007847870056004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B-42C3-B5B6-AC96C0E5852A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нейросеть'!$C$6:$M$6</c:f>
              <c:numCache>
                <c:formatCode>General</c:formatCode>
                <c:ptCount val="11"/>
                <c:pt idx="0">
                  <c:v>4.490517041735278</c:v>
                </c:pt>
                <c:pt idx="1">
                  <c:v>4.3971012784723547</c:v>
                </c:pt>
                <c:pt idx="2">
                  <c:v>0.87917041923349049</c:v>
                </c:pt>
                <c:pt idx="3">
                  <c:v>1.9860855427618578</c:v>
                </c:pt>
                <c:pt idx="4">
                  <c:v>-0.17878899783691549</c:v>
                </c:pt>
                <c:pt idx="5">
                  <c:v>0.39400550671115991</c:v>
                </c:pt>
                <c:pt idx="6">
                  <c:v>-0.26719359714570046</c:v>
                </c:pt>
                <c:pt idx="7">
                  <c:v>-2.1232518729963723</c:v>
                </c:pt>
                <c:pt idx="8">
                  <c:v>-0.60777632842166274</c:v>
                </c:pt>
                <c:pt idx="9">
                  <c:v>0.85507614619090155</c:v>
                </c:pt>
                <c:pt idx="10">
                  <c:v>-0.75200811278158619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B-42C3-B5B6-AC96C0E5852A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нейросеть (Кохонен)'!$C$1:$M$1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'Итоги нейросеть'!$C$7:$M$7</c:f>
              <c:numCache>
                <c:formatCode>General</c:formatCode>
                <c:ptCount val="11"/>
                <c:pt idx="0">
                  <c:v>-0.26333750664015582</c:v>
                </c:pt>
                <c:pt idx="1">
                  <c:v>-0.1124939025320377</c:v>
                </c:pt>
                <c:pt idx="2">
                  <c:v>-0.63709286454237202</c:v>
                </c:pt>
                <c:pt idx="3">
                  <c:v>-0.54294442572977508</c:v>
                </c:pt>
                <c:pt idx="4">
                  <c:v>-0.42298177626052247</c:v>
                </c:pt>
                <c:pt idx="5">
                  <c:v>1.2878682242951265</c:v>
                </c:pt>
                <c:pt idx="6">
                  <c:v>1.249606318772932</c:v>
                </c:pt>
                <c:pt idx="7">
                  <c:v>8.7878996921824631E-2</c:v>
                </c:pt>
                <c:pt idx="8">
                  <c:v>-0.13665132304488087</c:v>
                </c:pt>
                <c:pt idx="9">
                  <c:v>-0.16575958309138447</c:v>
                </c:pt>
                <c:pt idx="10">
                  <c:v>-0.4557841804828861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B-42C3-B5B6-AC96C0E5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3584"/>
        <c:axId val="193713168"/>
      </c:lineChart>
      <c:catAx>
        <c:axId val="1937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168"/>
        <c:crosses val="autoZero"/>
        <c:auto val="1"/>
        <c:lblAlgn val="ctr"/>
        <c:lblOffset val="100"/>
        <c:noMultiLvlLbl val="0"/>
      </c:catAx>
      <c:valAx>
        <c:axId val="193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old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501724065748766E-2"/>
          <c:y val="6.6828481039810664E-2"/>
          <c:w val="0.9223958880139983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МГК!$B$25:$B$41</c:f>
              <c:numCache>
                <c:formatCode>General</c:formatCode>
                <c:ptCount val="17"/>
                <c:pt idx="0">
                  <c:v>-3.8210000000000001E-2</c:v>
                </c:pt>
                <c:pt idx="1">
                  <c:v>0.24460000000000001</c:v>
                </c:pt>
                <c:pt idx="2">
                  <c:v>-3.7069999999999999E-2</c:v>
                </c:pt>
                <c:pt idx="3">
                  <c:v>0.17839000000000002</c:v>
                </c:pt>
                <c:pt idx="4">
                  <c:v>0.3258700000000001</c:v>
                </c:pt>
                <c:pt idx="5">
                  <c:v>0.48089000000000004</c:v>
                </c:pt>
                <c:pt idx="6">
                  <c:v>3.1719999999999998E-2</c:v>
                </c:pt>
                <c:pt idx="7">
                  <c:v>-0.24419000000000002</c:v>
                </c:pt>
                <c:pt idx="8">
                  <c:v>0.17597000000000002</c:v>
                </c:pt>
                <c:pt idx="9">
                  <c:v>-8.5020000000000012E-2</c:v>
                </c:pt>
                <c:pt idx="10">
                  <c:v>1.022E-2</c:v>
                </c:pt>
                <c:pt idx="11">
                  <c:v>0.16890000000000002</c:v>
                </c:pt>
                <c:pt idx="12">
                  <c:v>-0.29218000000000005</c:v>
                </c:pt>
                <c:pt idx="13">
                  <c:v>0.18692</c:v>
                </c:pt>
                <c:pt idx="14">
                  <c:v>0.45984000000000003</c:v>
                </c:pt>
                <c:pt idx="15">
                  <c:v>0.11079000000000001</c:v>
                </c:pt>
                <c:pt idx="16">
                  <c:v>0.26006000000000001</c:v>
                </c:pt>
              </c:numCache>
            </c:numRef>
          </c:xVal>
          <c:yVal>
            <c:numRef>
              <c:f>МГК!$C$25:$C$41</c:f>
              <c:numCache>
                <c:formatCode>General</c:formatCode>
                <c:ptCount val="17"/>
                <c:pt idx="0">
                  <c:v>-0.21905000000000002</c:v>
                </c:pt>
                <c:pt idx="1">
                  <c:v>-8.7790000000000021E-2</c:v>
                </c:pt>
                <c:pt idx="2">
                  <c:v>0.90200999999999998</c:v>
                </c:pt>
                <c:pt idx="3">
                  <c:v>0.36261000000000004</c:v>
                </c:pt>
                <c:pt idx="4">
                  <c:v>-1.0186200000000001</c:v>
                </c:pt>
                <c:pt idx="5">
                  <c:v>1.3622700000000001</c:v>
                </c:pt>
                <c:pt idx="6">
                  <c:v>0.81829000000000007</c:v>
                </c:pt>
                <c:pt idx="7">
                  <c:v>1.81498</c:v>
                </c:pt>
                <c:pt idx="8">
                  <c:v>-4.3450000000000003E-2</c:v>
                </c:pt>
                <c:pt idx="9">
                  <c:v>0.59414999999999996</c:v>
                </c:pt>
                <c:pt idx="10">
                  <c:v>1.1229800000000001</c:v>
                </c:pt>
                <c:pt idx="11">
                  <c:v>-0.27545000000000003</c:v>
                </c:pt>
                <c:pt idx="12">
                  <c:v>0.39384000000000002</c:v>
                </c:pt>
                <c:pt idx="13">
                  <c:v>0.39508000000000004</c:v>
                </c:pt>
                <c:pt idx="14">
                  <c:v>3.032E-2</c:v>
                </c:pt>
                <c:pt idx="15">
                  <c:v>0.67219000000000018</c:v>
                </c:pt>
                <c:pt idx="16">
                  <c:v>0.72563000000000011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C-4B20-BA6B-BA4E4C10489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МГК!$B$42:$B$51</c:f>
              <c:numCache>
                <c:formatCode>General</c:formatCode>
                <c:ptCount val="10"/>
                <c:pt idx="0">
                  <c:v>-0.36954000000000004</c:v>
                </c:pt>
                <c:pt idx="1">
                  <c:v>-0.38940000000000008</c:v>
                </c:pt>
                <c:pt idx="2">
                  <c:v>-0.92242000000000002</c:v>
                </c:pt>
                <c:pt idx="3">
                  <c:v>0.15765000000000001</c:v>
                </c:pt>
                <c:pt idx="4">
                  <c:v>-0.78491</c:v>
                </c:pt>
                <c:pt idx="5">
                  <c:v>-0.49545</c:v>
                </c:pt>
                <c:pt idx="6">
                  <c:v>-0.70701000000000003</c:v>
                </c:pt>
                <c:pt idx="7">
                  <c:v>-0.43141000000000007</c:v>
                </c:pt>
                <c:pt idx="8">
                  <c:v>-0.26137000000000005</c:v>
                </c:pt>
                <c:pt idx="9">
                  <c:v>-0.76756999999999997</c:v>
                </c:pt>
              </c:numCache>
            </c:numRef>
          </c:xVal>
          <c:yVal>
            <c:numRef>
              <c:f>МГК!$C$42:$C$51</c:f>
              <c:numCache>
                <c:formatCode>General</c:formatCode>
                <c:ptCount val="10"/>
                <c:pt idx="0">
                  <c:v>-1.1721600000000001</c:v>
                </c:pt>
                <c:pt idx="1">
                  <c:v>-1.6518200000000003</c:v>
                </c:pt>
                <c:pt idx="2">
                  <c:v>-1.39561</c:v>
                </c:pt>
                <c:pt idx="3">
                  <c:v>-1.12113</c:v>
                </c:pt>
                <c:pt idx="4">
                  <c:v>-2.0046400000000002</c:v>
                </c:pt>
                <c:pt idx="5">
                  <c:v>-1.1153500000000001</c:v>
                </c:pt>
                <c:pt idx="6">
                  <c:v>-2.9022000000000001</c:v>
                </c:pt>
                <c:pt idx="7">
                  <c:v>-3.3881100000000002</c:v>
                </c:pt>
                <c:pt idx="8">
                  <c:v>-1.10351</c:v>
                </c:pt>
                <c:pt idx="9">
                  <c:v>-2.8757100000000002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1C-4B20-BA6B-BA4E4C10489C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МГК!$B$52:$B$84</c:f>
              <c:numCache>
                <c:formatCode>General</c:formatCode>
                <c:ptCount val="33"/>
                <c:pt idx="0">
                  <c:v>-0.50237999999999994</c:v>
                </c:pt>
                <c:pt idx="1">
                  <c:v>-0.20359000000000002</c:v>
                </c:pt>
                <c:pt idx="2">
                  <c:v>0.13326000000000002</c:v>
                </c:pt>
                <c:pt idx="3">
                  <c:v>-0.62839000000000012</c:v>
                </c:pt>
                <c:pt idx="4">
                  <c:v>-0.53186</c:v>
                </c:pt>
                <c:pt idx="5">
                  <c:v>-0.41872000000000004</c:v>
                </c:pt>
                <c:pt idx="6">
                  <c:v>-0.49722</c:v>
                </c:pt>
                <c:pt idx="7">
                  <c:v>8.6E-3</c:v>
                </c:pt>
                <c:pt idx="8">
                  <c:v>-0.64357000000000009</c:v>
                </c:pt>
                <c:pt idx="9">
                  <c:v>-0.22613</c:v>
                </c:pt>
                <c:pt idx="10">
                  <c:v>-0.72847000000000006</c:v>
                </c:pt>
                <c:pt idx="11">
                  <c:v>-0.20915</c:v>
                </c:pt>
                <c:pt idx="12">
                  <c:v>2.5300000000000001E-3</c:v>
                </c:pt>
                <c:pt idx="13">
                  <c:v>-3.5119999999999998E-2</c:v>
                </c:pt>
                <c:pt idx="14">
                  <c:v>-0.59077000000000002</c:v>
                </c:pt>
                <c:pt idx="15">
                  <c:v>-0.54372000000000009</c:v>
                </c:pt>
                <c:pt idx="16">
                  <c:v>-0.84650000000000003</c:v>
                </c:pt>
                <c:pt idx="17">
                  <c:v>-0.45980000000000004</c:v>
                </c:pt>
                <c:pt idx="18">
                  <c:v>-0.31517000000000006</c:v>
                </c:pt>
                <c:pt idx="19">
                  <c:v>-0.68588000000000005</c:v>
                </c:pt>
                <c:pt idx="20">
                  <c:v>-0.55884000000000011</c:v>
                </c:pt>
                <c:pt idx="21">
                  <c:v>8.4330000000000002E-2</c:v>
                </c:pt>
                <c:pt idx="22">
                  <c:v>-0.55091000000000001</c:v>
                </c:pt>
                <c:pt idx="23">
                  <c:v>-0.41752000000000006</c:v>
                </c:pt>
                <c:pt idx="24">
                  <c:v>-0.12430000000000001</c:v>
                </c:pt>
                <c:pt idx="25">
                  <c:v>-0.41912000000000005</c:v>
                </c:pt>
                <c:pt idx="26">
                  <c:v>-0.24506000000000003</c:v>
                </c:pt>
                <c:pt idx="27">
                  <c:v>-0.67116000000000009</c:v>
                </c:pt>
                <c:pt idx="28">
                  <c:v>-0.34032000000000007</c:v>
                </c:pt>
                <c:pt idx="29">
                  <c:v>-0.51319999999999999</c:v>
                </c:pt>
                <c:pt idx="30">
                  <c:v>-0.66852000000000011</c:v>
                </c:pt>
                <c:pt idx="31">
                  <c:v>-0.32028000000000006</c:v>
                </c:pt>
                <c:pt idx="32">
                  <c:v>-0.22393000000000002</c:v>
                </c:pt>
              </c:numCache>
            </c:numRef>
          </c:xVal>
          <c:yVal>
            <c:numRef>
              <c:f>МГК!$C$52:$C$84</c:f>
              <c:numCache>
                <c:formatCode>General</c:formatCode>
                <c:ptCount val="33"/>
                <c:pt idx="0">
                  <c:v>0.16116</c:v>
                </c:pt>
                <c:pt idx="1">
                  <c:v>1.0617399999999999</c:v>
                </c:pt>
                <c:pt idx="2">
                  <c:v>-0.60145999999999999</c:v>
                </c:pt>
                <c:pt idx="3">
                  <c:v>-0.25152000000000002</c:v>
                </c:pt>
                <c:pt idx="4">
                  <c:v>-8.6890000000000009E-2</c:v>
                </c:pt>
                <c:pt idx="5">
                  <c:v>-0.16073000000000001</c:v>
                </c:pt>
                <c:pt idx="6">
                  <c:v>-0.32953000000000005</c:v>
                </c:pt>
                <c:pt idx="7">
                  <c:v>0.15051000000000003</c:v>
                </c:pt>
                <c:pt idx="8">
                  <c:v>2.8879999999999999E-2</c:v>
                </c:pt>
                <c:pt idx="9">
                  <c:v>0.44308000000000003</c:v>
                </c:pt>
                <c:pt idx="10">
                  <c:v>0.55280000000000007</c:v>
                </c:pt>
                <c:pt idx="11">
                  <c:v>-0.7551000000000001</c:v>
                </c:pt>
                <c:pt idx="12">
                  <c:v>0.32923000000000002</c:v>
                </c:pt>
                <c:pt idx="13">
                  <c:v>0.16599000000000003</c:v>
                </c:pt>
                <c:pt idx="14">
                  <c:v>0.16976000000000002</c:v>
                </c:pt>
                <c:pt idx="15">
                  <c:v>0.14867</c:v>
                </c:pt>
                <c:pt idx="16">
                  <c:v>0.8180400000000001</c:v>
                </c:pt>
                <c:pt idx="17">
                  <c:v>-0.31328000000000006</c:v>
                </c:pt>
                <c:pt idx="18">
                  <c:v>0.83363000000000009</c:v>
                </c:pt>
                <c:pt idx="19">
                  <c:v>-0.93345999999999996</c:v>
                </c:pt>
                <c:pt idx="20">
                  <c:v>-0.53789000000000009</c:v>
                </c:pt>
                <c:pt idx="21">
                  <c:v>-0.39680000000000004</c:v>
                </c:pt>
                <c:pt idx="22">
                  <c:v>-0.42895000000000005</c:v>
                </c:pt>
                <c:pt idx="23">
                  <c:v>0.31249000000000005</c:v>
                </c:pt>
                <c:pt idx="24">
                  <c:v>-7.3870000000000005E-2</c:v>
                </c:pt>
                <c:pt idx="25">
                  <c:v>3.3730000000000003E-2</c:v>
                </c:pt>
                <c:pt idx="26">
                  <c:v>0.54222999999999999</c:v>
                </c:pt>
                <c:pt idx="27">
                  <c:v>0.22528000000000001</c:v>
                </c:pt>
                <c:pt idx="28">
                  <c:v>0.56952999999999998</c:v>
                </c:pt>
                <c:pt idx="29">
                  <c:v>0.1686</c:v>
                </c:pt>
                <c:pt idx="30">
                  <c:v>1.8550000000000004E-2</c:v>
                </c:pt>
                <c:pt idx="31">
                  <c:v>-0.52635999999999994</c:v>
                </c:pt>
                <c:pt idx="32">
                  <c:v>0.20697000000000002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1C-4B20-BA6B-BA4E4C10489C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МГК!$B$85:$B$91</c:f>
              <c:numCache>
                <c:formatCode>General</c:formatCode>
                <c:ptCount val="7"/>
                <c:pt idx="0">
                  <c:v>1.1487400000000001</c:v>
                </c:pt>
                <c:pt idx="1">
                  <c:v>1.4438299999999999</c:v>
                </c:pt>
                <c:pt idx="2">
                  <c:v>0.94821</c:v>
                </c:pt>
                <c:pt idx="3">
                  <c:v>1.1212299999999999</c:v>
                </c:pt>
                <c:pt idx="4">
                  <c:v>1.64533</c:v>
                </c:pt>
                <c:pt idx="5">
                  <c:v>1.8196400000000001</c:v>
                </c:pt>
                <c:pt idx="6">
                  <c:v>3.6351400000000003</c:v>
                </c:pt>
              </c:numCache>
            </c:numRef>
          </c:xVal>
          <c:yVal>
            <c:numRef>
              <c:f>МГК!$C$85:$C$91</c:f>
              <c:numCache>
                <c:formatCode>General</c:formatCode>
                <c:ptCount val="7"/>
                <c:pt idx="0">
                  <c:v>1.4724900000000001</c:v>
                </c:pt>
                <c:pt idx="1">
                  <c:v>1.6760300000000001</c:v>
                </c:pt>
                <c:pt idx="2">
                  <c:v>7.6700000000000018E-2</c:v>
                </c:pt>
                <c:pt idx="3">
                  <c:v>-1.17252</c:v>
                </c:pt>
                <c:pt idx="4">
                  <c:v>1.33396</c:v>
                </c:pt>
                <c:pt idx="5">
                  <c:v>-1.0324199999999999</c:v>
                </c:pt>
                <c:pt idx="6">
                  <c:v>-0.71449000000000007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1C-4B20-BA6B-BA4E4C10489C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МГК!$B$92:$B$93</c:f>
              <c:numCache>
                <c:formatCode>General</c:formatCode>
                <c:ptCount val="2"/>
                <c:pt idx="0">
                  <c:v>4.9273400000000001</c:v>
                </c:pt>
                <c:pt idx="1">
                  <c:v>4.2003000000000004</c:v>
                </c:pt>
              </c:numCache>
            </c:numRef>
          </c:xVal>
          <c:yVal>
            <c:numRef>
              <c:f>МГК!$C$92:$C$93</c:f>
              <c:numCache>
                <c:formatCode>General</c:formatCode>
                <c:ptCount val="2"/>
                <c:pt idx="0">
                  <c:v>-0.97987000000000002</c:v>
                </c:pt>
                <c:pt idx="1">
                  <c:v>-0.99387000000000003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1C-4B20-BA6B-BA4E4C10489C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МГК!$B$94:$B$109</c:f>
              <c:numCache>
                <c:formatCode>General</c:formatCode>
                <c:ptCount val="16"/>
                <c:pt idx="0">
                  <c:v>0.43931000000000009</c:v>
                </c:pt>
                <c:pt idx="1">
                  <c:v>-0.66485000000000016</c:v>
                </c:pt>
                <c:pt idx="2">
                  <c:v>-0.34315000000000001</c:v>
                </c:pt>
                <c:pt idx="3">
                  <c:v>-0.18803</c:v>
                </c:pt>
                <c:pt idx="4">
                  <c:v>-0.56655999999999995</c:v>
                </c:pt>
                <c:pt idx="5">
                  <c:v>-1.30443</c:v>
                </c:pt>
                <c:pt idx="6">
                  <c:v>1.1227</c:v>
                </c:pt>
                <c:pt idx="7">
                  <c:v>-0.36064000000000002</c:v>
                </c:pt>
                <c:pt idx="8">
                  <c:v>-0.27862000000000003</c:v>
                </c:pt>
                <c:pt idx="9">
                  <c:v>-0.61976000000000009</c:v>
                </c:pt>
                <c:pt idx="10">
                  <c:v>8.6510000000000004E-2</c:v>
                </c:pt>
                <c:pt idx="11">
                  <c:v>-0.53300000000000003</c:v>
                </c:pt>
                <c:pt idx="12">
                  <c:v>-0.62122000000000011</c:v>
                </c:pt>
                <c:pt idx="13">
                  <c:v>-0.6396900000000002</c:v>
                </c:pt>
                <c:pt idx="14">
                  <c:v>-0.27363999999999999</c:v>
                </c:pt>
                <c:pt idx="15">
                  <c:v>-0.21990000000000004</c:v>
                </c:pt>
              </c:numCache>
            </c:numRef>
          </c:xVal>
          <c:yVal>
            <c:numRef>
              <c:f>МГК!$C$94:$C$109</c:f>
              <c:numCache>
                <c:formatCode>General</c:formatCode>
                <c:ptCount val="16"/>
                <c:pt idx="0">
                  <c:v>1.6243700000000001</c:v>
                </c:pt>
                <c:pt idx="1">
                  <c:v>1.7964199999999999</c:v>
                </c:pt>
                <c:pt idx="2">
                  <c:v>0.27394000000000002</c:v>
                </c:pt>
                <c:pt idx="3">
                  <c:v>0.47038000000000008</c:v>
                </c:pt>
                <c:pt idx="4">
                  <c:v>0.54502000000000006</c:v>
                </c:pt>
                <c:pt idx="5">
                  <c:v>1.0271699999999999</c:v>
                </c:pt>
                <c:pt idx="6">
                  <c:v>1.38381</c:v>
                </c:pt>
                <c:pt idx="7">
                  <c:v>3.9140000000000001E-2</c:v>
                </c:pt>
                <c:pt idx="8">
                  <c:v>0.28314</c:v>
                </c:pt>
                <c:pt idx="9">
                  <c:v>-6.2239999999999997E-2</c:v>
                </c:pt>
                <c:pt idx="10">
                  <c:v>1.35903</c:v>
                </c:pt>
                <c:pt idx="11">
                  <c:v>0.6780400000000002</c:v>
                </c:pt>
                <c:pt idx="12">
                  <c:v>6.6030000000000005E-2</c:v>
                </c:pt>
                <c:pt idx="13">
                  <c:v>9.6009999999999998E-2</c:v>
                </c:pt>
                <c:pt idx="14">
                  <c:v>-0.32472000000000006</c:v>
                </c:pt>
                <c:pt idx="15">
                  <c:v>0.71366000000000007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1C-4B20-BA6B-BA4E4C10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81728"/>
        <c:axId val="295580064"/>
      </c:scatterChart>
      <c:valAx>
        <c:axId val="2955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580064"/>
        <c:crosses val="autoZero"/>
        <c:crossBetween val="midCat"/>
      </c:valAx>
      <c:valAx>
        <c:axId val="2955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5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Ward old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642380774987204E-2"/>
          <c:y val="0.12158517355174464"/>
          <c:w val="0.92234149988684111"/>
          <c:h val="0.784162753927523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МГК!$F$25:$F$57</c:f>
              <c:numCache>
                <c:formatCode>General</c:formatCode>
                <c:ptCount val="33"/>
                <c:pt idx="0">
                  <c:v>-0.50237999999999994</c:v>
                </c:pt>
                <c:pt idx="1">
                  <c:v>-0.20359000000000002</c:v>
                </c:pt>
                <c:pt idx="2">
                  <c:v>0.13326000000000002</c:v>
                </c:pt>
                <c:pt idx="3">
                  <c:v>-0.62839000000000012</c:v>
                </c:pt>
                <c:pt idx="4">
                  <c:v>-0.53186</c:v>
                </c:pt>
                <c:pt idx="5">
                  <c:v>-0.41872000000000004</c:v>
                </c:pt>
                <c:pt idx="6">
                  <c:v>-0.49722</c:v>
                </c:pt>
                <c:pt idx="7">
                  <c:v>8.6E-3</c:v>
                </c:pt>
                <c:pt idx="8">
                  <c:v>-0.64357000000000009</c:v>
                </c:pt>
                <c:pt idx="9">
                  <c:v>-0.22613</c:v>
                </c:pt>
                <c:pt idx="10">
                  <c:v>-0.72847000000000006</c:v>
                </c:pt>
                <c:pt idx="11">
                  <c:v>-0.20915</c:v>
                </c:pt>
                <c:pt idx="12">
                  <c:v>2.5300000000000001E-3</c:v>
                </c:pt>
                <c:pt idx="13">
                  <c:v>-3.5119999999999998E-2</c:v>
                </c:pt>
                <c:pt idx="14">
                  <c:v>0.17597000000000002</c:v>
                </c:pt>
                <c:pt idx="15">
                  <c:v>-0.59077000000000002</c:v>
                </c:pt>
                <c:pt idx="16">
                  <c:v>-0.54372000000000009</c:v>
                </c:pt>
                <c:pt idx="17">
                  <c:v>-0.45980000000000004</c:v>
                </c:pt>
                <c:pt idx="18">
                  <c:v>-0.31517000000000006</c:v>
                </c:pt>
                <c:pt idx="19">
                  <c:v>-0.68588000000000005</c:v>
                </c:pt>
                <c:pt idx="20">
                  <c:v>-0.55884000000000011</c:v>
                </c:pt>
                <c:pt idx="21">
                  <c:v>8.4330000000000002E-2</c:v>
                </c:pt>
                <c:pt idx="22">
                  <c:v>-0.55091000000000001</c:v>
                </c:pt>
                <c:pt idx="23">
                  <c:v>-0.41752000000000006</c:v>
                </c:pt>
                <c:pt idx="24">
                  <c:v>-0.12430000000000001</c:v>
                </c:pt>
                <c:pt idx="25">
                  <c:v>-0.41912000000000005</c:v>
                </c:pt>
                <c:pt idx="26">
                  <c:v>-0.24506000000000003</c:v>
                </c:pt>
                <c:pt idx="27">
                  <c:v>-0.67116000000000009</c:v>
                </c:pt>
                <c:pt idx="28">
                  <c:v>-0.34032000000000007</c:v>
                </c:pt>
                <c:pt idx="29">
                  <c:v>-0.51319999999999999</c:v>
                </c:pt>
                <c:pt idx="30">
                  <c:v>-0.66852000000000011</c:v>
                </c:pt>
                <c:pt idx="31">
                  <c:v>-0.32028000000000006</c:v>
                </c:pt>
                <c:pt idx="32">
                  <c:v>-0.22393000000000002</c:v>
                </c:pt>
              </c:numCache>
            </c:numRef>
          </c:xVal>
          <c:yVal>
            <c:numRef>
              <c:f>МГК!$G$25:$G$57</c:f>
              <c:numCache>
                <c:formatCode>General</c:formatCode>
                <c:ptCount val="33"/>
                <c:pt idx="0">
                  <c:v>0.16116</c:v>
                </c:pt>
                <c:pt idx="1">
                  <c:v>1.0617399999999999</c:v>
                </c:pt>
                <c:pt idx="2">
                  <c:v>-0.60145999999999999</c:v>
                </c:pt>
                <c:pt idx="3">
                  <c:v>-0.25152000000000002</c:v>
                </c:pt>
                <c:pt idx="4">
                  <c:v>-8.6890000000000009E-2</c:v>
                </c:pt>
                <c:pt idx="5">
                  <c:v>-0.16073000000000001</c:v>
                </c:pt>
                <c:pt idx="6">
                  <c:v>-0.32953000000000005</c:v>
                </c:pt>
                <c:pt idx="7">
                  <c:v>0.15051000000000003</c:v>
                </c:pt>
                <c:pt idx="8">
                  <c:v>2.8879999999999999E-2</c:v>
                </c:pt>
                <c:pt idx="9">
                  <c:v>0.44308000000000003</c:v>
                </c:pt>
                <c:pt idx="10">
                  <c:v>0.55280000000000007</c:v>
                </c:pt>
                <c:pt idx="11">
                  <c:v>-0.7551000000000001</c:v>
                </c:pt>
                <c:pt idx="12">
                  <c:v>0.32923000000000002</c:v>
                </c:pt>
                <c:pt idx="13">
                  <c:v>0.16599000000000003</c:v>
                </c:pt>
                <c:pt idx="14">
                  <c:v>-4.3450000000000003E-2</c:v>
                </c:pt>
                <c:pt idx="15">
                  <c:v>0.16976000000000002</c:v>
                </c:pt>
                <c:pt idx="16">
                  <c:v>0.14867</c:v>
                </c:pt>
                <c:pt idx="17">
                  <c:v>-0.31328000000000006</c:v>
                </c:pt>
                <c:pt idx="18">
                  <c:v>0.83363000000000009</c:v>
                </c:pt>
                <c:pt idx="19">
                  <c:v>-0.93345999999999996</c:v>
                </c:pt>
                <c:pt idx="20">
                  <c:v>-0.53789000000000009</c:v>
                </c:pt>
                <c:pt idx="21">
                  <c:v>-0.39680000000000004</c:v>
                </c:pt>
                <c:pt idx="22">
                  <c:v>-0.42895000000000005</c:v>
                </c:pt>
                <c:pt idx="23">
                  <c:v>0.31249000000000005</c:v>
                </c:pt>
                <c:pt idx="24">
                  <c:v>-7.3870000000000005E-2</c:v>
                </c:pt>
                <c:pt idx="25">
                  <c:v>3.3730000000000003E-2</c:v>
                </c:pt>
                <c:pt idx="26">
                  <c:v>0.54222999999999999</c:v>
                </c:pt>
                <c:pt idx="27">
                  <c:v>0.22528000000000001</c:v>
                </c:pt>
                <c:pt idx="28">
                  <c:v>0.56952999999999998</c:v>
                </c:pt>
                <c:pt idx="29">
                  <c:v>0.1686</c:v>
                </c:pt>
                <c:pt idx="30">
                  <c:v>1.8550000000000004E-2</c:v>
                </c:pt>
                <c:pt idx="31">
                  <c:v>-0.52635999999999994</c:v>
                </c:pt>
                <c:pt idx="32">
                  <c:v>0.20697000000000002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6-419D-B75F-87B7E785AFB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МГК!$F$58:$F$64</c:f>
              <c:numCache>
                <c:formatCode>General</c:formatCode>
                <c:ptCount val="7"/>
                <c:pt idx="0">
                  <c:v>-0.36954000000000004</c:v>
                </c:pt>
                <c:pt idx="1">
                  <c:v>0.24460000000000001</c:v>
                </c:pt>
                <c:pt idx="2">
                  <c:v>0.15765000000000001</c:v>
                </c:pt>
                <c:pt idx="3">
                  <c:v>0.3258700000000001</c:v>
                </c:pt>
                <c:pt idx="4">
                  <c:v>-0.78491</c:v>
                </c:pt>
                <c:pt idx="5">
                  <c:v>0.18692</c:v>
                </c:pt>
                <c:pt idx="6">
                  <c:v>0.45984000000000003</c:v>
                </c:pt>
              </c:numCache>
            </c:numRef>
          </c:xVal>
          <c:yVal>
            <c:numRef>
              <c:f>МГК!$G$58:$G$64</c:f>
              <c:numCache>
                <c:formatCode>General</c:formatCode>
                <c:ptCount val="7"/>
                <c:pt idx="0">
                  <c:v>-1.1721600000000001</c:v>
                </c:pt>
                <c:pt idx="1">
                  <c:v>-8.7790000000000021E-2</c:v>
                </c:pt>
                <c:pt idx="2">
                  <c:v>-1.12113</c:v>
                </c:pt>
                <c:pt idx="3">
                  <c:v>-1.0186200000000001</c:v>
                </c:pt>
                <c:pt idx="4">
                  <c:v>-2.0046400000000002</c:v>
                </c:pt>
                <c:pt idx="5">
                  <c:v>0.39508000000000004</c:v>
                </c:pt>
                <c:pt idx="6">
                  <c:v>3.032E-2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6-419D-B75F-87B7E785AFB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МГК!$F$65:$F$79</c:f>
              <c:numCache>
                <c:formatCode>General</c:formatCode>
                <c:ptCount val="15"/>
                <c:pt idx="0">
                  <c:v>-0.66485000000000016</c:v>
                </c:pt>
                <c:pt idx="1">
                  <c:v>-0.34315000000000001</c:v>
                </c:pt>
                <c:pt idx="2">
                  <c:v>-0.18803</c:v>
                </c:pt>
                <c:pt idx="3">
                  <c:v>-0.56655999999999995</c:v>
                </c:pt>
                <c:pt idx="4">
                  <c:v>-1.30443</c:v>
                </c:pt>
                <c:pt idx="5">
                  <c:v>-0.36064000000000002</c:v>
                </c:pt>
                <c:pt idx="6">
                  <c:v>-0.27862000000000003</c:v>
                </c:pt>
                <c:pt idx="7">
                  <c:v>1.022E-2</c:v>
                </c:pt>
                <c:pt idx="8">
                  <c:v>-0.84650000000000003</c:v>
                </c:pt>
                <c:pt idx="9">
                  <c:v>-0.61976000000000009</c:v>
                </c:pt>
                <c:pt idx="10">
                  <c:v>-0.53300000000000003</c:v>
                </c:pt>
                <c:pt idx="11">
                  <c:v>-0.62122000000000011</c:v>
                </c:pt>
                <c:pt idx="12">
                  <c:v>-0.6396900000000002</c:v>
                </c:pt>
                <c:pt idx="13">
                  <c:v>-0.27363999999999999</c:v>
                </c:pt>
                <c:pt idx="14">
                  <c:v>-0.21990000000000004</c:v>
                </c:pt>
              </c:numCache>
            </c:numRef>
          </c:xVal>
          <c:yVal>
            <c:numRef>
              <c:f>МГК!$G$65:$G$79</c:f>
              <c:numCache>
                <c:formatCode>General</c:formatCode>
                <c:ptCount val="15"/>
                <c:pt idx="0">
                  <c:v>1.7964199999999999</c:v>
                </c:pt>
                <c:pt idx="1">
                  <c:v>0.27394000000000002</c:v>
                </c:pt>
                <c:pt idx="2">
                  <c:v>0.47038000000000008</c:v>
                </c:pt>
                <c:pt idx="3">
                  <c:v>0.54502000000000006</c:v>
                </c:pt>
                <c:pt idx="4">
                  <c:v>1.0271699999999999</c:v>
                </c:pt>
                <c:pt idx="5">
                  <c:v>3.9140000000000001E-2</c:v>
                </c:pt>
                <c:pt idx="6">
                  <c:v>0.28314</c:v>
                </c:pt>
                <c:pt idx="7">
                  <c:v>1.1229800000000001</c:v>
                </c:pt>
                <c:pt idx="8">
                  <c:v>0.8180400000000001</c:v>
                </c:pt>
                <c:pt idx="9">
                  <c:v>-6.2239999999999997E-2</c:v>
                </c:pt>
                <c:pt idx="10">
                  <c:v>0.6780400000000002</c:v>
                </c:pt>
                <c:pt idx="11">
                  <c:v>6.6030000000000005E-2</c:v>
                </c:pt>
                <c:pt idx="12">
                  <c:v>9.6009999999999998E-2</c:v>
                </c:pt>
                <c:pt idx="13">
                  <c:v>-0.32472000000000006</c:v>
                </c:pt>
                <c:pt idx="14">
                  <c:v>0.71366000000000007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6-419D-B75F-87B7E785AFB1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МГК!$F$80:$F$89</c:f>
              <c:numCache>
                <c:formatCode>General</c:formatCode>
                <c:ptCount val="10"/>
                <c:pt idx="0">
                  <c:v>-3.8210000000000001E-2</c:v>
                </c:pt>
                <c:pt idx="1">
                  <c:v>-0.38940000000000008</c:v>
                </c:pt>
                <c:pt idx="2">
                  <c:v>-0.92242000000000002</c:v>
                </c:pt>
                <c:pt idx="3">
                  <c:v>-0.49545</c:v>
                </c:pt>
                <c:pt idx="4">
                  <c:v>-0.70701000000000003</c:v>
                </c:pt>
                <c:pt idx="5">
                  <c:v>-0.43141000000000007</c:v>
                </c:pt>
                <c:pt idx="6">
                  <c:v>-0.26137000000000005</c:v>
                </c:pt>
                <c:pt idx="7">
                  <c:v>1.1212299999999999</c:v>
                </c:pt>
                <c:pt idx="8">
                  <c:v>1.8196400000000001</c:v>
                </c:pt>
                <c:pt idx="9">
                  <c:v>-0.76756999999999997</c:v>
                </c:pt>
              </c:numCache>
            </c:numRef>
          </c:xVal>
          <c:yVal>
            <c:numRef>
              <c:f>МГК!$G$80:$G$89</c:f>
              <c:numCache>
                <c:formatCode>General</c:formatCode>
                <c:ptCount val="10"/>
                <c:pt idx="0">
                  <c:v>-0.21905000000000002</c:v>
                </c:pt>
                <c:pt idx="1">
                  <c:v>-1.6518200000000003</c:v>
                </c:pt>
                <c:pt idx="2">
                  <c:v>-1.39561</c:v>
                </c:pt>
                <c:pt idx="3">
                  <c:v>-1.1153500000000001</c:v>
                </c:pt>
                <c:pt idx="4">
                  <c:v>-2.9022000000000001</c:v>
                </c:pt>
                <c:pt idx="5">
                  <c:v>-3.3881100000000002</c:v>
                </c:pt>
                <c:pt idx="6">
                  <c:v>-1.10351</c:v>
                </c:pt>
                <c:pt idx="7">
                  <c:v>-1.17252</c:v>
                </c:pt>
                <c:pt idx="8">
                  <c:v>-1.0324199999999999</c:v>
                </c:pt>
                <c:pt idx="9">
                  <c:v>-2.8757100000000002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36-419D-B75F-87B7E785AFB1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МГК!$F$90:$F$106</c:f>
              <c:numCache>
                <c:formatCode>General</c:formatCode>
                <c:ptCount val="17"/>
                <c:pt idx="0">
                  <c:v>0.43931000000000009</c:v>
                </c:pt>
                <c:pt idx="1">
                  <c:v>1.1487400000000001</c:v>
                </c:pt>
                <c:pt idx="2">
                  <c:v>1.4438299999999999</c:v>
                </c:pt>
                <c:pt idx="3">
                  <c:v>-3.7069999999999999E-2</c:v>
                </c:pt>
                <c:pt idx="4">
                  <c:v>0.94821</c:v>
                </c:pt>
                <c:pt idx="5">
                  <c:v>0.17839000000000002</c:v>
                </c:pt>
                <c:pt idx="6">
                  <c:v>1.1227</c:v>
                </c:pt>
                <c:pt idx="7">
                  <c:v>0.48089000000000004</c:v>
                </c:pt>
                <c:pt idx="8">
                  <c:v>3.1719999999999998E-2</c:v>
                </c:pt>
                <c:pt idx="9">
                  <c:v>-0.24419000000000002</c:v>
                </c:pt>
                <c:pt idx="10">
                  <c:v>-8.5020000000000012E-2</c:v>
                </c:pt>
                <c:pt idx="11">
                  <c:v>8.6510000000000004E-2</c:v>
                </c:pt>
                <c:pt idx="12">
                  <c:v>0.16890000000000002</c:v>
                </c:pt>
                <c:pt idx="13">
                  <c:v>1.64533</c:v>
                </c:pt>
                <c:pt idx="14">
                  <c:v>-0.29218000000000005</c:v>
                </c:pt>
                <c:pt idx="15">
                  <c:v>0.11079000000000001</c:v>
                </c:pt>
                <c:pt idx="16">
                  <c:v>0.26006000000000001</c:v>
                </c:pt>
              </c:numCache>
            </c:numRef>
          </c:xVal>
          <c:yVal>
            <c:numRef>
              <c:f>МГК!$G$90:$G$106</c:f>
              <c:numCache>
                <c:formatCode>General</c:formatCode>
                <c:ptCount val="17"/>
                <c:pt idx="0">
                  <c:v>1.6243700000000001</c:v>
                </c:pt>
                <c:pt idx="1">
                  <c:v>1.4724900000000001</c:v>
                </c:pt>
                <c:pt idx="2">
                  <c:v>1.6760300000000001</c:v>
                </c:pt>
                <c:pt idx="3">
                  <c:v>0.90200999999999998</c:v>
                </c:pt>
                <c:pt idx="4">
                  <c:v>7.6700000000000018E-2</c:v>
                </c:pt>
                <c:pt idx="5">
                  <c:v>0.36261000000000004</c:v>
                </c:pt>
                <c:pt idx="6">
                  <c:v>1.38381</c:v>
                </c:pt>
                <c:pt idx="7">
                  <c:v>1.3622700000000001</c:v>
                </c:pt>
                <c:pt idx="8">
                  <c:v>0.81829000000000007</c:v>
                </c:pt>
                <c:pt idx="9">
                  <c:v>1.81498</c:v>
                </c:pt>
                <c:pt idx="10">
                  <c:v>0.59414999999999996</c:v>
                </c:pt>
                <c:pt idx="11">
                  <c:v>1.35903</c:v>
                </c:pt>
                <c:pt idx="12">
                  <c:v>-0.27545000000000003</c:v>
                </c:pt>
                <c:pt idx="13">
                  <c:v>1.33396</c:v>
                </c:pt>
                <c:pt idx="14">
                  <c:v>0.39384000000000002</c:v>
                </c:pt>
                <c:pt idx="15">
                  <c:v>0.67219000000000018</c:v>
                </c:pt>
                <c:pt idx="16">
                  <c:v>0.72563000000000011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36-419D-B75F-87B7E785AFB1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МГК!$F$107:$F$109</c:f>
              <c:numCache>
                <c:formatCode>General</c:formatCode>
                <c:ptCount val="3"/>
                <c:pt idx="0">
                  <c:v>4.9273400000000001</c:v>
                </c:pt>
                <c:pt idx="1">
                  <c:v>3.6351400000000003</c:v>
                </c:pt>
                <c:pt idx="2">
                  <c:v>4.2003000000000004</c:v>
                </c:pt>
              </c:numCache>
            </c:numRef>
          </c:xVal>
          <c:yVal>
            <c:numRef>
              <c:f>МГК!$G$107:$G$109</c:f>
              <c:numCache>
                <c:formatCode>General</c:formatCode>
                <c:ptCount val="3"/>
                <c:pt idx="0">
                  <c:v>-0.97987000000000002</c:v>
                </c:pt>
                <c:pt idx="1">
                  <c:v>-0.71449000000000007</c:v>
                </c:pt>
                <c:pt idx="2">
                  <c:v>-0.99387000000000003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36-419D-B75F-87B7E785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28112"/>
        <c:axId val="588323120"/>
      </c:scatterChart>
      <c:valAx>
        <c:axId val="5883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323120"/>
        <c:crosses val="autoZero"/>
        <c:crossBetween val="midCat"/>
      </c:valAx>
      <c:valAx>
        <c:axId val="5883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32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Ward new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МГК!$N$25:$N$35</c:f>
              <c:numCache>
                <c:formatCode>General</c:formatCode>
                <c:ptCount val="11"/>
                <c:pt idx="0">
                  <c:v>-0.36954184096567472</c:v>
                </c:pt>
                <c:pt idx="1">
                  <c:v>-0.38939534933886888</c:v>
                </c:pt>
                <c:pt idx="2">
                  <c:v>-0.92242027962921991</c:v>
                </c:pt>
                <c:pt idx="3">
                  <c:v>0.15765351620655499</c:v>
                </c:pt>
                <c:pt idx="4">
                  <c:v>0.32586958656467713</c:v>
                </c:pt>
                <c:pt idx="5">
                  <c:v>-0.78490744119068034</c:v>
                </c:pt>
                <c:pt idx="6">
                  <c:v>-0.49544674921168991</c:v>
                </c:pt>
                <c:pt idx="7">
                  <c:v>-0.26136751096930211</c:v>
                </c:pt>
                <c:pt idx="8">
                  <c:v>-0.68588353693613324</c:v>
                </c:pt>
                <c:pt idx="9">
                  <c:v>1.121229902042258</c:v>
                </c:pt>
                <c:pt idx="10">
                  <c:v>1.8196413197788011</c:v>
                </c:pt>
              </c:numCache>
            </c:numRef>
          </c:xVal>
          <c:yVal>
            <c:numRef>
              <c:f>МГК!$O$25:$O$35</c:f>
              <c:numCache>
                <c:formatCode>General</c:formatCode>
                <c:ptCount val="11"/>
                <c:pt idx="0">
                  <c:v>1.1721645312051181</c:v>
                </c:pt>
                <c:pt idx="1">
                  <c:v>1.6518154811154091</c:v>
                </c:pt>
                <c:pt idx="2">
                  <c:v>1.395614150759894</c:v>
                </c:pt>
                <c:pt idx="3">
                  <c:v>1.1211276078498911</c:v>
                </c:pt>
                <c:pt idx="4">
                  <c:v>1.0186246715872449</c:v>
                </c:pt>
                <c:pt idx="5">
                  <c:v>2.0046384175698848</c:v>
                </c:pt>
                <c:pt idx="6">
                  <c:v>1.115353070475857</c:v>
                </c:pt>
                <c:pt idx="7">
                  <c:v>1.1035108561914391</c:v>
                </c:pt>
                <c:pt idx="8">
                  <c:v>0.93345779702703258</c:v>
                </c:pt>
                <c:pt idx="9">
                  <c:v>1.1725198224488911</c:v>
                </c:pt>
                <c:pt idx="10">
                  <c:v>1.032419465872529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AA-48E7-91E7-81DE55BD7834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МГК!$N$36:$N$66</c:f>
              <c:numCache>
                <c:formatCode>General</c:formatCode>
                <c:ptCount val="31"/>
                <c:pt idx="0">
                  <c:v>-0.50237504782949305</c:v>
                </c:pt>
                <c:pt idx="1">
                  <c:v>-3.8212745948197527E-2</c:v>
                </c:pt>
                <c:pt idx="2">
                  <c:v>0.13326043326521089</c:v>
                </c:pt>
                <c:pt idx="3">
                  <c:v>-0.62839207837731759</c:v>
                </c:pt>
                <c:pt idx="4">
                  <c:v>-0.5318566872201016</c:v>
                </c:pt>
                <c:pt idx="5">
                  <c:v>-0.41871693897660012</c:v>
                </c:pt>
                <c:pt idx="6">
                  <c:v>-0.49721749439533452</c:v>
                </c:pt>
                <c:pt idx="7">
                  <c:v>-0.64357211356757515</c:v>
                </c:pt>
                <c:pt idx="8">
                  <c:v>0.24460451534785099</c:v>
                </c:pt>
                <c:pt idx="9">
                  <c:v>0.94821359838146468</c:v>
                </c:pt>
                <c:pt idx="10">
                  <c:v>-0.2091517114189663</c:v>
                </c:pt>
                <c:pt idx="11">
                  <c:v>0.17596595900598799</c:v>
                </c:pt>
                <c:pt idx="12">
                  <c:v>-0.36064252165046218</c:v>
                </c:pt>
                <c:pt idx="13">
                  <c:v>-0.59077230029766203</c:v>
                </c:pt>
                <c:pt idx="14">
                  <c:v>-0.54371657298208187</c:v>
                </c:pt>
                <c:pt idx="15">
                  <c:v>-0.45980382713707668</c:v>
                </c:pt>
                <c:pt idx="16">
                  <c:v>-0.61976387824194501</c:v>
                </c:pt>
                <c:pt idx="17">
                  <c:v>-0.55884460135654623</c:v>
                </c:pt>
                <c:pt idx="18">
                  <c:v>8.4325000070732972E-2</c:v>
                </c:pt>
                <c:pt idx="19">
                  <c:v>0.16889997583475061</c:v>
                </c:pt>
                <c:pt idx="20">
                  <c:v>-0.6212174548353967</c:v>
                </c:pt>
                <c:pt idx="21">
                  <c:v>-0.63968873005441784</c:v>
                </c:pt>
                <c:pt idx="22">
                  <c:v>-0.55091131822310535</c:v>
                </c:pt>
                <c:pt idx="23">
                  <c:v>-0.12430014231727909</c:v>
                </c:pt>
                <c:pt idx="24">
                  <c:v>-0.41912117283982497</c:v>
                </c:pt>
                <c:pt idx="25">
                  <c:v>-0.27363935034735481</c:v>
                </c:pt>
                <c:pt idx="26">
                  <c:v>-0.67115693799561926</c:v>
                </c:pt>
                <c:pt idx="27">
                  <c:v>-0.51320041213897072</c:v>
                </c:pt>
                <c:pt idx="28">
                  <c:v>0.45983944747392991</c:v>
                </c:pt>
                <c:pt idx="29">
                  <c:v>-0.66851841039636117</c:v>
                </c:pt>
                <c:pt idx="30">
                  <c:v>-0.32027827125410657</c:v>
                </c:pt>
              </c:numCache>
            </c:numRef>
          </c:xVal>
          <c:yVal>
            <c:numRef>
              <c:f>МГК!$O$36:$O$66</c:f>
              <c:numCache>
                <c:formatCode>General</c:formatCode>
                <c:ptCount val="31"/>
                <c:pt idx="0">
                  <c:v>-0.16116346192215131</c:v>
                </c:pt>
                <c:pt idx="1">
                  <c:v>0.21905190358718621</c:v>
                </c:pt>
                <c:pt idx="2">
                  <c:v>0.60145959237000013</c:v>
                </c:pt>
                <c:pt idx="3">
                  <c:v>0.25152034473080243</c:v>
                </c:pt>
                <c:pt idx="4">
                  <c:v>8.6892631445448856E-2</c:v>
                </c:pt>
                <c:pt idx="5">
                  <c:v>0.16073090400338791</c:v>
                </c:pt>
                <c:pt idx="6">
                  <c:v>0.32952881862386268</c:v>
                </c:pt>
                <c:pt idx="7">
                  <c:v>-2.8880430724861302E-2</c:v>
                </c:pt>
                <c:pt idx="8">
                  <c:v>8.7790956808891873E-2</c:v>
                </c:pt>
                <c:pt idx="9">
                  <c:v>-7.6697335812402206E-2</c:v>
                </c:pt>
                <c:pt idx="10">
                  <c:v>0.75509757599440697</c:v>
                </c:pt>
                <c:pt idx="11">
                  <c:v>4.3450521407391522E-2</c:v>
                </c:pt>
                <c:pt idx="12">
                  <c:v>-3.9136253460996598E-2</c:v>
                </c:pt>
                <c:pt idx="13">
                  <c:v>-0.1697642554712003</c:v>
                </c:pt>
                <c:pt idx="14">
                  <c:v>-0.14867230706768619</c:v>
                </c:pt>
                <c:pt idx="15">
                  <c:v>0.31327658127355301</c:v>
                </c:pt>
                <c:pt idx="16">
                  <c:v>6.2236044476361822E-2</c:v>
                </c:pt>
                <c:pt idx="17">
                  <c:v>0.53788996433742164</c:v>
                </c:pt>
                <c:pt idx="18">
                  <c:v>0.39680165548718072</c:v>
                </c:pt>
                <c:pt idx="19">
                  <c:v>0.27544703319235853</c:v>
                </c:pt>
                <c:pt idx="20">
                  <c:v>-6.602829279792416E-2</c:v>
                </c:pt>
                <c:pt idx="21">
                  <c:v>-9.6011254439684585E-2</c:v>
                </c:pt>
                <c:pt idx="22">
                  <c:v>0.42895246553102412</c:v>
                </c:pt>
                <c:pt idx="23">
                  <c:v>7.3867624675114402E-2</c:v>
                </c:pt>
                <c:pt idx="24">
                  <c:v>-3.3728576589710187E-2</c:v>
                </c:pt>
                <c:pt idx="25">
                  <c:v>0.32471919314082309</c:v>
                </c:pt>
                <c:pt idx="26">
                  <c:v>-0.22528053776934481</c:v>
                </c:pt>
                <c:pt idx="27">
                  <c:v>-0.1686003451277002</c:v>
                </c:pt>
                <c:pt idx="28">
                  <c:v>-3.0324175665240091E-2</c:v>
                </c:pt>
                <c:pt idx="29">
                  <c:v>-1.855117772373651E-2</c:v>
                </c:pt>
                <c:pt idx="30">
                  <c:v>0.52635557242732678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AA-48E7-91E7-81DE55BD7834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МГК!$N$67:$N$99</c:f>
              <c:numCache>
                <c:formatCode>General</c:formatCode>
                <c:ptCount val="33"/>
                <c:pt idx="0">
                  <c:v>0.43930730948387348</c:v>
                </c:pt>
                <c:pt idx="1">
                  <c:v>-0.20358744852449989</c:v>
                </c:pt>
                <c:pt idx="2">
                  <c:v>8.5954187587156169E-3</c:v>
                </c:pt>
                <c:pt idx="3">
                  <c:v>-0.6648509172153666</c:v>
                </c:pt>
                <c:pt idx="4">
                  <c:v>-0.34315388149080278</c:v>
                </c:pt>
                <c:pt idx="5">
                  <c:v>-0.18802689119077171</c:v>
                </c:pt>
                <c:pt idx="6">
                  <c:v>-3.7071935064339909E-2</c:v>
                </c:pt>
                <c:pt idx="7">
                  <c:v>-0.5665560790059545</c:v>
                </c:pt>
                <c:pt idx="8">
                  <c:v>-0.22613340436470469</c:v>
                </c:pt>
                <c:pt idx="9">
                  <c:v>-0.72846973281192684</c:v>
                </c:pt>
                <c:pt idx="10">
                  <c:v>0.17838914956971641</c:v>
                </c:pt>
                <c:pt idx="11">
                  <c:v>-1.3044339289824241</c:v>
                </c:pt>
                <c:pt idx="12">
                  <c:v>2.528258983073951E-3</c:v>
                </c:pt>
                <c:pt idx="13">
                  <c:v>-3.5123336270706518E-2</c:v>
                </c:pt>
                <c:pt idx="14">
                  <c:v>0.48088868778164501</c:v>
                </c:pt>
                <c:pt idx="15">
                  <c:v>3.1720081622347678E-2</c:v>
                </c:pt>
                <c:pt idx="16">
                  <c:v>-0.24418559558900249</c:v>
                </c:pt>
                <c:pt idx="17">
                  <c:v>-8.5016739583504225E-2</c:v>
                </c:pt>
                <c:pt idx="18">
                  <c:v>-0.27862104997515502</c:v>
                </c:pt>
                <c:pt idx="19">
                  <c:v>1.021556620924061E-2</c:v>
                </c:pt>
                <c:pt idx="20">
                  <c:v>-0.84649791588204726</c:v>
                </c:pt>
                <c:pt idx="21">
                  <c:v>-0.31516961159511719</c:v>
                </c:pt>
                <c:pt idx="22">
                  <c:v>8.6513407413434329E-2</c:v>
                </c:pt>
                <c:pt idx="23">
                  <c:v>-0.53299913848085567</c:v>
                </c:pt>
                <c:pt idx="24">
                  <c:v>-0.4175150727312596</c:v>
                </c:pt>
                <c:pt idx="25">
                  <c:v>-0.29218144166185439</c:v>
                </c:pt>
                <c:pt idx="26">
                  <c:v>-0.24506025237174539</c:v>
                </c:pt>
                <c:pt idx="27">
                  <c:v>-0.34031604079733468</c:v>
                </c:pt>
                <c:pt idx="28">
                  <c:v>0.18691987494831011</c:v>
                </c:pt>
                <c:pt idx="29">
                  <c:v>0.11078902409726329</c:v>
                </c:pt>
                <c:pt idx="30">
                  <c:v>0.26006044206293422</c:v>
                </c:pt>
                <c:pt idx="31">
                  <c:v>-0.2198954936920878</c:v>
                </c:pt>
                <c:pt idx="32">
                  <c:v>-0.22392924928003691</c:v>
                </c:pt>
              </c:numCache>
            </c:numRef>
          </c:xVal>
          <c:yVal>
            <c:numRef>
              <c:f>МГК!$O$67:$O$99</c:f>
              <c:numCache>
                <c:formatCode>General</c:formatCode>
                <c:ptCount val="33"/>
                <c:pt idx="0">
                  <c:v>-1.6243701570924891</c:v>
                </c:pt>
                <c:pt idx="1">
                  <c:v>-1.0617351172693319</c:v>
                </c:pt>
                <c:pt idx="2">
                  <c:v>-0.15051297263562799</c:v>
                </c:pt>
                <c:pt idx="3">
                  <c:v>-1.796419806012999</c:v>
                </c:pt>
                <c:pt idx="4">
                  <c:v>-0.27394319116909749</c:v>
                </c:pt>
                <c:pt idx="5">
                  <c:v>-0.47038412939546931</c:v>
                </c:pt>
                <c:pt idx="6">
                  <c:v>-0.90200958403461506</c:v>
                </c:pt>
                <c:pt idx="7">
                  <c:v>-0.54502190246970417</c:v>
                </c:pt>
                <c:pt idx="8">
                  <c:v>-0.44307943598526428</c:v>
                </c:pt>
                <c:pt idx="9">
                  <c:v>-0.55279689893376893</c:v>
                </c:pt>
                <c:pt idx="10">
                  <c:v>-0.36260768078392402</c:v>
                </c:pt>
                <c:pt idx="11">
                  <c:v>-1.027174771022366</c:v>
                </c:pt>
                <c:pt idx="12">
                  <c:v>-0.3292263470351387</c:v>
                </c:pt>
                <c:pt idx="13">
                  <c:v>-0.16599117592249671</c:v>
                </c:pt>
                <c:pt idx="14">
                  <c:v>-1.362272718916929</c:v>
                </c:pt>
                <c:pt idx="15">
                  <c:v>-0.81829414329810202</c:v>
                </c:pt>
                <c:pt idx="16">
                  <c:v>-1.814981607050397</c:v>
                </c:pt>
                <c:pt idx="17">
                  <c:v>-0.59415005529581244</c:v>
                </c:pt>
                <c:pt idx="18">
                  <c:v>-0.28313972205390597</c:v>
                </c:pt>
                <c:pt idx="19">
                  <c:v>-1.1229826982314379</c:v>
                </c:pt>
                <c:pt idx="20">
                  <c:v>-0.81803900878934133</c:v>
                </c:pt>
                <c:pt idx="21">
                  <c:v>-0.83362856247693917</c:v>
                </c:pt>
                <c:pt idx="22">
                  <c:v>-1.359026800227596</c:v>
                </c:pt>
                <c:pt idx="23">
                  <c:v>-0.6780388326989415</c:v>
                </c:pt>
                <c:pt idx="24">
                  <c:v>-0.31249377650187837</c:v>
                </c:pt>
                <c:pt idx="25">
                  <c:v>-0.39383945115898922</c:v>
                </c:pt>
                <c:pt idx="26">
                  <c:v>-0.54222900004647601</c:v>
                </c:pt>
                <c:pt idx="27">
                  <c:v>-0.56952514670434229</c:v>
                </c:pt>
                <c:pt idx="28">
                  <c:v>-0.39507514385095721</c:v>
                </c:pt>
                <c:pt idx="29">
                  <c:v>-0.67218631621112024</c:v>
                </c:pt>
                <c:pt idx="30">
                  <c:v>-0.7256298100087728</c:v>
                </c:pt>
                <c:pt idx="31">
                  <c:v>-0.71366170339373525</c:v>
                </c:pt>
                <c:pt idx="32">
                  <c:v>-0.2069671997572696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AA-48E7-91E7-81DE55BD7834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МГК!$N$100:$N$102</c:f>
              <c:numCache>
                <c:formatCode>General</c:formatCode>
                <c:ptCount val="3"/>
                <c:pt idx="0">
                  <c:v>4.9273383747189534</c:v>
                </c:pt>
                <c:pt idx="1">
                  <c:v>3.6351435977879998</c:v>
                </c:pt>
                <c:pt idx="2">
                  <c:v>4.2002999629511084</c:v>
                </c:pt>
              </c:numCache>
            </c:numRef>
          </c:xVal>
          <c:yVal>
            <c:numRef>
              <c:f>МГК!$O$100:$O$102</c:f>
              <c:numCache>
                <c:formatCode>General</c:formatCode>
                <c:ptCount val="3"/>
                <c:pt idx="0">
                  <c:v>0.97987216546339162</c:v>
                </c:pt>
                <c:pt idx="1">
                  <c:v>0.71448876319000676</c:v>
                </c:pt>
                <c:pt idx="2">
                  <c:v>0.99386585785850912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AA-48E7-91E7-81DE55BD7834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МГК!$N$103:$N$106</c:f>
              <c:numCache>
                <c:formatCode>General</c:formatCode>
                <c:ptCount val="4"/>
                <c:pt idx="0">
                  <c:v>1.148744790042856</c:v>
                </c:pt>
                <c:pt idx="1">
                  <c:v>1.443834071439968</c:v>
                </c:pt>
                <c:pt idx="2">
                  <c:v>1.122695056631043</c:v>
                </c:pt>
                <c:pt idx="3">
                  <c:v>1.645333348326435</c:v>
                </c:pt>
              </c:numCache>
            </c:numRef>
          </c:xVal>
          <c:yVal>
            <c:numRef>
              <c:f>МГК!$O$103:$O$106</c:f>
              <c:numCache>
                <c:formatCode>General</c:formatCode>
                <c:ptCount val="4"/>
                <c:pt idx="0">
                  <c:v>-1.4724866272143511</c:v>
                </c:pt>
                <c:pt idx="1">
                  <c:v>-1.676028796176702</c:v>
                </c:pt>
                <c:pt idx="2">
                  <c:v>-1.3838149561797639</c:v>
                </c:pt>
                <c:pt idx="3">
                  <c:v>-1.3339571043980221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AA-48E7-91E7-81DE55BD7834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МГК!$N$107:$N$109</c:f>
              <c:numCache>
                <c:formatCode>General</c:formatCode>
                <c:ptCount val="3"/>
                <c:pt idx="0">
                  <c:v>-0.70700965584710662</c:v>
                </c:pt>
                <c:pt idx="1">
                  <c:v>-0.43140673599964918</c:v>
                </c:pt>
                <c:pt idx="2">
                  <c:v>-0.76757470034949304</c:v>
                </c:pt>
              </c:numCache>
            </c:numRef>
          </c:xVal>
          <c:yVal>
            <c:numRef>
              <c:f>МГК!$O$107:$O$109</c:f>
              <c:numCache>
                <c:formatCode>General</c:formatCode>
                <c:ptCount val="3"/>
                <c:pt idx="0">
                  <c:v>2.9021994871095971</c:v>
                </c:pt>
                <c:pt idx="1">
                  <c:v>3.388114173027192</c:v>
                </c:pt>
                <c:pt idx="2">
                  <c:v>2.8757050527121928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AA-48E7-91E7-81DE55BD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20448"/>
        <c:axId val="489913376"/>
      </c:scatterChart>
      <c:valAx>
        <c:axId val="4899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13376"/>
        <c:crosses val="autoZero"/>
        <c:crossBetween val="midCat"/>
      </c:valAx>
      <c:valAx>
        <c:axId val="489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34964</xdr:colOff>
      <xdr:row>11</xdr:row>
      <xdr:rowOff>85614</xdr:rowOff>
    </xdr:from>
    <xdr:to>
      <xdr:col>4</xdr:col>
      <xdr:colOff>89648</xdr:colOff>
      <xdr:row>27</xdr:row>
      <xdr:rowOff>170330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D9C563-C0C1-4BE8-B3C8-F0A72512D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11</xdr:row>
      <xdr:rowOff>51098</xdr:rowOff>
    </xdr:from>
    <xdr:to>
      <xdr:col>10</xdr:col>
      <xdr:colOff>591671</xdr:colOff>
      <xdr:row>29</xdr:row>
      <xdr:rowOff>98612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2793634-2B2C-46ED-8091-22AA02FA0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592119</xdr:colOff>
      <xdr:row>9</xdr:row>
      <xdr:rowOff>72614</xdr:rowOff>
    </xdr:from>
    <xdr:to>
      <xdr:col>17</xdr:col>
      <xdr:colOff>197224</xdr:colOff>
      <xdr:row>27</xdr:row>
      <xdr:rowOff>-1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576DC2D-2F0A-4B03-85E4-DD0F716FB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188258</xdr:colOff>
      <xdr:row>9</xdr:row>
      <xdr:rowOff>62753</xdr:rowOff>
    </xdr:from>
    <xdr:to>
      <xdr:col>23</xdr:col>
      <xdr:colOff>430305</xdr:colOff>
      <xdr:row>26</xdr:row>
      <xdr:rowOff>89647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A0C7B19-816F-4B2F-BEF4-9BA259319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152400</xdr:colOff>
      <xdr:row>10</xdr:row>
      <xdr:rowOff>44824</xdr:rowOff>
    </xdr:from>
    <xdr:to>
      <xdr:col>32</xdr:col>
      <xdr:colOff>390413</xdr:colOff>
      <xdr:row>27</xdr:row>
      <xdr:rowOff>21740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765E75F-94CB-457D-BAEB-B82EBF79A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10887</xdr:colOff>
      <xdr:row>27</xdr:row>
      <xdr:rowOff>174171</xdr:rowOff>
    </xdr:from>
    <xdr:to>
      <xdr:col>32</xdr:col>
      <xdr:colOff>598714</xdr:colOff>
      <xdr:row>46</xdr:row>
      <xdr:rowOff>21770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F72D1BA-82BF-42AE-B545-583A7579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311845</xdr:colOff>
      <xdr:row>1</xdr:row>
      <xdr:rowOff>115901</xdr:rowOff>
    </xdr:from>
    <xdr:to>
      <xdr:col>25</xdr:col>
      <xdr:colOff>228601</xdr:colOff>
      <xdr:row>17</xdr:row>
      <xdr:rowOff>97972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F6C40C-CA9F-428B-BD9D-EE7E415C7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402771</xdr:colOff>
      <xdr:row>1</xdr:row>
      <xdr:rowOff>165208</xdr:rowOff>
    </xdr:from>
    <xdr:to>
      <xdr:col>33</xdr:col>
      <xdr:colOff>94769</xdr:colOff>
      <xdr:row>17</xdr:row>
      <xdr:rowOff>33940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6844A0-BA0A-4828-A0AC-367549622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424542</xdr:colOff>
      <xdr:row>17</xdr:row>
      <xdr:rowOff>136071</xdr:rowOff>
    </xdr:from>
    <xdr:to>
      <xdr:col>33</xdr:col>
      <xdr:colOff>239485</xdr:colOff>
      <xdr:row>27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B4623F-8416-41B4-AB50-27827077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359228</xdr:colOff>
      <xdr:row>17</xdr:row>
      <xdr:rowOff>168729</xdr:rowOff>
    </xdr:from>
    <xdr:to>
      <xdr:col>24</xdr:col>
      <xdr:colOff>598714</xdr:colOff>
      <xdr:row>28</xdr:row>
      <xdr:rowOff>108856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EB4344D-F7FC-4048-8BF4-720C1F07F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372094</xdr:colOff>
      <xdr:row>0</xdr:row>
      <xdr:rowOff>344385</xdr:rowOff>
    </xdr:from>
    <xdr:to>
      <xdr:col>23</xdr:col>
      <xdr:colOff>193963</xdr:colOff>
      <xdr:row>9</xdr:row>
      <xdr:rowOff>13854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7F01C5-7DCD-4CB8-91BC-726B65106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443344</xdr:colOff>
      <xdr:row>10</xdr:row>
      <xdr:rowOff>55418</xdr:rowOff>
    </xdr:from>
    <xdr:to>
      <xdr:col>23</xdr:col>
      <xdr:colOff>471054</xdr:colOff>
      <xdr:row>26</xdr:row>
      <xdr:rowOff>166255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8B4CAC-124E-4911-B1E5-D4FACEAE9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263236</xdr:colOff>
      <xdr:row>0</xdr:row>
      <xdr:rowOff>318655</xdr:rowOff>
    </xdr:from>
    <xdr:to>
      <xdr:col>32</xdr:col>
      <xdr:colOff>55418</xdr:colOff>
      <xdr:row>9</xdr:row>
      <xdr:rowOff>83127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8EDC097-C570-4B71-A25B-230CA00F7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332509</xdr:colOff>
      <xdr:row>10</xdr:row>
      <xdr:rowOff>152400</xdr:rowOff>
    </xdr:from>
    <xdr:to>
      <xdr:col>32</xdr:col>
      <xdr:colOff>27709</xdr:colOff>
      <xdr:row>26</xdr:row>
      <xdr:rowOff>13855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C78BCC-F036-45D2-BD96-FA243F242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239484</xdr:colOff>
      <xdr:row>12</xdr:row>
      <xdr:rowOff>117020</xdr:rowOff>
    </xdr:from>
    <xdr:to>
      <xdr:col>15</xdr:col>
      <xdr:colOff>779813</xdr:colOff>
      <xdr:row>55</xdr:row>
      <xdr:rowOff>21770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29BC6E-B198-4177-8EBD-F215515B7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551329</xdr:colOff>
      <xdr:row>8</xdr:row>
      <xdr:rowOff>26893</xdr:rowOff>
    </xdr:from>
    <xdr:to>
      <xdr:col>10</xdr:col>
      <xdr:colOff>367552</xdr:colOff>
      <xdr:row>27</xdr:row>
      <xdr:rowOff>107576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DF8740-8843-4EF3-ADB2-A50750BE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57150</xdr:rowOff>
    </xdr:from>
    <xdr:to>
      <xdr:col>8</xdr:col>
      <xdr:colOff>76200</xdr:colOff>
      <xdr:row>23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37096D-6DC1-4D9C-B061-C25BDAE4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8</xdr:row>
      <xdr:rowOff>11430</xdr:rowOff>
    </xdr:from>
    <xdr:to>
      <xdr:col>8</xdr:col>
      <xdr:colOff>601980</xdr:colOff>
      <xdr:row>24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016A35-F338-470C-A40F-BD262D83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484909</xdr:colOff>
      <xdr:row>7</xdr:row>
      <xdr:rowOff>13854</xdr:rowOff>
    </xdr:from>
    <xdr:to>
      <xdr:col>15</xdr:col>
      <xdr:colOff>969817</xdr:colOff>
      <xdr:row>23</xdr:row>
      <xdr:rowOff>110835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7C8AD3-F96C-4375-B6FE-7AB3CCCFC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1162050</xdr:colOff>
      <xdr:row>7</xdr:row>
      <xdr:rowOff>76200</xdr:rowOff>
    </xdr:from>
    <xdr:to>
      <xdr:col>32</xdr:col>
      <xdr:colOff>419100</xdr:colOff>
      <xdr:row>23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136F89-6FF3-4FFE-A23A-EB0D96096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500678</xdr:colOff>
      <xdr:row>10</xdr:row>
      <xdr:rowOff>7620</xdr:rowOff>
    </xdr:from>
    <xdr:to>
      <xdr:col>12</xdr:col>
      <xdr:colOff>555812</xdr:colOff>
      <xdr:row>34</xdr:row>
      <xdr:rowOff>125506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E72979-86D5-47D8-BF22-8AA955C25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02AC35-602E-4BC3-83A1-9F4F5D1F3E80}" name="Таблица1" displayName="Таблица1" ref="A1:CC87" totalsRowCount="1" headerRowDxfId="141" dataDxfId="140">
  <autoFilter ref="A1:CC86" xr:uid="{AD02AC35-602E-4BC3-83A1-9F4F5D1F3E80}"/>
  <sortState xmlns:xlrd2="http://schemas.microsoft.com/office/spreadsheetml/2017/richdata2" ref="A2:CC86">
    <sortCondition ref="A1:A86"/>
  </sortState>
  <tableColumns count="81">
    <tableColumn id="1" xr3:uid="{571FCF76-4BC9-4861-BCC3-1739743EDDFB}" name="Субъект Российской Федерации " dataDxfId="139" totalsRowDxfId="138"/>
    <tableColumn id="16" xr3:uid="{BC39526A-F544-47C4-B507-43C82585F351}" name="Метод К-средних" totalsRowFunction="count" dataDxfId="137" totalsRowDxfId="136"/>
    <tableColumn id="18" xr3:uid="{6CB7F929-BEF3-4D8E-B045-8A01A0179682}" name="Метод К-средних (Python)" totalsRowFunction="count" totalsRowDxfId="135"/>
    <tableColumn id="15" xr3:uid="{AD1D02BD-74FD-4AAB-9D3F-B2B08E7B9302}" name="Метод взвешенной средней связи" totalsRowFunction="count" totalsRowDxfId="134"/>
    <tableColumn id="23" xr3:uid="{D5F4DBA2-9D3D-40BD-BD17-8AF8C4818118}" name="Метод взвешенной средней связи (Python)" totalsRowFunction="count" dataDxfId="133" totalsRowDxfId="132"/>
    <tableColumn id="14" xr3:uid="{059DD1DC-C29E-4E21-AB26-D1CB66A69859}" name="Метод полных связей" totalsRowFunction="count" totalsRowDxfId="131"/>
    <tableColumn id="50" xr3:uid="{7DE4BA9A-78B2-4161-A933-75BDFBFD6325}" name="Метод полных связей (Python)" totalsRowFunction="count" dataDxfId="130" totalsRowDxfId="129"/>
    <tableColumn id="13" xr3:uid="{C0F252CF-BD07-47F4-B6BF-1A2D1E4C466B}" name="Метод Уорда" totalsRowFunction="countNums"/>
    <tableColumn id="30" xr3:uid="{E47F1786-7690-4563-BFD8-2BAD35165867}" name="Метод Уорда (Python)" totalsRowFunction="count" dataDxfId="128"/>
    <tableColumn id="60" xr3:uid="{06410BAD-8E98-4CFF-98E9-FD524C5523E1}" name="МГК Statistica (k-means)" totalsRowFunction="count"/>
    <tableColumn id="61" xr3:uid="{00D5CCD3-36FA-44BD-B148-5EE8629C9379}" name="МГК Statistica (Ward)" totalsRowFunction="count"/>
    <tableColumn id="65" xr3:uid="{F542A3E6-DE2C-4C44-93EB-33273D24833C}" name="МГК Python (k-means)" totalsRowFunction="count" dataDxfId="127"/>
    <tableColumn id="66" xr3:uid="{422F5ADB-C24D-4BF7-8FD1-4CE5D398D7F3}" name="МГК Python (Ward)" totalsRowFunction="count" dataDxfId="126"/>
    <tableColumn id="71" xr3:uid="{400A5CF7-2907-48E8-9F28-0C23F7856FDE}" name="Факторный анализ Уорд Statistica"/>
    <tableColumn id="72" xr3:uid="{D028AD36-6313-4A3E-A049-BF4BE9CE404E}" name="Факторный анализ k-means Statistica"/>
    <tableColumn id="74" xr3:uid="{2DFE2648-600F-45DB-B896-D40D5BA030F8}" name="Факторный анализ Уорд Python" dataDxfId="125"/>
    <tableColumn id="73" xr3:uid="{DA84A49B-CC9D-42B2-9BEB-1CF3F1827244}" name="Факторный анализ k-means Python" dataDxfId="124"/>
    <tableColumn id="19" xr3:uid="{AB6D5BA9-8102-436C-8D43-8A143E64DE4F}" name="Обучающая выборка" totalsRowFunction="count" dataDxfId="123" totalsRowDxfId="122"/>
    <tableColumn id="21" xr3:uid="{6146CEDC-7B71-443A-806D-C1B202E1B765}" name="Номер класса по классификации дискр функции" totalsRowFunction="count" dataDxfId="121" totalsRowDxfId="120">
      <calculatedColumnFormula>RIGHT(Таблица1[[#This Row],[Классификация дискр ф-ции]])</calculatedColumnFormula>
    </tableColumn>
    <tableColumn id="55" xr3:uid="{7B418012-1FBA-432B-9DF3-CE2217943578}" name="Номер класса по классификации дискр функции (Python)" totalsRowFunction="count" dataDxfId="119" totalsRowDxfId="118"/>
    <tableColumn id="57" xr3:uid="{16AE9136-2B27-4CFB-8AC7-714AAFD9F88D}" name="Точность классификации дискр функции" totalsRowFunction="count" dataDxfId="117" totalsRowDxfId="116">
      <calculatedColumnFormula>IF(Таблица1[[#This Row],[Обучающая выборка]]=Таблица1[[#This Row],[Номер класса по классификации дискр функции (Python)]],1,0)</calculatedColumnFormula>
    </tableColumn>
    <tableColumn id="20" xr3:uid="{57E1FE8E-C9F3-4851-A61F-3FFA34FC4B3B}" name="Номер класса по классификации Махаланобиса" totalsRowFunction="count" dataDxfId="115" totalsRowDxfId="114">
      <calculatedColumnFormula>MATCH(MIN(Таблица1[[#This Row],[Махаланобис 1]:[Махаланобис 6]]),Таблица1[[#This Row],[Махаланобис 1]:[Махаланобис 6]],0)</calculatedColumnFormula>
    </tableColumn>
    <tableColumn id="22" xr3:uid="{62F94B74-B4A4-4F3A-8000-2EFE8DE0EC8C}" name="Номер класса по классификации через апостериорные вер-ти" totalsRowFunction="count" dataDxfId="113" totalsRowDxfId="112">
      <calculatedColumnFormula>MATCH(MAX(Таблица1[[#This Row],[Апостериорные вер-ти 1]:[Апостериорные вер-ти 6]]),Таблица1[[#This Row],[Апостериорные вер-ти 1]:[Апостериорные вер-ти 6]],0)</calculatedColumnFormula>
    </tableColumn>
    <tableColumn id="53" xr3:uid="{2CB693B5-C413-4941-BBC4-5EFAA162DFDA}" name="Номер класса по классификации дискр функции (пошаговый дискр анализ с включением)" totalsRowFunction="count" dataDxfId="111" totalsRowDxfId="110">
      <calculatedColumnFormula>RIGHT(Таблица1[[#This Row],[Forward Классификация дискр ф-ции]])</calculatedColumnFormula>
    </tableColumn>
    <tableColumn id="52" xr3:uid="{DD24368B-29C0-47B5-BE23-F0369A34C549}" name="Номер класса по классификации Махаланобиса (пошаговый дискр анализ с включением)" totalsRowFunction="count" dataDxfId="109" totalsRowDxfId="108">
      <calculatedColumnFormula>MATCH(MIN(Таблица1[[#This Row],[Forward Махаланобис 1]:[Forward Махаланобис 6]]),Таблица1[[#This Row],[Forward Махаланобис 1]:[Forward Махаланобис 6]],0)</calculatedColumnFormula>
    </tableColumn>
    <tableColumn id="51" xr3:uid="{52EFEBCF-FEEB-455E-AC57-C6C216A8B085}" name="Номер класса по классификации через апостериорные вер-ти (пошаговый дискр анализ с включением)" totalsRowFunction="count" dataDxfId="107" totalsRowDxfId="106">
      <calculatedColumnFormula>MATCH(MAX(Таблица1[[#This Row],[Forward Апостериорные вер-ти 1]:[Forward Апостериорные вер-ти 6]]),Таблица1[[#This Row],[Forward Апостериорные вер-ти 1]:[Forward Апостериорные вер-ти 6]],0)</calculatedColumnFormula>
    </tableColumn>
    <tableColumn id="56" xr3:uid="{89E4750B-D23A-4E91-B0FF-A89D12465B3D}" name="Номер класса (пошаговый дискр анализ с включением) Python" totalsRowFunction="count" dataDxfId="105" totalsRowDxfId="104"/>
    <tableColumn id="58" xr3:uid="{635D73AC-ED49-4A62-BD12-38B8E52FF4EF}" name="Точность  (пошаговый дискр анализ с включением) Python" totalsRowFunction="count" dataDxfId="103" totalsRowDxfId="102">
      <calculatedColumnFormula>IF(Таблица1[[#This Row],[Обучающая выборка]]=Таблица1[[#This Row],[Номер класса (пошаговый дискр анализ с включением) Python]],1,0)</calculatedColumnFormula>
    </tableColumn>
    <tableColumn id="54" xr3:uid="{E17395A0-1DAF-4963-863A-1D6242ADAF4F}" name="Классификация дискр ф-ции" dataDxfId="101" totalsRowDxfId="100"/>
    <tableColumn id="24" xr3:uid="{8423902D-7CA3-4B16-9701-84503C332731}" name="Махаланобис 1" dataDxfId="99" totalsRowDxfId="98"/>
    <tableColumn id="25" xr3:uid="{CD1F0888-2B17-47D4-B458-D5AE841881BF}" name="Махаланобис 2" dataDxfId="97" totalsRowDxfId="96"/>
    <tableColumn id="26" xr3:uid="{B9ED16D1-6110-41BC-AA6F-FFB0E31630D1}" name="Махаланобис 3" dataDxfId="95" totalsRowDxfId="94"/>
    <tableColumn id="27" xr3:uid="{AAE7786D-8609-4ADC-A9E5-03C214EC1F16}" name="Махаланобис 4" dataDxfId="93" totalsRowDxfId="92"/>
    <tableColumn id="28" xr3:uid="{B7B65577-2614-4158-A58D-6C1FBA53745D}" name="Махаланобис 5" dataDxfId="91" totalsRowDxfId="90"/>
    <tableColumn id="29" xr3:uid="{BD7A388F-DAEF-47E6-85B8-8CDBC4645F06}" name="Махаланобис 6" dataDxfId="89" totalsRowDxfId="88"/>
    <tableColumn id="31" xr3:uid="{7E0BC3FA-595D-4E96-8718-C0F553FC2899}" name="Апостериорные вер-ти 1" dataDxfId="87" totalsRowDxfId="86"/>
    <tableColumn id="32" xr3:uid="{00F1B6B0-E7CA-4339-BED1-FC7169569F73}" name="Апостериорные вер-ти 2" dataDxfId="85" totalsRowDxfId="84"/>
    <tableColumn id="33" xr3:uid="{C7D8FA8A-22DE-4C90-B0AA-15A5C8521F0D}" name="Апостериорные вер-ти 3" dataDxfId="83" totalsRowDxfId="82"/>
    <tableColumn id="34" xr3:uid="{C478A401-0814-438B-A720-BBAEDA43EF39}" name="Апостериорные вер-ти 4" dataDxfId="81" totalsRowDxfId="80"/>
    <tableColumn id="35" xr3:uid="{B9F115BC-D1D6-4B59-A36E-294A2CE3563F}" name="Апостериорные вер-ти 5" dataDxfId="79" totalsRowDxfId="78"/>
    <tableColumn id="36" xr3:uid="{A4F0A5BE-F997-4B10-BC51-176B4111876E}" name="Апостериорные вер-ти 6" dataDxfId="77" totalsRowDxfId="76"/>
    <tableColumn id="37" xr3:uid="{15E30E39-5DC7-4770-A7C1-BF6A8C2D125F}" name="Forward Классификация дискр ф-ции" dataDxfId="75" totalsRowDxfId="74"/>
    <tableColumn id="38" xr3:uid="{CCFFB3C2-B94B-4752-AC7E-564570681BAF}" name="Forward Махаланобис 1" dataDxfId="73" totalsRowDxfId="72"/>
    <tableColumn id="39" xr3:uid="{BC6A84E7-D705-44D5-B69A-9F723857B61D}" name="Forward Махаланобис 2" dataDxfId="71" totalsRowDxfId="70"/>
    <tableColumn id="40" xr3:uid="{25B62C31-A8F3-410D-8F67-E617FB80B7E4}" name="Forward Махаланобис 3" dataDxfId="69" totalsRowDxfId="68"/>
    <tableColumn id="41" xr3:uid="{9F454123-19D4-41A7-93B3-4536F324B0A9}" name="Forward Махаланобис 4" dataDxfId="67" totalsRowDxfId="66"/>
    <tableColumn id="42" xr3:uid="{90B2A579-2FBB-414A-9054-C2026C985B13}" name="Forward Махаланобис 5" dataDxfId="65" totalsRowDxfId="64"/>
    <tableColumn id="43" xr3:uid="{B19FB71B-3946-48E8-A347-59F9F998126B}" name="Forward Махаланобис 6" dataDxfId="63" totalsRowDxfId="62"/>
    <tableColumn id="44" xr3:uid="{32D1E677-FC17-4067-BB15-7F6D6388C92B}" name="Forward Апостериорные вер-ти 1" dataDxfId="61" totalsRowDxfId="60"/>
    <tableColumn id="45" xr3:uid="{E5FBCA0A-A0D8-4631-B43C-01587F2F428A}" name="Forward Апостериорные вер-ти 2" dataDxfId="59" totalsRowDxfId="58"/>
    <tableColumn id="46" xr3:uid="{3B039DAB-C923-4EE2-B7C7-DE75E9017DC1}" name="Forward Апостериорные вер-ти 3" dataDxfId="57" totalsRowDxfId="56"/>
    <tableColumn id="47" xr3:uid="{8EFBA666-1D22-48CB-9BAB-94B154141FFD}" name="Forward Апостериорные вер-ти 4" dataDxfId="55" totalsRowDxfId="54"/>
    <tableColumn id="48" xr3:uid="{01363FFD-7C08-4029-B0B7-75DFFBCDDBC6}" name="Forward Апостериорные вер-ти 5" dataDxfId="53" totalsRowDxfId="52"/>
    <tableColumn id="49" xr3:uid="{0F503308-4F70-4001-B837-035594C3D3A1}" name="Forward Апостериорные вер-ти 6" dataDxfId="51" totalsRowDxfId="50"/>
    <tableColumn id="76" xr3:uid="{217D53A0-DC6E-4C9C-9612-CE60018D8A20}" name="Neuron id (Кохонен)" totalsRowFunction="count" dataDxfId="49" totalsRowDxfId="48"/>
    <tableColumn id="80" xr3:uid="{7B112081-5064-498A-AA67-B4A1845DB5BE}" name="Кохонен 2020" totalsRowFunction="count" dataDxfId="47"/>
    <tableColumn id="81" xr3:uid="{EE23594E-6E59-4725-BFCC-7BFB5C73B53E}" name="Совпадения 2019 и 2020" totalsRowFunction="sum" dataDxfId="46" totalsRowDxfId="45" dataCellStyle="Обычный_МГК">
      <calculatedColumnFormula>IF(Таблица1[[#This Row],[Neuron id (Кохонен)]]=Таблица1[[#This Row],[Кохонен 2020]],1,0)</calculatedColumnFormula>
    </tableColumn>
    <tableColumn id="77" xr3:uid="{9CD92E76-2D8C-47B7-9EAA-DB28A87E7D8B}" name="Персептрон" totalsRowFunction="count" dataDxfId="44" totalsRowDxfId="43"/>
    <tableColumn id="78" xr3:uid="{B9EB05F9-6163-4B96-9136-231E7E036A74}" name="Точность персептрон" totalsRowFunction="sum" dataDxfId="42" totalsRowDxfId="41">
      <calculatedColumnFormula>IF(Таблица1[[#This Row],[Персептрон]]=Таблица1[[#This Row],[Обучающая выборка]],1,0)</calculatedColumnFormula>
    </tableColumn>
    <tableColumn id="82" xr3:uid="{39E4707D-5EC1-4920-9859-A77164F43B9E}" name="Совпадения дискр анализ и персептрон" totalsRowFunction="sum" dataDxfId="40" totalsRowDxfId="39" dataCellStyle="Обычный_Cluster Membership">
      <calculatedColumnFormula>IF(Таблица1[[#This Row],[Номер класса по классификации дискр функции (Python)]]=Таблица1[[#This Row],[Персептрон]],1,0)</calculatedColumnFormula>
    </tableColumn>
    <tableColumn id="2" xr3:uid="{162B9538-28D3-4A61-927E-4E090E1E5225}" name="ВАЛОВОЙ РЕГИОНАЛЬНЫЙ ПРОДУКТ_x000a_(миллионов рублей на 1 000 человек населения)" totalsRowFunction="average"/>
    <tableColumn id="3" xr3:uid="{14A93747-B419-4B18-AA22-BB02AC3BFD46}" name="ИНВЕСТИЦИИ В ОСНОВНОЙ КАПИТАЛ_x000a_(в фактически действовавших ценах; миллионов рублей, на 1 000 человек населения)" totalsRowFunction="average"/>
    <tableColumn id="4" xr3:uid="{6DAAA117-0098-49DE-9E97-610773897C38}" name="Количество крупных и средних организаций агропромыленного комплекса на начало года на 1 000 человек населения" totalsRowFunction="average"/>
    <tableColumn id="5" xr3:uid="{09568BB5-F682-42FB-8AEE-605107C1FE04}" name="Уровень занятости для людей в возрасте 15 лет и старше (процентов)" totalsRowFunction="average"/>
    <tableColumn id="6" xr3:uid="{0F2422CF-F3FE-43FB-A55C-068208A85F0B}" name="КОЭФФИЦИЕНТЫ МИГРАЦИОННОГО ПРИРОСТА на 10 000 человек населения" totalsRowFunction="average"/>
    <tableColumn id="7" xr3:uid="{B6C2386B-95E1-468F-A673-326B781715B9}" name="Количество тяжких и особо тяжких преступлений на 1 000 человек населения" totalsRowFunction="average"/>
    <tableColumn id="8" xr3:uid="{CD1801FC-9640-4840-BA1B-8DA310AF5A0F}" name="Количество преступлений, связанных с незаконным оборотом наркотических средств, на 1 000 человек населения" totalsRowFunction="average"/>
    <tableColumn id="9" xr3:uid="{07ADC3FA-95BE-454C-B7FA-177675B4B7E4}" name="Число зарегистрированных умерших в расчете на 1000 населения (оперативные данные) (промилле (0,1 процента))" totalsRowFunction="average"/>
    <tableColumn id="10" xr3:uid="{3E0F6C6B-A53C-4C63-B38F-359B78E2781E}" name="Число зарегистрированных заболеваний у пациентов с диагнозом, установленным впервые в жизни (на 1 000 человек населения)" totalsRowFunction="average"/>
    <tableColumn id="11" xr3:uid="{1BB11218-1755-44CA-AC24-8A0CF998E2DB}" name="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" totalsRowFunction="average"/>
    <tableColumn id="12" xr3:uid="{BBA14C18-9B5E-42BA-B89A-E23F013E339F}" name="Общая численность пенсионеров (тысяча человек на 1 000 человек населения)" totalsRowFunction="average"/>
    <tableColumn id="17" xr3:uid="{94FAB741-688B-4056-88AC-F0F51B4CE58D}" name="Расстояние" totalsRowFunction="sum" dataDxfId="38">
      <calculatedColumnFormula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calculatedColumnFormula>
    </tableColumn>
    <tableColumn id="62" xr3:uid="{485B4F92-0C30-4108-AEB8-A75635738F2D}" name="Показатель экономической активности " totalsRowFunction="average"/>
    <tableColumn id="63" xr3:uid="{E2B1647F-6713-498D-AA2C-80161BD3B8B8}" name="Влияние уровня медицины на возрастной состав населения" totalsRowFunction="average"/>
    <tableColumn id="59" xr3:uid="{D3896FE7-0668-47A2-9136-E65C438EFC4A}" name="Уровень преступности" totalsRowFunction="average"/>
    <tableColumn id="64" xr3:uid="{A13EE042-2F81-4020-9DF2-32596B6FC205}" name="Расстояние МГК" totalsRowFunction="sum" dataDxfId="37">
      <calculatedColumnFormula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calculatedColumnFormula>
    </tableColumn>
    <tableColumn id="67" xr3:uid="{F1313F0A-A6C3-4D62-B8E8-99BDD4F26F6B}" name="Показатель экономической активности" totalsRowFunction="average" totalsRowDxfId="36"/>
    <tableColumn id="68" xr3:uid="{2B4C4E57-694C-4B25-B2C8-164770A1B2E3}" name="Влияние возрастного состава населения на уровень смертности" totalsRowFunction="average" totalsRowDxfId="35"/>
    <tableColumn id="69" xr3:uid="{8D51565F-B3B2-45DF-AFB3-71197310AEF3}" name="Преступность" totalsRowFunction="average" totalsRowDxfId="34"/>
    <tableColumn id="70" xr3:uid="{2C7BA371-9F63-4AE1-8860-12109CE9E98D}" name="Обеспеченность врачами" totalsRowFunction="average" totalsRowDxfId="33"/>
    <tableColumn id="75" xr3:uid="{E2359417-E813-4B42-AAC7-E495523DBC0C}" name="Расстояние факторный анализ" totalsRowFunction="sum" dataDxfId="32" totalsRowDxfId="31">
      <calculatedColumnFormula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A0A08-C8AB-4913-97A6-2EC2573656B3}" name="Таблица2" displayName="Таблица2" ref="A24:C109" totalsRowShown="0" headerRowDxfId="30" tableBorderDxfId="29">
  <autoFilter ref="A24:C109" xr:uid="{2C9A0A08-C8AB-4913-97A6-2EC2573656B3}"/>
  <sortState xmlns:xlrd2="http://schemas.microsoft.com/office/spreadsheetml/2017/richdata2" ref="A25:C109">
    <sortCondition ref="A24:A109"/>
  </sortState>
  <tableColumns count="3">
    <tableColumn id="1" xr3:uid="{B01B7972-D257-4CD7-849D-2F0524FB82FA}" name="K-means old" dataDxfId="28"/>
    <tableColumn id="2" xr3:uid="{BD07F2C7-0036-43C9-8C2D-73BB12168924}" name="Показатель экономической активности (F1)" dataDxfId="27"/>
    <tableColumn id="3" xr3:uid="{521F004E-1BB8-4C45-A5F9-C2C12960EF2E}" name="Влияние уровня медицины на возрастной состав населения (F2)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28EC5F-9F70-4240-99C7-FE32C63C3B01}" name="Таблица4" displayName="Таблица4" ref="E24:G109" totalsRowShown="0">
  <autoFilter ref="E24:G109" xr:uid="{9528EC5F-9F70-4240-99C7-FE32C63C3B01}"/>
  <sortState xmlns:xlrd2="http://schemas.microsoft.com/office/spreadsheetml/2017/richdata2" ref="E25:G109">
    <sortCondition ref="E24:E109"/>
  </sortState>
  <tableColumns count="3">
    <tableColumn id="1" xr3:uid="{4F2C0E6A-261F-43CB-A48F-04B62EDA2DF4}" name="Ward old" dataDxfId="25"/>
    <tableColumn id="2" xr3:uid="{BDBAAA77-E212-4532-886D-CB0D4F4E69A0}" name="Показатель экономической активности (F1)" dataDxfId="24"/>
    <tableColumn id="3" xr3:uid="{FDECD6E5-9DE7-46F1-9CFD-6126B0419EB3}" name="Влияние уровня медицины на возрастной состав населения (F2)" dataDxfId="2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840D5B-EAD2-4A48-911A-75376A76F3F2}" name="Таблица5" displayName="Таблица5" ref="I24:K109" totalsRowShown="0">
  <autoFilter ref="I24:K109" xr:uid="{62840D5B-EAD2-4A48-911A-75376A76F3F2}"/>
  <sortState xmlns:xlrd2="http://schemas.microsoft.com/office/spreadsheetml/2017/richdata2" ref="I25:K109">
    <sortCondition ref="I24:I109"/>
  </sortState>
  <tableColumns count="3">
    <tableColumn id="1" xr3:uid="{03AD2A64-98AF-421E-AACE-AF10DA8BC7B1}" name="K-means new" dataDxfId="22"/>
    <tableColumn id="2" xr3:uid="{B8DA76AB-3DF5-41D6-9EC5-3C93597637CB}" name="Показатель экономической активности (F1)" dataDxfId="21"/>
    <tableColumn id="3" xr3:uid="{904D128E-251A-4E47-85BF-91A04495F80D}" name="Влияние уровня медицины на возрастной состав населения (F2)" dataDxfId="2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3BD463-3B57-434E-9D2C-80E09A936291}" name="Таблица6" displayName="Таблица6" ref="M24:O109" totalsRowShown="0">
  <autoFilter ref="M24:O109" xr:uid="{913BD463-3B57-434E-9D2C-80E09A936291}"/>
  <sortState xmlns:xlrd2="http://schemas.microsoft.com/office/spreadsheetml/2017/richdata2" ref="M25:O109">
    <sortCondition ref="M24:M109"/>
  </sortState>
  <tableColumns count="3">
    <tableColumn id="1" xr3:uid="{633054A8-8C0A-4CA8-9851-FD266E5D9BCA}" name="Ward new" dataDxfId="19"/>
    <tableColumn id="2" xr3:uid="{F13E5768-2560-4E39-859F-A951FF0C8346}" name="Показатель экономической активности (F1)" dataDxfId="18"/>
    <tableColumn id="3" xr3:uid="{70982A9E-6609-4746-AF44-AA972A6E8751}" name="Влияние уровня медицины на возрастной состав населения (F2)" dataDxfId="1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C5E431-ABFB-4611-82D4-6284708148F8}" name="Таблица3" displayName="Таблица3" ref="A1:C86" totalsRowShown="0" headerRowDxfId="16" tableBorderDxfId="15">
  <autoFilter ref="A1:C86" xr:uid="{2DC5E431-ABFB-4611-82D4-6284708148F8}"/>
  <sortState xmlns:xlrd2="http://schemas.microsoft.com/office/spreadsheetml/2017/richdata2" ref="A2:C86">
    <sortCondition ref="A1:A86"/>
  </sortState>
  <tableColumns count="3">
    <tableColumn id="1" xr3:uid="{1BA7FA38-401A-44FC-860A-E82ABBDB35D2}" name="K-means old" dataDxfId="14"/>
    <tableColumn id="2" xr3:uid="{775EE827-4314-4F16-9875-83F366E1D6A4}" name="Показатель экономической активности" dataDxfId="13"/>
    <tableColumn id="3" xr3:uid="{363A3920-C389-469F-8BD5-BD1C3F8D7F49}" name="Влияние возрастного состава населения на уровень смертности" dataDxfId="1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BFE169-827D-457F-824F-4A6460EE1148}" name="Таблица7" displayName="Таблица7" ref="E1:G86" totalsRowShown="0" tableBorderDxfId="11">
  <autoFilter ref="E1:G86" xr:uid="{1FBFE169-827D-457F-824F-4A6460EE1148}"/>
  <sortState xmlns:xlrd2="http://schemas.microsoft.com/office/spreadsheetml/2017/richdata2" ref="E2:G86">
    <sortCondition ref="E1:E86"/>
  </sortState>
  <tableColumns count="3">
    <tableColumn id="1" xr3:uid="{301CB40E-9D02-4A29-8012-F1E4963C4A87}" name="Ward old" dataDxfId="10"/>
    <tableColumn id="2" xr3:uid="{A6B5B3AA-3C8D-46EF-A82A-F4419452ECBA}" name="Показатель экономической активности" dataDxfId="9"/>
    <tableColumn id="3" xr3:uid="{566A5A31-11C5-4125-91E0-DB9EE76629BD}" name="Влияние возрастного состава населения на уровень смертности" dataDxfId="8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95EE07-58B2-4892-8B55-D3A1ADDD97A9}" name="Таблица8" displayName="Таблица8" ref="I1:K86" totalsRowShown="0" tableBorderDxfId="7">
  <autoFilter ref="I1:K86" xr:uid="{6F95EE07-58B2-4892-8B55-D3A1ADDD97A9}"/>
  <sortState xmlns:xlrd2="http://schemas.microsoft.com/office/spreadsheetml/2017/richdata2" ref="I2:K86">
    <sortCondition ref="I1:I86"/>
  </sortState>
  <tableColumns count="3">
    <tableColumn id="1" xr3:uid="{1C184BA7-7282-4E2F-A9A7-76405684774C}" name="k-means new" dataDxfId="6"/>
    <tableColumn id="2" xr3:uid="{097DB1E1-60F4-41B4-B014-B84A280FD1ED}" name="Показатель экономической активности" dataDxfId="5"/>
    <tableColumn id="3" xr3:uid="{E5746878-E787-4642-AA5A-B6750750865E}" name="Влияние возрастного состава населения на уровень смертности" dataDxfId="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9F88A6-A536-44C5-B7B9-57BEFB702EA9}" name="Таблица9" displayName="Таблица9" ref="M1:O86" totalsRowShown="0" tableBorderDxfId="3">
  <autoFilter ref="M1:O86" xr:uid="{299F88A6-A536-44C5-B7B9-57BEFB702EA9}"/>
  <sortState xmlns:xlrd2="http://schemas.microsoft.com/office/spreadsheetml/2017/richdata2" ref="M2:O86">
    <sortCondition ref="M1:M86"/>
  </sortState>
  <tableColumns count="3">
    <tableColumn id="1" xr3:uid="{79219693-AD36-4A6F-9889-D9C393B690D9}" name="Ward new" dataDxfId="2"/>
    <tableColumn id="2" xr3:uid="{F916D7FD-3892-4CBB-82FE-2F1EFC0C4580}" name="Показатель экономической активности" dataDxfId="1"/>
    <tableColumn id="3" xr3:uid="{B9DDEAAC-9A96-4628-8611-531A5A84E627}" name="Влияние возрастного состава населения на уровень смертности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M1"/>
    </sheetView>
  </sheetViews>
  <sheetFormatPr defaultRowHeight="14.4" x14ac:dyDescent="0.3"/>
  <cols>
    <col min="1" max="1" width="30.5546875" customWidth="1"/>
    <col min="2" max="2" width="15" customWidth="1"/>
    <col min="3" max="3" width="19.6640625" customWidth="1"/>
    <col min="4" max="4" width="21" customWidth="1"/>
    <col min="11" max="11" width="11.44140625" customWidth="1"/>
    <col min="13" max="13" width="12.77734375" customWidth="1"/>
  </cols>
  <sheetData>
    <row r="1" spans="1:13" ht="169.8" customHeight="1" x14ac:dyDescent="0.3">
      <c r="A1" s="3" t="s">
        <v>125</v>
      </c>
      <c r="B1" s="4" t="s">
        <v>1</v>
      </c>
      <c r="C1" s="4" t="s">
        <v>2</v>
      </c>
      <c r="D1" s="4" t="s">
        <v>3</v>
      </c>
      <c r="E1" s="4" t="s">
        <v>22</v>
      </c>
      <c r="F1" s="5" t="s">
        <v>29</v>
      </c>
      <c r="G1" s="6" t="s">
        <v>4</v>
      </c>
      <c r="H1" s="7" t="s">
        <v>24</v>
      </c>
      <c r="I1" s="7" t="s">
        <v>23</v>
      </c>
      <c r="J1" s="8" t="s">
        <v>25</v>
      </c>
      <c r="K1" s="8" t="s">
        <v>28</v>
      </c>
      <c r="L1" s="8" t="s">
        <v>26</v>
      </c>
      <c r="M1" s="8" t="s">
        <v>27</v>
      </c>
    </row>
    <row r="2" spans="1:13" x14ac:dyDescent="0.3">
      <c r="A2" s="9" t="s">
        <v>35</v>
      </c>
      <c r="B2" s="10">
        <v>2332.8130000000001</v>
      </c>
      <c r="C2" s="11">
        <v>630813.79879999999</v>
      </c>
      <c r="D2" s="12">
        <v>65238.275999999998</v>
      </c>
      <c r="E2" s="10">
        <v>231</v>
      </c>
      <c r="F2" s="11">
        <v>55.7</v>
      </c>
      <c r="G2" s="11">
        <v>-17.899999999999999</v>
      </c>
      <c r="H2" s="10">
        <v>8016</v>
      </c>
      <c r="I2" s="10">
        <v>3190</v>
      </c>
      <c r="J2" s="11">
        <v>14.1</v>
      </c>
      <c r="K2" s="10">
        <v>332416</v>
      </c>
      <c r="L2" s="10">
        <v>9877</v>
      </c>
      <c r="M2" s="10">
        <v>798</v>
      </c>
    </row>
    <row r="3" spans="1:13" x14ac:dyDescent="0.3">
      <c r="A3" s="9" t="s">
        <v>36</v>
      </c>
      <c r="B3" s="10">
        <v>793.19399999999996</v>
      </c>
      <c r="C3" s="11">
        <v>412481.09220000001</v>
      </c>
      <c r="D3" s="12">
        <v>331129.88699999999</v>
      </c>
      <c r="E3" s="10">
        <v>57</v>
      </c>
      <c r="F3" s="11">
        <v>59.9</v>
      </c>
      <c r="G3" s="11">
        <v>0.2</v>
      </c>
      <c r="H3" s="10">
        <v>5066</v>
      </c>
      <c r="I3" s="10">
        <v>1976</v>
      </c>
      <c r="J3" s="10">
        <v>14</v>
      </c>
      <c r="K3" s="10">
        <v>189366</v>
      </c>
      <c r="L3" s="10">
        <v>4335</v>
      </c>
      <c r="M3" s="10">
        <v>254</v>
      </c>
    </row>
    <row r="4" spans="1:13" ht="26.4" x14ac:dyDescent="0.3">
      <c r="A4" s="9" t="s">
        <v>30</v>
      </c>
      <c r="B4" s="10">
        <v>1100.29</v>
      </c>
      <c r="C4" s="11">
        <v>559051.0673</v>
      </c>
      <c r="D4" s="12">
        <v>73656.373999999996</v>
      </c>
      <c r="E4" s="10">
        <v>56</v>
      </c>
      <c r="F4" s="11">
        <v>54.9</v>
      </c>
      <c r="G4" s="10">
        <v>-28</v>
      </c>
      <c r="H4" s="10">
        <v>4682</v>
      </c>
      <c r="I4" s="10">
        <v>861</v>
      </c>
      <c r="J4" s="11">
        <v>13.2</v>
      </c>
      <c r="K4" s="10">
        <v>354760</v>
      </c>
      <c r="L4" s="10">
        <v>6079</v>
      </c>
      <c r="M4" s="10">
        <v>434</v>
      </c>
    </row>
    <row r="5" spans="1:13" x14ac:dyDescent="0.3">
      <c r="A5" s="9" t="s">
        <v>37</v>
      </c>
      <c r="B5" s="10">
        <v>1014.0650000000001</v>
      </c>
      <c r="C5" s="11">
        <v>602306.73540000001</v>
      </c>
      <c r="D5" s="12">
        <v>87343.974000000002</v>
      </c>
      <c r="E5" s="10">
        <v>43</v>
      </c>
      <c r="F5" s="11">
        <v>57.1</v>
      </c>
      <c r="G5" s="11">
        <v>-77.599999999999994</v>
      </c>
      <c r="H5" s="10">
        <v>2786</v>
      </c>
      <c r="I5" s="10">
        <v>1340</v>
      </c>
      <c r="J5" s="11">
        <v>11.3</v>
      </c>
      <c r="K5" s="10">
        <v>234417</v>
      </c>
      <c r="L5" s="10">
        <v>6158</v>
      </c>
      <c r="M5" s="10">
        <v>285</v>
      </c>
    </row>
    <row r="6" spans="1:13" x14ac:dyDescent="0.3">
      <c r="A6" s="9" t="s">
        <v>5</v>
      </c>
      <c r="B6" s="10">
        <v>1547.4179999999999</v>
      </c>
      <c r="C6" s="11">
        <v>955951.57760000008</v>
      </c>
      <c r="D6" s="12">
        <v>102160.094</v>
      </c>
      <c r="E6" s="10">
        <v>248</v>
      </c>
      <c r="F6" s="10">
        <v>61</v>
      </c>
      <c r="G6" s="11">
        <v>59.5</v>
      </c>
      <c r="H6" s="10">
        <v>3273</v>
      </c>
      <c r="I6" s="10">
        <v>1076</v>
      </c>
      <c r="J6" s="11">
        <v>13.4</v>
      </c>
      <c r="K6" s="10">
        <v>292500</v>
      </c>
      <c r="L6" s="10">
        <v>6269</v>
      </c>
      <c r="M6" s="10">
        <v>543</v>
      </c>
    </row>
    <row r="7" spans="1:13" x14ac:dyDescent="0.3">
      <c r="A7" s="9" t="s">
        <v>6</v>
      </c>
      <c r="B7" s="10">
        <v>1200.1869999999999</v>
      </c>
      <c r="C7" s="11">
        <v>397714.25030000001</v>
      </c>
      <c r="D7" s="12">
        <v>49207.633999999998</v>
      </c>
      <c r="E7" s="10">
        <v>93</v>
      </c>
      <c r="F7" s="11">
        <v>56.4</v>
      </c>
      <c r="G7" s="11">
        <v>-0.3</v>
      </c>
      <c r="H7" s="10">
        <v>2889</v>
      </c>
      <c r="I7" s="10">
        <v>928</v>
      </c>
      <c r="J7" s="11">
        <v>14.7</v>
      </c>
      <c r="K7" s="10">
        <v>155414</v>
      </c>
      <c r="L7" s="10">
        <v>4792</v>
      </c>
      <c r="M7" s="10">
        <v>440</v>
      </c>
    </row>
    <row r="8" spans="1:13" x14ac:dyDescent="0.3">
      <c r="A8" s="9" t="s">
        <v>7</v>
      </c>
      <c r="B8" s="10">
        <v>1365.8050000000001</v>
      </c>
      <c r="C8" s="11">
        <v>537434.59270000004</v>
      </c>
      <c r="D8" s="12">
        <v>61362.862000000001</v>
      </c>
      <c r="E8" s="10">
        <v>114</v>
      </c>
      <c r="F8" s="11">
        <v>59.5</v>
      </c>
      <c r="G8" s="11">
        <v>19.8</v>
      </c>
      <c r="H8" s="10">
        <v>4642</v>
      </c>
      <c r="I8" s="10">
        <v>1099</v>
      </c>
      <c r="J8" s="11">
        <v>15.7</v>
      </c>
      <c r="K8" s="10">
        <v>115279</v>
      </c>
      <c r="L8" s="10">
        <v>4774</v>
      </c>
      <c r="M8" s="10">
        <v>490</v>
      </c>
    </row>
    <row r="9" spans="1:13" x14ac:dyDescent="0.3">
      <c r="A9" s="9" t="s">
        <v>38</v>
      </c>
      <c r="B9" s="10">
        <v>2507.509</v>
      </c>
      <c r="C9" s="10">
        <v>961413.28799999994</v>
      </c>
      <c r="D9" s="12">
        <v>128883.194</v>
      </c>
      <c r="E9" s="10">
        <v>169</v>
      </c>
      <c r="F9" s="11">
        <v>55.7</v>
      </c>
      <c r="G9" s="11">
        <v>-18.7</v>
      </c>
      <c r="H9" s="10">
        <v>9112</v>
      </c>
      <c r="I9" s="10">
        <v>1845</v>
      </c>
      <c r="J9" s="11">
        <v>13.1</v>
      </c>
      <c r="K9" s="10">
        <v>460755</v>
      </c>
      <c r="L9" s="10">
        <v>11292</v>
      </c>
      <c r="M9" s="10">
        <v>812</v>
      </c>
    </row>
    <row r="10" spans="1:13" x14ac:dyDescent="0.3">
      <c r="A10" s="9" t="s">
        <v>39</v>
      </c>
      <c r="B10" s="10">
        <v>1167.713</v>
      </c>
      <c r="C10" s="11">
        <v>630137.67779999995</v>
      </c>
      <c r="D10" s="12">
        <v>164216.84</v>
      </c>
      <c r="E10" s="10">
        <v>98</v>
      </c>
      <c r="F10" s="11">
        <v>56.3</v>
      </c>
      <c r="G10" s="11">
        <v>-17.8</v>
      </c>
      <c r="H10" s="10">
        <v>3272</v>
      </c>
      <c r="I10" s="10">
        <v>911</v>
      </c>
      <c r="J10" s="11">
        <v>14.1</v>
      </c>
      <c r="K10" s="10">
        <v>209770</v>
      </c>
      <c r="L10" s="10">
        <v>4119</v>
      </c>
      <c r="M10" s="10">
        <v>395</v>
      </c>
    </row>
    <row r="11" spans="1:13" x14ac:dyDescent="0.3">
      <c r="A11" s="9" t="s">
        <v>8</v>
      </c>
      <c r="B11" s="10">
        <v>2327.8209999999999</v>
      </c>
      <c r="C11" s="11">
        <v>1002597.7447</v>
      </c>
      <c r="D11" s="12">
        <v>196900.08300000001</v>
      </c>
      <c r="E11" s="10">
        <v>279</v>
      </c>
      <c r="F11" s="11">
        <v>57.3</v>
      </c>
      <c r="G11" s="11">
        <v>41.7</v>
      </c>
      <c r="H11" s="10">
        <v>7838</v>
      </c>
      <c r="I11" s="10">
        <v>2898</v>
      </c>
      <c r="J11" s="11">
        <v>14.2</v>
      </c>
      <c r="K11" s="10">
        <v>396847</v>
      </c>
      <c r="L11" s="10">
        <v>12292</v>
      </c>
      <c r="M11" s="10">
        <v>802</v>
      </c>
    </row>
    <row r="12" spans="1:13" ht="39.6" x14ac:dyDescent="0.3">
      <c r="A12" s="9" t="s">
        <v>40</v>
      </c>
      <c r="B12" s="10">
        <v>12615.279</v>
      </c>
      <c r="C12" s="11">
        <v>19673004.019299999</v>
      </c>
      <c r="D12" s="12">
        <v>2473459.4890000001</v>
      </c>
      <c r="E12" s="10">
        <v>632</v>
      </c>
      <c r="F12" s="11">
        <v>67.2</v>
      </c>
      <c r="G12" s="11">
        <v>37.6</v>
      </c>
      <c r="H12" s="10">
        <v>45909</v>
      </c>
      <c r="I12" s="10">
        <v>12761</v>
      </c>
      <c r="J12" s="11">
        <v>9.6</v>
      </c>
      <c r="K12" s="10">
        <v>6881303</v>
      </c>
      <c r="L12" s="10">
        <v>77581</v>
      </c>
      <c r="M12" s="10">
        <v>5594</v>
      </c>
    </row>
    <row r="13" spans="1:13" ht="26.4" x14ac:dyDescent="0.3">
      <c r="A13" s="9" t="s">
        <v>41</v>
      </c>
      <c r="B13" s="10">
        <v>5383.89</v>
      </c>
      <c r="C13" s="11">
        <v>5124594.0456000008</v>
      </c>
      <c r="D13" s="12">
        <v>498522.277</v>
      </c>
      <c r="E13" s="10">
        <v>595</v>
      </c>
      <c r="F13" s="11">
        <v>66.400000000000006</v>
      </c>
      <c r="G13" s="11">
        <v>26.9</v>
      </c>
      <c r="H13" s="10">
        <v>16750</v>
      </c>
      <c r="I13" s="10">
        <v>8240</v>
      </c>
      <c r="J13" s="10">
        <v>11</v>
      </c>
      <c r="K13" s="10">
        <v>2783992</v>
      </c>
      <c r="L13" s="10">
        <v>45822</v>
      </c>
      <c r="M13" s="10">
        <v>2179</v>
      </c>
    </row>
    <row r="14" spans="1:13" ht="26.4" x14ac:dyDescent="0.3">
      <c r="A14" s="9" t="s">
        <v>42</v>
      </c>
      <c r="B14" s="10">
        <v>443.21199999999999</v>
      </c>
      <c r="C14" s="11">
        <v>136927.4118</v>
      </c>
      <c r="D14" s="12">
        <v>33201.307999999997</v>
      </c>
      <c r="E14" s="10">
        <v>20</v>
      </c>
      <c r="F14" s="11">
        <v>58.3</v>
      </c>
      <c r="G14" s="11">
        <v>166.5</v>
      </c>
      <c r="H14" s="10">
        <v>1021</v>
      </c>
      <c r="I14" s="10">
        <v>494</v>
      </c>
      <c r="J14" s="11">
        <v>13.1</v>
      </c>
      <c r="K14" s="10">
        <v>65651</v>
      </c>
      <c r="L14" s="10">
        <v>2037</v>
      </c>
      <c r="M14" s="10">
        <v>135</v>
      </c>
    </row>
    <row r="15" spans="1:13" x14ac:dyDescent="0.3">
      <c r="A15" s="9" t="s">
        <v>43</v>
      </c>
      <c r="B15" s="10">
        <v>159.91300000000001</v>
      </c>
      <c r="C15" s="11">
        <v>56570.5144</v>
      </c>
      <c r="D15" s="12">
        <v>14031.403</v>
      </c>
      <c r="E15" s="10">
        <v>5</v>
      </c>
      <c r="F15" s="10">
        <v>56</v>
      </c>
      <c r="G15" s="11">
        <v>-64.5</v>
      </c>
      <c r="H15" s="10">
        <v>892</v>
      </c>
      <c r="I15" s="10">
        <v>407</v>
      </c>
      <c r="J15" s="11">
        <v>14.2</v>
      </c>
      <c r="K15" s="10">
        <v>68162</v>
      </c>
      <c r="L15" s="10">
        <v>602</v>
      </c>
      <c r="M15" s="10">
        <v>51</v>
      </c>
    </row>
    <row r="16" spans="1:13" x14ac:dyDescent="0.3">
      <c r="A16" s="9" t="s">
        <v>44</v>
      </c>
      <c r="B16" s="10">
        <v>1065.7850000000001</v>
      </c>
      <c r="C16" s="11">
        <v>364555.58560000005</v>
      </c>
      <c r="D16" s="12">
        <v>87556.755999999994</v>
      </c>
      <c r="E16" s="10">
        <v>35</v>
      </c>
      <c r="F16" s="11">
        <v>56.7</v>
      </c>
      <c r="G16" s="11">
        <v>-51.6</v>
      </c>
      <c r="H16" s="10">
        <v>4783</v>
      </c>
      <c r="I16" s="10">
        <v>1637</v>
      </c>
      <c r="J16" s="11">
        <v>12.4</v>
      </c>
      <c r="K16" s="10">
        <v>203567</v>
      </c>
      <c r="L16" s="10">
        <v>5396</v>
      </c>
      <c r="M16" s="10">
        <v>309</v>
      </c>
    </row>
    <row r="17" spans="1:13" x14ac:dyDescent="0.3">
      <c r="A17" s="9" t="s">
        <v>9</v>
      </c>
      <c r="B17" s="10">
        <v>1004.18</v>
      </c>
      <c r="C17" s="11">
        <v>249755.83059999999</v>
      </c>
      <c r="D17" s="12">
        <v>19319.214</v>
      </c>
      <c r="E17" s="10">
        <v>45</v>
      </c>
      <c r="F17" s="11">
        <v>58.1</v>
      </c>
      <c r="G17" s="11">
        <v>8.1999999999999993</v>
      </c>
      <c r="H17" s="10">
        <v>3378</v>
      </c>
      <c r="I17" s="10">
        <v>909</v>
      </c>
      <c r="J17" s="11">
        <v>15.8</v>
      </c>
      <c r="K17" s="10">
        <v>105705</v>
      </c>
      <c r="L17" s="10">
        <v>4402</v>
      </c>
      <c r="M17" s="10">
        <v>347</v>
      </c>
    </row>
    <row r="18" spans="1:13" x14ac:dyDescent="0.3">
      <c r="A18" s="9" t="s">
        <v>45</v>
      </c>
      <c r="B18" s="10">
        <v>2397.7629999999999</v>
      </c>
      <c r="C18" s="11">
        <v>1545680.6176</v>
      </c>
      <c r="D18" s="12">
        <v>305979.52799999999</v>
      </c>
      <c r="E18" s="10">
        <v>91</v>
      </c>
      <c r="F18" s="11">
        <v>57.1</v>
      </c>
      <c r="G18" s="11">
        <v>-13.7</v>
      </c>
      <c r="H18" s="10">
        <v>11252</v>
      </c>
      <c r="I18" s="10">
        <v>2392</v>
      </c>
      <c r="J18" s="11">
        <v>13.2</v>
      </c>
      <c r="K18" s="10">
        <v>530886</v>
      </c>
      <c r="L18" s="10">
        <v>11724</v>
      </c>
      <c r="M18" s="10">
        <v>802</v>
      </c>
    </row>
    <row r="19" spans="1:13" x14ac:dyDescent="0.3">
      <c r="A19" s="9" t="s">
        <v>46</v>
      </c>
      <c r="B19" s="10">
        <v>866.21900000000005</v>
      </c>
      <c r="C19" s="11">
        <v>171044.44949999999</v>
      </c>
      <c r="D19" s="12">
        <v>20034.653999999999</v>
      </c>
      <c r="E19" s="10">
        <v>26</v>
      </c>
      <c r="F19" s="11">
        <v>57.9</v>
      </c>
      <c r="G19" s="11">
        <v>-6.6</v>
      </c>
      <c r="H19" s="10">
        <v>2187</v>
      </c>
      <c r="I19" s="10">
        <v>1218</v>
      </c>
      <c r="J19" s="11">
        <v>8.1999999999999993</v>
      </c>
      <c r="K19" s="10">
        <v>27911</v>
      </c>
      <c r="L19" s="10">
        <v>4075</v>
      </c>
      <c r="M19" s="10">
        <v>213</v>
      </c>
    </row>
    <row r="20" spans="1:13" x14ac:dyDescent="0.3">
      <c r="A20" s="9" t="s">
        <v>47</v>
      </c>
      <c r="B20" s="10">
        <v>1002.187</v>
      </c>
      <c r="C20" s="11">
        <v>519724.54450000002</v>
      </c>
      <c r="D20" s="12">
        <v>77250.554000000004</v>
      </c>
      <c r="E20" s="10">
        <v>90</v>
      </c>
      <c r="F20" s="10">
        <v>62</v>
      </c>
      <c r="G20" s="11">
        <v>128.69999999999999</v>
      </c>
      <c r="H20" s="10">
        <v>3315</v>
      </c>
      <c r="I20" s="10">
        <v>921</v>
      </c>
      <c r="J20" s="10">
        <v>12</v>
      </c>
      <c r="K20" s="10">
        <v>452538</v>
      </c>
      <c r="L20" s="10">
        <v>4705</v>
      </c>
      <c r="M20" s="10">
        <v>320</v>
      </c>
    </row>
    <row r="21" spans="1:13" x14ac:dyDescent="0.3">
      <c r="A21" s="9" t="s">
        <v>10</v>
      </c>
      <c r="B21" s="10">
        <v>1009.38</v>
      </c>
      <c r="C21" s="11">
        <v>545109.41029999999</v>
      </c>
      <c r="D21" s="12">
        <v>90551.351999999999</v>
      </c>
      <c r="E21" s="10">
        <v>103</v>
      </c>
      <c r="F21" s="11">
        <v>60.7</v>
      </c>
      <c r="G21" s="11">
        <v>-10.7</v>
      </c>
      <c r="H21" s="10">
        <v>4260</v>
      </c>
      <c r="I21" s="10">
        <v>1355</v>
      </c>
      <c r="J21" s="11">
        <v>14.6</v>
      </c>
      <c r="K21" s="10">
        <v>355131</v>
      </c>
      <c r="L21" s="10">
        <v>4266</v>
      </c>
      <c r="M21" s="10">
        <v>342</v>
      </c>
    </row>
    <row r="22" spans="1:13" x14ac:dyDescent="0.3">
      <c r="A22" s="9" t="s">
        <v>48</v>
      </c>
      <c r="B22" s="10">
        <v>314.72300000000001</v>
      </c>
      <c r="C22" s="11">
        <v>279672.69810000004</v>
      </c>
      <c r="D22" s="12">
        <v>37340.769</v>
      </c>
      <c r="E22" s="10">
        <v>57</v>
      </c>
      <c r="F22" s="11">
        <v>67.400000000000006</v>
      </c>
      <c r="G22" s="10">
        <v>-50</v>
      </c>
      <c r="H22" s="10">
        <v>973</v>
      </c>
      <c r="I22" s="10">
        <v>529</v>
      </c>
      <c r="J22" s="10">
        <v>11</v>
      </c>
      <c r="K22" s="10">
        <v>30732</v>
      </c>
      <c r="L22" s="10">
        <v>1655</v>
      </c>
      <c r="M22" s="10">
        <v>105</v>
      </c>
    </row>
    <row r="23" spans="1:13" x14ac:dyDescent="0.3">
      <c r="A23" s="9" t="s">
        <v>49</v>
      </c>
      <c r="B23" s="10">
        <v>465.56299999999999</v>
      </c>
      <c r="C23" s="11">
        <v>92019.035799999998</v>
      </c>
      <c r="D23" s="12">
        <v>17188.646000000001</v>
      </c>
      <c r="E23" s="10">
        <v>24</v>
      </c>
      <c r="F23" s="11">
        <v>47.9</v>
      </c>
      <c r="G23" s="11">
        <v>-18.600000000000001</v>
      </c>
      <c r="H23" s="10">
        <v>1208</v>
      </c>
      <c r="I23" s="10">
        <v>649</v>
      </c>
      <c r="J23" s="10">
        <v>9</v>
      </c>
      <c r="K23" s="10">
        <v>23023</v>
      </c>
      <c r="L23" s="10">
        <v>1943</v>
      </c>
      <c r="M23" s="10">
        <v>131</v>
      </c>
    </row>
    <row r="24" spans="1:13" x14ac:dyDescent="0.3">
      <c r="A24" s="9" t="s">
        <v>50</v>
      </c>
      <c r="B24" s="10">
        <v>2674.2559999999999</v>
      </c>
      <c r="C24" s="11">
        <v>1110415.0542000001</v>
      </c>
      <c r="D24" s="12">
        <v>223665.64</v>
      </c>
      <c r="E24" s="10">
        <v>121</v>
      </c>
      <c r="F24" s="11">
        <v>55.6</v>
      </c>
      <c r="G24" s="11">
        <v>-9.4</v>
      </c>
      <c r="H24" s="10">
        <v>11308</v>
      </c>
      <c r="I24" s="10">
        <v>4466</v>
      </c>
      <c r="J24" s="11">
        <v>14.3</v>
      </c>
      <c r="K24" s="10">
        <v>487295</v>
      </c>
      <c r="L24" s="10">
        <v>11652</v>
      </c>
      <c r="M24" s="10">
        <v>898</v>
      </c>
    </row>
    <row r="25" spans="1:13" x14ac:dyDescent="0.3">
      <c r="A25" s="9" t="s">
        <v>51</v>
      </c>
      <c r="B25" s="10">
        <v>1272.1089999999999</v>
      </c>
      <c r="C25" s="11">
        <v>370255.8578</v>
      </c>
      <c r="D25" s="12">
        <v>54895.252</v>
      </c>
      <c r="E25" s="10">
        <v>140</v>
      </c>
      <c r="F25" s="10">
        <v>57</v>
      </c>
      <c r="G25" s="11">
        <v>-21.9</v>
      </c>
      <c r="H25" s="10">
        <v>4571</v>
      </c>
      <c r="I25" s="10">
        <v>1216</v>
      </c>
      <c r="J25" s="11">
        <v>14.3</v>
      </c>
      <c r="K25" s="10">
        <v>243616</v>
      </c>
      <c r="L25" s="10">
        <v>6121</v>
      </c>
      <c r="M25" s="10">
        <v>462</v>
      </c>
    </row>
    <row r="26" spans="1:13" x14ac:dyDescent="0.3">
      <c r="A26" s="9" t="s">
        <v>11</v>
      </c>
      <c r="B26" s="10">
        <v>637.26700000000005</v>
      </c>
      <c r="C26" s="11">
        <v>202926.06319999998</v>
      </c>
      <c r="D26" s="12">
        <v>17128.215</v>
      </c>
      <c r="E26" s="10">
        <v>32</v>
      </c>
      <c r="F26" s="11">
        <v>55.9</v>
      </c>
      <c r="G26" s="11">
        <v>-4.8</v>
      </c>
      <c r="H26" s="10">
        <v>2086</v>
      </c>
      <c r="I26" s="10">
        <v>686</v>
      </c>
      <c r="J26" s="11">
        <v>14.7</v>
      </c>
      <c r="K26" s="10">
        <v>230019</v>
      </c>
      <c r="L26" s="10">
        <v>2415</v>
      </c>
      <c r="M26" s="10">
        <v>228</v>
      </c>
    </row>
    <row r="27" spans="1:13" x14ac:dyDescent="0.3">
      <c r="A27" s="9" t="s">
        <v>52</v>
      </c>
      <c r="B27" s="10">
        <v>5648.2349999999997</v>
      </c>
      <c r="C27" s="11">
        <v>2569810.7209000001</v>
      </c>
      <c r="D27" s="12">
        <v>328918.69400000002</v>
      </c>
      <c r="E27" s="10">
        <v>543</v>
      </c>
      <c r="F27" s="11">
        <v>57.9</v>
      </c>
      <c r="G27" s="11">
        <v>63.5</v>
      </c>
      <c r="H27" s="10">
        <v>14751</v>
      </c>
      <c r="I27" s="10">
        <v>6480</v>
      </c>
      <c r="J27" s="11">
        <v>12.4</v>
      </c>
      <c r="K27" s="10">
        <v>953448</v>
      </c>
      <c r="L27" s="10">
        <v>24590</v>
      </c>
      <c r="M27" s="10">
        <v>1753</v>
      </c>
    </row>
    <row r="28" spans="1:13" x14ac:dyDescent="0.3">
      <c r="A28" s="9" t="s">
        <v>53</v>
      </c>
      <c r="B28" s="10">
        <v>2874.0259999999998</v>
      </c>
      <c r="C28" s="10">
        <v>2692239.2420000001</v>
      </c>
      <c r="D28" s="12">
        <v>381410.10700000002</v>
      </c>
      <c r="E28" s="10">
        <v>174</v>
      </c>
      <c r="F28" s="11">
        <v>60.5</v>
      </c>
      <c r="G28" s="11">
        <v>-9.6999999999999993</v>
      </c>
      <c r="H28" s="10">
        <v>10602</v>
      </c>
      <c r="I28" s="10">
        <v>3823</v>
      </c>
      <c r="J28" s="11">
        <v>12.3</v>
      </c>
      <c r="K28" s="10">
        <v>1005580</v>
      </c>
      <c r="L28" s="10">
        <v>14316</v>
      </c>
      <c r="M28" s="10">
        <v>899</v>
      </c>
    </row>
    <row r="29" spans="1:13" x14ac:dyDescent="0.3">
      <c r="A29" s="9" t="s">
        <v>54</v>
      </c>
      <c r="B29" s="10">
        <v>834.70100000000002</v>
      </c>
      <c r="C29" s="11">
        <v>233468.5779</v>
      </c>
      <c r="D29" s="12">
        <v>29452.536</v>
      </c>
      <c r="E29" s="10">
        <v>41</v>
      </c>
      <c r="F29" s="11">
        <v>48.8</v>
      </c>
      <c r="G29" s="11">
        <v>-30.4</v>
      </c>
      <c r="H29" s="10">
        <v>3999</v>
      </c>
      <c r="I29" s="10">
        <v>1609</v>
      </c>
      <c r="J29" s="11">
        <v>15.3</v>
      </c>
      <c r="K29" s="10">
        <v>163494</v>
      </c>
      <c r="L29" s="10">
        <v>2422</v>
      </c>
      <c r="M29" s="10">
        <v>310</v>
      </c>
    </row>
    <row r="30" spans="1:13" x14ac:dyDescent="0.3">
      <c r="A30" s="9" t="s">
        <v>12</v>
      </c>
      <c r="B30" s="10">
        <v>1107.0409999999999</v>
      </c>
      <c r="C30" s="11">
        <v>496699.35510000004</v>
      </c>
      <c r="D30" s="12">
        <v>109198.333</v>
      </c>
      <c r="E30" s="10">
        <v>134</v>
      </c>
      <c r="F30" s="11">
        <v>58.3</v>
      </c>
      <c r="G30" s="11">
        <v>38.700000000000003</v>
      </c>
      <c r="H30" s="10">
        <v>3191</v>
      </c>
      <c r="I30" s="10">
        <v>1082</v>
      </c>
      <c r="J30" s="10">
        <v>15</v>
      </c>
      <c r="K30" s="10">
        <v>236319</v>
      </c>
      <c r="L30" s="10">
        <v>5668</v>
      </c>
      <c r="M30" s="10">
        <v>418</v>
      </c>
    </row>
    <row r="31" spans="1:13" x14ac:dyDescent="0.3">
      <c r="A31" s="9" t="s">
        <v>55</v>
      </c>
      <c r="B31" s="10">
        <v>1847.867</v>
      </c>
      <c r="C31" s="11">
        <v>1224514.1073</v>
      </c>
      <c r="D31" s="12">
        <v>385751.20199999999</v>
      </c>
      <c r="E31" s="10">
        <v>194</v>
      </c>
      <c r="F31" s="10">
        <v>60</v>
      </c>
      <c r="G31" s="11">
        <v>203.5</v>
      </c>
      <c r="H31" s="10">
        <v>8495</v>
      </c>
      <c r="I31" s="10">
        <v>2023</v>
      </c>
      <c r="J31" s="11">
        <v>12.7</v>
      </c>
      <c r="K31" s="10">
        <v>189787</v>
      </c>
      <c r="L31" s="10">
        <v>6951</v>
      </c>
      <c r="M31" s="10">
        <v>497</v>
      </c>
    </row>
    <row r="32" spans="1:13" x14ac:dyDescent="0.3">
      <c r="A32" s="9" t="s">
        <v>13</v>
      </c>
      <c r="B32" s="10">
        <v>1144.0350000000001</v>
      </c>
      <c r="C32" s="11">
        <v>570379.95679999993</v>
      </c>
      <c r="D32" s="12">
        <v>102598.33</v>
      </c>
      <c r="E32" s="10">
        <v>159</v>
      </c>
      <c r="F32" s="11">
        <v>59.6</v>
      </c>
      <c r="G32" s="11">
        <v>16.100000000000001</v>
      </c>
      <c r="H32" s="10">
        <v>2834</v>
      </c>
      <c r="I32" s="10">
        <v>1269</v>
      </c>
      <c r="J32" s="11">
        <v>14.3</v>
      </c>
      <c r="K32" s="10">
        <v>325756</v>
      </c>
      <c r="L32" s="10">
        <v>4821</v>
      </c>
      <c r="M32" s="10">
        <v>410</v>
      </c>
    </row>
    <row r="33" spans="1:13" x14ac:dyDescent="0.3">
      <c r="A33" s="9" t="s">
        <v>56</v>
      </c>
      <c r="B33" s="10">
        <v>141.23400000000001</v>
      </c>
      <c r="C33" s="11">
        <v>213579.8444</v>
      </c>
      <c r="D33" s="12">
        <v>32028.981</v>
      </c>
      <c r="E33" s="10">
        <v>9</v>
      </c>
      <c r="F33" s="11">
        <v>69.099999999999994</v>
      </c>
      <c r="G33" s="11">
        <v>-52.7</v>
      </c>
      <c r="H33" s="10">
        <v>806</v>
      </c>
      <c r="I33" s="10">
        <v>331</v>
      </c>
      <c r="J33" s="11">
        <v>11.5</v>
      </c>
      <c r="K33" s="10">
        <v>13985</v>
      </c>
      <c r="L33" s="10">
        <v>872</v>
      </c>
      <c r="M33" s="10">
        <v>49</v>
      </c>
    </row>
    <row r="34" spans="1:13" x14ac:dyDescent="0.3">
      <c r="A34" s="9" t="s">
        <v>14</v>
      </c>
      <c r="B34" s="10">
        <v>7599.6469999999999</v>
      </c>
      <c r="C34" s="10">
        <v>5128439.0889999997</v>
      </c>
      <c r="D34" s="12">
        <v>877818.41200000001</v>
      </c>
      <c r="E34" s="10">
        <v>685</v>
      </c>
      <c r="F34" s="11">
        <v>65.2</v>
      </c>
      <c r="G34" s="11">
        <v>144.1</v>
      </c>
      <c r="H34" s="10">
        <v>21684</v>
      </c>
      <c r="I34" s="10">
        <v>8330</v>
      </c>
      <c r="J34" s="11">
        <v>12.1</v>
      </c>
      <c r="K34" s="10">
        <v>2087872</v>
      </c>
      <c r="L34" s="10">
        <v>32747</v>
      </c>
      <c r="M34" s="10">
        <v>2025</v>
      </c>
    </row>
    <row r="35" spans="1:13" x14ac:dyDescent="0.3">
      <c r="A35" s="9" t="s">
        <v>57</v>
      </c>
      <c r="B35" s="10">
        <v>748.05600000000004</v>
      </c>
      <c r="C35" s="11">
        <v>616908.96039999998</v>
      </c>
      <c r="D35" s="12">
        <v>161652.448</v>
      </c>
      <c r="E35" s="10">
        <v>50</v>
      </c>
      <c r="F35" s="11">
        <v>64.2</v>
      </c>
      <c r="G35" s="11">
        <v>-65.3</v>
      </c>
      <c r="H35" s="10">
        <v>2710</v>
      </c>
      <c r="I35" s="10">
        <v>1438</v>
      </c>
      <c r="J35" s="11">
        <v>11.3</v>
      </c>
      <c r="K35" s="10">
        <v>362974</v>
      </c>
      <c r="L35" s="10">
        <v>3833</v>
      </c>
      <c r="M35" s="10">
        <v>268</v>
      </c>
    </row>
    <row r="36" spans="1:13" ht="26.4" x14ac:dyDescent="0.3">
      <c r="A36" s="9" t="s">
        <v>31</v>
      </c>
      <c r="B36" s="10">
        <v>43.829000000000001</v>
      </c>
      <c r="C36" s="11">
        <v>331115.41139999998</v>
      </c>
      <c r="D36" s="12">
        <v>95959.524999999994</v>
      </c>
      <c r="E36" s="10">
        <v>10</v>
      </c>
      <c r="F36" s="11">
        <v>62.1</v>
      </c>
      <c r="G36" s="11">
        <v>17.5</v>
      </c>
      <c r="H36" s="10">
        <v>194</v>
      </c>
      <c r="I36" s="10">
        <v>37</v>
      </c>
      <c r="J36" s="11">
        <v>8.5</v>
      </c>
      <c r="K36" s="10">
        <v>988</v>
      </c>
      <c r="L36" s="10">
        <v>227</v>
      </c>
      <c r="M36" s="10">
        <v>15</v>
      </c>
    </row>
    <row r="37" spans="1:13" x14ac:dyDescent="0.3">
      <c r="A37" s="9" t="s">
        <v>58</v>
      </c>
      <c r="B37" s="10">
        <v>3214.623</v>
      </c>
      <c r="C37" s="11">
        <v>1621913.1128</v>
      </c>
      <c r="D37" s="12">
        <v>206491.66099999999</v>
      </c>
      <c r="E37" s="10">
        <v>265</v>
      </c>
      <c r="F37" s="11">
        <v>61.9</v>
      </c>
      <c r="G37" s="10">
        <v>20</v>
      </c>
      <c r="H37" s="10">
        <v>10274</v>
      </c>
      <c r="I37" s="10">
        <v>3588</v>
      </c>
      <c r="J37" s="11">
        <v>14.6</v>
      </c>
      <c r="K37" s="10">
        <v>1532090</v>
      </c>
      <c r="L37" s="10">
        <v>15464</v>
      </c>
      <c r="M37" s="10">
        <v>1107</v>
      </c>
    </row>
    <row r="38" spans="1:13" x14ac:dyDescent="0.3">
      <c r="A38" s="9" t="s">
        <v>59</v>
      </c>
      <c r="B38" s="10">
        <v>600.29600000000005</v>
      </c>
      <c r="C38" s="10">
        <v>273543.49400000001</v>
      </c>
      <c r="D38" s="12">
        <v>41119.409</v>
      </c>
      <c r="E38" s="10">
        <v>56</v>
      </c>
      <c r="F38" s="11">
        <v>57.7</v>
      </c>
      <c r="G38" s="11">
        <v>13.8</v>
      </c>
      <c r="H38" s="10">
        <v>2870</v>
      </c>
      <c r="I38" s="10">
        <v>906</v>
      </c>
      <c r="J38" s="11">
        <v>16.399999999999999</v>
      </c>
      <c r="K38" s="10">
        <v>323612</v>
      </c>
      <c r="L38" s="10">
        <v>2591</v>
      </c>
      <c r="M38" s="10">
        <v>217</v>
      </c>
    </row>
    <row r="39" spans="1:13" x14ac:dyDescent="0.3">
      <c r="A39" s="9" t="s">
        <v>60</v>
      </c>
      <c r="B39" s="10">
        <v>2793.384</v>
      </c>
      <c r="C39" s="11">
        <v>1409192.0219000001</v>
      </c>
      <c r="D39" s="12">
        <v>144765.61600000001</v>
      </c>
      <c r="E39" s="10">
        <v>304</v>
      </c>
      <c r="F39" s="11">
        <v>58.5</v>
      </c>
      <c r="G39" s="11">
        <v>37.1</v>
      </c>
      <c r="H39" s="10">
        <v>10366</v>
      </c>
      <c r="I39" s="10">
        <v>2330</v>
      </c>
      <c r="J39" s="11">
        <v>12.8</v>
      </c>
      <c r="K39" s="10">
        <v>701104</v>
      </c>
      <c r="L39" s="10">
        <v>15270</v>
      </c>
      <c r="M39" s="10">
        <v>882</v>
      </c>
    </row>
    <row r="40" spans="1:13" x14ac:dyDescent="0.3">
      <c r="A40" s="9" t="s">
        <v>61</v>
      </c>
      <c r="B40" s="10">
        <v>1944.1949999999999</v>
      </c>
      <c r="C40" s="11">
        <v>772954.73310000007</v>
      </c>
      <c r="D40" s="12">
        <v>117882.925</v>
      </c>
      <c r="E40" s="10">
        <v>149</v>
      </c>
      <c r="F40" s="11">
        <v>59.5</v>
      </c>
      <c r="G40" s="11">
        <v>-62.6</v>
      </c>
      <c r="H40" s="10">
        <v>6263</v>
      </c>
      <c r="I40" s="10">
        <v>2869</v>
      </c>
      <c r="J40" s="11">
        <v>12.6</v>
      </c>
      <c r="K40" s="10">
        <v>681744</v>
      </c>
      <c r="L40" s="10">
        <v>9813</v>
      </c>
      <c r="M40" s="10">
        <v>632</v>
      </c>
    </row>
    <row r="41" spans="1:13" x14ac:dyDescent="0.3">
      <c r="A41" s="9" t="s">
        <v>62</v>
      </c>
      <c r="B41" s="10">
        <v>1963.0070000000001</v>
      </c>
      <c r="C41" s="11">
        <v>1107155.3210999998</v>
      </c>
      <c r="D41" s="12">
        <v>158276.644</v>
      </c>
      <c r="E41" s="10">
        <v>147</v>
      </c>
      <c r="F41" s="11">
        <v>55.5</v>
      </c>
      <c r="G41" s="11">
        <v>-1.2</v>
      </c>
      <c r="H41" s="10">
        <v>6930</v>
      </c>
      <c r="I41" s="10">
        <v>3381</v>
      </c>
      <c r="J41" s="11">
        <v>13.1</v>
      </c>
      <c r="K41" s="10">
        <v>199695</v>
      </c>
      <c r="L41" s="10">
        <v>9076</v>
      </c>
      <c r="M41" s="10">
        <v>652</v>
      </c>
    </row>
    <row r="42" spans="1:13" x14ac:dyDescent="0.3">
      <c r="A42" s="9" t="s">
        <v>15</v>
      </c>
      <c r="B42" s="10">
        <v>739.46699999999998</v>
      </c>
      <c r="C42" s="11">
        <v>265672.69640000002</v>
      </c>
      <c r="D42" s="12">
        <v>31476.365000000002</v>
      </c>
      <c r="E42" s="10">
        <v>89</v>
      </c>
      <c r="F42" s="10">
        <v>52</v>
      </c>
      <c r="G42" s="11">
        <v>-8.5</v>
      </c>
      <c r="H42" s="10">
        <v>1788</v>
      </c>
      <c r="I42" s="10">
        <v>612</v>
      </c>
      <c r="J42" s="11">
        <v>15.4</v>
      </c>
      <c r="K42" s="10">
        <v>146079</v>
      </c>
      <c r="L42" s="10">
        <v>3284</v>
      </c>
      <c r="M42" s="10">
        <v>284</v>
      </c>
    </row>
    <row r="43" spans="1:13" x14ac:dyDescent="0.3">
      <c r="A43" s="9" t="s">
        <v>63</v>
      </c>
      <c r="B43" s="10">
        <v>1318.1030000000001</v>
      </c>
      <c r="C43" s="11">
        <v>448975.51049999997</v>
      </c>
      <c r="D43" s="12">
        <v>49214.671999999999</v>
      </c>
      <c r="E43" s="10">
        <v>110</v>
      </c>
      <c r="F43" s="11">
        <v>55.5</v>
      </c>
      <c r="G43" s="11">
        <v>-34.299999999999997</v>
      </c>
      <c r="H43" s="10">
        <v>3275</v>
      </c>
      <c r="I43" s="10">
        <v>1193</v>
      </c>
      <c r="J43" s="10">
        <v>14</v>
      </c>
      <c r="K43" s="10">
        <v>392391</v>
      </c>
      <c r="L43" s="10">
        <v>5562</v>
      </c>
      <c r="M43" s="10">
        <v>466</v>
      </c>
    </row>
    <row r="44" spans="1:13" x14ac:dyDescent="0.3">
      <c r="A44" s="9" t="s">
        <v>64</v>
      </c>
      <c r="B44" s="10">
        <v>2610.8000000000002</v>
      </c>
      <c r="C44" s="11">
        <v>1495011.8099</v>
      </c>
      <c r="D44" s="12">
        <v>221411.486</v>
      </c>
      <c r="E44" s="10">
        <v>178</v>
      </c>
      <c r="F44" s="11">
        <v>54.8</v>
      </c>
      <c r="G44" s="11">
        <v>-14.4</v>
      </c>
      <c r="H44" s="10">
        <v>10655</v>
      </c>
      <c r="I44" s="10">
        <v>3833</v>
      </c>
      <c r="J44" s="11">
        <v>13.2</v>
      </c>
      <c r="K44" s="10">
        <v>455340</v>
      </c>
      <c r="L44" s="10">
        <v>13140</v>
      </c>
      <c r="M44" s="10">
        <v>842</v>
      </c>
    </row>
    <row r="45" spans="1:13" x14ac:dyDescent="0.3">
      <c r="A45" s="9" t="s">
        <v>65</v>
      </c>
      <c r="B45" s="10">
        <v>1902.7180000000001</v>
      </c>
      <c r="C45" s="11">
        <v>1066724.7124000001</v>
      </c>
      <c r="D45" s="12">
        <v>130901.81600000001</v>
      </c>
      <c r="E45" s="10">
        <v>147</v>
      </c>
      <c r="F45" s="11">
        <v>59.5</v>
      </c>
      <c r="G45" s="11">
        <v>3.6</v>
      </c>
      <c r="H45" s="10">
        <v>7351</v>
      </c>
      <c r="I45" s="10">
        <v>4225</v>
      </c>
      <c r="J45" s="11">
        <v>13.5</v>
      </c>
      <c r="K45" s="10">
        <v>843665</v>
      </c>
      <c r="L45" s="10">
        <v>9825</v>
      </c>
      <c r="M45" s="10">
        <v>602</v>
      </c>
    </row>
    <row r="46" spans="1:13" x14ac:dyDescent="0.3">
      <c r="A46" s="9" t="s">
        <v>66</v>
      </c>
      <c r="B46" s="10">
        <v>629.65099999999995</v>
      </c>
      <c r="C46" s="11">
        <v>197129.63940000001</v>
      </c>
      <c r="D46" s="12">
        <v>20567.377</v>
      </c>
      <c r="E46" s="10">
        <v>54</v>
      </c>
      <c r="F46" s="11">
        <v>55.9</v>
      </c>
      <c r="G46" s="11">
        <v>27.6</v>
      </c>
      <c r="H46" s="10">
        <v>2570</v>
      </c>
      <c r="I46" s="10">
        <v>1100</v>
      </c>
      <c r="J46" s="11">
        <v>16.899999999999999</v>
      </c>
      <c r="K46" s="10">
        <v>129332</v>
      </c>
      <c r="L46" s="10">
        <v>1939</v>
      </c>
      <c r="M46" s="10">
        <v>230</v>
      </c>
    </row>
    <row r="47" spans="1:13" x14ac:dyDescent="0.3">
      <c r="A47" s="9" t="s">
        <v>67</v>
      </c>
      <c r="B47" s="10">
        <v>454.74400000000003</v>
      </c>
      <c r="C47" s="11">
        <v>132235.6372</v>
      </c>
      <c r="D47" s="12">
        <v>30866.321</v>
      </c>
      <c r="E47" s="10">
        <v>30</v>
      </c>
      <c r="F47" s="11">
        <v>49.8</v>
      </c>
      <c r="G47" s="11">
        <v>213.9</v>
      </c>
      <c r="H47" s="10">
        <v>1102</v>
      </c>
      <c r="I47" s="10">
        <v>306</v>
      </c>
      <c r="J47" s="11">
        <v>12.4</v>
      </c>
      <c r="K47" s="10">
        <v>16075</v>
      </c>
      <c r="L47" s="10">
        <v>1807</v>
      </c>
      <c r="M47" s="10">
        <v>136</v>
      </c>
    </row>
    <row r="48" spans="1:13" x14ac:dyDescent="0.3">
      <c r="A48" s="9" t="s">
        <v>68</v>
      </c>
      <c r="B48" s="10">
        <v>218.86600000000001</v>
      </c>
      <c r="C48" s="11">
        <v>58976.756600000001</v>
      </c>
      <c r="D48" s="12">
        <v>14486.630999999999</v>
      </c>
      <c r="E48" s="10">
        <v>14</v>
      </c>
      <c r="F48" s="10">
        <v>53</v>
      </c>
      <c r="G48" s="11">
        <v>25.4</v>
      </c>
      <c r="H48" s="10">
        <v>729</v>
      </c>
      <c r="I48" s="10">
        <v>268</v>
      </c>
      <c r="J48" s="11">
        <v>10.1</v>
      </c>
      <c r="K48" s="10">
        <v>6542</v>
      </c>
      <c r="L48" s="10">
        <v>986</v>
      </c>
      <c r="M48" s="10">
        <v>64</v>
      </c>
    </row>
    <row r="49" spans="1:13" x14ac:dyDescent="0.3">
      <c r="A49" s="9" t="s">
        <v>69</v>
      </c>
      <c r="B49" s="10">
        <v>4051.0050000000001</v>
      </c>
      <c r="C49" s="10">
        <v>1810090.9809999999</v>
      </c>
      <c r="D49" s="12">
        <v>213414.30499999999</v>
      </c>
      <c r="E49" s="10">
        <v>275</v>
      </c>
      <c r="F49" s="11">
        <v>55.3</v>
      </c>
      <c r="G49" s="11">
        <v>-13.6</v>
      </c>
      <c r="H49" s="10">
        <v>12503</v>
      </c>
      <c r="I49" s="10">
        <v>5435</v>
      </c>
      <c r="J49" s="11">
        <v>12.2</v>
      </c>
      <c r="K49" s="10">
        <v>864840</v>
      </c>
      <c r="L49" s="10">
        <v>17531</v>
      </c>
      <c r="M49" s="10">
        <v>1230</v>
      </c>
    </row>
    <row r="50" spans="1:13" x14ac:dyDescent="0.3">
      <c r="A50" s="9" t="s">
        <v>70</v>
      </c>
      <c r="B50" s="10">
        <v>983.27300000000002</v>
      </c>
      <c r="C50" s="11">
        <v>285832.19319999998</v>
      </c>
      <c r="D50" s="12">
        <v>57505.813000000002</v>
      </c>
      <c r="E50" s="10">
        <v>24</v>
      </c>
      <c r="F50" s="11">
        <v>52.1</v>
      </c>
      <c r="G50" s="11">
        <v>10.5</v>
      </c>
      <c r="H50" s="10">
        <v>4819</v>
      </c>
      <c r="I50" s="10">
        <v>1373</v>
      </c>
      <c r="J50" s="11">
        <v>11.1</v>
      </c>
      <c r="K50" s="10">
        <v>213600</v>
      </c>
      <c r="L50" s="10">
        <v>4449</v>
      </c>
      <c r="M50" s="10">
        <v>283</v>
      </c>
    </row>
    <row r="51" spans="1:13" x14ac:dyDescent="0.3">
      <c r="A51" s="9" t="s">
        <v>71</v>
      </c>
      <c r="B51" s="10">
        <v>3086.1260000000002</v>
      </c>
      <c r="C51" s="11">
        <v>718497.82539999997</v>
      </c>
      <c r="D51" s="12">
        <v>36036.853000000003</v>
      </c>
      <c r="E51" s="10">
        <v>69</v>
      </c>
      <c r="F51" s="10">
        <v>52</v>
      </c>
      <c r="G51" s="11">
        <v>-20.3</v>
      </c>
      <c r="H51" s="10">
        <v>3249</v>
      </c>
      <c r="I51" s="10">
        <v>2417</v>
      </c>
      <c r="J51" s="11">
        <v>4.7</v>
      </c>
      <c r="K51" s="10">
        <v>167127</v>
      </c>
      <c r="L51" s="10">
        <v>12856</v>
      </c>
      <c r="M51" s="10">
        <v>702</v>
      </c>
    </row>
    <row r="52" spans="1:13" x14ac:dyDescent="0.3">
      <c r="A52" s="9" t="s">
        <v>72</v>
      </c>
      <c r="B52" s="10">
        <v>497.39299999999997</v>
      </c>
      <c r="C52" s="11">
        <v>73186.099599999987</v>
      </c>
      <c r="D52" s="12">
        <v>16706.653999999999</v>
      </c>
      <c r="E52" s="10">
        <v>11</v>
      </c>
      <c r="F52" s="11">
        <v>53.7</v>
      </c>
      <c r="G52" s="11">
        <v>58.6</v>
      </c>
      <c r="H52" s="10">
        <v>522</v>
      </c>
      <c r="I52" s="10">
        <v>298</v>
      </c>
      <c r="J52" s="11">
        <v>2.9</v>
      </c>
      <c r="K52" s="10">
        <v>7761</v>
      </c>
      <c r="L52" s="10">
        <v>2250</v>
      </c>
      <c r="M52" s="10">
        <v>115</v>
      </c>
    </row>
    <row r="53" spans="1:13" x14ac:dyDescent="0.3">
      <c r="A53" s="9" t="s">
        <v>73</v>
      </c>
      <c r="B53" s="10">
        <v>272.64699999999999</v>
      </c>
      <c r="C53" s="11">
        <v>88948.945500000002</v>
      </c>
      <c r="D53" s="12">
        <v>12880.51</v>
      </c>
      <c r="E53" s="10">
        <v>24</v>
      </c>
      <c r="F53" s="11">
        <v>55.2</v>
      </c>
      <c r="G53" s="11">
        <v>-64.900000000000006</v>
      </c>
      <c r="H53" s="10">
        <v>634</v>
      </c>
      <c r="I53" s="10">
        <v>316</v>
      </c>
      <c r="J53" s="11">
        <v>9.4</v>
      </c>
      <c r="K53" s="10">
        <v>4702</v>
      </c>
      <c r="L53" s="10">
        <v>1362</v>
      </c>
      <c r="M53" s="10">
        <v>82</v>
      </c>
    </row>
    <row r="54" spans="1:13" x14ac:dyDescent="0.3">
      <c r="A54" s="9" t="s">
        <v>74</v>
      </c>
      <c r="B54" s="10">
        <v>618.05600000000004</v>
      </c>
      <c r="C54" s="11">
        <v>325184.71769999998</v>
      </c>
      <c r="D54" s="12">
        <v>34140.188999999998</v>
      </c>
      <c r="E54" s="10">
        <v>45</v>
      </c>
      <c r="F54" s="10">
        <v>55</v>
      </c>
      <c r="G54" s="11">
        <v>-11.5</v>
      </c>
      <c r="H54" s="10">
        <v>2426</v>
      </c>
      <c r="I54" s="10">
        <v>660</v>
      </c>
      <c r="J54" s="11">
        <v>14.3</v>
      </c>
      <c r="K54" s="10">
        <v>101230</v>
      </c>
      <c r="L54" s="10">
        <v>3177</v>
      </c>
      <c r="M54" s="10">
        <v>251</v>
      </c>
    </row>
    <row r="55" spans="1:13" x14ac:dyDescent="0.3">
      <c r="A55" s="9" t="s">
        <v>75</v>
      </c>
      <c r="B55" s="10">
        <v>830.23500000000001</v>
      </c>
      <c r="C55" s="11">
        <v>720665.3047000001</v>
      </c>
      <c r="D55" s="12">
        <v>111747.886</v>
      </c>
      <c r="E55" s="10">
        <v>49</v>
      </c>
      <c r="F55" s="11">
        <v>58.7</v>
      </c>
      <c r="G55" s="11">
        <v>-94.4</v>
      </c>
      <c r="H55" s="10">
        <v>3922</v>
      </c>
      <c r="I55" s="10">
        <v>1393</v>
      </c>
      <c r="J55" s="11">
        <v>11.9</v>
      </c>
      <c r="K55" s="10">
        <v>229454</v>
      </c>
      <c r="L55" s="10">
        <v>4221</v>
      </c>
      <c r="M55" s="10">
        <v>312</v>
      </c>
    </row>
    <row r="56" spans="1:13" x14ac:dyDescent="0.3">
      <c r="A56" s="9" t="s">
        <v>76</v>
      </c>
      <c r="B56" s="10">
        <v>1911.818</v>
      </c>
      <c r="C56" s="11">
        <v>469281.25229999999</v>
      </c>
      <c r="D56" s="12">
        <v>144807.78099999999</v>
      </c>
      <c r="E56" s="10">
        <v>110</v>
      </c>
      <c r="F56" s="11">
        <v>54.7</v>
      </c>
      <c r="G56" s="11">
        <v>44.4</v>
      </c>
      <c r="H56" s="10">
        <v>4029</v>
      </c>
      <c r="I56" s="10">
        <v>1905</v>
      </c>
      <c r="J56" s="11">
        <v>14.1</v>
      </c>
      <c r="K56" s="10">
        <v>85396</v>
      </c>
      <c r="L56" s="10">
        <v>8479</v>
      </c>
      <c r="M56" s="10">
        <v>622</v>
      </c>
    </row>
    <row r="57" spans="1:13" x14ac:dyDescent="0.3">
      <c r="A57" s="9" t="s">
        <v>77</v>
      </c>
      <c r="B57" s="10">
        <v>680.38</v>
      </c>
      <c r="C57" s="11">
        <v>204080.78519999998</v>
      </c>
      <c r="D57" s="12">
        <v>16326.46</v>
      </c>
      <c r="E57" s="10">
        <v>44</v>
      </c>
      <c r="F57" s="11">
        <v>57.4</v>
      </c>
      <c r="G57" s="11">
        <v>7.8</v>
      </c>
      <c r="H57" s="10">
        <v>1976</v>
      </c>
      <c r="I57" s="10">
        <v>514</v>
      </c>
      <c r="J57" s="11">
        <v>12.1</v>
      </c>
      <c r="K57" s="10">
        <v>138287</v>
      </c>
      <c r="L57" s="10">
        <v>2459</v>
      </c>
      <c r="M57" s="10">
        <v>226</v>
      </c>
    </row>
    <row r="58" spans="1:13" x14ac:dyDescent="0.3">
      <c r="A58" s="9" t="s">
        <v>78</v>
      </c>
      <c r="B58" s="10">
        <v>795.50400000000002</v>
      </c>
      <c r="C58" s="11">
        <v>263349.2402</v>
      </c>
      <c r="D58" s="12">
        <v>41541.286</v>
      </c>
      <c r="E58" s="10">
        <v>97</v>
      </c>
      <c r="F58" s="11">
        <v>60.8</v>
      </c>
      <c r="G58" s="11">
        <v>-9.6999999999999993</v>
      </c>
      <c r="H58" s="10">
        <v>1655</v>
      </c>
      <c r="I58" s="10">
        <v>758</v>
      </c>
      <c r="J58" s="11">
        <v>13.2</v>
      </c>
      <c r="K58" s="10">
        <v>95408</v>
      </c>
      <c r="L58" s="10">
        <v>4222</v>
      </c>
      <c r="M58" s="10">
        <v>270</v>
      </c>
    </row>
    <row r="59" spans="1:13" x14ac:dyDescent="0.3">
      <c r="A59" s="9" t="s">
        <v>79</v>
      </c>
      <c r="B59" s="10">
        <v>967.00900000000001</v>
      </c>
      <c r="C59" s="11">
        <v>1220319.7648</v>
      </c>
      <c r="D59" s="12">
        <v>395147.73599999998</v>
      </c>
      <c r="E59" s="10">
        <v>73</v>
      </c>
      <c r="F59" s="11">
        <v>63.3</v>
      </c>
      <c r="G59" s="11">
        <v>-2.4</v>
      </c>
      <c r="H59" s="10">
        <v>2624</v>
      </c>
      <c r="I59" s="10">
        <v>561</v>
      </c>
      <c r="J59" s="11">
        <v>7.8</v>
      </c>
      <c r="K59" s="10">
        <v>134181</v>
      </c>
      <c r="L59" s="10">
        <v>5987</v>
      </c>
      <c r="M59" s="10">
        <v>285</v>
      </c>
    </row>
    <row r="60" spans="1:13" ht="26.4" x14ac:dyDescent="0.3">
      <c r="A60" s="9" t="s">
        <v>80</v>
      </c>
      <c r="B60" s="10">
        <v>699.25300000000004</v>
      </c>
      <c r="C60" s="11">
        <v>173235.39319999999</v>
      </c>
      <c r="D60" s="12">
        <v>21101.739000000001</v>
      </c>
      <c r="E60" s="10">
        <v>17</v>
      </c>
      <c r="F60" s="11">
        <v>48.6</v>
      </c>
      <c r="G60" s="11">
        <v>-54.2</v>
      </c>
      <c r="H60" s="10">
        <v>2780</v>
      </c>
      <c r="I60" s="10">
        <v>2316</v>
      </c>
      <c r="J60" s="11">
        <v>10.3</v>
      </c>
      <c r="K60" s="10">
        <v>38775</v>
      </c>
      <c r="L60" s="10">
        <v>4753</v>
      </c>
      <c r="M60" s="10">
        <v>222</v>
      </c>
    </row>
    <row r="61" spans="1:13" x14ac:dyDescent="0.3">
      <c r="A61" s="9" t="s">
        <v>81</v>
      </c>
      <c r="B61" s="10">
        <v>3898.6280000000002</v>
      </c>
      <c r="C61" s="11">
        <v>2795850.6470999997</v>
      </c>
      <c r="D61" s="12">
        <v>357826.78700000001</v>
      </c>
      <c r="E61" s="10">
        <v>357</v>
      </c>
      <c r="F61" s="11">
        <v>61.9</v>
      </c>
      <c r="G61" s="11">
        <v>11.4</v>
      </c>
      <c r="H61" s="10">
        <v>12037</v>
      </c>
      <c r="I61" s="10">
        <v>4224</v>
      </c>
      <c r="J61" s="10">
        <v>11</v>
      </c>
      <c r="K61" s="10">
        <v>1276723</v>
      </c>
      <c r="L61" s="10">
        <v>16718</v>
      </c>
      <c r="M61" s="10">
        <v>1191</v>
      </c>
    </row>
    <row r="62" spans="1:13" x14ac:dyDescent="0.3">
      <c r="A62" s="9" t="s">
        <v>82</v>
      </c>
      <c r="B62" s="10">
        <v>324.423</v>
      </c>
      <c r="C62" s="11">
        <v>79211.4951</v>
      </c>
      <c r="D62" s="12">
        <v>14736.226000000001</v>
      </c>
      <c r="E62" s="10">
        <v>15</v>
      </c>
      <c r="F62" s="11">
        <v>47.5</v>
      </c>
      <c r="G62" s="11">
        <v>-11.7</v>
      </c>
      <c r="H62" s="10">
        <v>1893</v>
      </c>
      <c r="I62" s="10">
        <v>928</v>
      </c>
      <c r="J62" s="11">
        <v>8.3000000000000007</v>
      </c>
      <c r="K62" s="10">
        <v>9780</v>
      </c>
      <c r="L62" s="10">
        <v>1628</v>
      </c>
      <c r="M62" s="10">
        <v>88</v>
      </c>
    </row>
    <row r="63" spans="1:13" x14ac:dyDescent="0.3">
      <c r="A63" s="9" t="s">
        <v>83</v>
      </c>
      <c r="B63" s="10">
        <v>536.16700000000003</v>
      </c>
      <c r="C63" s="11">
        <v>256250.7654</v>
      </c>
      <c r="D63" s="12">
        <v>25859.468000000001</v>
      </c>
      <c r="E63" s="10">
        <v>25</v>
      </c>
      <c r="F63" s="11">
        <v>54.3</v>
      </c>
      <c r="G63" s="11">
        <v>-14.5</v>
      </c>
      <c r="H63" s="10">
        <v>1956</v>
      </c>
      <c r="I63" s="10">
        <v>1118</v>
      </c>
      <c r="J63" s="11">
        <v>12.5</v>
      </c>
      <c r="K63" s="10">
        <v>95911</v>
      </c>
      <c r="L63" s="10">
        <v>2258</v>
      </c>
      <c r="M63" s="10">
        <v>164</v>
      </c>
    </row>
    <row r="64" spans="1:13" x14ac:dyDescent="0.3">
      <c r="A64" s="9" t="s">
        <v>84</v>
      </c>
      <c r="B64" s="10">
        <v>4202.32</v>
      </c>
      <c r="C64" s="11">
        <v>1637748.0634999999</v>
      </c>
      <c r="D64" s="12">
        <v>168040.48499999999</v>
      </c>
      <c r="E64" s="10">
        <v>357</v>
      </c>
      <c r="F64" s="11">
        <v>56.3</v>
      </c>
      <c r="G64" s="11">
        <v>32.200000000000003</v>
      </c>
      <c r="H64" s="10">
        <v>12901</v>
      </c>
      <c r="I64" s="10">
        <v>5324</v>
      </c>
      <c r="J64" s="11">
        <v>13.3</v>
      </c>
      <c r="K64" s="10">
        <v>529714</v>
      </c>
      <c r="L64" s="10">
        <v>15587</v>
      </c>
      <c r="M64" s="10">
        <v>1385</v>
      </c>
    </row>
    <row r="65" spans="1:13" x14ac:dyDescent="0.3">
      <c r="A65" s="9" t="s">
        <v>16</v>
      </c>
      <c r="B65" s="10">
        <v>1114.1369999999999</v>
      </c>
      <c r="C65" s="11">
        <v>436043.1531</v>
      </c>
      <c r="D65" s="12">
        <v>52523.311999999998</v>
      </c>
      <c r="E65" s="10">
        <v>98</v>
      </c>
      <c r="F65" s="11">
        <v>53.9</v>
      </c>
      <c r="G65" s="11">
        <v>20.9</v>
      </c>
      <c r="H65" s="10">
        <v>2811</v>
      </c>
      <c r="I65" s="10">
        <v>1244</v>
      </c>
      <c r="J65" s="11">
        <v>15.2</v>
      </c>
      <c r="K65" s="10">
        <v>276013</v>
      </c>
      <c r="L65" s="10">
        <v>5837</v>
      </c>
      <c r="M65" s="10">
        <v>410</v>
      </c>
    </row>
    <row r="66" spans="1:13" x14ac:dyDescent="0.3">
      <c r="A66" s="9" t="s">
        <v>85</v>
      </c>
      <c r="B66" s="10">
        <v>3183.038</v>
      </c>
      <c r="C66" s="11">
        <v>1687924.2722</v>
      </c>
      <c r="D66" s="12">
        <v>239959.01699999999</v>
      </c>
      <c r="E66" s="10">
        <v>183</v>
      </c>
      <c r="F66" s="11">
        <v>60.6</v>
      </c>
      <c r="G66" s="11">
        <v>28.1</v>
      </c>
      <c r="H66" s="10">
        <v>10047</v>
      </c>
      <c r="I66" s="10">
        <v>4294</v>
      </c>
      <c r="J66" s="11">
        <v>13.3</v>
      </c>
      <c r="K66" s="10">
        <v>557319</v>
      </c>
      <c r="L66" s="10">
        <v>15507</v>
      </c>
      <c r="M66" s="10">
        <v>1042</v>
      </c>
    </row>
    <row r="67" spans="1:13" x14ac:dyDescent="0.3">
      <c r="A67" s="9" t="s">
        <v>86</v>
      </c>
      <c r="B67" s="10">
        <v>2440.8150000000001</v>
      </c>
      <c r="C67" s="11">
        <v>811772.20720000006</v>
      </c>
      <c r="D67" s="12">
        <v>112063.905</v>
      </c>
      <c r="E67" s="10">
        <v>156</v>
      </c>
      <c r="F67" s="11">
        <v>55.5</v>
      </c>
      <c r="G67" s="11">
        <v>-23.4</v>
      </c>
      <c r="H67" s="10">
        <v>6763</v>
      </c>
      <c r="I67" s="10">
        <v>2387</v>
      </c>
      <c r="J67" s="11">
        <v>13.7</v>
      </c>
      <c r="K67" s="10">
        <v>644512</v>
      </c>
      <c r="L67" s="10">
        <v>12307</v>
      </c>
      <c r="M67" s="10">
        <v>802</v>
      </c>
    </row>
    <row r="68" spans="1:13" x14ac:dyDescent="0.3">
      <c r="A68" s="9" t="s">
        <v>87</v>
      </c>
      <c r="B68" s="10">
        <v>489.63799999999998</v>
      </c>
      <c r="C68" s="11">
        <v>1173894.7555999998</v>
      </c>
      <c r="D68" s="12">
        <v>228758.516</v>
      </c>
      <c r="E68" s="10">
        <v>58</v>
      </c>
      <c r="F68" s="11">
        <v>65.2</v>
      </c>
      <c r="G68" s="11">
        <v>-21.6</v>
      </c>
      <c r="H68" s="10">
        <v>2007</v>
      </c>
      <c r="I68" s="10">
        <v>875</v>
      </c>
      <c r="J68" s="11">
        <v>12.4</v>
      </c>
      <c r="K68" s="10">
        <v>194470</v>
      </c>
      <c r="L68" s="10">
        <v>3104</v>
      </c>
      <c r="M68" s="10">
        <v>175</v>
      </c>
    </row>
    <row r="69" spans="1:13" x14ac:dyDescent="0.3">
      <c r="A69" s="9" t="s">
        <v>88</v>
      </c>
      <c r="B69" s="10">
        <v>4315.6989999999996</v>
      </c>
      <c r="C69" s="11">
        <v>2529549.3016999997</v>
      </c>
      <c r="D69" s="12">
        <v>304314.97200000001</v>
      </c>
      <c r="E69" s="10">
        <v>274</v>
      </c>
      <c r="F69" s="11">
        <v>57.7</v>
      </c>
      <c r="G69" s="11">
        <v>14.7</v>
      </c>
      <c r="H69" s="10">
        <v>12700</v>
      </c>
      <c r="I69" s="10">
        <v>5765</v>
      </c>
      <c r="J69" s="11">
        <v>13.4</v>
      </c>
      <c r="K69" s="10">
        <v>1876901</v>
      </c>
      <c r="L69" s="10">
        <v>18832</v>
      </c>
      <c r="M69" s="10">
        <v>1421</v>
      </c>
    </row>
    <row r="70" spans="1:13" x14ac:dyDescent="0.3">
      <c r="A70" s="9" t="s">
        <v>17</v>
      </c>
      <c r="B70" s="10">
        <v>942.36300000000006</v>
      </c>
      <c r="C70" s="11">
        <v>348061.47160000005</v>
      </c>
      <c r="D70" s="12">
        <v>44094.866999999998</v>
      </c>
      <c r="E70" s="10">
        <v>95</v>
      </c>
      <c r="F70" s="11">
        <v>56.5</v>
      </c>
      <c r="G70" s="11">
        <v>-3.8</v>
      </c>
      <c r="H70" s="10">
        <v>3584</v>
      </c>
      <c r="I70" s="10">
        <v>1302</v>
      </c>
      <c r="J70" s="11">
        <v>15.1</v>
      </c>
      <c r="K70" s="10">
        <v>143248</v>
      </c>
      <c r="L70" s="10">
        <v>4821</v>
      </c>
      <c r="M70" s="10">
        <v>330</v>
      </c>
    </row>
    <row r="71" spans="1:13" x14ac:dyDescent="0.3">
      <c r="A71" s="9" t="s">
        <v>89</v>
      </c>
      <c r="B71" s="10">
        <v>2795.2429999999999</v>
      </c>
      <c r="C71" s="11">
        <v>827044.44559999998</v>
      </c>
      <c r="D71" s="12">
        <v>108614.758</v>
      </c>
      <c r="E71" s="10">
        <v>290</v>
      </c>
      <c r="F71" s="11">
        <v>57.2</v>
      </c>
      <c r="G71" s="11">
        <v>42.9</v>
      </c>
      <c r="H71" s="10">
        <v>8891</v>
      </c>
      <c r="I71" s="10">
        <v>7618</v>
      </c>
      <c r="J71" s="11">
        <v>11.3</v>
      </c>
      <c r="K71" s="10">
        <v>316676</v>
      </c>
      <c r="L71" s="10">
        <v>12387</v>
      </c>
      <c r="M71" s="10">
        <v>791</v>
      </c>
    </row>
    <row r="72" spans="1:13" x14ac:dyDescent="0.3">
      <c r="A72" s="9" t="s">
        <v>18</v>
      </c>
      <c r="B72" s="10">
        <v>1015.966</v>
      </c>
      <c r="C72" s="11">
        <v>354301.79379999998</v>
      </c>
      <c r="D72" s="12">
        <v>55188.286</v>
      </c>
      <c r="E72" s="10">
        <v>98</v>
      </c>
      <c r="F72" s="11">
        <v>54.1</v>
      </c>
      <c r="G72" s="11">
        <v>-17.600000000000001</v>
      </c>
      <c r="H72" s="10">
        <v>2677</v>
      </c>
      <c r="I72" s="10">
        <v>1343</v>
      </c>
      <c r="J72" s="10">
        <v>15</v>
      </c>
      <c r="K72" s="10">
        <v>175640</v>
      </c>
      <c r="L72" s="10">
        <v>4061</v>
      </c>
      <c r="M72" s="10">
        <v>377</v>
      </c>
    </row>
    <row r="73" spans="1:13" x14ac:dyDescent="0.3">
      <c r="A73" s="9" t="s">
        <v>19</v>
      </c>
      <c r="B73" s="10">
        <v>1269.636</v>
      </c>
      <c r="C73" s="10">
        <v>485166.57299999997</v>
      </c>
      <c r="D73" s="12">
        <v>66232.952000000005</v>
      </c>
      <c r="E73" s="10">
        <v>95</v>
      </c>
      <c r="F73" s="11">
        <v>60.1</v>
      </c>
      <c r="G73" s="11">
        <v>5.2</v>
      </c>
      <c r="H73" s="10">
        <v>4390</v>
      </c>
      <c r="I73" s="10">
        <v>1438</v>
      </c>
      <c r="J73" s="11">
        <v>16.3</v>
      </c>
      <c r="K73" s="10">
        <v>256884</v>
      </c>
      <c r="L73" s="10">
        <v>5718</v>
      </c>
      <c r="M73" s="10">
        <v>456</v>
      </c>
    </row>
    <row r="74" spans="1:13" x14ac:dyDescent="0.3">
      <c r="A74" s="9" t="s">
        <v>90</v>
      </c>
      <c r="B74" s="10">
        <v>1077.442</v>
      </c>
      <c r="C74" s="11">
        <v>622805.31610000005</v>
      </c>
      <c r="D74" s="12">
        <v>78901.156000000003</v>
      </c>
      <c r="E74" s="10">
        <v>85</v>
      </c>
      <c r="F74" s="11">
        <v>57.9</v>
      </c>
      <c r="G74" s="11">
        <v>30.3</v>
      </c>
      <c r="H74" s="10">
        <v>4095</v>
      </c>
      <c r="I74" s="10">
        <v>1814</v>
      </c>
      <c r="J74" s="11">
        <v>11.2</v>
      </c>
      <c r="K74" s="10">
        <v>450271</v>
      </c>
      <c r="L74" s="10">
        <v>6082</v>
      </c>
      <c r="M74" s="10">
        <v>318</v>
      </c>
    </row>
    <row r="75" spans="1:13" x14ac:dyDescent="0.3">
      <c r="A75" s="9" t="s">
        <v>20</v>
      </c>
      <c r="B75" s="10">
        <v>1478.818</v>
      </c>
      <c r="C75" s="11">
        <v>681612.32709999999</v>
      </c>
      <c r="D75" s="12">
        <v>139094.345</v>
      </c>
      <c r="E75" s="10">
        <v>94</v>
      </c>
      <c r="F75" s="11">
        <v>59.6</v>
      </c>
      <c r="G75" s="11">
        <v>-3.9</v>
      </c>
      <c r="H75" s="10">
        <v>3262</v>
      </c>
      <c r="I75" s="10">
        <v>1028</v>
      </c>
      <c r="J75" s="11">
        <v>15.9</v>
      </c>
      <c r="K75" s="10">
        <v>373865</v>
      </c>
      <c r="L75" s="10">
        <v>5650</v>
      </c>
      <c r="M75" s="10">
        <v>562</v>
      </c>
    </row>
    <row r="76" spans="1:13" ht="52.8" x14ac:dyDescent="0.3">
      <c r="A76" s="9" t="s">
        <v>32</v>
      </c>
      <c r="B76" s="10">
        <v>1518.6949999999999</v>
      </c>
      <c r="C76" s="11">
        <v>1255466.1687999999</v>
      </c>
      <c r="D76" s="12">
        <v>263502.5</v>
      </c>
      <c r="E76" s="10">
        <v>129</v>
      </c>
      <c r="F76" s="11">
        <v>58.5</v>
      </c>
      <c r="G76" s="11">
        <v>102.4</v>
      </c>
      <c r="H76" s="10">
        <v>6234</v>
      </c>
      <c r="I76" s="10">
        <v>2426</v>
      </c>
      <c r="J76" s="11">
        <v>10.6</v>
      </c>
      <c r="K76" s="10">
        <v>654276</v>
      </c>
      <c r="L76" s="10">
        <v>8329</v>
      </c>
      <c r="M76" s="10">
        <v>422</v>
      </c>
    </row>
    <row r="77" spans="1:13" x14ac:dyDescent="0.3">
      <c r="A77" s="9" t="s">
        <v>91</v>
      </c>
      <c r="B77" s="10">
        <v>1507.39</v>
      </c>
      <c r="C77" s="11">
        <v>721345.0564</v>
      </c>
      <c r="D77" s="12">
        <v>62904.478999999999</v>
      </c>
      <c r="E77" s="10">
        <v>151</v>
      </c>
      <c r="F77" s="10">
        <v>60</v>
      </c>
      <c r="G77" s="10">
        <v>-21</v>
      </c>
      <c r="H77" s="10">
        <v>6396</v>
      </c>
      <c r="I77" s="10">
        <v>2518</v>
      </c>
      <c r="J77" s="11">
        <v>11.9</v>
      </c>
      <c r="K77" s="10">
        <v>487545</v>
      </c>
      <c r="L77" s="10">
        <v>7452</v>
      </c>
      <c r="M77" s="10">
        <v>480</v>
      </c>
    </row>
    <row r="78" spans="1:13" x14ac:dyDescent="0.3">
      <c r="A78" s="9" t="s">
        <v>92</v>
      </c>
      <c r="B78" s="10">
        <v>1238.4159999999999</v>
      </c>
      <c r="C78" s="10">
        <v>420318.375</v>
      </c>
      <c r="D78" s="12">
        <v>39389.612000000001</v>
      </c>
      <c r="E78" s="10">
        <v>60</v>
      </c>
      <c r="F78" s="11">
        <v>55.9</v>
      </c>
      <c r="G78" s="11">
        <v>-19.399999999999999</v>
      </c>
      <c r="H78" s="10">
        <v>2786</v>
      </c>
      <c r="I78" s="10">
        <v>1155</v>
      </c>
      <c r="J78" s="11">
        <v>13.8</v>
      </c>
      <c r="K78" s="10">
        <v>360311</v>
      </c>
      <c r="L78" s="10">
        <v>5224</v>
      </c>
      <c r="M78" s="10">
        <v>440</v>
      </c>
    </row>
    <row r="79" spans="1:13" x14ac:dyDescent="0.3">
      <c r="A79" s="9" t="s">
        <v>93</v>
      </c>
      <c r="B79" s="10">
        <v>1321.473</v>
      </c>
      <c r="C79" s="10">
        <v>802972.21699999995</v>
      </c>
      <c r="D79" s="12">
        <v>157817.821</v>
      </c>
      <c r="E79" s="10">
        <v>89</v>
      </c>
      <c r="F79" s="11">
        <v>61.9</v>
      </c>
      <c r="G79" s="11">
        <v>-20.6</v>
      </c>
      <c r="H79" s="10">
        <v>5032</v>
      </c>
      <c r="I79" s="10">
        <v>1639</v>
      </c>
      <c r="J79" s="11">
        <v>13.4</v>
      </c>
      <c r="K79" s="10">
        <v>494684</v>
      </c>
      <c r="L79" s="10">
        <v>7417</v>
      </c>
      <c r="M79" s="10">
        <v>422</v>
      </c>
    </row>
    <row r="80" spans="1:13" ht="26.4" x14ac:dyDescent="0.3">
      <c r="A80" s="9" t="s">
        <v>33</v>
      </c>
      <c r="B80" s="10">
        <v>1663.7950000000001</v>
      </c>
      <c r="C80" s="11">
        <v>4563061.4936999995</v>
      </c>
      <c r="D80" s="12">
        <v>913961.75699999998</v>
      </c>
      <c r="E80" s="10">
        <v>82</v>
      </c>
      <c r="F80" s="11">
        <v>69.099999999999994</v>
      </c>
      <c r="G80" s="11">
        <v>1.4</v>
      </c>
      <c r="H80" s="10">
        <v>5768</v>
      </c>
      <c r="I80" s="10">
        <v>2643</v>
      </c>
      <c r="J80" s="11">
        <v>6.1</v>
      </c>
      <c r="K80" s="10">
        <v>142601</v>
      </c>
      <c r="L80" s="10">
        <v>9588</v>
      </c>
      <c r="M80" s="10">
        <v>460</v>
      </c>
    </row>
    <row r="81" spans="1:13" x14ac:dyDescent="0.3">
      <c r="A81" s="9" t="s">
        <v>94</v>
      </c>
      <c r="B81" s="10">
        <v>3475.7530000000002</v>
      </c>
      <c r="C81" s="11">
        <v>1545582.4993</v>
      </c>
      <c r="D81" s="12">
        <v>234073.4</v>
      </c>
      <c r="E81" s="10">
        <v>152</v>
      </c>
      <c r="F81" s="11">
        <v>62.4</v>
      </c>
      <c r="G81" s="11">
        <v>5.2</v>
      </c>
      <c r="H81" s="10">
        <v>14770</v>
      </c>
      <c r="I81" s="10">
        <v>7618</v>
      </c>
      <c r="J81" s="11">
        <v>13.1</v>
      </c>
      <c r="K81" s="10">
        <v>884972</v>
      </c>
      <c r="L81" s="10">
        <v>14658</v>
      </c>
      <c r="M81" s="10">
        <v>1118</v>
      </c>
    </row>
    <row r="82" spans="1:13" x14ac:dyDescent="0.3">
      <c r="A82" s="9" t="s">
        <v>95</v>
      </c>
      <c r="B82" s="10">
        <v>1456.951</v>
      </c>
      <c r="C82" s="11">
        <v>241631.5594</v>
      </c>
      <c r="D82" s="12">
        <v>55166.313999999998</v>
      </c>
      <c r="E82" s="10">
        <v>18</v>
      </c>
      <c r="F82" s="11">
        <v>56.4</v>
      </c>
      <c r="G82" s="11">
        <v>-11.3</v>
      </c>
      <c r="H82" s="10">
        <v>1020</v>
      </c>
      <c r="I82" s="10">
        <v>649</v>
      </c>
      <c r="J82" s="11">
        <v>4.3</v>
      </c>
      <c r="K82" s="10">
        <v>16617</v>
      </c>
      <c r="L82" s="10">
        <v>4353</v>
      </c>
      <c r="M82" s="10">
        <v>431</v>
      </c>
    </row>
    <row r="83" spans="1:13" x14ac:dyDescent="0.3">
      <c r="A83" s="9" t="s">
        <v>96</v>
      </c>
      <c r="B83" s="10">
        <v>1223.395</v>
      </c>
      <c r="C83" s="11">
        <v>339766.54469999997</v>
      </c>
      <c r="D83" s="12">
        <v>41309.705000000002</v>
      </c>
      <c r="E83" s="10">
        <v>84</v>
      </c>
      <c r="F83" s="11">
        <v>57.6</v>
      </c>
      <c r="G83" s="11">
        <v>-16.399999999999999</v>
      </c>
      <c r="H83" s="10">
        <v>3463</v>
      </c>
      <c r="I83" s="10">
        <v>1097</v>
      </c>
      <c r="J83" s="11">
        <v>12.5</v>
      </c>
      <c r="K83" s="10">
        <v>140911</v>
      </c>
      <c r="L83" s="10">
        <v>6025</v>
      </c>
      <c r="M83" s="10">
        <v>388</v>
      </c>
    </row>
    <row r="84" spans="1:13" x14ac:dyDescent="0.3">
      <c r="A84" s="9" t="s">
        <v>97</v>
      </c>
      <c r="B84" s="10">
        <v>49.662999999999997</v>
      </c>
      <c r="C84" s="11">
        <v>94884.273400000005</v>
      </c>
      <c r="D84" s="12">
        <v>26450.616999999998</v>
      </c>
      <c r="E84" s="10">
        <v>20</v>
      </c>
      <c r="F84" s="11">
        <v>77.400000000000006</v>
      </c>
      <c r="G84" s="11">
        <v>110.9</v>
      </c>
      <c r="H84" s="10">
        <v>170</v>
      </c>
      <c r="I84" s="10">
        <v>23</v>
      </c>
      <c r="J84" s="11">
        <v>9.1999999999999993</v>
      </c>
      <c r="K84" s="10">
        <v>5198</v>
      </c>
      <c r="L84" s="10">
        <v>357</v>
      </c>
      <c r="M84" s="10">
        <v>16</v>
      </c>
    </row>
    <row r="85" spans="1:13" ht="26.4" x14ac:dyDescent="0.3">
      <c r="A85" s="9" t="s">
        <v>34</v>
      </c>
      <c r="B85" s="10">
        <v>541.47900000000004</v>
      </c>
      <c r="C85" s="11">
        <v>3100561.1069</v>
      </c>
      <c r="D85" s="12">
        <v>864550.82499999995</v>
      </c>
      <c r="E85" s="10">
        <v>51</v>
      </c>
      <c r="F85" s="11">
        <v>74.400000000000006</v>
      </c>
      <c r="G85" s="11">
        <v>-24.3</v>
      </c>
      <c r="H85" s="10">
        <v>1884</v>
      </c>
      <c r="I85" s="10">
        <v>564</v>
      </c>
      <c r="J85" s="11">
        <v>4.7</v>
      </c>
      <c r="K85" s="10">
        <v>161848</v>
      </c>
      <c r="L85" s="10">
        <v>3089</v>
      </c>
      <c r="M85" s="10">
        <v>151</v>
      </c>
    </row>
    <row r="86" spans="1:13" x14ac:dyDescent="0.3">
      <c r="A86" s="9" t="s">
        <v>21</v>
      </c>
      <c r="B86" s="10">
        <v>1259.6120000000001</v>
      </c>
      <c r="C86" s="11">
        <v>606820.73120000004</v>
      </c>
      <c r="D86" s="12">
        <v>66231.952000000005</v>
      </c>
      <c r="E86" s="10">
        <v>94</v>
      </c>
      <c r="F86" s="10">
        <v>58</v>
      </c>
      <c r="G86" s="11">
        <v>8.1</v>
      </c>
      <c r="H86" s="10">
        <v>4377</v>
      </c>
      <c r="I86" s="10">
        <v>1139</v>
      </c>
      <c r="J86" s="11">
        <v>14.7</v>
      </c>
      <c r="K86" s="10">
        <v>234692</v>
      </c>
      <c r="L86" s="10">
        <v>6308</v>
      </c>
      <c r="M86" s="10">
        <v>435</v>
      </c>
    </row>
    <row r="87" spans="1:13" x14ac:dyDescent="0.3">
      <c r="C87" s="1"/>
      <c r="H87" s="2"/>
    </row>
  </sheetData>
  <autoFilter ref="A1:M86" xr:uid="{00000000-0001-0000-0000-000000000000}">
    <sortState xmlns:xlrd2="http://schemas.microsoft.com/office/spreadsheetml/2017/richdata2" ref="A2:M86">
      <sortCondition ref="A1:A86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3675-AE15-4AFC-B0AC-DF337F1D63F2}">
  <dimension ref="A1:P13"/>
  <sheetViews>
    <sheetView zoomScale="85" zoomScaleNormal="85" workbookViewId="0">
      <selection activeCell="N22" sqref="N22"/>
    </sheetView>
  </sheetViews>
  <sheetFormatPr defaultRowHeight="14.4" x14ac:dyDescent="0.3"/>
  <cols>
    <col min="13" max="13" width="14.6640625" customWidth="1"/>
    <col min="14" max="14" width="23.6640625" customWidth="1"/>
    <col min="15" max="15" width="24" customWidth="1"/>
    <col min="16" max="16" width="21" customWidth="1"/>
  </cols>
  <sheetData>
    <row r="1" spans="1:16" x14ac:dyDescent="0.3">
      <c r="A1" s="13"/>
      <c r="B1" s="13" t="s">
        <v>109</v>
      </c>
      <c r="C1" s="13" t="s">
        <v>110</v>
      </c>
      <c r="D1" s="13" t="s">
        <v>111</v>
      </c>
      <c r="E1" s="13" t="s">
        <v>112</v>
      </c>
      <c r="F1" s="13" t="s">
        <v>113</v>
      </c>
      <c r="G1" s="13" t="s">
        <v>114</v>
      </c>
      <c r="H1" s="13" t="s">
        <v>115</v>
      </c>
      <c r="I1" s="13" t="s">
        <v>116</v>
      </c>
      <c r="J1" s="13" t="s">
        <v>117</v>
      </c>
      <c r="K1" s="13" t="s">
        <v>118</v>
      </c>
      <c r="L1" s="13" t="s">
        <v>119</v>
      </c>
      <c r="M1" s="15" t="s">
        <v>121</v>
      </c>
      <c r="N1" s="92" t="s">
        <v>120</v>
      </c>
      <c r="O1" s="93"/>
      <c r="P1" s="94"/>
    </row>
    <row r="2" spans="1:16" x14ac:dyDescent="0.3">
      <c r="A2" s="13">
        <v>1</v>
      </c>
      <c r="B2" s="13">
        <v>-0.2882303138900717</v>
      </c>
      <c r="C2" s="13">
        <v>-0.2818097115365224</v>
      </c>
      <c r="D2" s="13">
        <v>0.10766268787806314</v>
      </c>
      <c r="E2" s="13">
        <v>-0.2490377486411616</v>
      </c>
      <c r="F2" s="13">
        <v>-5.7197391298242486E-2</v>
      </c>
      <c r="G2" s="13">
        <v>-0.40451885107255148</v>
      </c>
      <c r="H2" s="13">
        <v>-0.55252957437133077</v>
      </c>
      <c r="I2" s="13">
        <v>0.62333310256815933</v>
      </c>
      <c r="J2" s="13">
        <v>-0.17714826589796456</v>
      </c>
      <c r="K2" s="13">
        <v>-0.30118201856683408</v>
      </c>
      <c r="L2" s="13">
        <v>0.54568070814663983</v>
      </c>
      <c r="M2" s="13">
        <v>79.536698639736485</v>
      </c>
      <c r="N2" s="27" t="s">
        <v>21</v>
      </c>
      <c r="O2" s="27" t="s">
        <v>51</v>
      </c>
      <c r="P2" s="27" t="s">
        <v>35</v>
      </c>
    </row>
    <row r="3" spans="1:16" ht="28.8" x14ac:dyDescent="0.3">
      <c r="A3" s="13">
        <v>2</v>
      </c>
      <c r="B3" s="13">
        <v>-0.13866974947869487</v>
      </c>
      <c r="C3" s="13">
        <v>-8.7616425991093441E-2</v>
      </c>
      <c r="D3" s="13">
        <v>-4.1968954211100877E-3</v>
      </c>
      <c r="E3" s="13">
        <v>0.10305980013402218</v>
      </c>
      <c r="F3" s="13">
        <v>2.44148476507221</v>
      </c>
      <c r="G3" s="13">
        <v>-5.1317187265946682E-2</v>
      </c>
      <c r="H3" s="13">
        <v>-0.24867507214044934</v>
      </c>
      <c r="I3" s="13">
        <v>-0.12860487519455074</v>
      </c>
      <c r="J3" s="13">
        <v>0.3533618420290523</v>
      </c>
      <c r="K3" s="13">
        <v>-0.15470613193372171</v>
      </c>
      <c r="L3" s="13">
        <v>-0.98535120262585962</v>
      </c>
      <c r="M3" s="13">
        <v>36.965603065532918</v>
      </c>
      <c r="N3" s="27" t="s">
        <v>14</v>
      </c>
      <c r="O3" s="27" t="s">
        <v>42</v>
      </c>
      <c r="P3" s="27" t="s">
        <v>47</v>
      </c>
    </row>
    <row r="4" spans="1:16" ht="28.8" x14ac:dyDescent="0.3">
      <c r="A4" s="13">
        <v>3</v>
      </c>
      <c r="B4" s="13">
        <v>-0.28208372380800262</v>
      </c>
      <c r="C4" s="13">
        <v>-0.24985521799464858</v>
      </c>
      <c r="D4" s="13">
        <v>-0.55170491894454432</v>
      </c>
      <c r="E4" s="13">
        <v>-0.67469164574312879</v>
      </c>
      <c r="F4" s="13">
        <v>-0.36037763066766371</v>
      </c>
      <c r="G4" s="13">
        <v>0.93997349718396561</v>
      </c>
      <c r="H4" s="13">
        <v>1.3045635790261969</v>
      </c>
      <c r="I4" s="13">
        <v>0.16889025724210335</v>
      </c>
      <c r="J4" s="13">
        <v>-0.13739903162118508</v>
      </c>
      <c r="K4" s="13">
        <v>-0.26483966334988379</v>
      </c>
      <c r="L4" s="13">
        <v>-0.25736397227964808</v>
      </c>
      <c r="M4" s="13">
        <v>81.612332342226907</v>
      </c>
      <c r="N4" s="27" t="s">
        <v>83</v>
      </c>
      <c r="O4" s="27" t="s">
        <v>50</v>
      </c>
      <c r="P4" s="27" t="s">
        <v>64</v>
      </c>
    </row>
    <row r="5" spans="1:16" ht="28.8" x14ac:dyDescent="0.3">
      <c r="A5" s="13">
        <v>4</v>
      </c>
      <c r="B5" s="13">
        <v>-7.8741928492249508E-2</v>
      </c>
      <c r="C5" s="13">
        <v>-3.0087386700612478E-2</v>
      </c>
      <c r="D5" s="13">
        <v>-0.69286579106920554</v>
      </c>
      <c r="E5" s="13">
        <v>-0.3336988410026841</v>
      </c>
      <c r="F5" s="13">
        <v>-0.35873015315206219</v>
      </c>
      <c r="G5" s="13">
        <v>-1.1326919503901951</v>
      </c>
      <c r="H5" s="13">
        <v>-0.46247493704297238</v>
      </c>
      <c r="I5" s="13">
        <v>-1.7849107269528552</v>
      </c>
      <c r="J5" s="13">
        <v>-1.1184179136620074</v>
      </c>
      <c r="K5" s="13">
        <v>3.4195661673337166E-2</v>
      </c>
      <c r="L5" s="13">
        <v>-1.4388637169658054</v>
      </c>
      <c r="M5" s="13">
        <v>68.22125883909321</v>
      </c>
      <c r="N5" s="27" t="s">
        <v>46</v>
      </c>
      <c r="O5" s="27" t="s">
        <v>73</v>
      </c>
      <c r="P5" s="27" t="s">
        <v>68</v>
      </c>
    </row>
    <row r="6" spans="1:16" x14ac:dyDescent="0.3">
      <c r="A6" s="13">
        <v>5</v>
      </c>
      <c r="B6" s="13">
        <v>0.16667904632045943</v>
      </c>
      <c r="C6" s="13">
        <v>4.8631012717298035E-2</v>
      </c>
      <c r="D6" s="13">
        <v>0.11359334750554355</v>
      </c>
      <c r="E6" s="13">
        <v>0.78752014731165354</v>
      </c>
      <c r="F6" s="13">
        <v>-0.45164573146660941</v>
      </c>
      <c r="G6" s="13">
        <v>0.57629177937805398</v>
      </c>
      <c r="H6" s="13">
        <v>0.4628106743059166</v>
      </c>
      <c r="I6" s="13">
        <v>5.3400156024266537E-2</v>
      </c>
      <c r="J6" s="13">
        <v>1.0765221120598523</v>
      </c>
      <c r="K6" s="13">
        <v>0.61807711336804894</v>
      </c>
      <c r="L6" s="13">
        <v>0.48291779910783733</v>
      </c>
      <c r="M6" s="13">
        <v>108.80140153830986</v>
      </c>
      <c r="N6" s="27" t="s">
        <v>93</v>
      </c>
      <c r="O6" s="27" t="s">
        <v>91</v>
      </c>
      <c r="P6" s="27" t="s">
        <v>53</v>
      </c>
    </row>
    <row r="7" spans="1:16" ht="43.2" x14ac:dyDescent="0.3">
      <c r="A7" s="13">
        <v>6</v>
      </c>
      <c r="B7" s="13">
        <v>4.2224733197726509</v>
      </c>
      <c r="C7" s="13">
        <v>4.378336794458229</v>
      </c>
      <c r="D7" s="13">
        <v>3.2498847850792014</v>
      </c>
      <c r="E7" s="13">
        <v>2.522115898698543</v>
      </c>
      <c r="F7" s="13">
        <v>0.48935466126815591</v>
      </c>
      <c r="G7" s="13">
        <v>0.37956639765712774</v>
      </c>
      <c r="H7" s="13">
        <v>-0.945761439642263</v>
      </c>
      <c r="I7" s="13">
        <v>-1.753935833300984</v>
      </c>
      <c r="J7" s="13">
        <v>-0.56111713788338069</v>
      </c>
      <c r="K7" s="13">
        <v>1.3817589808332009</v>
      </c>
      <c r="L7" s="13">
        <v>-0.35683692714605969</v>
      </c>
      <c r="M7" s="13">
        <v>67.962394768485893</v>
      </c>
      <c r="N7" s="27" t="s">
        <v>31</v>
      </c>
      <c r="O7" s="27" t="s">
        <v>97</v>
      </c>
      <c r="P7" s="27" t="s">
        <v>34</v>
      </c>
    </row>
    <row r="8" spans="1:16" x14ac:dyDescent="0.3">
      <c r="A8" s="23"/>
      <c r="B8" s="23"/>
      <c r="C8" s="23"/>
      <c r="D8" s="23"/>
      <c r="E8" s="23"/>
      <c r="F8" s="23"/>
      <c r="G8" s="23"/>
      <c r="M8">
        <f>SUM(M2:M7)</f>
        <v>443.0996891933853</v>
      </c>
    </row>
    <row r="9" spans="1:16" x14ac:dyDescent="0.3">
      <c r="A9" s="23"/>
      <c r="B9" s="23"/>
      <c r="C9" s="23"/>
      <c r="D9" s="23"/>
      <c r="E9" s="23"/>
      <c r="F9" s="23"/>
      <c r="G9" s="23"/>
    </row>
    <row r="10" spans="1:16" x14ac:dyDescent="0.3">
      <c r="A10" s="23"/>
      <c r="B10" s="23"/>
      <c r="C10" s="23"/>
      <c r="D10" s="23"/>
      <c r="E10" s="23"/>
      <c r="F10" s="23"/>
      <c r="G10" s="23"/>
    </row>
    <row r="11" spans="1:16" x14ac:dyDescent="0.3">
      <c r="A11" s="23"/>
      <c r="B11" s="23"/>
      <c r="C11" s="23"/>
      <c r="D11" s="23"/>
      <c r="E11" s="23"/>
      <c r="F11" s="23"/>
      <c r="G11" s="23"/>
    </row>
    <row r="12" spans="1:16" x14ac:dyDescent="0.3">
      <c r="A12" s="23"/>
      <c r="B12" s="23"/>
      <c r="C12" s="23"/>
      <c r="D12" s="23"/>
      <c r="E12" s="23"/>
      <c r="F12" s="23"/>
      <c r="G12" s="23"/>
    </row>
    <row r="13" spans="1:16" x14ac:dyDescent="0.3">
      <c r="A13" s="23"/>
      <c r="B13" s="23"/>
      <c r="C13" s="23"/>
      <c r="D13" s="23"/>
      <c r="E13" s="23"/>
      <c r="F13" s="23"/>
      <c r="G13" s="23"/>
    </row>
  </sheetData>
  <mergeCells count="1">
    <mergeCell ref="N1:P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537-01D0-4A4C-8D4A-0F9A71893A3B}">
  <dimension ref="A1:Q31"/>
  <sheetViews>
    <sheetView zoomScale="40" zoomScaleNormal="40" workbookViewId="0">
      <selection activeCell="AA41" sqref="AA41"/>
    </sheetView>
  </sheetViews>
  <sheetFormatPr defaultRowHeight="14.4" x14ac:dyDescent="0.3"/>
  <cols>
    <col min="15" max="15" width="22.33203125" customWidth="1"/>
    <col min="16" max="16" width="23.109375" customWidth="1"/>
    <col min="17" max="17" width="20.5546875" customWidth="1"/>
    <col min="31" max="33" width="8.88671875" customWidth="1"/>
  </cols>
  <sheetData>
    <row r="1" spans="1:17" ht="43.2" x14ac:dyDescent="0.3">
      <c r="A1" s="26" t="s">
        <v>249</v>
      </c>
      <c r="B1" s="89">
        <v>2019</v>
      </c>
      <c r="C1" s="13" t="s">
        <v>109</v>
      </c>
      <c r="D1" s="13" t="s">
        <v>110</v>
      </c>
      <c r="E1" s="13" t="s">
        <v>111</v>
      </c>
      <c r="F1" s="13" t="s">
        <v>112</v>
      </c>
      <c r="G1" s="13" t="s">
        <v>113</v>
      </c>
      <c r="H1" s="13" t="s">
        <v>114</v>
      </c>
      <c r="I1" s="13" t="s">
        <v>115</v>
      </c>
      <c r="J1" s="13" t="s">
        <v>116</v>
      </c>
      <c r="K1" s="13" t="s">
        <v>117</v>
      </c>
      <c r="L1" s="13" t="s">
        <v>118</v>
      </c>
      <c r="M1" s="13" t="s">
        <v>119</v>
      </c>
      <c r="N1" s="29" t="s">
        <v>121</v>
      </c>
      <c r="O1" s="84" t="s">
        <v>242</v>
      </c>
    </row>
    <row r="2" spans="1:17" ht="64.8" customHeight="1" x14ac:dyDescent="0.3">
      <c r="A2" s="13">
        <v>4</v>
      </c>
      <c r="B2" s="13">
        <v>1</v>
      </c>
      <c r="C2" s="13">
        <v>3.6616042576521353</v>
      </c>
      <c r="D2" s="13">
        <v>3.6290894912189322</v>
      </c>
      <c r="E2" s="13">
        <v>2.2819479360385011</v>
      </c>
      <c r="F2" s="13">
        <v>2.4155556472171531</v>
      </c>
      <c r="G2" s="13">
        <v>0.33696299107501293</v>
      </c>
      <c r="H2" s="13">
        <v>0.30287994154228742</v>
      </c>
      <c r="I2" s="13">
        <v>-0.58147370034787449</v>
      </c>
      <c r="J2" s="13">
        <v>-1.8760483948131692</v>
      </c>
      <c r="K2" s="13">
        <v>-0.66509617511165031</v>
      </c>
      <c r="L2" s="13">
        <v>1.3093326088785671</v>
      </c>
      <c r="M2" s="13">
        <v>-0.60297501591356273</v>
      </c>
      <c r="N2" s="13">
        <v>92.893171214523448</v>
      </c>
      <c r="O2" s="83" t="s">
        <v>31</v>
      </c>
      <c r="P2" s="83" t="s">
        <v>33</v>
      </c>
      <c r="Q2" s="83" t="s">
        <v>97</v>
      </c>
    </row>
    <row r="3" spans="1:17" ht="43.2" x14ac:dyDescent="0.3">
      <c r="A3" s="13">
        <v>12</v>
      </c>
      <c r="B3" s="13">
        <v>2</v>
      </c>
      <c r="C3" s="13">
        <v>-0.33501050521811049</v>
      </c>
      <c r="D3" s="13">
        <v>-0.22506757648287223</v>
      </c>
      <c r="E3" s="13">
        <v>-0.63669284726232456</v>
      </c>
      <c r="F3" s="13">
        <v>-0.80062648840295203</v>
      </c>
      <c r="G3" s="13">
        <v>-0.36046915719630829</v>
      </c>
      <c r="H3" s="13">
        <v>-0.71774863476391548</v>
      </c>
      <c r="I3" s="13">
        <v>0.32272734024190397</v>
      </c>
      <c r="J3" s="13">
        <v>-1.5156674205942817</v>
      </c>
      <c r="K3" s="13">
        <v>-1.1306877569595397</v>
      </c>
      <c r="L3" s="13">
        <v>0.11433392797362352</v>
      </c>
      <c r="M3" s="13">
        <v>-1.3311996561651143</v>
      </c>
      <c r="N3" s="13">
        <v>109.99091887024284</v>
      </c>
      <c r="O3" s="83" t="s">
        <v>46</v>
      </c>
      <c r="P3" s="83" t="s">
        <v>68</v>
      </c>
      <c r="Q3" s="83" t="s">
        <v>49</v>
      </c>
    </row>
    <row r="4" spans="1:17" x14ac:dyDescent="0.3">
      <c r="A4" s="13">
        <v>12</v>
      </c>
      <c r="B4" s="13">
        <v>3</v>
      </c>
      <c r="C4" s="13">
        <v>-8.7506220760223144E-2</v>
      </c>
      <c r="D4" s="13">
        <v>-5.2748112704460136E-2</v>
      </c>
      <c r="E4" s="13">
        <v>-0.4150586482959206</v>
      </c>
      <c r="F4" s="13">
        <v>9.2219255069898198E-2</v>
      </c>
      <c r="G4" s="13">
        <v>-0.36931672163194623</v>
      </c>
      <c r="H4" s="13">
        <v>1.2368839192622478</v>
      </c>
      <c r="I4" s="13">
        <v>1.171102214940561</v>
      </c>
      <c r="J4" s="13">
        <v>-1.755477570089117E-2</v>
      </c>
      <c r="K4" s="13">
        <v>0.54230316315052884</v>
      </c>
      <c r="L4" s="13">
        <v>0.22281799823202775</v>
      </c>
      <c r="M4" s="13">
        <v>-0.3527536552292701</v>
      </c>
      <c r="N4" s="13">
        <v>57.961725957614291</v>
      </c>
      <c r="O4" s="83" t="s">
        <v>91</v>
      </c>
      <c r="P4" s="83" t="s">
        <v>94</v>
      </c>
      <c r="Q4" s="83" t="s">
        <v>65</v>
      </c>
    </row>
    <row r="5" spans="1:17" x14ac:dyDescent="0.3">
      <c r="A5" s="13">
        <v>13</v>
      </c>
      <c r="B5" s="13">
        <v>4</v>
      </c>
      <c r="C5" s="13">
        <v>0.14592667617592106</v>
      </c>
      <c r="D5" s="13">
        <v>-1.5677141350052083E-2</v>
      </c>
      <c r="E5" s="13">
        <v>4.7409633094029451E-2</v>
      </c>
      <c r="F5" s="13">
        <v>0.73220174444472097</v>
      </c>
      <c r="G5" s="13">
        <v>-5.7692359937998448E-2</v>
      </c>
      <c r="H5" s="13">
        <v>0.19919769797926151</v>
      </c>
      <c r="I5" s="13">
        <v>8.7373950819494492E-2</v>
      </c>
      <c r="J5" s="13">
        <v>0.10272495186739607</v>
      </c>
      <c r="K5" s="13">
        <v>1.5715950065855215</v>
      </c>
      <c r="L5" s="13">
        <v>0.54213556165855303</v>
      </c>
      <c r="M5" s="13">
        <v>0.50577654612772438</v>
      </c>
      <c r="N5" s="13">
        <v>69.945966278125596</v>
      </c>
      <c r="O5" s="83" t="s">
        <v>93</v>
      </c>
      <c r="P5" s="83" t="s">
        <v>58</v>
      </c>
      <c r="Q5" s="83" t="s">
        <v>53</v>
      </c>
    </row>
    <row r="6" spans="1:17" x14ac:dyDescent="0.3">
      <c r="A6" s="13">
        <v>40</v>
      </c>
      <c r="B6" s="13">
        <v>5</v>
      </c>
      <c r="C6" s="13">
        <v>-0.26646987136708866</v>
      </c>
      <c r="D6" s="13">
        <v>-0.26698052576089115</v>
      </c>
      <c r="E6" s="13">
        <v>7.9233563135759438E-2</v>
      </c>
      <c r="F6" s="13">
        <v>-0.26782523099600708</v>
      </c>
      <c r="G6" s="13">
        <v>-0.11458313799277746</v>
      </c>
      <c r="H6" s="13">
        <v>-0.21618068903823481</v>
      </c>
      <c r="I6" s="13">
        <v>-0.36210183754494857</v>
      </c>
      <c r="J6" s="13">
        <v>0.6070063011065524</v>
      </c>
      <c r="K6" s="13">
        <v>-0.21029712699084974</v>
      </c>
      <c r="L6" s="13">
        <v>-0.33986511340082132</v>
      </c>
      <c r="M6" s="13">
        <v>0.51372641189065993</v>
      </c>
      <c r="N6" s="13">
        <v>124.30305728027035</v>
      </c>
      <c r="O6" s="83" t="s">
        <v>21</v>
      </c>
      <c r="P6" s="83" t="s">
        <v>35</v>
      </c>
      <c r="Q6" s="83" t="s">
        <v>51</v>
      </c>
    </row>
    <row r="7" spans="1:17" ht="28.8" x14ac:dyDescent="0.3">
      <c r="A7" s="13">
        <v>4</v>
      </c>
      <c r="B7" s="13">
        <v>6</v>
      </c>
      <c r="C7" s="13">
        <v>-0.20361706361799173</v>
      </c>
      <c r="D7" s="13">
        <v>-7.4886456660353179E-2</v>
      </c>
      <c r="E7" s="13">
        <v>-7.3110388276971638E-2</v>
      </c>
      <c r="F7" s="13">
        <v>8.262693296682555E-3</v>
      </c>
      <c r="G7" s="13">
        <v>3.1857261951360196</v>
      </c>
      <c r="H7" s="13">
        <v>-0.3458714230875336</v>
      </c>
      <c r="I7" s="13">
        <v>-0.56296192991340011</v>
      </c>
      <c r="J7" s="13">
        <v>7.1795879064122103E-2</v>
      </c>
      <c r="K7" s="13">
        <v>-0.57446254495575733</v>
      </c>
      <c r="L7" s="13">
        <v>-0.68407782887761315</v>
      </c>
      <c r="M7" s="13">
        <v>-1.1262029437248935</v>
      </c>
      <c r="N7" s="13">
        <v>13.588653652141058</v>
      </c>
      <c r="O7" s="83" t="s">
        <v>42</v>
      </c>
      <c r="P7" s="83" t="s">
        <v>55</v>
      </c>
      <c r="Q7" s="83" t="s">
        <v>14</v>
      </c>
    </row>
    <row r="8" spans="1:17" x14ac:dyDescent="0.3">
      <c r="A8">
        <f>SUM(A2:A7)</f>
        <v>85</v>
      </c>
      <c r="N8" s="45">
        <f>SUM(N2:N7)</f>
        <v>468.68349325291757</v>
      </c>
    </row>
    <row r="24" spans="1:17" ht="43.2" x14ac:dyDescent="0.3">
      <c r="A24" s="26" t="s">
        <v>249</v>
      </c>
      <c r="B24" s="89">
        <v>2020</v>
      </c>
      <c r="C24" s="13" t="s">
        <v>109</v>
      </c>
      <c r="D24" s="13" t="s">
        <v>110</v>
      </c>
      <c r="E24" s="13" t="s">
        <v>111</v>
      </c>
      <c r="F24" s="13" t="s">
        <v>112</v>
      </c>
      <c r="G24" s="13" t="s">
        <v>113</v>
      </c>
      <c r="H24" s="13" t="s">
        <v>114</v>
      </c>
      <c r="I24" s="13" t="s">
        <v>115</v>
      </c>
      <c r="J24" s="13" t="s">
        <v>116</v>
      </c>
      <c r="K24" s="13" t="s">
        <v>117</v>
      </c>
      <c r="L24" s="13" t="s">
        <v>118</v>
      </c>
      <c r="M24" s="13" t="s">
        <v>119</v>
      </c>
      <c r="N24" s="29" t="s">
        <v>121</v>
      </c>
      <c r="O24" s="84" t="s">
        <v>242</v>
      </c>
    </row>
    <row r="25" spans="1:17" ht="43.2" x14ac:dyDescent="0.3">
      <c r="A25" s="13">
        <v>3</v>
      </c>
      <c r="B25" s="13">
        <v>1</v>
      </c>
      <c r="C25" s="13">
        <v>4.2224733197726509</v>
      </c>
      <c r="D25" s="13">
        <v>4.378336794458229</v>
      </c>
      <c r="E25" s="13">
        <v>3.2498847850792014</v>
      </c>
      <c r="F25" s="13">
        <v>2.522115898698543</v>
      </c>
      <c r="G25" s="13">
        <v>0.48935466126815591</v>
      </c>
      <c r="H25" s="13">
        <v>0.37956639765712774</v>
      </c>
      <c r="I25" s="13">
        <v>-0.945761439642263</v>
      </c>
      <c r="J25" s="13">
        <v>-1.753935833300984</v>
      </c>
      <c r="K25" s="13">
        <v>-0.56111713788338069</v>
      </c>
      <c r="L25" s="13">
        <v>1.3817589808332009</v>
      </c>
      <c r="M25" s="13">
        <v>-0.35683692714605969</v>
      </c>
      <c r="N25" s="13">
        <v>67.962394768485893</v>
      </c>
      <c r="O25" s="83" t="s">
        <v>31</v>
      </c>
      <c r="P25" s="83" t="s">
        <v>97</v>
      </c>
      <c r="Q25" s="83" t="s">
        <v>34</v>
      </c>
    </row>
    <row r="26" spans="1:17" ht="28.8" x14ac:dyDescent="0.3">
      <c r="A26" s="13">
        <v>13</v>
      </c>
      <c r="B26" s="13">
        <v>2</v>
      </c>
      <c r="C26" s="13">
        <v>-0.14160124926266521</v>
      </c>
      <c r="D26" s="13">
        <v>-8.1691092092695705E-2</v>
      </c>
      <c r="E26" s="13">
        <v>-0.57702107463825558</v>
      </c>
      <c r="F26" s="13">
        <v>-0.57930904301852881</v>
      </c>
      <c r="G26" s="13">
        <v>-0.17414226638265479</v>
      </c>
      <c r="H26" s="13">
        <v>-0.53395658378187039</v>
      </c>
      <c r="I26" s="13">
        <v>0.18670391428232452</v>
      </c>
      <c r="J26" s="13">
        <v>-1.513834586650384</v>
      </c>
      <c r="K26" s="13">
        <v>-0.98888130099969507</v>
      </c>
      <c r="L26" s="13">
        <v>0.12255495676457709</v>
      </c>
      <c r="M26" s="13">
        <v>-1.2203871011967364</v>
      </c>
      <c r="N26" s="13">
        <v>136.05364032803249</v>
      </c>
      <c r="O26" s="83" t="s">
        <v>46</v>
      </c>
      <c r="P26" s="83" t="s">
        <v>68</v>
      </c>
      <c r="Q26" s="83" t="s">
        <v>73</v>
      </c>
    </row>
    <row r="27" spans="1:17" x14ac:dyDescent="0.3">
      <c r="A27" s="13">
        <v>14</v>
      </c>
      <c r="B27" s="13">
        <v>3</v>
      </c>
      <c r="C27" s="13">
        <v>-0.11878740098205329</v>
      </c>
      <c r="D27" s="13">
        <v>-0.10115562794156775</v>
      </c>
      <c r="E27" s="13">
        <v>-0.33920540747103634</v>
      </c>
      <c r="F27" s="13">
        <v>6.5694517147041664E-2</v>
      </c>
      <c r="G27" s="13">
        <v>-0.38642346567622149</v>
      </c>
      <c r="H27" s="13">
        <v>1.0935326829057457</v>
      </c>
      <c r="I27" s="13">
        <v>0.9832614269609804</v>
      </c>
      <c r="J27" s="13">
        <v>0.2773023850236529</v>
      </c>
      <c r="K27" s="13">
        <v>0.45344017638280104</v>
      </c>
      <c r="L27" s="13">
        <v>-0.12196721710091267</v>
      </c>
      <c r="M27" s="13">
        <v>-7.8942843483055941E-2</v>
      </c>
      <c r="N27" s="13">
        <v>73.839182377127671</v>
      </c>
      <c r="O27" s="83" t="s">
        <v>91</v>
      </c>
      <c r="P27" s="83" t="s">
        <v>94</v>
      </c>
      <c r="Q27" s="83" t="s">
        <v>53</v>
      </c>
    </row>
    <row r="28" spans="1:17" x14ac:dyDescent="0.3">
      <c r="A28" s="13">
        <v>13</v>
      </c>
      <c r="B28" s="13">
        <v>4</v>
      </c>
      <c r="C28" s="13">
        <v>-1.6271155352084763E-2</v>
      </c>
      <c r="D28" s="13">
        <v>-0.13684352167216551</v>
      </c>
      <c r="E28" s="13">
        <v>-2.8204789223488808E-2</v>
      </c>
      <c r="F28" s="13">
        <v>0.60701207836868354</v>
      </c>
      <c r="G28" s="13">
        <v>0.26405859075854277</v>
      </c>
      <c r="H28" s="13">
        <v>6.977616113985631E-2</v>
      </c>
      <c r="I28" s="13">
        <v>-0.23445378700748426</v>
      </c>
      <c r="J28" s="13">
        <v>7.7981693624776971E-2</v>
      </c>
      <c r="K28" s="13">
        <v>1.328659600773789</v>
      </c>
      <c r="L28" s="13">
        <v>0.40624347076659395</v>
      </c>
      <c r="M28" s="13">
        <v>0.46118869245646638</v>
      </c>
      <c r="N28" s="13">
        <v>79.456002677487376</v>
      </c>
      <c r="O28" s="83" t="s">
        <v>58</v>
      </c>
      <c r="P28" s="83" t="s">
        <v>93</v>
      </c>
      <c r="Q28" s="83" t="s">
        <v>88</v>
      </c>
    </row>
    <row r="29" spans="1:17" x14ac:dyDescent="0.3">
      <c r="A29" s="13">
        <v>41</v>
      </c>
      <c r="B29" s="13">
        <v>5</v>
      </c>
      <c r="C29" s="13">
        <v>-0.20924266454305657</v>
      </c>
      <c r="D29" s="13">
        <v>-0.2112707243140961</v>
      </c>
      <c r="E29" s="13">
        <v>8.7139720696292486E-2</v>
      </c>
      <c r="F29" s="13">
        <v>-0.21584462051728073</v>
      </c>
      <c r="G29" s="13">
        <v>-3.1473570137045886E-3</v>
      </c>
      <c r="H29" s="13">
        <v>-0.22765190384416487</v>
      </c>
      <c r="I29" s="13">
        <v>-0.2429688044061516</v>
      </c>
      <c r="J29" s="13">
        <v>0.48259096255692774</v>
      </c>
      <c r="K29" s="13">
        <v>-0.20892139813693442</v>
      </c>
      <c r="L29" s="13">
        <v>-0.22222295099692671</v>
      </c>
      <c r="M29" s="13">
        <v>0.30871166521403381</v>
      </c>
      <c r="N29" s="13">
        <v>197.04925634818872</v>
      </c>
      <c r="O29" s="83" t="s">
        <v>21</v>
      </c>
      <c r="P29" s="83" t="s">
        <v>85</v>
      </c>
      <c r="Q29" s="83" t="s">
        <v>51</v>
      </c>
    </row>
    <row r="30" spans="1:17" ht="28.8" x14ac:dyDescent="0.3">
      <c r="A30" s="13">
        <v>1</v>
      </c>
      <c r="B30" s="13">
        <v>6</v>
      </c>
      <c r="C30" s="13">
        <v>-0.37310583931213614</v>
      </c>
      <c r="D30" s="13">
        <v>-0.21578191637159555</v>
      </c>
      <c r="E30" s="13">
        <v>-0.70557096898847227</v>
      </c>
      <c r="F30" s="13">
        <v>3.4190455020735437E-3</v>
      </c>
      <c r="G30" s="13">
        <v>2.9019939563379755</v>
      </c>
      <c r="H30" s="13">
        <v>-1.0800832016948654</v>
      </c>
      <c r="I30" s="13">
        <v>-0.34590633244768243</v>
      </c>
      <c r="J30" s="13">
        <v>0.25943225407065013</v>
      </c>
      <c r="K30" s="13">
        <v>-0.51615162915795654</v>
      </c>
      <c r="L30" s="13">
        <v>-0.20097447011807923</v>
      </c>
      <c r="M30" s="13">
        <v>-0.6118883699505353</v>
      </c>
      <c r="N30" s="13">
        <v>0</v>
      </c>
      <c r="O30" s="83" t="s">
        <v>42</v>
      </c>
      <c r="P30" s="83"/>
      <c r="Q30" s="83"/>
    </row>
    <row r="31" spans="1:17" x14ac:dyDescent="0.3">
      <c r="A31">
        <f>SUM(A25:A30)</f>
        <v>85</v>
      </c>
      <c r="N31" s="45">
        <f>SUM(N25:N30)</f>
        <v>554.3604764993222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F6C4-3BAF-45FE-A4D8-190D8B87D5EE}">
  <dimension ref="B1:Q8"/>
  <sheetViews>
    <sheetView topLeftCell="A4" zoomScale="85" zoomScaleNormal="85" workbookViewId="0">
      <selection activeCell="P17" sqref="P17"/>
    </sheetView>
  </sheetViews>
  <sheetFormatPr defaultRowHeight="14.4" x14ac:dyDescent="0.3"/>
  <cols>
    <col min="15" max="15" width="24.109375" customWidth="1"/>
    <col min="16" max="16" width="23.109375" customWidth="1"/>
    <col min="17" max="17" width="26.33203125" customWidth="1"/>
  </cols>
  <sheetData>
    <row r="1" spans="2:17" ht="28.8" x14ac:dyDescent="0.3">
      <c r="B1" s="26"/>
      <c r="C1" s="26" t="s">
        <v>109</v>
      </c>
      <c r="D1" s="26" t="s">
        <v>110</v>
      </c>
      <c r="E1" s="26" t="s">
        <v>111</v>
      </c>
      <c r="F1" s="26" t="s">
        <v>112</v>
      </c>
      <c r="G1" s="26" t="s">
        <v>113</v>
      </c>
      <c r="H1" s="26" t="s">
        <v>114</v>
      </c>
      <c r="I1" s="26" t="s">
        <v>115</v>
      </c>
      <c r="J1" s="26" t="s">
        <v>116</v>
      </c>
      <c r="K1" s="26" t="s">
        <v>117</v>
      </c>
      <c r="L1" s="26" t="s">
        <v>118</v>
      </c>
      <c r="M1" s="26" t="s">
        <v>119</v>
      </c>
      <c r="N1" s="29" t="s">
        <v>121</v>
      </c>
      <c r="O1" s="85" t="s">
        <v>242</v>
      </c>
      <c r="P1" s="86"/>
      <c r="Q1" s="86"/>
    </row>
    <row r="2" spans="2:17" ht="28.8" x14ac:dyDescent="0.3">
      <c r="B2" s="26">
        <v>1</v>
      </c>
      <c r="C2" s="86">
        <v>-4.3682904557296814E-2</v>
      </c>
      <c r="D2" s="86">
        <v>-0.10896393912852384</v>
      </c>
      <c r="E2" s="86">
        <v>4.9531410348004547E-2</v>
      </c>
      <c r="F2" s="86">
        <v>0.42261474554456319</v>
      </c>
      <c r="G2" s="86">
        <v>0.83166387839869926</v>
      </c>
      <c r="H2" s="86">
        <v>0.2677076581599383</v>
      </c>
      <c r="I2" s="86">
        <v>0.14924197275837869</v>
      </c>
      <c r="J2" s="86">
        <v>-6.5479217802125594E-2</v>
      </c>
      <c r="K2" s="86">
        <v>1.0289441532937271</v>
      </c>
      <c r="L2" s="86">
        <v>7.0196779205735374E-2</v>
      </c>
      <c r="M2" s="86">
        <v>-0.66162824576152768</v>
      </c>
      <c r="N2" s="86">
        <v>45.961617646668643</v>
      </c>
      <c r="O2" s="83" t="s">
        <v>53</v>
      </c>
      <c r="P2" s="83" t="s">
        <v>90</v>
      </c>
      <c r="Q2" s="83" t="s">
        <v>81</v>
      </c>
    </row>
    <row r="3" spans="2:17" ht="28.8" x14ac:dyDescent="0.3">
      <c r="B3" s="26">
        <v>2</v>
      </c>
      <c r="C3" s="86">
        <v>-0.44830518862822621</v>
      </c>
      <c r="D3" s="86">
        <v>-0.34616081510387081</v>
      </c>
      <c r="E3" s="86">
        <v>-0.6780264050512349</v>
      </c>
      <c r="F3" s="86">
        <v>-0.91795040165013786</v>
      </c>
      <c r="G3" s="86">
        <v>-0.2455016676044843</v>
      </c>
      <c r="H3" s="86">
        <v>-1.0799003273440455</v>
      </c>
      <c r="I3" s="86">
        <v>0.26056236564434915</v>
      </c>
      <c r="J3" s="86">
        <v>-1.6348016269476331</v>
      </c>
      <c r="K3" s="86">
        <v>-1.2991828947994304</v>
      </c>
      <c r="L3" s="86">
        <v>-0.21080877913774895</v>
      </c>
      <c r="M3" s="86">
        <v>-1.3785149759508468</v>
      </c>
      <c r="N3" s="86">
        <v>71.743221010666176</v>
      </c>
      <c r="O3" s="83" t="s">
        <v>46</v>
      </c>
      <c r="P3" s="83" t="s">
        <v>49</v>
      </c>
      <c r="Q3" s="83" t="s">
        <v>68</v>
      </c>
    </row>
    <row r="4" spans="2:17" x14ac:dyDescent="0.3">
      <c r="B4" s="26">
        <v>3</v>
      </c>
      <c r="C4" s="86">
        <v>-0.2843799992083712</v>
      </c>
      <c r="D4" s="86">
        <v>-0.27208706019755119</v>
      </c>
      <c r="E4" s="86">
        <v>4.7485912863489271E-2</v>
      </c>
      <c r="F4" s="86">
        <v>-0.27633114907434414</v>
      </c>
      <c r="G4" s="86">
        <v>9.8290824976721189E-2</v>
      </c>
      <c r="H4" s="86">
        <v>-0.24476401001360368</v>
      </c>
      <c r="I4" s="86">
        <v>-0.44555835389007559</v>
      </c>
      <c r="J4" s="86">
        <v>0.65431856244675823</v>
      </c>
      <c r="K4" s="86">
        <v>-6.5240544838895201E-2</v>
      </c>
      <c r="L4" s="86">
        <v>-0.38906265677372798</v>
      </c>
      <c r="M4" s="86">
        <v>0.49872069181468931</v>
      </c>
      <c r="N4" s="86">
        <v>154.41975813167485</v>
      </c>
      <c r="O4" s="83" t="s">
        <v>21</v>
      </c>
      <c r="P4" s="83" t="s">
        <v>35</v>
      </c>
      <c r="Q4" s="83" t="s">
        <v>19</v>
      </c>
    </row>
    <row r="5" spans="2:17" x14ac:dyDescent="0.3">
      <c r="B5" s="26">
        <v>4</v>
      </c>
      <c r="C5" s="86">
        <v>0.48515114150211291</v>
      </c>
      <c r="D5" s="86">
        <v>0.30938684766831964</v>
      </c>
      <c r="E5" s="86">
        <v>0.66762609926847183</v>
      </c>
      <c r="F5" s="86">
        <v>1.3103232868110108</v>
      </c>
      <c r="G5" s="86">
        <v>-0.56386606562499397</v>
      </c>
      <c r="H5" s="86">
        <v>0.24990403216455512</v>
      </c>
      <c r="I5" s="86">
        <v>0.23515337473268502</v>
      </c>
      <c r="J5" s="86">
        <v>-0.53660085201765062</v>
      </c>
      <c r="K5" s="86">
        <v>0.56717862918840034</v>
      </c>
      <c r="L5" s="86">
        <v>1.4699137055491462</v>
      </c>
      <c r="M5" s="86">
        <v>0.55007847870056004</v>
      </c>
      <c r="N5" s="86">
        <v>140.43970244890681</v>
      </c>
      <c r="O5" s="83" t="s">
        <v>87</v>
      </c>
      <c r="P5" s="83" t="s">
        <v>57</v>
      </c>
      <c r="Q5" s="83" t="s">
        <v>61</v>
      </c>
    </row>
    <row r="6" spans="2:17" ht="57.6" x14ac:dyDescent="0.3">
      <c r="B6" s="26">
        <v>5</v>
      </c>
      <c r="C6" s="86">
        <v>4.490517041735278</v>
      </c>
      <c r="D6" s="86">
        <v>4.3971012784723547</v>
      </c>
      <c r="E6" s="86">
        <v>0.87917041923349049</v>
      </c>
      <c r="F6" s="86">
        <v>1.9860855427618578</v>
      </c>
      <c r="G6" s="86">
        <v>-0.17878899783691549</v>
      </c>
      <c r="H6" s="86">
        <v>0.39400550671115991</v>
      </c>
      <c r="I6" s="86">
        <v>-0.26719359714570046</v>
      </c>
      <c r="J6" s="86">
        <v>-2.1232518729963723</v>
      </c>
      <c r="K6" s="86">
        <v>-0.60777632842166274</v>
      </c>
      <c r="L6" s="86">
        <v>0.85507614619090155</v>
      </c>
      <c r="M6" s="86">
        <v>-0.75200811278158619</v>
      </c>
      <c r="N6" s="86">
        <v>43.750786460284822</v>
      </c>
      <c r="O6" s="83" t="s">
        <v>34</v>
      </c>
      <c r="P6" s="83" t="s">
        <v>33</v>
      </c>
      <c r="Q6" s="83" t="s">
        <v>31</v>
      </c>
    </row>
    <row r="7" spans="2:17" ht="28.8" x14ac:dyDescent="0.3">
      <c r="B7" s="26">
        <v>6</v>
      </c>
      <c r="C7" s="86">
        <v>-0.26333750664015582</v>
      </c>
      <c r="D7" s="86">
        <v>-0.1124939025320377</v>
      </c>
      <c r="E7" s="86">
        <v>-0.63709286454237202</v>
      </c>
      <c r="F7" s="86">
        <v>-0.54294442572977508</v>
      </c>
      <c r="G7" s="86">
        <v>-0.42298177626052247</v>
      </c>
      <c r="H7" s="86">
        <v>1.2878682242951265</v>
      </c>
      <c r="I7" s="86">
        <v>1.249606318772932</v>
      </c>
      <c r="J7" s="86">
        <v>8.7878996921824631E-2</v>
      </c>
      <c r="K7" s="86">
        <v>-0.13665132304488087</v>
      </c>
      <c r="L7" s="86">
        <v>-0.16575958309138447</v>
      </c>
      <c r="M7" s="86">
        <v>-0.4557841804828861</v>
      </c>
      <c r="N7" s="86">
        <v>40.227836941970963</v>
      </c>
      <c r="O7" s="83" t="s">
        <v>83</v>
      </c>
      <c r="P7" s="83" t="s">
        <v>50</v>
      </c>
      <c r="Q7" s="83" t="s">
        <v>64</v>
      </c>
    </row>
    <row r="8" spans="2:17" x14ac:dyDescent="0.3">
      <c r="N8">
        <f>SUM(N2:N7)</f>
        <v>496.54292264017226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B6F7-DE2D-4B96-B785-ECBD05751B2C}">
  <dimension ref="A1:L87"/>
  <sheetViews>
    <sheetView zoomScale="85" zoomScaleNormal="85" workbookViewId="0">
      <pane xSplit="1" ySplit="1" topLeftCell="B61" activePane="bottomRight" state="frozen"/>
      <selection pane="topRight" activeCell="B1" sqref="B1"/>
      <selection pane="bottomLeft" activeCell="A2" sqref="A2"/>
      <selection pane="bottomRight" sqref="A1:L86"/>
    </sheetView>
  </sheetViews>
  <sheetFormatPr defaultRowHeight="14.4" x14ac:dyDescent="0.3"/>
  <cols>
    <col min="1" max="1" width="46.6640625" bestFit="1" customWidth="1"/>
    <col min="2" max="4" width="12.44140625" bestFit="1" customWidth="1"/>
    <col min="5" max="5" width="8.77734375" bestFit="1" customWidth="1"/>
    <col min="7" max="8" width="12.44140625" bestFit="1" customWidth="1"/>
    <col min="10" max="12" width="12.44140625" bestFit="1" customWidth="1"/>
  </cols>
  <sheetData>
    <row r="1" spans="1:12" x14ac:dyDescent="0.3">
      <c r="A1" s="16" t="s">
        <v>0</v>
      </c>
      <c r="B1" s="16" t="s">
        <v>109</v>
      </c>
      <c r="C1" s="16" t="s">
        <v>110</v>
      </c>
      <c r="D1" s="16" t="s">
        <v>111</v>
      </c>
      <c r="E1" s="16" t="s">
        <v>112</v>
      </c>
      <c r="F1" s="16" t="s">
        <v>113</v>
      </c>
      <c r="G1" s="16" t="s">
        <v>114</v>
      </c>
      <c r="H1" s="16" t="s">
        <v>115</v>
      </c>
      <c r="I1" s="16" t="s">
        <v>116</v>
      </c>
      <c r="J1" s="16" t="s">
        <v>117</v>
      </c>
      <c r="K1" s="16" t="s">
        <v>118</v>
      </c>
      <c r="L1" s="16" t="s">
        <v>119</v>
      </c>
    </row>
    <row r="2" spans="1:12" x14ac:dyDescent="0.3">
      <c r="A2" s="14" t="s">
        <v>35</v>
      </c>
      <c r="B2" s="17">
        <f>Данные!C2/Данные!B2</f>
        <v>270.40907213737233</v>
      </c>
      <c r="C2" s="17">
        <f>Данные!D2/Данные!B2</f>
        <v>27.96549744878822</v>
      </c>
      <c r="D2" s="17">
        <f>Данные!E2/Данные!B2</f>
        <v>9.9022081924269104E-2</v>
      </c>
      <c r="E2" s="18">
        <f>Данные!F2</f>
        <v>55.7</v>
      </c>
      <c r="F2" s="17">
        <f>Данные!G2</f>
        <v>-17.899999999999999</v>
      </c>
      <c r="G2" s="17">
        <f>Данные!H2/Данные!B2</f>
        <v>3.4361948428785332</v>
      </c>
      <c r="H2" s="17">
        <f>Данные!I2/Данные!B2</f>
        <v>1.3674477980018114</v>
      </c>
      <c r="I2" s="17">
        <f>Данные!J2</f>
        <v>14.1</v>
      </c>
      <c r="J2" s="17">
        <f>Данные!K2/Данные!B2</f>
        <v>142.49577655817248</v>
      </c>
      <c r="K2" s="17">
        <f>Данные!L2/Данные!B2</f>
        <v>4.233944169549809</v>
      </c>
      <c r="L2" s="17">
        <f>Данные!M2/Данные!B2</f>
        <v>0.34207628301111148</v>
      </c>
    </row>
    <row r="3" spans="1:12" x14ac:dyDescent="0.3">
      <c r="A3" s="14" t="s">
        <v>36</v>
      </c>
      <c r="B3" s="17">
        <f>Данные!C3/Данные!B3</f>
        <v>520.02548203844208</v>
      </c>
      <c r="C3" s="17">
        <f>Данные!D3/Данные!B3</f>
        <v>417.46393316137039</v>
      </c>
      <c r="D3" s="17">
        <f>Данные!E3/Данные!B3</f>
        <v>7.1861360524663576E-2</v>
      </c>
      <c r="E3" s="18">
        <f>Данные!F3</f>
        <v>59.9</v>
      </c>
      <c r="F3" s="17">
        <f>Данные!G3</f>
        <v>0.2</v>
      </c>
      <c r="G3" s="17">
        <f>Данные!H3/Данные!B3</f>
        <v>6.3868360073323807</v>
      </c>
      <c r="H3" s="17">
        <f>Данные!I3/Данные!B3</f>
        <v>2.4911938315216706</v>
      </c>
      <c r="I3" s="17">
        <f>Данные!J3</f>
        <v>14</v>
      </c>
      <c r="J3" s="17">
        <f>Данные!K3/Данные!B3</f>
        <v>238.73856837041129</v>
      </c>
      <c r="K3" s="17">
        <f>Данные!L3/Данные!B3</f>
        <v>5.4652455767441515</v>
      </c>
      <c r="L3" s="17">
        <f>Данные!M3/Данные!B3</f>
        <v>0.32022430830288684</v>
      </c>
    </row>
    <row r="4" spans="1:12" ht="26.4" x14ac:dyDescent="0.3">
      <c r="A4" s="14" t="s">
        <v>30</v>
      </c>
      <c r="B4" s="17">
        <f>Данные!C4/Данные!B4</f>
        <v>508.094290868771</v>
      </c>
      <c r="C4" s="17">
        <f>Данные!D4/Данные!B4</f>
        <v>66.942691472248228</v>
      </c>
      <c r="D4" s="17">
        <f>Данные!E4/Данные!B4</f>
        <v>5.0895672958947188E-2</v>
      </c>
      <c r="E4" s="18">
        <f>Данные!F4</f>
        <v>54.9</v>
      </c>
      <c r="F4" s="17">
        <f>Данные!G4</f>
        <v>-28</v>
      </c>
      <c r="G4" s="17">
        <f>Данные!H4/Данные!B4</f>
        <v>4.2552417998891201</v>
      </c>
      <c r="H4" s="17">
        <f>Данные!I4/Данные!B4</f>
        <v>0.78252097174381297</v>
      </c>
      <c r="I4" s="17">
        <f>Данные!J4</f>
        <v>13.2</v>
      </c>
      <c r="J4" s="17">
        <f>Данные!K4/Данные!B4</f>
        <v>322.42408819493045</v>
      </c>
      <c r="K4" s="17">
        <f>Данные!L4/Данные!B4</f>
        <v>5.5249070699542848</v>
      </c>
      <c r="L4" s="17">
        <f>Данные!M4/Данные!B4</f>
        <v>0.39444146543184072</v>
      </c>
    </row>
    <row r="5" spans="1:12" x14ac:dyDescent="0.3">
      <c r="A5" s="14" t="s">
        <v>37</v>
      </c>
      <c r="B5" s="17">
        <f>Данные!C5/Данные!B5</f>
        <v>593.95278941685194</v>
      </c>
      <c r="C5" s="17">
        <f>Данные!D5/Данные!B5</f>
        <v>86.132520104727007</v>
      </c>
      <c r="D5" s="17">
        <f>Данные!E5/Данные!B5</f>
        <v>4.2403593458013047E-2</v>
      </c>
      <c r="E5" s="18">
        <f>Данные!F5</f>
        <v>57.1</v>
      </c>
      <c r="F5" s="17">
        <f>Данные!G5</f>
        <v>-77.599999999999994</v>
      </c>
      <c r="G5" s="17">
        <f>Данные!H5/Данные!B5</f>
        <v>2.7473584040470778</v>
      </c>
      <c r="H5" s="17">
        <f>Данные!I5/Данные!B5</f>
        <v>1.3214143077613367</v>
      </c>
      <c r="I5" s="17">
        <f>Данные!J5</f>
        <v>11.3</v>
      </c>
      <c r="J5" s="17">
        <f>Данные!K5/Данные!B5</f>
        <v>231.16565506155916</v>
      </c>
      <c r="K5" s="17">
        <f>Данные!L5/Данные!B5</f>
        <v>6.0725890352196359</v>
      </c>
      <c r="L5" s="17">
        <f>Данные!M5/Данные!B5</f>
        <v>0.2810470729193888</v>
      </c>
    </row>
    <row r="6" spans="1:12" x14ac:dyDescent="0.3">
      <c r="A6" s="14" t="s">
        <v>5</v>
      </c>
      <c r="B6" s="17">
        <f>Данные!C6/Данные!B6</f>
        <v>617.77204194341812</v>
      </c>
      <c r="C6" s="17">
        <f>Данные!D6/Данные!B6</f>
        <v>66.019714130247934</v>
      </c>
      <c r="D6" s="17">
        <f>Данные!E6/Данные!B6</f>
        <v>0.160266973758868</v>
      </c>
      <c r="E6" s="18">
        <f>Данные!F6</f>
        <v>61</v>
      </c>
      <c r="F6" s="17">
        <f>Данные!G6</f>
        <v>59.5</v>
      </c>
      <c r="G6" s="17">
        <f>Данные!H6/Данные!B6</f>
        <v>2.1151363109386088</v>
      </c>
      <c r="H6" s="17">
        <f>Данные!I6/Данные!B6</f>
        <v>0.69535187001831444</v>
      </c>
      <c r="I6" s="17">
        <f>Данные!J6</f>
        <v>13.4</v>
      </c>
      <c r="J6" s="17">
        <f>Данные!K6/Данные!B6</f>
        <v>189.02455574382617</v>
      </c>
      <c r="K6" s="17">
        <f>Данные!L6/Данные!B6</f>
        <v>4.0512647519933207</v>
      </c>
      <c r="L6" s="17">
        <f>Данные!M6/Данные!B6</f>
        <v>0.35090712399623114</v>
      </c>
    </row>
    <row r="7" spans="1:12" x14ac:dyDescent="0.3">
      <c r="A7" s="14" t="s">
        <v>6</v>
      </c>
      <c r="B7" s="17">
        <f>Данные!C7/Данные!B7</f>
        <v>331.37690234938395</v>
      </c>
      <c r="C7" s="17">
        <f>Данные!D7/Данные!B7</f>
        <v>40.999972504284749</v>
      </c>
      <c r="D7" s="17">
        <f>Данные!E7/Данные!B7</f>
        <v>7.7487924798385593E-2</v>
      </c>
      <c r="E7" s="18">
        <f>Данные!F7</f>
        <v>56.4</v>
      </c>
      <c r="F7" s="17">
        <f>Данные!G7</f>
        <v>-0.3</v>
      </c>
      <c r="G7" s="17">
        <f>Данные!H7/Данные!B7</f>
        <v>2.4071248897046877</v>
      </c>
      <c r="H7" s="17">
        <f>Данные!I7/Данные!B7</f>
        <v>0.77321284099894438</v>
      </c>
      <c r="I7" s="17">
        <f>Данные!J7</f>
        <v>14.7</v>
      </c>
      <c r="J7" s="17">
        <f>Данные!K7/Данные!B7</f>
        <v>129.49148757651935</v>
      </c>
      <c r="K7" s="17">
        <f>Данные!L7/Данные!B7</f>
        <v>3.9927111358479972</v>
      </c>
      <c r="L7" s="17">
        <f>Данные!M7/Данные!B7</f>
        <v>0.36660953668053398</v>
      </c>
    </row>
    <row r="8" spans="1:12" x14ac:dyDescent="0.3">
      <c r="A8" s="14" t="s">
        <v>7</v>
      </c>
      <c r="B8" s="17">
        <f>Данные!C8/Данные!B8</f>
        <v>393.49291641193292</v>
      </c>
      <c r="C8" s="17">
        <f>Данные!D8/Данные!B8</f>
        <v>44.927981666489721</v>
      </c>
      <c r="D8" s="17">
        <f>Данные!E8/Данные!B8</f>
        <v>8.3467259235395969E-2</v>
      </c>
      <c r="E8" s="18">
        <f>Данные!F8</f>
        <v>59.5</v>
      </c>
      <c r="F8" s="17">
        <f>Данные!G8</f>
        <v>19.8</v>
      </c>
      <c r="G8" s="17">
        <f>Данные!H8/Данные!B8</f>
        <v>3.398728222550071</v>
      </c>
      <c r="H8" s="17">
        <f>Данные!I8/Данные!B8</f>
        <v>0.80465366578684361</v>
      </c>
      <c r="I8" s="17">
        <f>Данные!J8</f>
        <v>15.7</v>
      </c>
      <c r="J8" s="17">
        <f>Данные!K8/Данные!B8</f>
        <v>84.403703310501868</v>
      </c>
      <c r="K8" s="17">
        <f>Данные!L8/Данные!B8</f>
        <v>3.4953745227173716</v>
      </c>
      <c r="L8" s="17">
        <f>Данные!M8/Данные!B8</f>
        <v>0.35876278092407038</v>
      </c>
    </row>
    <row r="9" spans="1:12" x14ac:dyDescent="0.3">
      <c r="A9" s="14" t="s">
        <v>38</v>
      </c>
      <c r="B9" s="17">
        <f>Данные!C9/Данные!B9</f>
        <v>383.41369382921454</v>
      </c>
      <c r="C9" s="17">
        <f>Данные!D9/Данные!B9</f>
        <v>51.398895876345811</v>
      </c>
      <c r="D9" s="17">
        <f>Данные!E9/Данные!B9</f>
        <v>6.7397564674742935E-2</v>
      </c>
      <c r="E9" s="18">
        <f>Данные!F9</f>
        <v>55.7</v>
      </c>
      <c r="F9" s="17">
        <f>Данные!G9</f>
        <v>-18.7</v>
      </c>
      <c r="G9" s="17">
        <f>Данные!H9/Данные!B9</f>
        <v>3.6338852622263769</v>
      </c>
      <c r="H9" s="17">
        <f>Данные!I9/Данные!B9</f>
        <v>0.73578998121243033</v>
      </c>
      <c r="I9" s="17">
        <f>Данные!J9</f>
        <v>13.1</v>
      </c>
      <c r="J9" s="17">
        <f>Данные!K9/Данные!B9</f>
        <v>183.75008823497743</v>
      </c>
      <c r="K9" s="17">
        <f>Данные!L9/Данные!B9</f>
        <v>4.5032739663147767</v>
      </c>
      <c r="L9" s="17">
        <f>Данные!M9/Данные!B9</f>
        <v>0.32382735216503711</v>
      </c>
    </row>
    <row r="10" spans="1:12" x14ac:dyDescent="0.3">
      <c r="A10" s="14" t="s">
        <v>39</v>
      </c>
      <c r="B10" s="17">
        <f>Данные!C10/Данные!B10</f>
        <v>539.63403490412452</v>
      </c>
      <c r="C10" s="17">
        <f>Данные!D10/Данные!B10</f>
        <v>140.63116536340692</v>
      </c>
      <c r="D10" s="17">
        <f>Данные!E10/Данные!B10</f>
        <v>8.3924731505087294E-2</v>
      </c>
      <c r="E10" s="18">
        <f>Данные!F10</f>
        <v>56.3</v>
      </c>
      <c r="F10" s="17">
        <f>Данные!G10</f>
        <v>-17.8</v>
      </c>
      <c r="G10" s="17">
        <f>Данные!H10/Данные!B10</f>
        <v>2.8020583824963841</v>
      </c>
      <c r="H10" s="17">
        <f>Данные!I10/Данные!B10</f>
        <v>0.78015745307280127</v>
      </c>
      <c r="I10" s="17">
        <f>Данные!J10</f>
        <v>14.1</v>
      </c>
      <c r="J10" s="17">
        <f>Данные!K10/Данные!B10</f>
        <v>179.64174416145065</v>
      </c>
      <c r="K10" s="17">
        <f>Данные!L10/Данные!B10</f>
        <v>3.5274078476474955</v>
      </c>
      <c r="L10" s="17">
        <f>Данные!M10/Данные!B10</f>
        <v>0.3382680504541784</v>
      </c>
    </row>
    <row r="11" spans="1:12" x14ac:dyDescent="0.3">
      <c r="A11" s="14" t="s">
        <v>8</v>
      </c>
      <c r="B11" s="17">
        <f>Данные!C11/Данные!B11</f>
        <v>430.70225103218849</v>
      </c>
      <c r="C11" s="17">
        <f>Данные!D11/Данные!B11</f>
        <v>84.585577241549075</v>
      </c>
      <c r="D11" s="17">
        <f>Данные!E11/Данные!B11</f>
        <v>0.11985457644724401</v>
      </c>
      <c r="E11" s="18">
        <f>Данные!F11</f>
        <v>57.3</v>
      </c>
      <c r="F11" s="17">
        <f>Данные!G11</f>
        <v>41.7</v>
      </c>
      <c r="G11" s="17">
        <f>Данные!H11/Данные!B11</f>
        <v>3.3670973842060881</v>
      </c>
      <c r="H11" s="17">
        <f>Данные!I11/Данные!B11</f>
        <v>1.2449410843875024</v>
      </c>
      <c r="I11" s="17">
        <f>Данные!J11</f>
        <v>14.2</v>
      </c>
      <c r="J11" s="17">
        <f>Данные!K11/Данные!B11</f>
        <v>170.48003261419157</v>
      </c>
      <c r="K11" s="17">
        <f>Данные!L11/Данные!B11</f>
        <v>5.2804747444068942</v>
      </c>
      <c r="L11" s="17">
        <f>Данные!M11/Данные!B11</f>
        <v>0.34452820899888781</v>
      </c>
    </row>
    <row r="12" spans="1:12" ht="26.4" x14ac:dyDescent="0.3">
      <c r="A12" s="14" t="s">
        <v>40</v>
      </c>
      <c r="B12" s="17">
        <f>Данные!C12/Данные!B12</f>
        <v>1559.4584962647277</v>
      </c>
      <c r="C12" s="17">
        <f>Данные!D12/Данные!B12</f>
        <v>196.06855218976924</v>
      </c>
      <c r="D12" s="17">
        <f>Данные!E12/Данные!B12</f>
        <v>5.0097980393457801E-2</v>
      </c>
      <c r="E12" s="18">
        <f>Данные!F12</f>
        <v>67.2</v>
      </c>
      <c r="F12" s="17">
        <f>Данные!G12</f>
        <v>37.6</v>
      </c>
      <c r="G12" s="17">
        <f>Данные!H12/Данные!B12</f>
        <v>3.6391585156380608</v>
      </c>
      <c r="H12" s="17">
        <f>Данные!I12/Данные!B12</f>
        <v>1.0115511515837263</v>
      </c>
      <c r="I12" s="17">
        <f>Данные!J12</f>
        <v>9.6</v>
      </c>
      <c r="J12" s="17">
        <f>Данные!K12/Данные!B12</f>
        <v>545.47370692316827</v>
      </c>
      <c r="K12" s="17">
        <f>Данные!L12/Данные!B12</f>
        <v>6.149764900165902</v>
      </c>
      <c r="L12" s="17">
        <f>Данные!M12/Данные!B12</f>
        <v>0.44343054164715656</v>
      </c>
    </row>
    <row r="13" spans="1:12" x14ac:dyDescent="0.3">
      <c r="A13" s="14" t="s">
        <v>41</v>
      </c>
      <c r="B13" s="17">
        <f>Данные!C13/Данные!B13</f>
        <v>951.83854900453025</v>
      </c>
      <c r="C13" s="17">
        <f>Данные!D13/Данные!B13</f>
        <v>92.595182479582604</v>
      </c>
      <c r="D13" s="17">
        <f>Данные!E13/Данные!B13</f>
        <v>0.11051488793418884</v>
      </c>
      <c r="E13" s="18">
        <f>Данные!F13</f>
        <v>66.400000000000006</v>
      </c>
      <c r="F13" s="17">
        <f>Данные!G13</f>
        <v>26.9</v>
      </c>
      <c r="G13" s="17">
        <f>Данные!H13/Данные!B13</f>
        <v>3.1111333998280051</v>
      </c>
      <c r="H13" s="17">
        <f>Данные!I13/Данные!B13</f>
        <v>1.5304918934079261</v>
      </c>
      <c r="I13" s="17">
        <f>Данные!J13</f>
        <v>11</v>
      </c>
      <c r="J13" s="17">
        <f>Данные!K13/Данные!B13</f>
        <v>517.09674603307269</v>
      </c>
      <c r="K13" s="17">
        <f>Данные!L13/Данные!B13</f>
        <v>8.5109465460847069</v>
      </c>
      <c r="L13" s="17">
        <f>Данные!M13/Данные!B13</f>
        <v>0.4047259509388193</v>
      </c>
    </row>
    <row r="14" spans="1:12" x14ac:dyDescent="0.3">
      <c r="A14" s="14" t="s">
        <v>42</v>
      </c>
      <c r="B14" s="17">
        <f>Данные!C14/Данные!B14</f>
        <v>308.94337653312635</v>
      </c>
      <c r="C14" s="17">
        <f>Данные!D14/Данные!B14</f>
        <v>74.910670288710591</v>
      </c>
      <c r="D14" s="17">
        <f>Данные!E14/Данные!B14</f>
        <v>4.5125131991011078E-2</v>
      </c>
      <c r="E14" s="18">
        <f>Данные!F14</f>
        <v>58.3</v>
      </c>
      <c r="F14" s="17">
        <f>Данные!G14</f>
        <v>166.5</v>
      </c>
      <c r="G14" s="17">
        <f>Данные!H14/Данные!B14</f>
        <v>2.3036379881411153</v>
      </c>
      <c r="H14" s="17">
        <f>Данные!I14/Данные!B14</f>
        <v>1.1145907601779736</v>
      </c>
      <c r="I14" s="17">
        <f>Данные!J14</f>
        <v>13.1</v>
      </c>
      <c r="J14" s="17">
        <f>Данные!K14/Данные!B14</f>
        <v>148.1255020170934</v>
      </c>
      <c r="K14" s="17">
        <f>Данные!L14/Данные!B14</f>
        <v>4.595994693284478</v>
      </c>
      <c r="L14" s="17">
        <f>Данные!M14/Данные!B14</f>
        <v>0.30459464093932476</v>
      </c>
    </row>
    <row r="15" spans="1:12" x14ac:dyDescent="0.3">
      <c r="A15" s="14" t="s">
        <v>43</v>
      </c>
      <c r="B15" s="17">
        <f>Данные!C15/Данные!B15</f>
        <v>353.75807095107962</v>
      </c>
      <c r="C15" s="17">
        <f>Данные!D15/Данные!B15</f>
        <v>87.743979538874257</v>
      </c>
      <c r="D15" s="17">
        <f>Данные!E15/Данные!B15</f>
        <v>3.1267001432028665E-2</v>
      </c>
      <c r="E15" s="18">
        <f>Данные!F15</f>
        <v>56</v>
      </c>
      <c r="F15" s="17">
        <f>Данные!G15</f>
        <v>-64.5</v>
      </c>
      <c r="G15" s="17">
        <f>Данные!H15/Данные!B15</f>
        <v>5.5780330554739139</v>
      </c>
      <c r="H15" s="17">
        <f>Данные!I15/Данные!B15</f>
        <v>2.5451339165671332</v>
      </c>
      <c r="I15" s="17">
        <f>Данные!J15</f>
        <v>14.2</v>
      </c>
      <c r="J15" s="17">
        <f>Данные!K15/Данные!B15</f>
        <v>426.24427032198753</v>
      </c>
      <c r="K15" s="17">
        <f>Данные!L15/Данные!B15</f>
        <v>3.7645469724162512</v>
      </c>
      <c r="L15" s="17">
        <f>Данные!M15/Данные!B15</f>
        <v>0.31892341460669238</v>
      </c>
    </row>
    <row r="16" spans="1:12" x14ac:dyDescent="0.3">
      <c r="A16" s="14" t="s">
        <v>44</v>
      </c>
      <c r="B16" s="17">
        <f>Данные!C16/Данные!B16</f>
        <v>342.05359017062545</v>
      </c>
      <c r="C16" s="17">
        <f>Данные!D16/Данные!B16</f>
        <v>82.152362812387096</v>
      </c>
      <c r="D16" s="17">
        <f>Данные!E16/Данные!B16</f>
        <v>3.283964401825884E-2</v>
      </c>
      <c r="E16" s="18">
        <f>Данные!F16</f>
        <v>56.7</v>
      </c>
      <c r="F16" s="17">
        <f>Данные!G16</f>
        <v>-51.6</v>
      </c>
      <c r="G16" s="17">
        <f>Данные!H16/Данные!B16</f>
        <v>4.4877719239809153</v>
      </c>
      <c r="H16" s="17">
        <f>Данные!I16/Данные!B16</f>
        <v>1.5359570645111349</v>
      </c>
      <c r="I16" s="17">
        <f>Данные!J16</f>
        <v>12.4</v>
      </c>
      <c r="J16" s="17">
        <f>Данные!K16/Данные!B16</f>
        <v>191.00193753899705</v>
      </c>
      <c r="K16" s="17">
        <f>Данные!L16/Данные!B16</f>
        <v>5.0629348320721341</v>
      </c>
      <c r="L16" s="17">
        <f>Данные!M16/Данные!B16</f>
        <v>0.28992714290405663</v>
      </c>
    </row>
    <row r="17" spans="1:12" x14ac:dyDescent="0.3">
      <c r="A17" s="14" t="s">
        <v>9</v>
      </c>
      <c r="B17" s="17">
        <f>Данные!C17/Данные!B17</f>
        <v>248.71619689697067</v>
      </c>
      <c r="C17" s="17">
        <f>Данные!D17/Данные!B17</f>
        <v>19.238795833416322</v>
      </c>
      <c r="D17" s="17">
        <f>Данные!E17/Данные!B17</f>
        <v>4.4812682985122192E-2</v>
      </c>
      <c r="E17" s="18">
        <f>Данные!F17</f>
        <v>58.1</v>
      </c>
      <c r="F17" s="17">
        <f>Данные!G17</f>
        <v>8.1999999999999993</v>
      </c>
      <c r="G17" s="17">
        <f>Данные!H17/Данные!B17</f>
        <v>3.3639387360831723</v>
      </c>
      <c r="H17" s="17">
        <f>Данные!I17/Данные!B17</f>
        <v>0.90521619629946826</v>
      </c>
      <c r="I17" s="17">
        <f>Данные!J17</f>
        <v>15.8</v>
      </c>
      <c r="J17" s="17">
        <f>Данные!K17/Данные!B17</f>
        <v>105.26499233205203</v>
      </c>
      <c r="K17" s="17">
        <f>Данные!L17/Данные!B17</f>
        <v>4.3836762333446195</v>
      </c>
      <c r="L17" s="17">
        <f>Данные!M17/Данные!B17</f>
        <v>0.34555557768527556</v>
      </c>
    </row>
    <row r="18" spans="1:12" x14ac:dyDescent="0.3">
      <c r="A18" s="14" t="s">
        <v>45</v>
      </c>
      <c r="B18" s="17">
        <f>Данные!C18/Данные!B18</f>
        <v>644.63444368772059</v>
      </c>
      <c r="C18" s="17">
        <f>Данные!D18/Данные!B18</f>
        <v>127.61041353962005</v>
      </c>
      <c r="D18" s="17">
        <f>Данные!E18/Данные!B18</f>
        <v>3.7952041131671478E-2</v>
      </c>
      <c r="E18" s="18">
        <f>Данные!F18</f>
        <v>57.1</v>
      </c>
      <c r="F18" s="17">
        <f>Данные!G18</f>
        <v>-13.7</v>
      </c>
      <c r="G18" s="17">
        <f>Данные!H18/Данные!B18</f>
        <v>4.6927073276216209</v>
      </c>
      <c r="H18" s="17">
        <f>Данные!I18/Данные!B18</f>
        <v>0.99759650974679315</v>
      </c>
      <c r="I18" s="17">
        <f>Данные!J18</f>
        <v>13.2</v>
      </c>
      <c r="J18" s="17">
        <f>Данные!K18/Данные!B18</f>
        <v>221.408871518995</v>
      </c>
      <c r="K18" s="17">
        <f>Данные!L18/Данные!B18</f>
        <v>4.8895574750298509</v>
      </c>
      <c r="L18" s="17">
        <f>Данные!M18/Данные!B18</f>
        <v>0.33447842843517062</v>
      </c>
    </row>
    <row r="19" spans="1:12" x14ac:dyDescent="0.3">
      <c r="A19" s="14" t="s">
        <v>46</v>
      </c>
      <c r="B19" s="17">
        <f>Данные!C19/Данные!B19</f>
        <v>197.46097638126153</v>
      </c>
      <c r="C19" s="17">
        <f>Данные!D19/Данные!B19</f>
        <v>23.128855404926465</v>
      </c>
      <c r="D19" s="17">
        <f>Данные!E19/Данные!B19</f>
        <v>3.0015504162342315E-2</v>
      </c>
      <c r="E19" s="18">
        <f>Данные!F19</f>
        <v>57.9</v>
      </c>
      <c r="F19" s="17">
        <f>Данные!G19</f>
        <v>-6.6</v>
      </c>
      <c r="G19" s="17">
        <f>Данные!H19/Данные!B19</f>
        <v>2.5247656770401017</v>
      </c>
      <c r="H19" s="17">
        <f>Данные!I19/Данные!B19</f>
        <v>1.4061109257589592</v>
      </c>
      <c r="I19" s="17">
        <f>Данные!J19</f>
        <v>8.1999999999999993</v>
      </c>
      <c r="J19" s="17">
        <f>Данные!K19/Данные!B19</f>
        <v>32.221643718274478</v>
      </c>
      <c r="K19" s="17">
        <f>Данные!L19/Данные!B19</f>
        <v>4.7043530562132672</v>
      </c>
      <c r="L19" s="17">
        <f>Данные!M19/Данные!B19</f>
        <v>0.2458962456376505</v>
      </c>
    </row>
    <row r="20" spans="1:12" x14ac:dyDescent="0.3">
      <c r="A20" s="14" t="s">
        <v>47</v>
      </c>
      <c r="B20" s="17">
        <f>Данные!C20/Данные!B20</f>
        <v>518.59038732292481</v>
      </c>
      <c r="C20" s="17">
        <f>Данные!D20/Данные!B20</f>
        <v>77.081975719102331</v>
      </c>
      <c r="D20" s="17">
        <f>Данные!E20/Данные!B20</f>
        <v>8.9803599527832623E-2</v>
      </c>
      <c r="E20" s="18">
        <f>Данные!F20</f>
        <v>62</v>
      </c>
      <c r="F20" s="17">
        <f>Данные!G20</f>
        <v>128.69999999999999</v>
      </c>
      <c r="G20" s="17">
        <f>Данные!H20/Данные!B20</f>
        <v>3.3077659159418351</v>
      </c>
      <c r="H20" s="17">
        <f>Данные!I20/Данные!B20</f>
        <v>0.91899016850148718</v>
      </c>
      <c r="I20" s="17">
        <f>Данные!J20</f>
        <v>12</v>
      </c>
      <c r="J20" s="17">
        <f>Данные!K20/Данные!B20</f>
        <v>451.55045914584804</v>
      </c>
      <c r="K20" s="17">
        <f>Данные!L20/Данные!B20</f>
        <v>4.6947326197605834</v>
      </c>
      <c r="L20" s="17">
        <f>Данные!M20/Данные!B20</f>
        <v>0.31930168721007157</v>
      </c>
    </row>
    <row r="21" spans="1:12" x14ac:dyDescent="0.3">
      <c r="A21" s="14" t="s">
        <v>10</v>
      </c>
      <c r="B21" s="17">
        <f>Данные!C21/Данные!B21</f>
        <v>540.0437994610553</v>
      </c>
      <c r="C21" s="17">
        <f>Данные!D21/Данные!B21</f>
        <v>89.709873387624086</v>
      </c>
      <c r="D21" s="17">
        <f>Данные!E21/Данные!B21</f>
        <v>0.10204283817789138</v>
      </c>
      <c r="E21" s="18">
        <f>Данные!F21</f>
        <v>60.7</v>
      </c>
      <c r="F21" s="17">
        <f>Данные!G21</f>
        <v>-10.7</v>
      </c>
      <c r="G21" s="17">
        <f>Данные!H21/Данные!B21</f>
        <v>4.2204125304642455</v>
      </c>
      <c r="H21" s="17">
        <f>Данные!I21/Данные!B21</f>
        <v>1.3424082109809983</v>
      </c>
      <c r="I21" s="17">
        <f>Данные!J21</f>
        <v>14.6</v>
      </c>
      <c r="J21" s="17">
        <f>Данные!K21/Данные!B21</f>
        <v>351.8308268442014</v>
      </c>
      <c r="K21" s="17">
        <f>Данные!L21/Данные!B21</f>
        <v>4.2263567734648992</v>
      </c>
      <c r="L21" s="17">
        <f>Данные!M21/Данные!B21</f>
        <v>0.33882185103727042</v>
      </c>
    </row>
    <row r="22" spans="1:12" x14ac:dyDescent="0.3">
      <c r="A22" s="14" t="s">
        <v>48</v>
      </c>
      <c r="B22" s="17">
        <f>Данные!C22/Данные!B22</f>
        <v>888.63126654232462</v>
      </c>
      <c r="C22" s="17">
        <f>Данные!D22/Данные!B22</f>
        <v>118.64645736091737</v>
      </c>
      <c r="D22" s="17">
        <f>Данные!E22/Данные!B22</f>
        <v>0.18111164420776366</v>
      </c>
      <c r="E22" s="18">
        <f>Данные!F22</f>
        <v>67.400000000000006</v>
      </c>
      <c r="F22" s="17">
        <f>Данные!G22</f>
        <v>-50</v>
      </c>
      <c r="G22" s="17">
        <f>Данные!H22/Данные!B22</f>
        <v>3.0916075405991936</v>
      </c>
      <c r="H22" s="17">
        <f>Данные!I22/Данные!B22</f>
        <v>1.6808431541387188</v>
      </c>
      <c r="I22" s="17">
        <f>Данные!J22</f>
        <v>11</v>
      </c>
      <c r="J22" s="17">
        <f>Данные!K22/Данные!B22</f>
        <v>97.647772803385834</v>
      </c>
      <c r="K22" s="17">
        <f>Данные!L22/Данные!B22</f>
        <v>5.2585924765587517</v>
      </c>
      <c r="L22" s="17">
        <f>Данные!M22/Данные!B22</f>
        <v>0.33362671301430147</v>
      </c>
    </row>
    <row r="23" spans="1:12" x14ac:dyDescent="0.3">
      <c r="A23" s="14" t="s">
        <v>49</v>
      </c>
      <c r="B23" s="17">
        <f>Данные!C23/Данные!B23</f>
        <v>197.65109297774953</v>
      </c>
      <c r="C23" s="17">
        <f>Данные!D23/Данные!B23</f>
        <v>36.920128962138314</v>
      </c>
      <c r="D23" s="17">
        <f>Данные!E23/Данные!B23</f>
        <v>5.155048833348011E-2</v>
      </c>
      <c r="E23" s="18">
        <f>Данные!F23</f>
        <v>47.9</v>
      </c>
      <c r="F23" s="17">
        <f>Данные!G23</f>
        <v>-18.600000000000001</v>
      </c>
      <c r="G23" s="17">
        <f>Данные!H23/Данные!B23</f>
        <v>2.5947079127851658</v>
      </c>
      <c r="H23" s="17">
        <f>Данные!I23/Данные!B23</f>
        <v>1.3940111220178579</v>
      </c>
      <c r="I23" s="17">
        <f>Данные!J23</f>
        <v>9</v>
      </c>
      <c r="J23" s="17">
        <f>Данные!K23/Данные!B23</f>
        <v>49.451953870904688</v>
      </c>
      <c r="K23" s="17">
        <f>Данные!L23/Данные!B23</f>
        <v>4.1734416179979936</v>
      </c>
      <c r="L23" s="17">
        <f>Данные!M23/Данные!B23</f>
        <v>0.28137974882024558</v>
      </c>
    </row>
    <row r="24" spans="1:12" x14ac:dyDescent="0.3">
      <c r="A24" s="14" t="s">
        <v>50</v>
      </c>
      <c r="B24" s="17">
        <f>Данные!C24/Данные!B24</f>
        <v>415.22391805421779</v>
      </c>
      <c r="C24" s="17">
        <f>Данные!D24/Данные!B24</f>
        <v>83.636585278297972</v>
      </c>
      <c r="D24" s="17">
        <f>Данные!E24/Данные!B24</f>
        <v>4.5246229231606851E-2</v>
      </c>
      <c r="E24" s="18">
        <f>Данные!F24</f>
        <v>55.6</v>
      </c>
      <c r="F24" s="17">
        <f>Данные!G24</f>
        <v>-9.4</v>
      </c>
      <c r="G24" s="17">
        <f>Данные!H24/Данные!B24</f>
        <v>4.2284657863719852</v>
      </c>
      <c r="H24" s="17">
        <f>Данные!I24/Данные!B24</f>
        <v>1.6699971880029436</v>
      </c>
      <c r="I24" s="17">
        <f>Данные!J24</f>
        <v>14.3</v>
      </c>
      <c r="J24" s="17">
        <f>Данные!K24/Данные!B24</f>
        <v>182.21703531748645</v>
      </c>
      <c r="K24" s="17">
        <f>Данные!L24/Данные!B24</f>
        <v>4.3570996942701079</v>
      </c>
      <c r="L24" s="17">
        <f>Данные!M24/Данные!B24</f>
        <v>0.33579432933870207</v>
      </c>
    </row>
    <row r="25" spans="1:12" x14ac:dyDescent="0.3">
      <c r="A25" s="14" t="s">
        <v>51</v>
      </c>
      <c r="B25" s="17">
        <f>Данные!C25/Данные!B25</f>
        <v>291.05670803366695</v>
      </c>
      <c r="C25" s="17">
        <f>Данные!D25/Данные!B25</f>
        <v>43.152946799370184</v>
      </c>
      <c r="D25" s="17">
        <f>Данные!E25/Данные!B25</f>
        <v>0.11005346239984153</v>
      </c>
      <c r="E25" s="18">
        <f>Данные!F25</f>
        <v>57</v>
      </c>
      <c r="F25" s="17">
        <f>Данные!G25</f>
        <v>-21.9</v>
      </c>
      <c r="G25" s="17">
        <f>Данные!H25/Данные!B25</f>
        <v>3.5932455473548259</v>
      </c>
      <c r="H25" s="17">
        <f>Данные!I25/Данные!B25</f>
        <v>0.95589293055862357</v>
      </c>
      <c r="I25" s="17">
        <f>Данные!J25</f>
        <v>14.3</v>
      </c>
      <c r="J25" s="17">
        <f>Данные!K25/Данные!B25</f>
        <v>191.50560211428424</v>
      </c>
      <c r="K25" s="17">
        <f>Данные!L25/Данные!B25</f>
        <v>4.8116945953530719</v>
      </c>
      <c r="L25" s="17">
        <f>Данные!M25/Данные!B25</f>
        <v>0.36317642591947707</v>
      </c>
    </row>
    <row r="26" spans="1:12" x14ac:dyDescent="0.3">
      <c r="A26" s="14" t="s">
        <v>11</v>
      </c>
      <c r="B26" s="17">
        <f>Данные!C26/Данные!B26</f>
        <v>318.43177694749602</v>
      </c>
      <c r="C26" s="17">
        <f>Данные!D26/Данные!B26</f>
        <v>26.877611738878677</v>
      </c>
      <c r="D26" s="17">
        <f>Данные!E26/Данные!B26</f>
        <v>5.021443131371936E-2</v>
      </c>
      <c r="E26" s="18">
        <f>Данные!F26</f>
        <v>55.9</v>
      </c>
      <c r="F26" s="17">
        <f>Данные!G26</f>
        <v>-4.8</v>
      </c>
      <c r="G26" s="17">
        <f>Данные!H26/Данные!B26</f>
        <v>3.2733532412630808</v>
      </c>
      <c r="H26" s="17">
        <f>Данные!I26/Данные!B26</f>
        <v>1.0764718712878589</v>
      </c>
      <c r="I26" s="17">
        <f>Данные!J26</f>
        <v>14.7</v>
      </c>
      <c r="J26" s="17">
        <f>Данные!K26/Данные!B26</f>
        <v>360.94603988595043</v>
      </c>
      <c r="K26" s="17">
        <f>Данные!L26/Данные!B26</f>
        <v>3.7896203632072583</v>
      </c>
      <c r="L26" s="17">
        <f>Данные!M26/Данные!B26</f>
        <v>0.35777782311025047</v>
      </c>
    </row>
    <row r="27" spans="1:12" x14ac:dyDescent="0.3">
      <c r="A27" s="14" t="s">
        <v>52</v>
      </c>
      <c r="B27" s="17">
        <f>Данные!C27/Данные!B27</f>
        <v>454.97588554654686</v>
      </c>
      <c r="C27" s="17">
        <f>Данные!D27/Данные!B27</f>
        <v>58.233889701827216</v>
      </c>
      <c r="D27" s="17">
        <f>Данные!E27/Данные!B27</f>
        <v>9.6136226626547944E-2</v>
      </c>
      <c r="E27" s="18">
        <f>Данные!F27</f>
        <v>57.9</v>
      </c>
      <c r="F27" s="17">
        <f>Данные!G27</f>
        <v>63.5</v>
      </c>
      <c r="G27" s="17">
        <f>Данные!H27/Данные!B27</f>
        <v>2.6116123001256146</v>
      </c>
      <c r="H27" s="17">
        <f>Данные!I27/Данные!B27</f>
        <v>1.1472610470350473</v>
      </c>
      <c r="I27" s="17">
        <f>Данные!J27</f>
        <v>12.4</v>
      </c>
      <c r="J27" s="17">
        <f>Данные!K27/Данные!B27</f>
        <v>168.80459116874565</v>
      </c>
      <c r="K27" s="17">
        <f>Данные!L27/Данные!B27</f>
        <v>4.3535723991654036</v>
      </c>
      <c r="L27" s="17">
        <f>Данные!M27/Данные!B27</f>
        <v>0.31036244065624041</v>
      </c>
    </row>
    <row r="28" spans="1:12" x14ac:dyDescent="0.3">
      <c r="A28" s="14" t="s">
        <v>53</v>
      </c>
      <c r="B28" s="17">
        <f>Данные!C28/Данные!B28</f>
        <v>936.74839476052068</v>
      </c>
      <c r="C28" s="17">
        <f>Данные!D28/Данные!B28</f>
        <v>132.70934466146099</v>
      </c>
      <c r="D28" s="17">
        <f>Данные!E28/Данные!B28</f>
        <v>6.0542249791755542E-2</v>
      </c>
      <c r="E28" s="18">
        <f>Данные!F28</f>
        <v>60.5</v>
      </c>
      <c r="F28" s="17">
        <f>Данные!G28</f>
        <v>-9.6999999999999993</v>
      </c>
      <c r="G28" s="17">
        <f>Данные!H28/Данные!B28</f>
        <v>3.6889019097252427</v>
      </c>
      <c r="H28" s="17">
        <f>Данные!I28/Данные!B28</f>
        <v>1.3301897755970198</v>
      </c>
      <c r="I28" s="17">
        <f>Данные!J28</f>
        <v>12.3</v>
      </c>
      <c r="J28" s="17">
        <f>Данные!K28/Данные!B28</f>
        <v>349.88549164134218</v>
      </c>
      <c r="K28" s="17">
        <f>Данные!L28/Данные!B28</f>
        <v>4.9811657932113356</v>
      </c>
      <c r="L28" s="17">
        <f>Данные!M28/Данные!B28</f>
        <v>0.31280162392407029</v>
      </c>
    </row>
    <row r="29" spans="1:12" x14ac:dyDescent="0.3">
      <c r="A29" s="14" t="s">
        <v>54</v>
      </c>
      <c r="B29" s="17">
        <f>Данные!C29/Данные!B29</f>
        <v>279.7032445151018</v>
      </c>
      <c r="C29" s="17">
        <f>Данные!D29/Данные!B29</f>
        <v>35.285133239327614</v>
      </c>
      <c r="D29" s="17">
        <f>Данные!E29/Данные!B29</f>
        <v>4.911938526490324E-2</v>
      </c>
      <c r="E29" s="18">
        <f>Данные!F29</f>
        <v>48.8</v>
      </c>
      <c r="F29" s="17">
        <f>Данные!G29</f>
        <v>-30.4</v>
      </c>
      <c r="G29" s="17">
        <f>Данные!H29/Данные!B29</f>
        <v>4.7909371140084893</v>
      </c>
      <c r="H29" s="17">
        <f>Данные!I29/Данные!B29</f>
        <v>1.927636363200715</v>
      </c>
      <c r="I29" s="17">
        <f>Данные!J29</f>
        <v>15.3</v>
      </c>
      <c r="J29" s="17">
        <f>Данные!K29/Данные!B29</f>
        <v>195.87133596341684</v>
      </c>
      <c r="K29" s="17">
        <f>Данные!L29/Данные!B29</f>
        <v>2.9016378319901377</v>
      </c>
      <c r="L29" s="17">
        <f>Данные!M29/Данные!B29</f>
        <v>0.37139047395414643</v>
      </c>
    </row>
    <row r="30" spans="1:12" x14ac:dyDescent="0.3">
      <c r="A30" s="14" t="s">
        <v>12</v>
      </c>
      <c r="B30" s="17">
        <f>Данные!C30/Данные!B30</f>
        <v>448.67295348591432</v>
      </c>
      <c r="C30" s="17">
        <f>Данные!D30/Данные!B30</f>
        <v>98.639827251203883</v>
      </c>
      <c r="D30" s="17">
        <f>Данные!E30/Данные!B30</f>
        <v>0.12104339405676935</v>
      </c>
      <c r="E30" s="18">
        <f>Данные!F30</f>
        <v>58.3</v>
      </c>
      <c r="F30" s="17">
        <f>Данные!G30</f>
        <v>38.700000000000003</v>
      </c>
      <c r="G30" s="17">
        <f>Данные!H30/Данные!B30</f>
        <v>2.8824587345906791</v>
      </c>
      <c r="H30" s="17">
        <f>Данные!I30/Данные!B30</f>
        <v>0.97738024156286896</v>
      </c>
      <c r="I30" s="17">
        <f>Данные!J30</f>
        <v>15</v>
      </c>
      <c r="J30" s="17">
        <f>Данные!K30/Данные!B30</f>
        <v>213.46905850822148</v>
      </c>
      <c r="K30" s="17">
        <f>Данные!L30/Данные!B30</f>
        <v>5.1199549068191699</v>
      </c>
      <c r="L30" s="17">
        <f>Данные!M30/Данные!B30</f>
        <v>0.37758312474425071</v>
      </c>
    </row>
    <row r="31" spans="1:12" x14ac:dyDescent="0.3">
      <c r="A31" s="14" t="s">
        <v>55</v>
      </c>
      <c r="B31" s="17">
        <f>Данные!C31/Данные!B31</f>
        <v>662.66355062350272</v>
      </c>
      <c r="C31" s="17">
        <f>Данные!D31/Данные!B31</f>
        <v>208.75485194551339</v>
      </c>
      <c r="D31" s="17">
        <f>Данные!E31/Данные!B31</f>
        <v>0.10498591078254009</v>
      </c>
      <c r="E31" s="18">
        <f>Данные!F31</f>
        <v>60</v>
      </c>
      <c r="F31" s="17">
        <f>Данные!G31</f>
        <v>203.5</v>
      </c>
      <c r="G31" s="17">
        <f>Данные!H31/Данные!B31</f>
        <v>4.5971923304004019</v>
      </c>
      <c r="H31" s="17">
        <f>Данные!I31/Данные!B31</f>
        <v>1.0947757603766939</v>
      </c>
      <c r="I31" s="17">
        <f>Данные!J31</f>
        <v>12.7</v>
      </c>
      <c r="J31" s="17">
        <f>Данные!K31/Данные!B31</f>
        <v>102.70598479219555</v>
      </c>
      <c r="K31" s="17">
        <f>Данные!L31/Данные!B31</f>
        <v>3.7616343600486402</v>
      </c>
      <c r="L31" s="17">
        <f>Данные!M31/Данные!B31</f>
        <v>0.26895875081918774</v>
      </c>
    </row>
    <row r="32" spans="1:12" x14ac:dyDescent="0.3">
      <c r="A32" s="14" t="s">
        <v>13</v>
      </c>
      <c r="B32" s="17">
        <f>Данные!C32/Данные!B32</f>
        <v>498.56862491095103</v>
      </c>
      <c r="C32" s="17">
        <f>Данные!D32/Данные!B32</f>
        <v>89.681111154816065</v>
      </c>
      <c r="D32" s="17">
        <f>Данные!E32/Данные!B32</f>
        <v>0.13898176192161951</v>
      </c>
      <c r="E32" s="18">
        <f>Данные!F32</f>
        <v>59.6</v>
      </c>
      <c r="F32" s="17">
        <f>Данные!G32</f>
        <v>16.100000000000001</v>
      </c>
      <c r="G32" s="17">
        <f>Данные!H32/Данные!B32</f>
        <v>2.4771969389048412</v>
      </c>
      <c r="H32" s="17">
        <f>Данные!I32/Данные!B32</f>
        <v>1.1092317979782087</v>
      </c>
      <c r="I32" s="17">
        <f>Данные!J32</f>
        <v>14.3</v>
      </c>
      <c r="J32" s="17">
        <f>Данные!K32/Данные!B32</f>
        <v>284.74303670779301</v>
      </c>
      <c r="K32" s="17">
        <f>Данные!L32/Данные!B32</f>
        <v>4.2140319133592934</v>
      </c>
      <c r="L32" s="17">
        <f>Данные!M32/Данные!B32</f>
        <v>0.35838064394883024</v>
      </c>
    </row>
    <row r="33" spans="1:12" x14ac:dyDescent="0.3">
      <c r="A33" s="14" t="s">
        <v>56</v>
      </c>
      <c r="B33" s="17">
        <f>Данные!C33/Данные!B33</f>
        <v>1512.2409929620346</v>
      </c>
      <c r="C33" s="17">
        <f>Данные!D33/Данные!B33</f>
        <v>226.77953608904369</v>
      </c>
      <c r="D33" s="17">
        <f>Данные!E33/Данные!B33</f>
        <v>6.3724032456773855E-2</v>
      </c>
      <c r="E33" s="18">
        <f>Данные!F33</f>
        <v>69.099999999999994</v>
      </c>
      <c r="F33" s="17">
        <f>Данные!G33</f>
        <v>-52.7</v>
      </c>
      <c r="G33" s="17">
        <f>Данные!H33/Данные!B33</f>
        <v>5.7068411289066372</v>
      </c>
      <c r="H33" s="17">
        <f>Данные!I33/Данные!B33</f>
        <v>2.3436283047991275</v>
      </c>
      <c r="I33" s="17">
        <f>Данные!J33</f>
        <v>11.5</v>
      </c>
      <c r="J33" s="17">
        <f>Данные!K33/Данные!B33</f>
        <v>99.02006598977583</v>
      </c>
      <c r="K33" s="17">
        <f>Данные!L33/Данные!B33</f>
        <v>6.1741507002563116</v>
      </c>
      <c r="L33" s="17">
        <f>Данные!M33/Данные!B33</f>
        <v>0.34694195448687992</v>
      </c>
    </row>
    <row r="34" spans="1:12" x14ac:dyDescent="0.3">
      <c r="A34" s="14" t="s">
        <v>14</v>
      </c>
      <c r="B34" s="17">
        <f>Данные!C34/Данные!B34</f>
        <v>674.82596086370847</v>
      </c>
      <c r="C34" s="17">
        <f>Данные!D34/Данные!B34</f>
        <v>115.5077876643481</v>
      </c>
      <c r="D34" s="17">
        <f>Данные!E34/Данные!B34</f>
        <v>9.0135765516477284E-2</v>
      </c>
      <c r="E34" s="18">
        <f>Данные!F34</f>
        <v>65.2</v>
      </c>
      <c r="F34" s="17">
        <f>Данные!G34</f>
        <v>144.1</v>
      </c>
      <c r="G34" s="17">
        <f>Данные!H34/Данные!B34</f>
        <v>2.8532904225683113</v>
      </c>
      <c r="H34" s="17">
        <f>Данные!I34/Данные!B34</f>
        <v>1.0961035427040229</v>
      </c>
      <c r="I34" s="17">
        <f>Данные!J34</f>
        <v>12.1</v>
      </c>
      <c r="J34" s="17">
        <f>Данные!K34/Данные!B34</f>
        <v>274.73276061374958</v>
      </c>
      <c r="K34" s="17">
        <f>Данные!L34/Данные!B34</f>
        <v>4.3090159319242067</v>
      </c>
      <c r="L34" s="17">
        <f>Данные!M34/Данные!B34</f>
        <v>0.26645974477498757</v>
      </c>
    </row>
    <row r="35" spans="1:12" x14ac:dyDescent="0.3">
      <c r="A35" s="14" t="s">
        <v>57</v>
      </c>
      <c r="B35" s="17">
        <f>Данные!C35/Данные!B35</f>
        <v>824.68285850257189</v>
      </c>
      <c r="C35" s="17">
        <f>Данные!D35/Данные!B35</f>
        <v>216.09672003165537</v>
      </c>
      <c r="D35" s="17">
        <f>Данные!E35/Данные!B35</f>
        <v>6.683991572823425E-2</v>
      </c>
      <c r="E35" s="18">
        <f>Данные!F35</f>
        <v>64.2</v>
      </c>
      <c r="F35" s="17">
        <f>Данные!G35</f>
        <v>-65.3</v>
      </c>
      <c r="G35" s="17">
        <f>Данные!H35/Данные!B35</f>
        <v>3.6227234324702962</v>
      </c>
      <c r="H35" s="17">
        <f>Данные!I35/Данные!B35</f>
        <v>1.922315976344017</v>
      </c>
      <c r="I35" s="17">
        <f>Данные!J35</f>
        <v>11.3</v>
      </c>
      <c r="J35" s="17">
        <f>Данные!K35/Данные!B35</f>
        <v>485.22303143080194</v>
      </c>
      <c r="K35" s="17">
        <f>Данные!L35/Данные!B35</f>
        <v>5.1239479397264374</v>
      </c>
      <c r="L35" s="17">
        <f>Данные!M35/Данные!B35</f>
        <v>0.35826194830333558</v>
      </c>
    </row>
    <row r="36" spans="1:12" x14ac:dyDescent="0.3">
      <c r="A36" s="14" t="s">
        <v>31</v>
      </c>
      <c r="B36" s="17">
        <f>Данные!C36/Данные!B36</f>
        <v>7554.7106116954519</v>
      </c>
      <c r="C36" s="17">
        <f>Данные!D36/Данные!B36</f>
        <v>2189.407127700837</v>
      </c>
      <c r="D36" s="17">
        <f>Данные!E36/Данные!B36</f>
        <v>0.22815943781514522</v>
      </c>
      <c r="E36" s="18">
        <f>Данные!F36</f>
        <v>62.1</v>
      </c>
      <c r="F36" s="17">
        <f>Данные!G36</f>
        <v>17.5</v>
      </c>
      <c r="G36" s="17">
        <f>Данные!H36/Данные!B36</f>
        <v>4.4262930936138174</v>
      </c>
      <c r="H36" s="17">
        <f>Данные!I36/Данные!B36</f>
        <v>0.84418991991603731</v>
      </c>
      <c r="I36" s="17">
        <f>Данные!J36</f>
        <v>8.5</v>
      </c>
      <c r="J36" s="17">
        <f>Данные!K36/Данные!B36</f>
        <v>22.542152456136346</v>
      </c>
      <c r="K36" s="17">
        <f>Данные!L36/Данные!B36</f>
        <v>5.1792192384037961</v>
      </c>
      <c r="L36" s="17">
        <f>Данные!M36/Данные!B36</f>
        <v>0.34223915672271782</v>
      </c>
    </row>
    <row r="37" spans="1:12" x14ac:dyDescent="0.3">
      <c r="A37" s="14" t="s">
        <v>58</v>
      </c>
      <c r="B37" s="17">
        <f>Данные!C37/Данные!B37</f>
        <v>504.54224734906705</v>
      </c>
      <c r="C37" s="17">
        <f>Данные!D37/Данные!B37</f>
        <v>64.23510968471264</v>
      </c>
      <c r="D37" s="17">
        <f>Данные!E37/Данные!B37</f>
        <v>8.2435794181774963E-2</v>
      </c>
      <c r="E37" s="18">
        <f>Данные!F37</f>
        <v>61.9</v>
      </c>
      <c r="F37" s="17">
        <f>Данные!G37</f>
        <v>20</v>
      </c>
      <c r="G37" s="17">
        <f>Данные!H37/Данные!B37</f>
        <v>3.196020186503985</v>
      </c>
      <c r="H37" s="17">
        <f>Данные!I37/Данные!B37</f>
        <v>1.1161495453743719</v>
      </c>
      <c r="I37" s="17">
        <f>Данные!J37</f>
        <v>14.6</v>
      </c>
      <c r="J37" s="17">
        <f>Данные!K37/Данные!B37</f>
        <v>476.6002109734174</v>
      </c>
      <c r="K37" s="17">
        <f>Данные!L37/Данные!B37</f>
        <v>4.8105174385923322</v>
      </c>
      <c r="L37" s="17">
        <f>Данные!M37/Данные!B37</f>
        <v>0.34436386475179204</v>
      </c>
    </row>
    <row r="38" spans="1:12" x14ac:dyDescent="0.3">
      <c r="A38" s="14" t="s">
        <v>59</v>
      </c>
      <c r="B38" s="17">
        <f>Данные!C38/Данные!B38</f>
        <v>455.68102069645641</v>
      </c>
      <c r="C38" s="17">
        <f>Данные!D38/Данные!B38</f>
        <v>68.498555712515156</v>
      </c>
      <c r="D38" s="17">
        <f>Данные!E38/Данные!B38</f>
        <v>9.3287311592947467E-2</v>
      </c>
      <c r="E38" s="18">
        <f>Данные!F38</f>
        <v>57.7</v>
      </c>
      <c r="F38" s="17">
        <f>Данные!G38</f>
        <v>13.8</v>
      </c>
      <c r="G38" s="17">
        <f>Данные!H38/Данные!B38</f>
        <v>4.7809747191385581</v>
      </c>
      <c r="H38" s="17">
        <f>Данные!I38/Данные!B38</f>
        <v>1.5092554339859001</v>
      </c>
      <c r="I38" s="17">
        <f>Данные!J38</f>
        <v>16.399999999999999</v>
      </c>
      <c r="J38" s="17">
        <f>Данные!K38/Данные!B38</f>
        <v>539.08738355744492</v>
      </c>
      <c r="K38" s="17">
        <f>Данные!L38/Данные!B38</f>
        <v>4.3162040060236944</v>
      </c>
      <c r="L38" s="17">
        <f>Данные!M38/Данные!B38</f>
        <v>0.36148833242267148</v>
      </c>
    </row>
    <row r="39" spans="1:12" x14ac:dyDescent="0.3">
      <c r="A39" s="14" t="s">
        <v>60</v>
      </c>
      <c r="B39" s="17">
        <f>Данные!C39/Данные!B39</f>
        <v>504.47486700718554</v>
      </c>
      <c r="C39" s="17">
        <f>Данные!D39/Данные!B39</f>
        <v>51.824459508610346</v>
      </c>
      <c r="D39" s="17">
        <f>Данные!E39/Данные!B39</f>
        <v>0.10882857494708927</v>
      </c>
      <c r="E39" s="18">
        <f>Данные!F39</f>
        <v>58.5</v>
      </c>
      <c r="F39" s="17">
        <f>Данные!G39</f>
        <v>37.1</v>
      </c>
      <c r="G39" s="17">
        <f>Данные!H39/Данные!B39</f>
        <v>3.7109112102023927</v>
      </c>
      <c r="H39" s="17">
        <f>Данные!I39/Данные!B39</f>
        <v>0.83411374877209865</v>
      </c>
      <c r="I39" s="17">
        <f>Данные!J39</f>
        <v>12.8</v>
      </c>
      <c r="J39" s="17">
        <f>Данные!K39/Данные!B39</f>
        <v>250.98733292665813</v>
      </c>
      <c r="K39" s="17">
        <f>Данные!L39/Данные!B39</f>
        <v>5.4664879586909638</v>
      </c>
      <c r="L39" s="17">
        <f>Данные!M39/Данные!B39</f>
        <v>0.3157460628399103</v>
      </c>
    </row>
    <row r="40" spans="1:12" x14ac:dyDescent="0.3">
      <c r="A40" s="14" t="s">
        <v>61</v>
      </c>
      <c r="B40" s="17">
        <f>Данные!C40/Данные!B40</f>
        <v>397.5705796486464</v>
      </c>
      <c r="C40" s="17">
        <f>Данные!D40/Данные!B40</f>
        <v>60.633282669691056</v>
      </c>
      <c r="D40" s="17">
        <f>Данные!E40/Данные!B40</f>
        <v>7.6638403040847236E-2</v>
      </c>
      <c r="E40" s="18">
        <f>Данные!F40</f>
        <v>59.5</v>
      </c>
      <c r="F40" s="17">
        <f>Данные!G40</f>
        <v>-62.6</v>
      </c>
      <c r="G40" s="17">
        <f>Данные!H40/Данные!B40</f>
        <v>3.2213846862068878</v>
      </c>
      <c r="H40" s="17">
        <f>Данные!I40/Данные!B40</f>
        <v>1.475675022310005</v>
      </c>
      <c r="I40" s="17">
        <f>Данные!J40</f>
        <v>12.6</v>
      </c>
      <c r="J40" s="17">
        <f>Данные!K40/Данные!B40</f>
        <v>350.65618417905614</v>
      </c>
      <c r="K40" s="17">
        <f>Данные!L40/Данные!B40</f>
        <v>5.0473332150324426</v>
      </c>
      <c r="L40" s="17">
        <f>Данные!M40/Данные!B40</f>
        <v>0.32507027330077487</v>
      </c>
    </row>
    <row r="41" spans="1:12" x14ac:dyDescent="0.3">
      <c r="A41" s="14" t="s">
        <v>62</v>
      </c>
      <c r="B41" s="17">
        <f>Данные!C41/Данные!B41</f>
        <v>564.00986909369135</v>
      </c>
      <c r="C41" s="17">
        <f>Данные!D41/Данные!B41</f>
        <v>80.629689043391082</v>
      </c>
      <c r="D41" s="17">
        <f>Данные!E41/Данные!B41</f>
        <v>7.4885112483042596E-2</v>
      </c>
      <c r="E41" s="18">
        <f>Данные!F41</f>
        <v>55.5</v>
      </c>
      <c r="F41" s="17">
        <f>Данные!G41</f>
        <v>-1.2</v>
      </c>
      <c r="G41" s="17">
        <f>Данные!H41/Данные!B41</f>
        <v>3.5302981599148651</v>
      </c>
      <c r="H41" s="17">
        <f>Данные!I41/Данные!B41</f>
        <v>1.7223575871099797</v>
      </c>
      <c r="I41" s="17">
        <f>Данные!J41</f>
        <v>13.1</v>
      </c>
      <c r="J41" s="17">
        <f>Данные!K41/Данные!B41</f>
        <v>101.72913290681082</v>
      </c>
      <c r="K41" s="17">
        <f>Данные!L41/Данные!B41</f>
        <v>4.6235189176605074</v>
      </c>
      <c r="L41" s="17">
        <f>Данные!M41/Данные!B41</f>
        <v>0.33214349210165833</v>
      </c>
    </row>
    <row r="42" spans="1:12" x14ac:dyDescent="0.3">
      <c r="A42" s="14" t="s">
        <v>15</v>
      </c>
      <c r="B42" s="17">
        <f>Данные!C42/Данные!B42</f>
        <v>359.27593307071174</v>
      </c>
      <c r="C42" s="17">
        <f>Данные!D42/Данные!B42</f>
        <v>42.566287609859536</v>
      </c>
      <c r="D42" s="17">
        <f>Данные!E42/Данные!B42</f>
        <v>0.12035695981024171</v>
      </c>
      <c r="E42" s="18">
        <f>Данные!F42</f>
        <v>52</v>
      </c>
      <c r="F42" s="17">
        <f>Данные!G42</f>
        <v>-8.5</v>
      </c>
      <c r="G42" s="17">
        <f>Данные!H42/Данные!B42</f>
        <v>2.4179577993338444</v>
      </c>
      <c r="H42" s="17">
        <f>Данные!I42/Данные!B42</f>
        <v>0.82762313936930254</v>
      </c>
      <c r="I42" s="17">
        <f>Данные!J42</f>
        <v>15.4</v>
      </c>
      <c r="J42" s="17">
        <f>Данные!K42/Данные!B42</f>
        <v>197.54634081034044</v>
      </c>
      <c r="K42" s="17">
        <f>Данные!L42/Данные!B42</f>
        <v>4.4410365844588062</v>
      </c>
      <c r="L42" s="17">
        <f>Данные!M42/Данные!B42</f>
        <v>0.38406041107987238</v>
      </c>
    </row>
    <row r="43" spans="1:12" x14ac:dyDescent="0.3">
      <c r="A43" s="14" t="s">
        <v>63</v>
      </c>
      <c r="B43" s="17">
        <f>Данные!C43/Данные!B43</f>
        <v>340.62247828887422</v>
      </c>
      <c r="C43" s="17">
        <f>Данные!D43/Данные!B43</f>
        <v>37.337500938849239</v>
      </c>
      <c r="D43" s="17">
        <f>Данные!E43/Данные!B43</f>
        <v>8.345326579182355E-2</v>
      </c>
      <c r="E43" s="18">
        <f>Данные!F43</f>
        <v>55.5</v>
      </c>
      <c r="F43" s="17">
        <f>Данные!G43</f>
        <v>-34.299999999999997</v>
      </c>
      <c r="G43" s="17">
        <f>Данные!H43/Данные!B43</f>
        <v>2.4846313224383829</v>
      </c>
      <c r="H43" s="17">
        <f>Данные!I43/Данные!B43</f>
        <v>0.90508860081495901</v>
      </c>
      <c r="I43" s="17">
        <f>Данные!J43</f>
        <v>14</v>
      </c>
      <c r="J43" s="17">
        <f>Данные!K43/Данные!B43</f>
        <v>297.69373106654029</v>
      </c>
      <c r="K43" s="17">
        <f>Данные!L43/Данные!B43</f>
        <v>4.2197005848556595</v>
      </c>
      <c r="L43" s="17">
        <f>Данные!M43/Данные!B43</f>
        <v>0.35353838053627068</v>
      </c>
    </row>
    <row r="44" spans="1:12" x14ac:dyDescent="0.3">
      <c r="A44" s="14" t="s">
        <v>64</v>
      </c>
      <c r="B44" s="17">
        <f>Данные!C44/Данные!B44</f>
        <v>572.62594220162396</v>
      </c>
      <c r="C44" s="17">
        <f>Данные!D44/Данные!B44</f>
        <v>84.805992799142018</v>
      </c>
      <c r="D44" s="17">
        <f>Данные!E44/Данные!B44</f>
        <v>6.8178336142178636E-2</v>
      </c>
      <c r="E44" s="18">
        <f>Данные!F44</f>
        <v>54.8</v>
      </c>
      <c r="F44" s="17">
        <f>Данные!G44</f>
        <v>-14.4</v>
      </c>
      <c r="G44" s="17">
        <f>Данные!H44/Данные!B44</f>
        <v>4.0811245595219852</v>
      </c>
      <c r="H44" s="17">
        <f>Данные!I44/Данные!B44</f>
        <v>1.4681323732189366</v>
      </c>
      <c r="I44" s="17">
        <f>Данные!J44</f>
        <v>13.2</v>
      </c>
      <c r="J44" s="17">
        <f>Данные!K44/Данные!B44</f>
        <v>174.40631224145855</v>
      </c>
      <c r="K44" s="17">
        <f>Данные!L44/Данные!B44</f>
        <v>5.0329400949900407</v>
      </c>
      <c r="L44" s="17">
        <f>Данные!M44/Данные!B44</f>
        <v>0.3225065114141259</v>
      </c>
    </row>
    <row r="45" spans="1:12" x14ac:dyDescent="0.3">
      <c r="A45" s="14" t="s">
        <v>65</v>
      </c>
      <c r="B45" s="17">
        <f>Данные!C45/Данные!B45</f>
        <v>560.63206024224291</v>
      </c>
      <c r="C45" s="17">
        <f>Данные!D45/Данные!B45</f>
        <v>68.797276317352342</v>
      </c>
      <c r="D45" s="17">
        <f>Данные!E45/Данные!B45</f>
        <v>7.7257901591302539E-2</v>
      </c>
      <c r="E45" s="18">
        <f>Данные!F45</f>
        <v>59.5</v>
      </c>
      <c r="F45" s="17">
        <f>Данные!G45</f>
        <v>3.6</v>
      </c>
      <c r="G45" s="17">
        <f>Данные!H45/Данные!B45</f>
        <v>3.8634206435215308</v>
      </c>
      <c r="H45" s="17">
        <f>Данные!I45/Данные!B45</f>
        <v>2.2205077158044437</v>
      </c>
      <c r="I45" s="17">
        <f>Данные!J45</f>
        <v>13.5</v>
      </c>
      <c r="J45" s="17">
        <f>Данные!K45/Данные!B45</f>
        <v>443.39991527909024</v>
      </c>
      <c r="K45" s="17">
        <f>Данные!L45/Данные!B45</f>
        <v>5.1636658716635884</v>
      </c>
      <c r="L45" s="17">
        <f>Данные!M45/Данные!B45</f>
        <v>0.31638950175485803</v>
      </c>
    </row>
    <row r="46" spans="1:12" x14ac:dyDescent="0.3">
      <c r="A46" s="14" t="s">
        <v>66</v>
      </c>
      <c r="B46" s="17">
        <f>Данные!C46/Данные!B46</f>
        <v>313.07762458885958</v>
      </c>
      <c r="C46" s="17">
        <f>Данные!D46/Данные!B46</f>
        <v>32.664725379615057</v>
      </c>
      <c r="D46" s="17">
        <f>Данные!E46/Данные!B46</f>
        <v>8.5761795026133528E-2</v>
      </c>
      <c r="E46" s="18">
        <f>Данные!F46</f>
        <v>55.9</v>
      </c>
      <c r="F46" s="17">
        <f>Данные!G46</f>
        <v>27.6</v>
      </c>
      <c r="G46" s="17">
        <f>Данные!H46/Данные!B46</f>
        <v>4.0816261706882067</v>
      </c>
      <c r="H46" s="17">
        <f>Данные!I46/Данные!B46</f>
        <v>1.7469995283101274</v>
      </c>
      <c r="I46" s="17">
        <f>Данные!J46</f>
        <v>16.899999999999999</v>
      </c>
      <c r="J46" s="17">
        <f>Данные!K46/Данные!B46</f>
        <v>205.40267545036855</v>
      </c>
      <c r="K46" s="17">
        <f>Данные!L46/Данные!B46</f>
        <v>3.0794837139939428</v>
      </c>
      <c r="L46" s="17">
        <f>Данные!M46/Данные!B46</f>
        <v>0.36528171955575395</v>
      </c>
    </row>
    <row r="47" spans="1:12" x14ac:dyDescent="0.3">
      <c r="A47" s="14" t="s">
        <v>67</v>
      </c>
      <c r="B47" s="17">
        <f>Данные!C47/Данные!B47</f>
        <v>290.79138416339742</v>
      </c>
      <c r="C47" s="17">
        <f>Данные!D47/Данные!B47</f>
        <v>67.876257850570866</v>
      </c>
      <c r="D47" s="17">
        <f>Данные!E47/Данные!B47</f>
        <v>6.5971183786921864E-2</v>
      </c>
      <c r="E47" s="18">
        <f>Данные!F47</f>
        <v>49.8</v>
      </c>
      <c r="F47" s="17">
        <f>Данные!G47</f>
        <v>213.9</v>
      </c>
      <c r="G47" s="17">
        <f>Данные!H47/Данные!B47</f>
        <v>2.4233414844395966</v>
      </c>
      <c r="H47" s="17">
        <f>Данные!I47/Данные!B47</f>
        <v>0.67290607462660301</v>
      </c>
      <c r="I47" s="17">
        <f>Данные!J47</f>
        <v>12.4</v>
      </c>
      <c r="J47" s="17">
        <f>Данные!K47/Данные!B47</f>
        <v>35.349559312492303</v>
      </c>
      <c r="K47" s="17">
        <f>Данные!L47/Данные!B47</f>
        <v>3.9736643034322605</v>
      </c>
      <c r="L47" s="17">
        <f>Данные!M47/Данные!B47</f>
        <v>0.29906936650071247</v>
      </c>
    </row>
    <row r="48" spans="1:12" x14ac:dyDescent="0.3">
      <c r="A48" s="14" t="s">
        <v>68</v>
      </c>
      <c r="B48" s="17">
        <f>Данные!C48/Данные!B48</f>
        <v>269.46513665896026</v>
      </c>
      <c r="C48" s="17">
        <f>Данные!D48/Данные!B48</f>
        <v>66.189499511116381</v>
      </c>
      <c r="D48" s="17">
        <f>Данные!E48/Данные!B48</f>
        <v>6.3966079701735304E-2</v>
      </c>
      <c r="E48" s="18">
        <f>Данные!F48</f>
        <v>53</v>
      </c>
      <c r="F48" s="17">
        <f>Данные!G48</f>
        <v>25.4</v>
      </c>
      <c r="G48" s="17">
        <f>Данные!H48/Данные!B48</f>
        <v>3.3308051501832168</v>
      </c>
      <c r="H48" s="17">
        <f>Данные!I48/Данные!B48</f>
        <v>1.2244935257189329</v>
      </c>
      <c r="I48" s="17">
        <f>Данные!J48</f>
        <v>10.1</v>
      </c>
      <c r="J48" s="17">
        <f>Данные!K48/Данные!B48</f>
        <v>29.890435243482312</v>
      </c>
      <c r="K48" s="17">
        <f>Данные!L48/Данные!B48</f>
        <v>4.505039613279358</v>
      </c>
      <c r="L48" s="17">
        <f>Данные!M48/Данные!B48</f>
        <v>0.29241636435078994</v>
      </c>
    </row>
    <row r="49" spans="1:12" x14ac:dyDescent="0.3">
      <c r="A49" s="14" t="s">
        <v>69</v>
      </c>
      <c r="B49" s="17">
        <f>Данные!C49/Данные!B49</f>
        <v>446.82516585390533</v>
      </c>
      <c r="C49" s="17">
        <f>Данные!D49/Данные!B49</f>
        <v>52.681817228070564</v>
      </c>
      <c r="D49" s="17">
        <f>Данные!E49/Данные!B49</f>
        <v>6.7884389182437443E-2</v>
      </c>
      <c r="E49" s="18">
        <f>Данные!F49</f>
        <v>55.3</v>
      </c>
      <c r="F49" s="17">
        <f>Данные!G49</f>
        <v>-13.6</v>
      </c>
      <c r="G49" s="17">
        <f>Данные!H49/Данные!B49</f>
        <v>3.0863946107200557</v>
      </c>
      <c r="H49" s="17">
        <f>Данные!I49/Данные!B49</f>
        <v>1.3416423825692636</v>
      </c>
      <c r="I49" s="17">
        <f>Данные!J49</f>
        <v>12.2</v>
      </c>
      <c r="J49" s="17">
        <f>Данные!K49/Данные!B49</f>
        <v>213.48776414741528</v>
      </c>
      <c r="K49" s="17">
        <f>Данные!L49/Данные!B49</f>
        <v>4.327568097299312</v>
      </c>
      <c r="L49" s="17">
        <f>Данные!M49/Данные!B49</f>
        <v>0.3036283588887202</v>
      </c>
    </row>
    <row r="50" spans="1:12" x14ac:dyDescent="0.3">
      <c r="A50" s="14" t="s">
        <v>70</v>
      </c>
      <c r="B50" s="17">
        <f>Данные!C50/Данные!B50</f>
        <v>290.69464248484394</v>
      </c>
      <c r="C50" s="17">
        <f>Данные!D50/Данные!B50</f>
        <v>58.484076141620896</v>
      </c>
      <c r="D50" s="17">
        <f>Данные!E50/Данные!B50</f>
        <v>2.4408277253621324E-2</v>
      </c>
      <c r="E50" s="18">
        <f>Данные!F50</f>
        <v>52.1</v>
      </c>
      <c r="F50" s="17">
        <f>Данные!G50</f>
        <v>10.5</v>
      </c>
      <c r="G50" s="17">
        <f>Данные!H50/Данные!B50</f>
        <v>4.9009786702167153</v>
      </c>
      <c r="H50" s="17">
        <f>Данные!I50/Данные!B50</f>
        <v>1.3963568612175865</v>
      </c>
      <c r="I50" s="17">
        <f>Данные!J50</f>
        <v>11.1</v>
      </c>
      <c r="J50" s="17">
        <f>Данные!K50/Данные!B50</f>
        <v>217.23366755722978</v>
      </c>
      <c r="K50" s="17">
        <f>Данные!L50/Данные!B50</f>
        <v>4.5246843958900529</v>
      </c>
      <c r="L50" s="17">
        <f>Данные!M50/Данные!B50</f>
        <v>0.28781426928228476</v>
      </c>
    </row>
    <row r="51" spans="1:12" x14ac:dyDescent="0.3">
      <c r="A51" s="14" t="s">
        <v>71</v>
      </c>
      <c r="B51" s="17">
        <f>Данные!C51/Данные!B51</f>
        <v>232.81545387323783</v>
      </c>
      <c r="C51" s="17">
        <f>Данные!D51/Данные!B51</f>
        <v>11.67705174707708</v>
      </c>
      <c r="D51" s="17">
        <f>Данные!E51/Данные!B51</f>
        <v>2.235812795718645E-2</v>
      </c>
      <c r="E51" s="18">
        <f>Данные!F51</f>
        <v>52</v>
      </c>
      <c r="F51" s="17">
        <f>Данные!G51</f>
        <v>-20.3</v>
      </c>
      <c r="G51" s="17">
        <f>Данные!H51/Данные!B51</f>
        <v>1.0527761990275186</v>
      </c>
      <c r="H51" s="17">
        <f>Данные!I51/Данные!B51</f>
        <v>0.78318254018144429</v>
      </c>
      <c r="I51" s="17">
        <f>Данные!J51</f>
        <v>4.7</v>
      </c>
      <c r="J51" s="17">
        <f>Данные!K51/Данные!B51</f>
        <v>54.15430218986522</v>
      </c>
      <c r="K51" s="17">
        <f>Данные!L51/Данные!B51</f>
        <v>4.165740478515783</v>
      </c>
      <c r="L51" s="17">
        <f>Данные!M51/Данные!B51</f>
        <v>0.2274696496513752</v>
      </c>
    </row>
    <row r="52" spans="1:12" x14ac:dyDescent="0.3">
      <c r="A52" s="14" t="s">
        <v>72</v>
      </c>
      <c r="B52" s="17">
        <f>Данные!C52/Данные!B52</f>
        <v>147.13938394790435</v>
      </c>
      <c r="C52" s="17">
        <f>Данные!D52/Данные!B52</f>
        <v>33.588438116338587</v>
      </c>
      <c r="D52" s="17">
        <f>Данные!E52/Данные!B52</f>
        <v>2.2115309222284996E-2</v>
      </c>
      <c r="E52" s="18">
        <f>Данные!F52</f>
        <v>53.7</v>
      </c>
      <c r="F52" s="17">
        <f>Данные!G52</f>
        <v>58.6</v>
      </c>
      <c r="G52" s="17">
        <f>Данные!H52/Данные!B52</f>
        <v>1.0494719467302516</v>
      </c>
      <c r="H52" s="17">
        <f>Данные!I52/Данные!B52</f>
        <v>0.59912383165826621</v>
      </c>
      <c r="I52" s="17">
        <f>Данные!J52</f>
        <v>2.9</v>
      </c>
      <c r="J52" s="17">
        <f>Данные!K52/Данные!B52</f>
        <v>15.603355897650349</v>
      </c>
      <c r="K52" s="17">
        <f>Данные!L52/Данные!B52</f>
        <v>4.5235859772855669</v>
      </c>
      <c r="L52" s="17">
        <f>Данные!M52/Данные!B52</f>
        <v>0.23120550550570676</v>
      </c>
    </row>
    <row r="53" spans="1:12" x14ac:dyDescent="0.3">
      <c r="A53" s="14" t="s">
        <v>73</v>
      </c>
      <c r="B53" s="17">
        <f>Данные!C53/Данные!B53</f>
        <v>326.24215744167367</v>
      </c>
      <c r="C53" s="17">
        <f>Данные!D53/Данные!B53</f>
        <v>47.242441692004682</v>
      </c>
      <c r="D53" s="17">
        <f>Данные!E53/Данные!B53</f>
        <v>8.8025908959203661E-2</v>
      </c>
      <c r="E53" s="18">
        <f>Данные!F53</f>
        <v>55.2</v>
      </c>
      <c r="F53" s="17">
        <f>Данные!G53</f>
        <v>-64.900000000000006</v>
      </c>
      <c r="G53" s="17">
        <f>Данные!H53/Данные!B53</f>
        <v>2.32535109500563</v>
      </c>
      <c r="H53" s="17">
        <f>Данные!I53/Данные!B53</f>
        <v>1.1590078012961815</v>
      </c>
      <c r="I53" s="17">
        <f>Данные!J53</f>
        <v>9.4</v>
      </c>
      <c r="J53" s="17">
        <f>Данные!K53/Данные!B53</f>
        <v>17.245742663590651</v>
      </c>
      <c r="K53" s="17">
        <f>Данные!L53/Данные!B53</f>
        <v>4.9954703334348078</v>
      </c>
      <c r="L53" s="17">
        <f>Данные!M53/Данные!B53</f>
        <v>0.30075518894394582</v>
      </c>
    </row>
    <row r="54" spans="1:12" x14ac:dyDescent="0.3">
      <c r="A54" s="14" t="s">
        <v>74</v>
      </c>
      <c r="B54" s="17">
        <f>Данные!C54/Данные!B54</f>
        <v>526.14118736813487</v>
      </c>
      <c r="C54" s="17">
        <f>Данные!D54/Данные!B54</f>
        <v>55.238018885020125</v>
      </c>
      <c r="D54" s="17">
        <f>Данные!E54/Данные!B54</f>
        <v>7.2808936407056962E-2</v>
      </c>
      <c r="E54" s="18">
        <f>Данные!F54</f>
        <v>55</v>
      </c>
      <c r="F54" s="17">
        <f>Данные!G54</f>
        <v>-11.5</v>
      </c>
      <c r="G54" s="17">
        <f>Данные!H54/Данные!B54</f>
        <v>3.9252106605226706</v>
      </c>
      <c r="H54" s="17">
        <f>Данные!I54/Данные!B54</f>
        <v>1.0678644006368354</v>
      </c>
      <c r="I54" s="17">
        <f>Данные!J54</f>
        <v>14.3</v>
      </c>
      <c r="J54" s="17">
        <f>Данные!K54/Данные!B54</f>
        <v>163.78774738858613</v>
      </c>
      <c r="K54" s="17">
        <f>Данные!L54/Данные!B54</f>
        <v>5.1403109103382212</v>
      </c>
      <c r="L54" s="17">
        <f>Данные!M54/Данные!B54</f>
        <v>0.40611206751491774</v>
      </c>
    </row>
    <row r="55" spans="1:12" x14ac:dyDescent="0.3">
      <c r="A55" s="14" t="s">
        <v>75</v>
      </c>
      <c r="B55" s="17">
        <f>Данные!C55/Данные!B55</f>
        <v>868.0256851373407</v>
      </c>
      <c r="C55" s="17">
        <f>Данные!D55/Данные!B55</f>
        <v>134.59789818545352</v>
      </c>
      <c r="D55" s="17">
        <f>Данные!E55/Данные!B55</f>
        <v>5.901943425656591E-2</v>
      </c>
      <c r="E55" s="18">
        <f>Данные!F55</f>
        <v>58.7</v>
      </c>
      <c r="F55" s="17">
        <f>Данные!G55</f>
        <v>-94.4</v>
      </c>
      <c r="G55" s="17">
        <f>Данные!H55/Данные!B55</f>
        <v>4.7239636970255408</v>
      </c>
      <c r="H55" s="17">
        <f>Данные!I55/Данные!B55</f>
        <v>1.6778382024366594</v>
      </c>
      <c r="I55" s="17">
        <f>Данные!J55</f>
        <v>11.9</v>
      </c>
      <c r="J55" s="17">
        <f>Данные!K55/Данные!B55</f>
        <v>276.37235240624642</v>
      </c>
      <c r="K55" s="17">
        <f>Данные!L55/Данные!B55</f>
        <v>5.0841026938156064</v>
      </c>
      <c r="L55" s="17">
        <f>Данные!M55/Данные!B55</f>
        <v>0.37579721404180744</v>
      </c>
    </row>
    <row r="56" spans="1:12" x14ac:dyDescent="0.3">
      <c r="A56" s="14" t="s">
        <v>76</v>
      </c>
      <c r="B56" s="17">
        <f>Данные!C56/Данные!B56</f>
        <v>245.46335074782223</v>
      </c>
      <c r="C56" s="17">
        <f>Данные!D56/Данные!B56</f>
        <v>75.743497027436703</v>
      </c>
      <c r="D56" s="17">
        <f>Данные!E56/Данные!B56</f>
        <v>5.7536857587908476E-2</v>
      </c>
      <c r="E56" s="18">
        <f>Данные!F56</f>
        <v>54.7</v>
      </c>
      <c r="F56" s="17">
        <f>Данные!G56</f>
        <v>44.4</v>
      </c>
      <c r="G56" s="17">
        <f>Данные!H56/Данные!B56</f>
        <v>2.1074181747425751</v>
      </c>
      <c r="H56" s="17">
        <f>Данные!I56/Данные!B56</f>
        <v>0.99643376095423308</v>
      </c>
      <c r="I56" s="17">
        <f>Данные!J56</f>
        <v>14.1</v>
      </c>
      <c r="J56" s="17">
        <f>Данные!K56/Данные!B56</f>
        <v>44.667431732518473</v>
      </c>
      <c r="K56" s="17">
        <f>Данные!L56/Данные!B56</f>
        <v>4.4350455953443264</v>
      </c>
      <c r="L56" s="17">
        <f>Данные!M56/Данные!B56</f>
        <v>0.32534477654253702</v>
      </c>
    </row>
    <row r="57" spans="1:12" x14ac:dyDescent="0.3">
      <c r="A57" s="14" t="s">
        <v>77</v>
      </c>
      <c r="B57" s="17">
        <f>Данные!C57/Данные!B57</f>
        <v>299.95118198653694</v>
      </c>
      <c r="C57" s="17">
        <f>Данные!D57/Данные!B57</f>
        <v>23.996090420059378</v>
      </c>
      <c r="D57" s="17">
        <f>Данные!E57/Данные!B57</f>
        <v>6.4669743378700142E-2</v>
      </c>
      <c r="E57" s="18">
        <f>Данные!F57</f>
        <v>57.4</v>
      </c>
      <c r="F57" s="17">
        <f>Данные!G57</f>
        <v>7.8</v>
      </c>
      <c r="G57" s="17">
        <f>Данные!H57/Данные!B57</f>
        <v>2.9042593844616245</v>
      </c>
      <c r="H57" s="17">
        <f>Данные!I57/Данные!B57</f>
        <v>0.75546018401481529</v>
      </c>
      <c r="I57" s="17">
        <f>Данные!J57</f>
        <v>12.1</v>
      </c>
      <c r="J57" s="17">
        <f>Данные!K57/Данные!B57</f>
        <v>203.24965460477969</v>
      </c>
      <c r="K57" s="17">
        <f>Данные!L57/Данные!B57</f>
        <v>3.6141567947323554</v>
      </c>
      <c r="L57" s="17">
        <f>Данные!M57/Данные!B57</f>
        <v>0.33216731826332346</v>
      </c>
    </row>
    <row r="58" spans="1:12" x14ac:dyDescent="0.3">
      <c r="A58" s="14" t="s">
        <v>78</v>
      </c>
      <c r="B58" s="17">
        <f>Данные!C58/Данные!B58</f>
        <v>331.0470345843641</v>
      </c>
      <c r="C58" s="17">
        <f>Данные!D58/Данные!B58</f>
        <v>52.220084374182903</v>
      </c>
      <c r="D58" s="17">
        <f>Данные!E58/Данные!B58</f>
        <v>0.12193527625253926</v>
      </c>
      <c r="E58" s="18">
        <f>Данные!F58</f>
        <v>60.8</v>
      </c>
      <c r="F58" s="17">
        <f>Данные!G58</f>
        <v>-9.6999999999999993</v>
      </c>
      <c r="G58" s="17">
        <f>Данные!H58/Данные!B58</f>
        <v>2.0804420845149743</v>
      </c>
      <c r="H58" s="17">
        <f>Данные!I58/Данные!B58</f>
        <v>0.95285504535489451</v>
      </c>
      <c r="I58" s="17">
        <f>Данные!J58</f>
        <v>13.2</v>
      </c>
      <c r="J58" s="17">
        <f>Данные!K58/Данные!B58</f>
        <v>119.93402924435327</v>
      </c>
      <c r="K58" s="17">
        <f>Данные!L58/Данные!B58</f>
        <v>5.3073271787445444</v>
      </c>
      <c r="L58" s="17">
        <f>Данные!M58/Данные!B58</f>
        <v>0.3394074699812949</v>
      </c>
    </row>
    <row r="59" spans="1:12" x14ac:dyDescent="0.3">
      <c r="A59" s="14" t="s">
        <v>79</v>
      </c>
      <c r="B59" s="17">
        <f>Данные!C59/Данные!B59</f>
        <v>1261.9528513178263</v>
      </c>
      <c r="C59" s="17">
        <f>Данные!D59/Данные!B59</f>
        <v>408.62880903900583</v>
      </c>
      <c r="D59" s="17">
        <f>Данные!E59/Данные!B59</f>
        <v>7.5490507327232739E-2</v>
      </c>
      <c r="E59" s="18">
        <f>Данные!F59</f>
        <v>63.3</v>
      </c>
      <c r="F59" s="17">
        <f>Данные!G59</f>
        <v>-2.4</v>
      </c>
      <c r="G59" s="17">
        <f>Данные!H59/Данные!B59</f>
        <v>2.7135217976254618</v>
      </c>
      <c r="H59" s="17">
        <f>Данные!I59/Данные!B59</f>
        <v>0.58013937822708994</v>
      </c>
      <c r="I59" s="17">
        <f>Данные!J59</f>
        <v>7.8</v>
      </c>
      <c r="J59" s="17">
        <f>Данные!K59/Данные!B59</f>
        <v>138.75879128322487</v>
      </c>
      <c r="K59" s="17">
        <f>Данные!L59/Данные!B59</f>
        <v>6.1912557173718135</v>
      </c>
      <c r="L59" s="17">
        <f>Данные!M59/Данные!B59</f>
        <v>0.29472321353782643</v>
      </c>
    </row>
    <row r="60" spans="1:12" x14ac:dyDescent="0.3">
      <c r="A60" s="14" t="s">
        <v>80</v>
      </c>
      <c r="B60" s="17">
        <f>Данные!C60/Данные!B60</f>
        <v>247.7435108608758</v>
      </c>
      <c r="C60" s="17">
        <f>Данные!D60/Данные!B60</f>
        <v>30.177545180356752</v>
      </c>
      <c r="D60" s="17">
        <f>Данные!E60/Данные!B60</f>
        <v>2.4311658298212521E-2</v>
      </c>
      <c r="E60" s="18">
        <f>Данные!F60</f>
        <v>48.6</v>
      </c>
      <c r="F60" s="17">
        <f>Данные!G60</f>
        <v>-54.2</v>
      </c>
      <c r="G60" s="17">
        <f>Данные!H60/Данные!B60</f>
        <v>3.9756711805312239</v>
      </c>
      <c r="H60" s="17">
        <f>Данные!I60/Данные!B60</f>
        <v>3.3121059187447175</v>
      </c>
      <c r="I60" s="17">
        <f>Данные!J60</f>
        <v>10.3</v>
      </c>
      <c r="J60" s="17">
        <f>Данные!K60/Данные!B60</f>
        <v>55.452032383128852</v>
      </c>
      <c r="K60" s="17">
        <f>Данные!L60/Данные!B60</f>
        <v>6.7972536406708297</v>
      </c>
      <c r="L60" s="17">
        <f>Данные!M60/Данные!B60</f>
        <v>0.31748165542371642</v>
      </c>
    </row>
    <row r="61" spans="1:12" x14ac:dyDescent="0.3">
      <c r="A61" s="14" t="s">
        <v>81</v>
      </c>
      <c r="B61" s="17">
        <f>Данные!C61/Данные!B61</f>
        <v>717.13706645004333</v>
      </c>
      <c r="C61" s="17">
        <f>Данные!D61/Данные!B61</f>
        <v>91.782746904808562</v>
      </c>
      <c r="D61" s="17">
        <f>Данные!E61/Данные!B61</f>
        <v>9.1570675632555859E-2</v>
      </c>
      <c r="E61" s="18">
        <f>Данные!F61</f>
        <v>61.9</v>
      </c>
      <c r="F61" s="17">
        <f>Данные!G61</f>
        <v>11.4</v>
      </c>
      <c r="G61" s="17">
        <f>Данные!H61/Данные!B61</f>
        <v>3.0874964218181371</v>
      </c>
      <c r="H61" s="17">
        <f>Данные!I61/Данные!B61</f>
        <v>1.0834580780725938</v>
      </c>
      <c r="I61" s="17">
        <f>Данные!J61</f>
        <v>11</v>
      </c>
      <c r="J61" s="17">
        <f>Данные!K61/Данные!B61</f>
        <v>327.48007760678883</v>
      </c>
      <c r="K61" s="17">
        <f>Данные!L61/Данные!B61</f>
        <v>4.2881752247200806</v>
      </c>
      <c r="L61" s="17">
        <f>Данные!M61/Данные!B61</f>
        <v>0.30549208593382082</v>
      </c>
    </row>
    <row r="62" spans="1:12" x14ac:dyDescent="0.3">
      <c r="A62" s="14" t="s">
        <v>82</v>
      </c>
      <c r="B62" s="17">
        <f>Данные!C62/Данные!B62</f>
        <v>244.16115719292407</v>
      </c>
      <c r="C62" s="17">
        <f>Данные!D62/Данные!B62</f>
        <v>45.422876923029506</v>
      </c>
      <c r="D62" s="17">
        <f>Данные!E62/Данные!B62</f>
        <v>4.6235932717470708E-2</v>
      </c>
      <c r="E62" s="18">
        <f>Данные!F62</f>
        <v>47.5</v>
      </c>
      <c r="F62" s="17">
        <f>Данные!G62</f>
        <v>-11.7</v>
      </c>
      <c r="G62" s="17">
        <f>Данные!H62/Данные!B62</f>
        <v>5.8349747089448032</v>
      </c>
      <c r="H62" s="17">
        <f>Данные!I62/Данные!B62</f>
        <v>2.860463037454188</v>
      </c>
      <c r="I62" s="17">
        <f>Данные!J62</f>
        <v>8.3000000000000007</v>
      </c>
      <c r="J62" s="17">
        <f>Данные!K62/Данные!B62</f>
        <v>30.145828131790903</v>
      </c>
      <c r="K62" s="17">
        <f>Данные!L62/Данные!B62</f>
        <v>5.0181398976028211</v>
      </c>
      <c r="L62" s="17">
        <f>Данные!M62/Данные!B62</f>
        <v>0.27125080527582818</v>
      </c>
    </row>
    <row r="63" spans="1:12" x14ac:dyDescent="0.3">
      <c r="A63" s="14" t="s">
        <v>83</v>
      </c>
      <c r="B63" s="17">
        <f>Данные!C63/Данные!B63</f>
        <v>477.93087862550283</v>
      </c>
      <c r="C63" s="17">
        <f>Данные!D63/Данные!B63</f>
        <v>48.23024915744535</v>
      </c>
      <c r="D63" s="17">
        <f>Данные!E63/Данные!B63</f>
        <v>4.6627263520507597E-2</v>
      </c>
      <c r="E63" s="18">
        <f>Данные!F63</f>
        <v>54.3</v>
      </c>
      <c r="F63" s="17">
        <f>Данные!G63</f>
        <v>-14.5</v>
      </c>
      <c r="G63" s="17">
        <f>Данные!H63/Данные!B63</f>
        <v>3.6481170978445148</v>
      </c>
      <c r="H63" s="17">
        <f>Данные!I63/Данные!B63</f>
        <v>2.0851712246370999</v>
      </c>
      <c r="I63" s="17">
        <f>Данные!J63</f>
        <v>12.5</v>
      </c>
      <c r="J63" s="17">
        <f>Данные!K63/Данные!B63</f>
        <v>178.88269886061619</v>
      </c>
      <c r="K63" s="17">
        <f>Данные!L63/Данные!B63</f>
        <v>4.2113744411722465</v>
      </c>
      <c r="L63" s="17">
        <f>Данные!M63/Данные!B63</f>
        <v>0.30587484869452986</v>
      </c>
    </row>
    <row r="64" spans="1:12" x14ac:dyDescent="0.3">
      <c r="A64" s="14" t="s">
        <v>84</v>
      </c>
      <c r="B64" s="17">
        <f>Данные!C64/Данные!B64</f>
        <v>389.72473859677513</v>
      </c>
      <c r="C64" s="17">
        <f>Данные!D64/Данные!B64</f>
        <v>39.987550924251366</v>
      </c>
      <c r="D64" s="17">
        <f>Данные!E64/Данные!B64</f>
        <v>8.4953073540330104E-2</v>
      </c>
      <c r="E64" s="18">
        <f>Данные!F64</f>
        <v>56.3</v>
      </c>
      <c r="F64" s="17">
        <f>Данные!G64</f>
        <v>32.200000000000003</v>
      </c>
      <c r="G64" s="17">
        <f>Данные!H64/Данные!B64</f>
        <v>3.0699708732319291</v>
      </c>
      <c r="H64" s="17">
        <f>Данные!I64/Данные!B64</f>
        <v>1.2669192255706372</v>
      </c>
      <c r="I64" s="17">
        <f>Данные!J64</f>
        <v>13.3</v>
      </c>
      <c r="J64" s="17">
        <f>Данные!K64/Данные!B64</f>
        <v>126.0527518132841</v>
      </c>
      <c r="K64" s="17">
        <f>Данные!L64/Данные!B64</f>
        <v>3.7091416170115559</v>
      </c>
      <c r="L64" s="17">
        <f>Данные!M64/Данные!B64</f>
        <v>0.32957985112985211</v>
      </c>
    </row>
    <row r="65" spans="1:12" x14ac:dyDescent="0.3">
      <c r="A65" s="14" t="s">
        <v>16</v>
      </c>
      <c r="B65" s="17">
        <f>Данные!C65/Данные!B65</f>
        <v>391.37301166732641</v>
      </c>
      <c r="C65" s="17">
        <f>Данные!D65/Данные!B65</f>
        <v>47.142597364596995</v>
      </c>
      <c r="D65" s="17">
        <f>Данные!E65/Данные!B65</f>
        <v>8.7960457286671206E-2</v>
      </c>
      <c r="E65" s="18">
        <f>Данные!F65</f>
        <v>53.9</v>
      </c>
      <c r="F65" s="17">
        <f>Данные!G65</f>
        <v>20.9</v>
      </c>
      <c r="G65" s="17">
        <f>Данные!H65/Данные!B65</f>
        <v>2.5230290350289057</v>
      </c>
      <c r="H65" s="17">
        <f>Данные!I65/Данные!B65</f>
        <v>1.1165592741287651</v>
      </c>
      <c r="I65" s="17">
        <f>Данные!J65</f>
        <v>15.2</v>
      </c>
      <c r="J65" s="17">
        <f>Данные!K65/Данные!B65</f>
        <v>247.73703772516308</v>
      </c>
      <c r="K65" s="17">
        <f>Данные!L65/Данные!B65</f>
        <v>5.2390325426765294</v>
      </c>
      <c r="L65" s="17">
        <f>Данные!M65/Данные!B65</f>
        <v>0.36799783150546117</v>
      </c>
    </row>
    <row r="66" spans="1:12" x14ac:dyDescent="0.3">
      <c r="A66" s="14" t="s">
        <v>85</v>
      </c>
      <c r="B66" s="17">
        <f>Данные!C66/Данные!B66</f>
        <v>530.28718859152798</v>
      </c>
      <c r="C66" s="17">
        <f>Данные!D66/Данные!B66</f>
        <v>75.386789915797422</v>
      </c>
      <c r="D66" s="17">
        <f>Данные!E66/Данные!B66</f>
        <v>5.7492244830253364E-2</v>
      </c>
      <c r="E66" s="18">
        <f>Данные!F66</f>
        <v>60.6</v>
      </c>
      <c r="F66" s="17">
        <f>Данные!G66</f>
        <v>28.1</v>
      </c>
      <c r="G66" s="17">
        <f>Данные!H66/Данные!B66</f>
        <v>3.1564184907625985</v>
      </c>
      <c r="H66" s="17">
        <f>Данные!I66/Данные!B66</f>
        <v>1.3490256792410269</v>
      </c>
      <c r="I66" s="17">
        <f>Данные!J66</f>
        <v>13.3</v>
      </c>
      <c r="J66" s="17">
        <f>Данные!K66/Данные!B66</f>
        <v>175.09027539099438</v>
      </c>
      <c r="K66" s="17">
        <f>Данные!L66/Данные!B66</f>
        <v>4.8717608775013055</v>
      </c>
      <c r="L66" s="17">
        <f>Данные!M66/Данные!B66</f>
        <v>0.32736021373291807</v>
      </c>
    </row>
    <row r="67" spans="1:12" x14ac:dyDescent="0.3">
      <c r="A67" s="14" t="s">
        <v>86</v>
      </c>
      <c r="B67" s="17">
        <f>Данные!C67/Данные!B67</f>
        <v>332.58243955400144</v>
      </c>
      <c r="C67" s="17">
        <f>Данные!D67/Данные!B67</f>
        <v>45.912494392241932</v>
      </c>
      <c r="D67" s="17">
        <f>Данные!E67/Данные!B67</f>
        <v>6.391307821362946E-2</v>
      </c>
      <c r="E67" s="18">
        <f>Данные!F67</f>
        <v>55.5</v>
      </c>
      <c r="F67" s="17">
        <f>Данные!G67</f>
        <v>-23.4</v>
      </c>
      <c r="G67" s="17">
        <f>Данные!H67/Данные!B67</f>
        <v>2.7707958202485643</v>
      </c>
      <c r="H67" s="17">
        <f>Данные!I67/Данные!B67</f>
        <v>0.97795203651239437</v>
      </c>
      <c r="I67" s="17">
        <f>Данные!J67</f>
        <v>13.7</v>
      </c>
      <c r="J67" s="17">
        <f>Данные!K67/Данные!B67</f>
        <v>264.0560632411715</v>
      </c>
      <c r="K67" s="17">
        <f>Данные!L67/Данные!B67</f>
        <v>5.0421682921483191</v>
      </c>
      <c r="L67" s="17">
        <f>Данные!M67/Данные!B67</f>
        <v>0.32857877389314633</v>
      </c>
    </row>
    <row r="68" spans="1:12" x14ac:dyDescent="0.3">
      <c r="A68" s="14" t="s">
        <v>87</v>
      </c>
      <c r="B68" s="17">
        <f>Данные!C68/Данные!B68</f>
        <v>2397.4747785098375</v>
      </c>
      <c r="C68" s="17">
        <f>Данные!D68/Данные!B68</f>
        <v>467.19926966452772</v>
      </c>
      <c r="D68" s="17">
        <f>Данные!E68/Данные!B68</f>
        <v>0.11845485848729062</v>
      </c>
      <c r="E68" s="18">
        <f>Данные!F68</f>
        <v>65.2</v>
      </c>
      <c r="F68" s="17">
        <f>Данные!G68</f>
        <v>-21.6</v>
      </c>
      <c r="G68" s="17">
        <f>Данные!H68/Данные!B68</f>
        <v>4.0989465686895219</v>
      </c>
      <c r="H68" s="17">
        <f>Данные!I68/Данные!B68</f>
        <v>1.7870345030410222</v>
      </c>
      <c r="I68" s="17">
        <f>Данные!J68</f>
        <v>12.4</v>
      </c>
      <c r="J68" s="17">
        <f>Данные!K68/Данные!B68</f>
        <v>397.17097120730011</v>
      </c>
      <c r="K68" s="17">
        <f>Данные!L68/Данные!B68</f>
        <v>6.3393772542163802</v>
      </c>
      <c r="L68" s="17">
        <f>Данные!M68/Данные!B68</f>
        <v>0.35740690060820446</v>
      </c>
    </row>
    <row r="69" spans="1:12" x14ac:dyDescent="0.3">
      <c r="A69" s="14" t="s">
        <v>88</v>
      </c>
      <c r="B69" s="17">
        <f>Данные!C69/Данные!B69</f>
        <v>586.12736933229121</v>
      </c>
      <c r="C69" s="17">
        <f>Данные!D69/Данные!B69</f>
        <v>70.513483910717596</v>
      </c>
      <c r="D69" s="17">
        <f>Данные!E69/Данные!B69</f>
        <v>6.3489135827127896E-2</v>
      </c>
      <c r="E69" s="18">
        <f>Данные!F69</f>
        <v>57.7</v>
      </c>
      <c r="F69" s="17">
        <f>Данные!G69</f>
        <v>14.7</v>
      </c>
      <c r="G69" s="17">
        <f>Данные!H69/Данные!B69</f>
        <v>2.9427446168048332</v>
      </c>
      <c r="H69" s="17">
        <f>Данные!I69/Данные!B69</f>
        <v>1.335820686289753</v>
      </c>
      <c r="I69" s="17">
        <f>Данные!J69</f>
        <v>13.4</v>
      </c>
      <c r="J69" s="17">
        <f>Данные!K69/Данные!B69</f>
        <v>434.90081212800061</v>
      </c>
      <c r="K69" s="17">
        <f>Данные!L69/Данные!B69</f>
        <v>4.3636036711550092</v>
      </c>
      <c r="L69" s="17">
        <f>Данные!M69/Данные!B69</f>
        <v>0.32926300003776909</v>
      </c>
    </row>
    <row r="70" spans="1:12" x14ac:dyDescent="0.3">
      <c r="A70" s="14" t="s">
        <v>17</v>
      </c>
      <c r="B70" s="17">
        <f>Данные!C70/Данные!B70</f>
        <v>369.3496790514908</v>
      </c>
      <c r="C70" s="17">
        <f>Данные!D70/Данные!B70</f>
        <v>46.791806342142038</v>
      </c>
      <c r="D70" s="17">
        <f>Данные!E70/Данные!B70</f>
        <v>0.10081040957677667</v>
      </c>
      <c r="E70" s="18">
        <f>Данные!F70</f>
        <v>56.5</v>
      </c>
      <c r="F70" s="17">
        <f>Данные!G70</f>
        <v>-3.8</v>
      </c>
      <c r="G70" s="17">
        <f>Данные!H70/Данные!B70</f>
        <v>3.8032053465596589</v>
      </c>
      <c r="H70" s="17">
        <f>Данные!I70/Данные!B70</f>
        <v>1.3816331923048761</v>
      </c>
      <c r="I70" s="17">
        <f>Данные!J70</f>
        <v>15.1</v>
      </c>
      <c r="J70" s="17">
        <f>Данные!K70/Данные!B70</f>
        <v>152.00936369530638</v>
      </c>
      <c r="K70" s="17">
        <f>Данные!L70/Данные!B70</f>
        <v>5.1158629954698984</v>
      </c>
      <c r="L70" s="17">
        <f>Данные!M70/Данные!B70</f>
        <v>0.35018352800354002</v>
      </c>
    </row>
    <row r="71" spans="1:12" x14ac:dyDescent="0.3">
      <c r="A71" s="14" t="s">
        <v>89</v>
      </c>
      <c r="B71" s="17">
        <f>Данные!C71/Данные!B71</f>
        <v>295.87568794555608</v>
      </c>
      <c r="C71" s="17">
        <f>Данные!D71/Данные!B71</f>
        <v>38.857000267955236</v>
      </c>
      <c r="D71" s="17">
        <f>Данные!E71/Данные!B71</f>
        <v>0.10374768848361306</v>
      </c>
      <c r="E71" s="18">
        <f>Данные!F71</f>
        <v>57.2</v>
      </c>
      <c r="F71" s="17">
        <f>Данные!G71</f>
        <v>42.9</v>
      </c>
      <c r="G71" s="17">
        <f>Данные!H71/Данные!B71</f>
        <v>3.1807610286475989</v>
      </c>
      <c r="H71" s="17">
        <f>Данные!I71/Данные!B71</f>
        <v>2.7253444512695317</v>
      </c>
      <c r="I71" s="17">
        <f>Данные!J71</f>
        <v>11.3</v>
      </c>
      <c r="J71" s="17">
        <f>Данные!K71/Данные!B71</f>
        <v>113.29104482150568</v>
      </c>
      <c r="K71" s="17">
        <f>Данные!L71/Данные!B71</f>
        <v>4.4314573008500515</v>
      </c>
      <c r="L71" s="17">
        <f>Данные!M71/Данные!B71</f>
        <v>0.28298076410530321</v>
      </c>
    </row>
    <row r="72" spans="1:12" x14ac:dyDescent="0.3">
      <c r="A72" s="14" t="s">
        <v>18</v>
      </c>
      <c r="B72" s="17">
        <f>Данные!C72/Данные!B72</f>
        <v>348.73390822133808</v>
      </c>
      <c r="C72" s="17">
        <f>Данные!D72/Данные!B72</f>
        <v>54.320996962496778</v>
      </c>
      <c r="D72" s="17">
        <f>Данные!E72/Данные!B72</f>
        <v>9.6459920902864857E-2</v>
      </c>
      <c r="E72" s="18">
        <f>Данные!F72</f>
        <v>54.1</v>
      </c>
      <c r="F72" s="17">
        <f>Данные!G72</f>
        <v>-17.600000000000001</v>
      </c>
      <c r="G72" s="17">
        <f>Данные!H72/Данные!B72</f>
        <v>2.6349306964996861</v>
      </c>
      <c r="H72" s="17">
        <f>Данные!I72/Данные!B72</f>
        <v>1.3218946303321173</v>
      </c>
      <c r="I72" s="17">
        <f>Данные!J72</f>
        <v>15</v>
      </c>
      <c r="J72" s="17">
        <f>Данные!K72/Данные!B72</f>
        <v>172.87980109570594</v>
      </c>
      <c r="K72" s="17">
        <f>Данные!L72/Данные!B72</f>
        <v>3.997181008025859</v>
      </c>
      <c r="L72" s="17">
        <f>Данные!M72/Данные!B72</f>
        <v>0.37107541000387806</v>
      </c>
    </row>
    <row r="73" spans="1:12" x14ac:dyDescent="0.3">
      <c r="A73" s="14" t="s">
        <v>19</v>
      </c>
      <c r="B73" s="17">
        <f>Данные!C73/Данные!B73</f>
        <v>382.13044762435845</v>
      </c>
      <c r="C73" s="17">
        <f>Данные!D73/Данные!B73</f>
        <v>52.166882476552338</v>
      </c>
      <c r="D73" s="17">
        <f>Данные!E73/Данные!B73</f>
        <v>7.4824595395845739E-2</v>
      </c>
      <c r="E73" s="18">
        <f>Данные!F73</f>
        <v>60.1</v>
      </c>
      <c r="F73" s="17">
        <f>Данные!G73</f>
        <v>5.2</v>
      </c>
      <c r="G73" s="17">
        <f>Данные!H73/Данные!B73</f>
        <v>3.4576839346080295</v>
      </c>
      <c r="H73" s="17">
        <f>Данные!I73/Данные!B73</f>
        <v>1.1326080860971177</v>
      </c>
      <c r="I73" s="17">
        <f>Данные!J73</f>
        <v>16.3</v>
      </c>
      <c r="J73" s="17">
        <f>Данные!K73/Данные!B73</f>
        <v>202.32885645964672</v>
      </c>
      <c r="K73" s="17">
        <f>Данные!L73/Данные!B73</f>
        <v>4.5036530155099577</v>
      </c>
      <c r="L73" s="17">
        <f>Данные!M73/Данные!B73</f>
        <v>0.35915805790005956</v>
      </c>
    </row>
    <row r="74" spans="1:12" x14ac:dyDescent="0.3">
      <c r="A74" s="14" t="s">
        <v>90</v>
      </c>
      <c r="B74" s="17">
        <f>Данные!C74/Данные!B74</f>
        <v>578.04068905797249</v>
      </c>
      <c r="C74" s="17">
        <f>Данные!D74/Данные!B74</f>
        <v>73.230072709250251</v>
      </c>
      <c r="D74" s="17">
        <f>Данные!E74/Данные!B74</f>
        <v>7.889055744996018E-2</v>
      </c>
      <c r="E74" s="18">
        <f>Данные!F74</f>
        <v>57.9</v>
      </c>
      <c r="F74" s="17">
        <f>Данные!G74</f>
        <v>30.3</v>
      </c>
      <c r="G74" s="17">
        <f>Данные!H74/Данные!B74</f>
        <v>3.8006686206774933</v>
      </c>
      <c r="H74" s="17">
        <f>Данные!I74/Данные!B74</f>
        <v>1.6836173084026798</v>
      </c>
      <c r="I74" s="17">
        <f>Данные!J74</f>
        <v>11.2</v>
      </c>
      <c r="J74" s="17">
        <f>Данные!K74/Данные!B74</f>
        <v>417.90741404177675</v>
      </c>
      <c r="K74" s="17">
        <f>Данные!L74/Данные!B74</f>
        <v>5.6448514165959747</v>
      </c>
      <c r="L74" s="17">
        <f>Данные!M74/Данные!B74</f>
        <v>0.29514349728338046</v>
      </c>
    </row>
    <row r="75" spans="1:12" x14ac:dyDescent="0.3">
      <c r="A75" s="14" t="s">
        <v>20</v>
      </c>
      <c r="B75" s="17">
        <f>Данные!C75/Данные!B75</f>
        <v>460.91698038568643</v>
      </c>
      <c r="C75" s="17">
        <f>Данные!D75/Данные!B75</f>
        <v>94.057784663156653</v>
      </c>
      <c r="D75" s="17">
        <f>Данные!E75/Данные!B75</f>
        <v>6.3564279039070387E-2</v>
      </c>
      <c r="E75" s="18">
        <f>Данные!F75</f>
        <v>59.6</v>
      </c>
      <c r="F75" s="17">
        <f>Данные!G75</f>
        <v>-3.9</v>
      </c>
      <c r="G75" s="17">
        <f>Данные!H75/Данные!B75</f>
        <v>2.2058157258026343</v>
      </c>
      <c r="H75" s="17">
        <f>Данные!I75/Данные!B75</f>
        <v>0.69514977502302511</v>
      </c>
      <c r="I75" s="17">
        <f>Данные!J75</f>
        <v>15.9</v>
      </c>
      <c r="J75" s="17">
        <f>Данные!K75/Данные!B75</f>
        <v>252.81339556321333</v>
      </c>
      <c r="K75" s="17">
        <f>Данные!L75/Данные!B75</f>
        <v>3.8206188996888057</v>
      </c>
      <c r="L75" s="17">
        <f>Данные!M75/Данные!B75</f>
        <v>0.38003324276550599</v>
      </c>
    </row>
    <row r="76" spans="1:12" ht="39.6" x14ac:dyDescent="0.3">
      <c r="A76" s="14" t="s">
        <v>32</v>
      </c>
      <c r="B76" s="17">
        <f>Данные!C76/Данные!B76</f>
        <v>826.67432815673976</v>
      </c>
      <c r="C76" s="17">
        <f>Данные!D76/Данные!B76</f>
        <v>173.50587181758024</v>
      </c>
      <c r="D76" s="17">
        <f>Данные!E76/Данные!B76</f>
        <v>8.4941347670203698E-2</v>
      </c>
      <c r="E76" s="18">
        <f>Данные!F76</f>
        <v>58.5</v>
      </c>
      <c r="F76" s="17">
        <f>Данные!G76</f>
        <v>102.4</v>
      </c>
      <c r="G76" s="17">
        <f>Данные!H76/Данные!B76</f>
        <v>4.1048400106670533</v>
      </c>
      <c r="H76" s="17">
        <f>Данные!I76/Данные!B76</f>
        <v>1.5974241042473967</v>
      </c>
      <c r="I76" s="17">
        <f>Данные!J76</f>
        <v>10.6</v>
      </c>
      <c r="J76" s="17">
        <f>Данные!K76/Данные!B76</f>
        <v>430.81461386255967</v>
      </c>
      <c r="K76" s="17">
        <f>Данные!L76/Данные!B76</f>
        <v>5.4843138352335394</v>
      </c>
      <c r="L76" s="17">
        <f>Данные!M76/Данные!B76</f>
        <v>0.27787014509167413</v>
      </c>
    </row>
    <row r="77" spans="1:12" x14ac:dyDescent="0.3">
      <c r="A77" s="14" t="s">
        <v>91</v>
      </c>
      <c r="B77" s="17">
        <f>Данные!C77/Данные!B77</f>
        <v>478.53910162598925</v>
      </c>
      <c r="C77" s="17">
        <f>Данные!D77/Данные!B77</f>
        <v>41.73072595678623</v>
      </c>
      <c r="D77" s="17">
        <f>Данные!E77/Данные!B77</f>
        <v>0.10017314696263077</v>
      </c>
      <c r="E77" s="18">
        <f>Данные!F77</f>
        <v>60</v>
      </c>
      <c r="F77" s="17">
        <f>Данные!G77</f>
        <v>-21</v>
      </c>
      <c r="G77" s="17">
        <f>Данные!H77/Данные!B77</f>
        <v>4.2430956819403072</v>
      </c>
      <c r="H77" s="17">
        <f>Данные!I77/Данные!B77</f>
        <v>1.6704369804761872</v>
      </c>
      <c r="I77" s="17">
        <f>Данные!J77</f>
        <v>11.9</v>
      </c>
      <c r="J77" s="17">
        <f>Данные!K77/Данные!B77</f>
        <v>323.43653599931002</v>
      </c>
      <c r="K77" s="17">
        <f>Данные!L77/Данные!B77</f>
        <v>4.9436443123544667</v>
      </c>
      <c r="L77" s="17">
        <f>Данные!M77/Данные!B77</f>
        <v>0.31843119564279976</v>
      </c>
    </row>
    <row r="78" spans="1:12" x14ac:dyDescent="0.3">
      <c r="A78" s="14" t="s">
        <v>92</v>
      </c>
      <c r="B78" s="17">
        <f>Данные!C78/Данные!B78</f>
        <v>339.39998756476018</v>
      </c>
      <c r="C78" s="17">
        <f>Данные!D78/Данные!B78</f>
        <v>31.806446299143424</v>
      </c>
      <c r="D78" s="17">
        <f>Данные!E78/Данные!B78</f>
        <v>4.8448986447203524E-2</v>
      </c>
      <c r="E78" s="18">
        <f>Данные!F78</f>
        <v>55.9</v>
      </c>
      <c r="F78" s="17">
        <f>Данные!G78</f>
        <v>-19.399999999999999</v>
      </c>
      <c r="G78" s="17">
        <f>Данные!H78/Данные!B78</f>
        <v>2.2496479373651503</v>
      </c>
      <c r="H78" s="17">
        <f>Данные!I78/Данные!B78</f>
        <v>0.93264298910866794</v>
      </c>
      <c r="I78" s="17">
        <f>Данные!J78</f>
        <v>13.8</v>
      </c>
      <c r="J78" s="17">
        <f>Данные!K78/Данные!B78</f>
        <v>290.94504592963915</v>
      </c>
      <c r="K78" s="17">
        <f>Данные!L78/Данные!B78</f>
        <v>4.2182917533365201</v>
      </c>
      <c r="L78" s="17">
        <f>Данные!M78/Данные!B78</f>
        <v>0.35529256727949254</v>
      </c>
    </row>
    <row r="79" spans="1:12" x14ac:dyDescent="0.3">
      <c r="A79" s="14" t="s">
        <v>93</v>
      </c>
      <c r="B79" s="17">
        <f>Данные!C79/Данные!B79</f>
        <v>607.63422105483801</v>
      </c>
      <c r="C79" s="17">
        <f>Данные!D79/Данные!B79</f>
        <v>119.42568709311503</v>
      </c>
      <c r="D79" s="17">
        <f>Данные!E79/Данные!B79</f>
        <v>6.7349086965832833E-2</v>
      </c>
      <c r="E79" s="18">
        <f>Данные!F79</f>
        <v>61.9</v>
      </c>
      <c r="F79" s="17">
        <f>Данные!G79</f>
        <v>-20.6</v>
      </c>
      <c r="G79" s="17">
        <f>Данные!H79/Данные!B79</f>
        <v>3.8078719731693345</v>
      </c>
      <c r="H79" s="17">
        <f>Данные!I79/Данные!B79</f>
        <v>1.2402826240112359</v>
      </c>
      <c r="I79" s="17">
        <f>Данные!J79</f>
        <v>13.4</v>
      </c>
      <c r="J79" s="17">
        <f>Данные!K79/Данные!B79</f>
        <v>374.34287344501178</v>
      </c>
      <c r="K79" s="17">
        <f>Данные!L79/Данные!B79</f>
        <v>5.6126761575908102</v>
      </c>
      <c r="L79" s="17">
        <f>Данные!M79/Данные!B79</f>
        <v>0.31934061460203877</v>
      </c>
    </row>
    <row r="80" spans="1:12" ht="26.4" x14ac:dyDescent="0.3">
      <c r="A80" s="14" t="s">
        <v>33</v>
      </c>
      <c r="B80" s="17">
        <f>Данные!C80/Данные!B80</f>
        <v>2742.5623311165132</v>
      </c>
      <c r="C80" s="17">
        <f>Данные!D80/Данные!B80</f>
        <v>549.32353865710616</v>
      </c>
      <c r="D80" s="17">
        <f>Данные!E80/Данные!B80</f>
        <v>4.9284917913565068E-2</v>
      </c>
      <c r="E80" s="18">
        <f>Данные!F80</f>
        <v>69.099999999999994</v>
      </c>
      <c r="F80" s="17">
        <f>Данные!G80</f>
        <v>1.4</v>
      </c>
      <c r="G80" s="17">
        <f>Данные!H80/Данные!B80</f>
        <v>3.4667732503102844</v>
      </c>
      <c r="H80" s="17">
        <f>Данные!I80/Данные!B80</f>
        <v>1.5885370493360058</v>
      </c>
      <c r="I80" s="17">
        <f>Данные!J80</f>
        <v>6.1</v>
      </c>
      <c r="J80" s="17">
        <f>Данные!K80/Данные!B80</f>
        <v>85.708275358442592</v>
      </c>
      <c r="K80" s="17">
        <f>Данные!L80/Данные!B80</f>
        <v>5.7627291823812428</v>
      </c>
      <c r="L80" s="17">
        <f>Данные!M80/Данные!B80</f>
        <v>0.27647636878341381</v>
      </c>
    </row>
    <row r="81" spans="1:12" x14ac:dyDescent="0.3">
      <c r="A81" s="14" t="s">
        <v>94</v>
      </c>
      <c r="B81" s="17">
        <f>Данные!C81/Данные!B81</f>
        <v>444.675585204127</v>
      </c>
      <c r="C81" s="17">
        <f>Данные!D81/Данные!B81</f>
        <v>67.344658840832466</v>
      </c>
      <c r="D81" s="17">
        <f>Данные!E81/Данные!B81</f>
        <v>4.3731530980481062E-2</v>
      </c>
      <c r="E81" s="18">
        <f>Данные!F81</f>
        <v>62.4</v>
      </c>
      <c r="F81" s="17">
        <f>Данные!G81</f>
        <v>5.2</v>
      </c>
      <c r="G81" s="17">
        <f>Данные!H81/Данные!B81</f>
        <v>4.2494388985638505</v>
      </c>
      <c r="H81" s="17">
        <f>Данные!I81/Данные!B81</f>
        <v>2.1917552829559521</v>
      </c>
      <c r="I81" s="17">
        <f>Данные!J81</f>
        <v>13.1</v>
      </c>
      <c r="J81" s="17">
        <f>Данные!K81/Данные!B81</f>
        <v>254.61302917669926</v>
      </c>
      <c r="K81" s="17">
        <f>Данные!L81/Данные!B81</f>
        <v>4.2172156652098121</v>
      </c>
      <c r="L81" s="17">
        <f>Данные!M81/Данные!B81</f>
        <v>0.32165691865906465</v>
      </c>
    </row>
    <row r="82" spans="1:12" x14ac:dyDescent="0.3">
      <c r="A82" s="14" t="s">
        <v>95</v>
      </c>
      <c r="B82" s="17">
        <f>Данные!C82/Данные!B82</f>
        <v>165.84741655690547</v>
      </c>
      <c r="C82" s="17">
        <f>Данные!D82/Данные!B82</f>
        <v>37.864220553745454</v>
      </c>
      <c r="D82" s="17">
        <f>Данные!E82/Данные!B82</f>
        <v>1.2354567861238985E-2</v>
      </c>
      <c r="E82" s="18">
        <f>Данные!F82</f>
        <v>56.4</v>
      </c>
      <c r="F82" s="17">
        <f>Данные!G82</f>
        <v>-11.3</v>
      </c>
      <c r="G82" s="17">
        <f>Данные!H82/Данные!B82</f>
        <v>0.70009217880354246</v>
      </c>
      <c r="H82" s="17">
        <f>Данные!I82/Данные!B82</f>
        <v>0.4454508078857834</v>
      </c>
      <c r="I82" s="17">
        <f>Данные!J82</f>
        <v>4.3</v>
      </c>
      <c r="J82" s="17">
        <f>Данные!K82/Данные!B82</f>
        <v>11.405325230567122</v>
      </c>
      <c r="K82" s="17">
        <f>Данные!L82/Данные!B82</f>
        <v>2.9877463277762946</v>
      </c>
      <c r="L82" s="17">
        <f>Данные!M82/Данные!B82</f>
        <v>0.29582326378855567</v>
      </c>
    </row>
    <row r="83" spans="1:12" x14ac:dyDescent="0.3">
      <c r="A83" s="14" t="s">
        <v>96</v>
      </c>
      <c r="B83" s="17">
        <f>Данные!C83/Данные!B83</f>
        <v>277.72432019094401</v>
      </c>
      <c r="C83" s="17">
        <f>Данные!D83/Данные!B83</f>
        <v>33.766449102701912</v>
      </c>
      <c r="D83" s="17">
        <f>Данные!E83/Данные!B83</f>
        <v>6.8661389003551593E-2</v>
      </c>
      <c r="E83" s="18">
        <f>Данные!F83</f>
        <v>57.6</v>
      </c>
      <c r="F83" s="17">
        <f>Данные!G83</f>
        <v>-16.399999999999999</v>
      </c>
      <c r="G83" s="17">
        <f>Данные!H83/Данные!B83</f>
        <v>2.8306475014202284</v>
      </c>
      <c r="H83" s="17">
        <f>Данные!I83/Данные!B83</f>
        <v>0.89668504448685826</v>
      </c>
      <c r="I83" s="17">
        <f>Данные!J83</f>
        <v>12.5</v>
      </c>
      <c r="J83" s="17">
        <f>Данные!K83/Данные!B83</f>
        <v>115.18029745094593</v>
      </c>
      <c r="K83" s="17">
        <f>Данные!L83/Данные!B83</f>
        <v>4.9248198660285514</v>
      </c>
      <c r="L83" s="17">
        <f>Данные!M83/Данные!B83</f>
        <v>0.31715022539735738</v>
      </c>
    </row>
    <row r="84" spans="1:12" x14ac:dyDescent="0.3">
      <c r="A84" s="30" t="s">
        <v>97</v>
      </c>
      <c r="B84" s="31">
        <f>Данные!C84/Данные!B84</f>
        <v>1910.5626603306287</v>
      </c>
      <c r="C84" s="31">
        <f>Данные!D84/Данные!B84</f>
        <v>532.60207800575881</v>
      </c>
      <c r="D84" s="31">
        <f>Данные!E84/Данные!B84</f>
        <v>0.40271429434387779</v>
      </c>
      <c r="E84" s="32">
        <f>Данные!F84</f>
        <v>77.400000000000006</v>
      </c>
      <c r="F84" s="31">
        <f>Данные!G84</f>
        <v>110.9</v>
      </c>
      <c r="G84" s="31">
        <f>Данные!H84/Данные!B84</f>
        <v>3.4230715019229612</v>
      </c>
      <c r="H84" s="31">
        <f>Данные!I84/Данные!B84</f>
        <v>0.46312143849545945</v>
      </c>
      <c r="I84" s="31">
        <f>Данные!J84</f>
        <v>9.1999999999999993</v>
      </c>
      <c r="J84" s="31">
        <f>Данные!K84/Данные!B84</f>
        <v>104.66544509997384</v>
      </c>
      <c r="K84" s="31">
        <f>Данные!L84/Данные!B84</f>
        <v>7.1884501540382182</v>
      </c>
      <c r="L84" s="31">
        <f>Данные!M84/Данные!B84</f>
        <v>0.32217143547510219</v>
      </c>
    </row>
    <row r="85" spans="1:12" ht="26.4" x14ac:dyDescent="0.3">
      <c r="A85" s="14" t="s">
        <v>34</v>
      </c>
      <c r="B85" s="17">
        <f>Данные!C85/Данные!B85</f>
        <v>5726.0966850053273</v>
      </c>
      <c r="C85" s="17">
        <f>Данные!D85/Данные!B85</f>
        <v>1596.6470075478455</v>
      </c>
      <c r="D85" s="17">
        <f>Данные!E85/Данные!B85</f>
        <v>9.4186478145966868E-2</v>
      </c>
      <c r="E85" s="18">
        <f>Данные!F85</f>
        <v>74.400000000000006</v>
      </c>
      <c r="F85" s="17">
        <f>Данные!G85</f>
        <v>-24.3</v>
      </c>
      <c r="G85" s="17">
        <f>Данные!H85/Данные!B85</f>
        <v>3.4793593103333644</v>
      </c>
      <c r="H85" s="17">
        <f>Данные!I85/Данные!B85</f>
        <v>1.0415916406730454</v>
      </c>
      <c r="I85" s="17">
        <f>Данные!J85</f>
        <v>4.7</v>
      </c>
      <c r="J85" s="17">
        <f>Данные!K85/Данные!B85</f>
        <v>298.89986499938129</v>
      </c>
      <c r="K85" s="17">
        <f>Данные!L85/Данные!B85</f>
        <v>5.7047457057429742</v>
      </c>
      <c r="L85" s="17">
        <f>Данные!M85/Данные!B85</f>
        <v>0.27886584705962741</v>
      </c>
    </row>
    <row r="86" spans="1:12" x14ac:dyDescent="0.3">
      <c r="A86" s="14" t="s">
        <v>21</v>
      </c>
      <c r="B86" s="17">
        <f>Данные!C86/Данные!B86</f>
        <v>481.75210398122596</v>
      </c>
      <c r="C86" s="17">
        <f>Данные!D86/Данные!B86</f>
        <v>52.581232951099231</v>
      </c>
      <c r="D86" s="17">
        <f>Данные!E86/Данные!B86</f>
        <v>7.4626154720660004E-2</v>
      </c>
      <c r="E86" s="18">
        <f>Данные!F86</f>
        <v>58</v>
      </c>
      <c r="F86" s="17">
        <f>Данные!G86</f>
        <v>8.1</v>
      </c>
      <c r="G86" s="17">
        <f>Данные!H86/Данные!B86</f>
        <v>3.4748795660886049</v>
      </c>
      <c r="H86" s="17">
        <f>Данные!I86/Данные!B86</f>
        <v>0.90424670454076328</v>
      </c>
      <c r="I86" s="17">
        <f>Данные!J86</f>
        <v>14.7</v>
      </c>
      <c r="J86" s="17">
        <f>Данные!K86/Данные!B86</f>
        <v>186.32086706065041</v>
      </c>
      <c r="K86" s="17">
        <f>Данные!L86/Данные!B86</f>
        <v>5.0078913189140781</v>
      </c>
      <c r="L86" s="17">
        <f>Данные!M86/Данные!B86</f>
        <v>0.345344439398799</v>
      </c>
    </row>
    <row r="87" spans="1:12" x14ac:dyDescent="0.3">
      <c r="A87" s="33"/>
      <c r="B87" s="34"/>
      <c r="C87" s="34"/>
      <c r="D87" s="34"/>
      <c r="E87" s="35"/>
      <c r="F87" s="34"/>
      <c r="G87" s="34"/>
      <c r="H87" s="34"/>
      <c r="I87" s="34"/>
      <c r="J87" s="34"/>
      <c r="K87" s="34"/>
      <c r="L87" s="34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4BAC-5009-4D8A-83D4-655425CEBDA2}">
  <dimension ref="A1:CC106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D2" sqref="BD2:BD86"/>
    </sheetView>
  </sheetViews>
  <sheetFormatPr defaultRowHeight="14.4" x14ac:dyDescent="0.3"/>
  <cols>
    <col min="1" max="1" width="31.109375" customWidth="1"/>
    <col min="2" max="2" width="13.44140625" customWidth="1"/>
    <col min="3" max="3" width="12.33203125" customWidth="1"/>
    <col min="4" max="4" width="19.109375" customWidth="1"/>
    <col min="5" max="5" width="14.88671875" customWidth="1"/>
    <col min="6" max="6" width="16.88671875" customWidth="1"/>
    <col min="7" max="7" width="16.33203125" customWidth="1"/>
    <col min="8" max="8" width="18.109375" customWidth="1"/>
    <col min="9" max="9" width="24.6640625" customWidth="1"/>
    <col min="10" max="10" width="14.6640625" customWidth="1"/>
    <col min="11" max="11" width="13.109375" customWidth="1"/>
    <col min="12" max="12" width="15.21875" customWidth="1"/>
    <col min="13" max="20" width="8.88671875" customWidth="1"/>
    <col min="21" max="53" width="8.88671875" hidden="1" customWidth="1"/>
    <col min="54" max="54" width="17.21875" hidden="1" customWidth="1"/>
    <col min="55" max="55" width="8.88671875" customWidth="1"/>
    <col min="56" max="56" width="10.88671875" customWidth="1"/>
    <col min="68" max="68" width="12.109375" customWidth="1"/>
    <col min="69" max="69" width="13.33203125" customWidth="1"/>
    <col min="72" max="72" width="13.109375" customWidth="1"/>
    <col min="76" max="76" width="11.77734375" customWidth="1"/>
  </cols>
  <sheetData>
    <row r="1" spans="1:81" ht="165.6" customHeight="1" x14ac:dyDescent="0.3">
      <c r="A1" s="19" t="s">
        <v>106</v>
      </c>
      <c r="B1" s="19" t="s">
        <v>124</v>
      </c>
      <c r="C1" s="19" t="s">
        <v>168</v>
      </c>
      <c r="D1" s="19" t="s">
        <v>123</v>
      </c>
      <c r="E1" s="19" t="s">
        <v>170</v>
      </c>
      <c r="F1" s="19" t="s">
        <v>122</v>
      </c>
      <c r="G1" s="19" t="s">
        <v>171</v>
      </c>
      <c r="H1" s="19" t="s">
        <v>108</v>
      </c>
      <c r="I1" s="19" t="s">
        <v>169</v>
      </c>
      <c r="J1" s="19" t="s">
        <v>204</v>
      </c>
      <c r="K1" s="19" t="s">
        <v>205</v>
      </c>
      <c r="L1" s="19" t="s">
        <v>207</v>
      </c>
      <c r="M1" s="19" t="s">
        <v>208</v>
      </c>
      <c r="N1" s="19" t="s">
        <v>227</v>
      </c>
      <c r="O1" s="19" t="s">
        <v>228</v>
      </c>
      <c r="P1" s="19" t="s">
        <v>229</v>
      </c>
      <c r="Q1" s="19" t="s">
        <v>230</v>
      </c>
      <c r="R1" s="37" t="s">
        <v>126</v>
      </c>
      <c r="S1" s="37" t="s">
        <v>134</v>
      </c>
      <c r="T1" s="37" t="s">
        <v>178</v>
      </c>
      <c r="U1" s="37" t="s">
        <v>246</v>
      </c>
      <c r="V1" s="37" t="s">
        <v>127</v>
      </c>
      <c r="W1" s="37" t="s">
        <v>135</v>
      </c>
      <c r="X1" s="37" t="s">
        <v>162</v>
      </c>
      <c r="Y1" s="37" t="s">
        <v>163</v>
      </c>
      <c r="Z1" s="37" t="s">
        <v>164</v>
      </c>
      <c r="AA1" s="37" t="s">
        <v>179</v>
      </c>
      <c r="AB1" s="37" t="s">
        <v>182</v>
      </c>
      <c r="AC1" s="37" t="s">
        <v>136</v>
      </c>
      <c r="AD1" s="37" t="s">
        <v>137</v>
      </c>
      <c r="AE1" s="37" t="s">
        <v>138</v>
      </c>
      <c r="AF1" s="37" t="s">
        <v>139</v>
      </c>
      <c r="AG1" s="37" t="s">
        <v>140</v>
      </c>
      <c r="AH1" s="37" t="s">
        <v>141</v>
      </c>
      <c r="AI1" s="37" t="s">
        <v>142</v>
      </c>
      <c r="AJ1" s="37" t="s">
        <v>143</v>
      </c>
      <c r="AK1" s="37" t="s">
        <v>144</v>
      </c>
      <c r="AL1" s="37" t="s">
        <v>145</v>
      </c>
      <c r="AM1" s="37" t="s">
        <v>146</v>
      </c>
      <c r="AN1" s="37" t="s">
        <v>147</v>
      </c>
      <c r="AO1" s="37" t="s">
        <v>148</v>
      </c>
      <c r="AP1" s="37" t="s">
        <v>149</v>
      </c>
      <c r="AQ1" s="37" t="s">
        <v>150</v>
      </c>
      <c r="AR1" s="37" t="s">
        <v>151</v>
      </c>
      <c r="AS1" s="37" t="s">
        <v>152</v>
      </c>
      <c r="AT1" s="37" t="s">
        <v>153</v>
      </c>
      <c r="AU1" s="37" t="s">
        <v>154</v>
      </c>
      <c r="AV1" s="37" t="s">
        <v>155</v>
      </c>
      <c r="AW1" s="37" t="s">
        <v>156</v>
      </c>
      <c r="AX1" s="37" t="s">
        <v>157</v>
      </c>
      <c r="AY1" s="37" t="s">
        <v>158</v>
      </c>
      <c r="AZ1" s="37" t="s">
        <v>159</v>
      </c>
      <c r="BA1" s="37" t="s">
        <v>160</v>
      </c>
      <c r="BB1" s="37" t="s">
        <v>161</v>
      </c>
      <c r="BC1" s="37" t="s">
        <v>243</v>
      </c>
      <c r="BD1" s="37" t="s">
        <v>247</v>
      </c>
      <c r="BE1" s="37" t="s">
        <v>248</v>
      </c>
      <c r="BF1" s="37" t="s">
        <v>245</v>
      </c>
      <c r="BG1" s="37" t="s">
        <v>251</v>
      </c>
      <c r="BH1" s="37" t="s">
        <v>250</v>
      </c>
      <c r="BI1" s="19" t="s">
        <v>98</v>
      </c>
      <c r="BJ1" s="19" t="s">
        <v>99</v>
      </c>
      <c r="BK1" s="19" t="s">
        <v>100</v>
      </c>
      <c r="BL1" s="19" t="s">
        <v>29</v>
      </c>
      <c r="BM1" s="19" t="s">
        <v>107</v>
      </c>
      <c r="BN1" s="19" t="s">
        <v>101</v>
      </c>
      <c r="BO1" s="19" t="s">
        <v>102</v>
      </c>
      <c r="BP1" s="19" t="s">
        <v>25</v>
      </c>
      <c r="BQ1" s="19" t="s">
        <v>103</v>
      </c>
      <c r="BR1" s="19" t="s">
        <v>104</v>
      </c>
      <c r="BS1" s="19" t="s">
        <v>105</v>
      </c>
      <c r="BT1" s="25" t="s">
        <v>211</v>
      </c>
      <c r="BU1" s="25" t="s">
        <v>220</v>
      </c>
      <c r="BV1" s="25" t="s">
        <v>221</v>
      </c>
      <c r="BW1" s="25" t="s">
        <v>222</v>
      </c>
      <c r="BX1" s="25" t="s">
        <v>206</v>
      </c>
      <c r="BY1" s="25" t="s">
        <v>225</v>
      </c>
      <c r="BZ1" s="25" t="s">
        <v>226</v>
      </c>
      <c r="CA1" s="25" t="s">
        <v>223</v>
      </c>
      <c r="CB1" s="25" t="s">
        <v>224</v>
      </c>
      <c r="CC1" s="67" t="s">
        <v>231</v>
      </c>
    </row>
    <row r="2" spans="1:81" x14ac:dyDescent="0.3">
      <c r="A2" s="22" t="s">
        <v>35</v>
      </c>
      <c r="B2">
        <v>3</v>
      </c>
      <c r="C2">
        <v>1</v>
      </c>
      <c r="D2" s="28">
        <v>5</v>
      </c>
      <c r="E2" s="28">
        <v>2</v>
      </c>
      <c r="F2" s="28">
        <v>4</v>
      </c>
      <c r="G2" s="28">
        <v>5</v>
      </c>
      <c r="H2" s="28">
        <v>1</v>
      </c>
      <c r="I2">
        <v>4</v>
      </c>
      <c r="J2" s="51">
        <v>2</v>
      </c>
      <c r="K2" s="50">
        <v>1</v>
      </c>
      <c r="L2">
        <v>1</v>
      </c>
      <c r="M2" s="49">
        <v>2</v>
      </c>
      <c r="N2" s="65">
        <v>4</v>
      </c>
      <c r="O2" s="66">
        <v>3</v>
      </c>
      <c r="P2" s="66">
        <v>2</v>
      </c>
      <c r="Q2" s="66">
        <v>5</v>
      </c>
      <c r="R2">
        <v>3</v>
      </c>
      <c r="S2" s="39" t="str">
        <f>RIGHT(Таблица1[[#This Row],[Классификация дискр ф-ции]])</f>
        <v>3</v>
      </c>
      <c r="T2" s="90">
        <v>3</v>
      </c>
      <c r="U2" s="90">
        <f>IF(Таблица1[[#This Row],[Обучающая выборка]]=Таблица1[[#This Row],[Номер класса по классификации дискр функции (Python)]],1,0)</f>
        <v>1</v>
      </c>
      <c r="V2" s="90">
        <f>MATCH(MIN(Таблица1[[#This Row],[Махаланобис 1]:[Махаланобис 6]]),Таблица1[[#This Row],[Махаланобис 1]:[Махаланобис 6]],0)</f>
        <v>3</v>
      </c>
      <c r="W2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2" s="40" t="str">
        <f>RIGHT(Таблица1[[#This Row],[Forward Классификация дискр ф-ции]])</f>
        <v>3</v>
      </c>
      <c r="Y2" s="40">
        <f>MATCH(MIN(Таблица1[[#This Row],[Forward Махаланобис 1]:[Forward Махаланобис 6]]),Таблица1[[#This Row],[Forward Махаланобис 1]:[Forward Махаланобис 6]],0)</f>
        <v>3</v>
      </c>
      <c r="Z2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2" s="90">
        <v>3</v>
      </c>
      <c r="AB2" s="90">
        <f>IF(Таблица1[[#This Row],[Обучающая выборка]]=Таблица1[[#This Row],[Номер класса (пошаговый дискр анализ с включением) Python]],1,0)</f>
        <v>1</v>
      </c>
      <c r="AC2" s="40" t="s">
        <v>128</v>
      </c>
      <c r="AD2" s="41">
        <v>26.876647007912652</v>
      </c>
      <c r="AE2" s="41">
        <v>45.26061909711143</v>
      </c>
      <c r="AF2" s="41">
        <v>4.7882582677287928</v>
      </c>
      <c r="AG2" s="42">
        <v>126.32492383697864</v>
      </c>
      <c r="AH2" s="41">
        <v>1165.9839541372514</v>
      </c>
      <c r="AI2" s="41">
        <v>17.291731330943588</v>
      </c>
      <c r="AJ2" s="43">
        <v>8.7069458505000371E-6</v>
      </c>
      <c r="AK2" s="43">
        <v>5.9121544020149614E-10</v>
      </c>
      <c r="AL2" s="43">
        <v>0.99894125731245809</v>
      </c>
      <c r="AM2" s="43">
        <v>1.475216134592783E-27</v>
      </c>
      <c r="AN2" s="43">
        <v>0</v>
      </c>
      <c r="AO2" s="43">
        <v>1.0500351504760242E-3</v>
      </c>
      <c r="AP2" s="40" t="s">
        <v>128</v>
      </c>
      <c r="AQ2" s="42">
        <v>23.422570698872747</v>
      </c>
      <c r="AR2" s="42">
        <v>39.143936981060968</v>
      </c>
      <c r="AS2" s="41">
        <v>4.0030311462475856</v>
      </c>
      <c r="AT2" s="42">
        <v>107.82908674453617</v>
      </c>
      <c r="AU2" s="41">
        <v>1036.8193234083071</v>
      </c>
      <c r="AV2" s="41">
        <v>14.259617688443567</v>
      </c>
      <c r="AW2" s="43">
        <v>3.2994618122802118E-5</v>
      </c>
      <c r="AX2" s="43">
        <v>8.4820442736615621E-9</v>
      </c>
      <c r="AY2" s="43">
        <v>0.99674479261064308</v>
      </c>
      <c r="AZ2" s="43">
        <v>1.0320714621562571E-23</v>
      </c>
      <c r="BA2" s="43">
        <v>0</v>
      </c>
      <c r="BB2" s="43">
        <v>3.2222042891899396E-3</v>
      </c>
      <c r="BC2" s="40">
        <v>5</v>
      </c>
      <c r="BD2" s="40">
        <v>2</v>
      </c>
      <c r="BE2" s="40">
        <f>IF(Таблица1[[#This Row],[Neuron id (Кохонен)]]=Таблица1[[#This Row],[Кохонен 2020]],1,0)</f>
        <v>0</v>
      </c>
      <c r="BF2" s="28">
        <v>3</v>
      </c>
      <c r="BG2" s="40">
        <f>IF(Таблица1[[#This Row],[Персептрон]]=Таблица1[[#This Row],[Обучающая выборка]],1,0)</f>
        <v>1</v>
      </c>
      <c r="BH2" s="40">
        <f>IF(Таблица1[[#This Row],[Номер класса по классификации дискр функции (Python)]]=Таблица1[[#This Row],[Персептрон]],1,0)</f>
        <v>1</v>
      </c>
      <c r="BI2" s="36">
        <v>-0.41034940587649199</v>
      </c>
      <c r="BJ2" s="36">
        <v>-0.37382467896197946</v>
      </c>
      <c r="BK2" s="36">
        <v>0.3790101270079636</v>
      </c>
      <c r="BL2" s="36">
        <v>-0.50032032513721891</v>
      </c>
      <c r="BM2" s="36">
        <v>-0.47350442007230314</v>
      </c>
      <c r="BN2" s="36">
        <v>4.2511147884218142E-2</v>
      </c>
      <c r="BO2" s="36">
        <v>0.11147310932506073</v>
      </c>
      <c r="BP2" s="36">
        <v>0.61683487313070362</v>
      </c>
      <c r="BQ2" s="36">
        <v>-0.55772087759231559</v>
      </c>
      <c r="BR2" s="36">
        <v>-0.60221524565922013</v>
      </c>
      <c r="BS2" s="36">
        <v>0.36053596440995228</v>
      </c>
      <c r="BT2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2.1247277389991792</v>
      </c>
      <c r="BU2" s="50">
        <v>-0.50237999999999994</v>
      </c>
      <c r="BV2" s="50">
        <v>0.16116</v>
      </c>
      <c r="BW2" s="50">
        <v>0.20416000000000001</v>
      </c>
      <c r="BX2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0.3200392690683182</v>
      </c>
      <c r="BY2" s="63">
        <v>-0.32181139898184385</v>
      </c>
      <c r="BZ2" s="64">
        <v>0.42368240965941273</v>
      </c>
      <c r="CA2" s="64">
        <v>-5.3010456654911199E-2</v>
      </c>
      <c r="CB2" s="64">
        <v>-0.38993708004261457</v>
      </c>
      <c r="CC2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0.43793039567638059</v>
      </c>
    </row>
    <row r="3" spans="1:81" x14ac:dyDescent="0.3">
      <c r="A3" s="22" t="s">
        <v>36</v>
      </c>
      <c r="B3">
        <v>6</v>
      </c>
      <c r="C3">
        <v>3</v>
      </c>
      <c r="D3" s="28">
        <v>5</v>
      </c>
      <c r="E3" s="28">
        <v>2</v>
      </c>
      <c r="F3" s="28">
        <v>5</v>
      </c>
      <c r="G3" s="28">
        <v>2</v>
      </c>
      <c r="H3" s="28">
        <v>5</v>
      </c>
      <c r="I3">
        <v>2</v>
      </c>
      <c r="J3" s="51">
        <v>1</v>
      </c>
      <c r="K3" s="50">
        <v>6</v>
      </c>
      <c r="L3">
        <v>1</v>
      </c>
      <c r="M3" s="49">
        <v>2</v>
      </c>
      <c r="N3" s="65">
        <v>5</v>
      </c>
      <c r="O3" s="66">
        <v>4</v>
      </c>
      <c r="P3" s="66">
        <v>2</v>
      </c>
      <c r="Q3" s="66">
        <v>5</v>
      </c>
      <c r="S3" s="39" t="str">
        <f>RIGHT(Таблица1[[#This Row],[Классификация дискр ф-ции]])</f>
        <v>6</v>
      </c>
      <c r="T3" s="90">
        <v>6</v>
      </c>
      <c r="U3" s="90">
        <f>IF(Таблица1[[#This Row],[Обучающая выборка]]=Таблица1[[#This Row],[Номер класса по классификации дискр функции (Python)]],1,0)</f>
        <v>0</v>
      </c>
      <c r="V3" s="90">
        <f>MATCH(MIN(Таблица1[[#This Row],[Махаланобис 1]:[Махаланобис 6]]),Таблица1[[#This Row],[Махаланобис 1]:[Махаланобис 6]],0)</f>
        <v>6</v>
      </c>
      <c r="W3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3" s="40" t="str">
        <f>RIGHT(Таблица1[[#This Row],[Forward Классификация дискр ф-ции]])</f>
        <v>6</v>
      </c>
      <c r="Y3" s="40">
        <f>MATCH(MIN(Таблица1[[#This Row],[Forward Махаланобис 1]:[Forward Махаланобис 6]]),Таблица1[[#This Row],[Forward Махаланобис 1]:[Forward Махаланобис 6]],0)</f>
        <v>6</v>
      </c>
      <c r="Z3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3" s="90">
        <v>6</v>
      </c>
      <c r="AB3" s="90">
        <f>IF(Таблица1[[#This Row],[Обучающая выборка]]=Таблица1[[#This Row],[Номер класса (пошаговый дискр анализ с включением) Python]],1,0)</f>
        <v>0</v>
      </c>
      <c r="AC3" s="40" t="s">
        <v>129</v>
      </c>
      <c r="AD3" s="41">
        <v>256.62285912156915</v>
      </c>
      <c r="AE3" s="41">
        <v>285.08676911429126</v>
      </c>
      <c r="AF3" s="41">
        <v>280.82264255665797</v>
      </c>
      <c r="AG3" s="42">
        <v>288.95730755853953</v>
      </c>
      <c r="AH3" s="41">
        <v>1028.8828838519305</v>
      </c>
      <c r="AI3" s="41">
        <v>198.86950369748561</v>
      </c>
      <c r="AJ3" s="43">
        <v>2.8775190930430913E-13</v>
      </c>
      <c r="AK3" s="43">
        <v>1.2649327394562766E-19</v>
      </c>
      <c r="AL3" s="43">
        <v>2.9332119400231001E-18</v>
      </c>
      <c r="AM3" s="43">
        <v>1.8263780924854097E-20</v>
      </c>
      <c r="AN3" s="43">
        <v>0</v>
      </c>
      <c r="AO3" s="43">
        <v>0.99999999999971223</v>
      </c>
      <c r="AP3" s="40" t="s">
        <v>129</v>
      </c>
      <c r="AQ3" s="42">
        <v>39.39757809797112</v>
      </c>
      <c r="AR3" s="42">
        <v>39.057555315302402</v>
      </c>
      <c r="AS3" s="41">
        <v>44.124796276831887</v>
      </c>
      <c r="AT3" s="42">
        <v>101.86119962256963</v>
      </c>
      <c r="AU3" s="41">
        <v>938.60082942535155</v>
      </c>
      <c r="AV3" s="41">
        <v>8.2959629326412809</v>
      </c>
      <c r="AW3" s="43">
        <v>1.7634775181335508E-7</v>
      </c>
      <c r="AX3" s="43">
        <v>1.3935215122711339E-7</v>
      </c>
      <c r="AY3" s="43">
        <v>3.0416481688589807E-8</v>
      </c>
      <c r="AZ3" s="43">
        <v>3.2097824224811988E-21</v>
      </c>
      <c r="BA3" s="43">
        <v>0</v>
      </c>
      <c r="BB3" s="43">
        <v>0.99999965388361534</v>
      </c>
      <c r="BC3" s="40">
        <v>3</v>
      </c>
      <c r="BD3" s="40">
        <v>3</v>
      </c>
      <c r="BE3" s="40">
        <f>IF(Таблица1[[#This Row],[Neuron id (Кохонен)]]=Таблица1[[#This Row],[Кохонен 2020]],1,0)</f>
        <v>1</v>
      </c>
      <c r="BF3" s="28">
        <v>6</v>
      </c>
      <c r="BG3" s="40">
        <f>IF(Таблица1[[#This Row],[Персептрон]]=Таблица1[[#This Row],[Обучающая выборка]],1,0)</f>
        <v>0</v>
      </c>
      <c r="BH3" s="40">
        <f>IF(Таблица1[[#This Row],[Номер класса по классификации дискр функции (Python)]]=Таблица1[[#This Row],[Персептрон]],1,0)</f>
        <v>1</v>
      </c>
      <c r="BI3" s="36">
        <v>-0.16909410041597916</v>
      </c>
      <c r="BJ3" s="36">
        <v>0.937437056393713</v>
      </c>
      <c r="BK3" s="36">
        <v>-0.16755150625916221</v>
      </c>
      <c r="BL3" s="36">
        <v>0.31341250435702372</v>
      </c>
      <c r="BM3" s="36">
        <v>-0.14217838637910335</v>
      </c>
      <c r="BN3" s="36">
        <v>2.9671970786574744</v>
      </c>
      <c r="BO3" s="36">
        <v>2.1441566285543323</v>
      </c>
      <c r="BP3" s="36">
        <v>0.58109461122469841</v>
      </c>
      <c r="BQ3" s="36">
        <v>0.15292488161067377</v>
      </c>
      <c r="BR3" s="36">
        <v>0.76236869818178521</v>
      </c>
      <c r="BS3" s="36">
        <v>-0.20639202448150701</v>
      </c>
      <c r="BT3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15.440423465899945</v>
      </c>
      <c r="BU3" s="50">
        <v>0.43931000000000009</v>
      </c>
      <c r="BV3" s="50">
        <v>1.6243700000000001</v>
      </c>
      <c r="BW3" s="50">
        <v>-1.6475500000000001</v>
      </c>
      <c r="BX3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5.5459931520977301</v>
      </c>
      <c r="BY3" s="63">
        <v>0.53407881110530298</v>
      </c>
      <c r="BZ3" s="64">
        <v>0.25038518979723234</v>
      </c>
      <c r="CA3" s="64">
        <v>2.0377768772780911</v>
      </c>
      <c r="CB3" s="64">
        <v>-0.78404894894955146</v>
      </c>
      <c r="CC3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5.1152002756595945</v>
      </c>
    </row>
    <row r="4" spans="1:81" ht="14.4" customHeight="1" x14ac:dyDescent="0.3">
      <c r="A4" s="22" t="s">
        <v>30</v>
      </c>
      <c r="B4">
        <v>3</v>
      </c>
      <c r="C4">
        <v>4</v>
      </c>
      <c r="D4" s="28">
        <v>5</v>
      </c>
      <c r="E4" s="28">
        <v>2</v>
      </c>
      <c r="F4" s="28">
        <v>4</v>
      </c>
      <c r="G4" s="28">
        <v>5</v>
      </c>
      <c r="H4" s="28">
        <v>1</v>
      </c>
      <c r="I4">
        <v>4</v>
      </c>
      <c r="J4" s="51">
        <v>2</v>
      </c>
      <c r="K4" s="50">
        <v>1</v>
      </c>
      <c r="L4">
        <v>2</v>
      </c>
      <c r="M4" s="49">
        <v>3</v>
      </c>
      <c r="N4" s="65">
        <v>3</v>
      </c>
      <c r="O4" s="66">
        <v>3</v>
      </c>
      <c r="P4" s="66">
        <v>2</v>
      </c>
      <c r="Q4" s="66">
        <v>5</v>
      </c>
      <c r="S4" s="39" t="str">
        <f>RIGHT(Таблица1[[#This Row],[Классификация дискр ф-ции]])</f>
        <v>6</v>
      </c>
      <c r="T4" s="90">
        <v>6</v>
      </c>
      <c r="U4" s="90">
        <f>IF(Таблица1[[#This Row],[Обучающая выборка]]=Таблица1[[#This Row],[Номер класса по классификации дискр функции (Python)]],1,0)</f>
        <v>0</v>
      </c>
      <c r="V4" s="90">
        <f>MATCH(MIN(Таблица1[[#This Row],[Махаланобис 1]:[Махаланобис 6]]),Таблица1[[#This Row],[Махаланобис 1]:[Махаланобис 6]],0)</f>
        <v>6</v>
      </c>
      <c r="W4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4" s="40" t="str">
        <f>RIGHT(Таблица1[[#This Row],[Forward Классификация дискр ф-ции]])</f>
        <v>3</v>
      </c>
      <c r="Y4" s="40">
        <f>MATCH(MIN(Таблица1[[#This Row],[Forward Махаланобис 1]:[Forward Махаланобис 6]]),Таблица1[[#This Row],[Forward Махаланобис 1]:[Forward Махаланобис 6]],0)</f>
        <v>3</v>
      </c>
      <c r="Z4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4" s="90">
        <v>3</v>
      </c>
      <c r="AB4" s="90">
        <f>IF(Таблица1[[#This Row],[Обучающая выборка]]=Таблица1[[#This Row],[Номер класса (пошаговый дискр анализ с включением) Python]],1,0)</f>
        <v>0</v>
      </c>
      <c r="AC4" s="40" t="s">
        <v>129</v>
      </c>
      <c r="AD4" s="41">
        <v>108.18136160255668</v>
      </c>
      <c r="AE4" s="41">
        <v>96.408234679780847</v>
      </c>
      <c r="AF4" s="41">
        <v>73.430725339087644</v>
      </c>
      <c r="AG4" s="42">
        <v>161.53997160527177</v>
      </c>
      <c r="AH4" s="41">
        <v>1101.9772034059606</v>
      </c>
      <c r="AI4" s="41">
        <v>66.308040799620912</v>
      </c>
      <c r="AJ4" s="43">
        <v>7.6785649837492799E-10</v>
      </c>
      <c r="AK4" s="43">
        <v>1.8437024536526034E-7</v>
      </c>
      <c r="AL4" s="43">
        <v>4.9491006340344222E-2</v>
      </c>
      <c r="AM4" s="43">
        <v>1.3259094377323579E-21</v>
      </c>
      <c r="AN4" s="43">
        <v>0</v>
      </c>
      <c r="AO4" s="43">
        <v>0.95050880852155395</v>
      </c>
      <c r="AP4" s="40" t="s">
        <v>128</v>
      </c>
      <c r="AQ4" s="42">
        <v>53.941645101775393</v>
      </c>
      <c r="AR4" s="42">
        <v>47.886781552635689</v>
      </c>
      <c r="AS4" s="41">
        <v>31.230776725183787</v>
      </c>
      <c r="AT4" s="42">
        <v>79.79700878345389</v>
      </c>
      <c r="AU4" s="41">
        <v>887.68094623774891</v>
      </c>
      <c r="AV4" s="41">
        <v>40.470846797683521</v>
      </c>
      <c r="AW4" s="43">
        <v>6.3502052788574909E-6</v>
      </c>
      <c r="AX4" s="43">
        <v>8.7396375034443254E-5</v>
      </c>
      <c r="AY4" s="43">
        <v>0.99456141659858877</v>
      </c>
      <c r="AZ4" s="43">
        <v>1.0286689199749585E-11</v>
      </c>
      <c r="BA4" s="43">
        <v>0</v>
      </c>
      <c r="BB4" s="43">
        <v>5.344836810811316E-3</v>
      </c>
      <c r="BC4" s="40">
        <v>5</v>
      </c>
      <c r="BD4" s="40">
        <v>4</v>
      </c>
      <c r="BE4" s="40">
        <f>IF(Таблица1[[#This Row],[Neuron id (Кохонен)]]=Таблица1[[#This Row],[Кохонен 2020]],1,0)</f>
        <v>0</v>
      </c>
      <c r="BF4" s="28">
        <v>3</v>
      </c>
      <c r="BG4" s="40">
        <f>IF(Таблица1[[#This Row],[Персептрон]]=Таблица1[[#This Row],[Обучающая выборка]],1,0)</f>
        <v>0</v>
      </c>
      <c r="BH4" s="40">
        <f>IF(Таблица1[[#This Row],[Номер класса по классификации дискр функции (Python)]]=Таблица1[[#This Row],[Персептрон]],1,0)</f>
        <v>0</v>
      </c>
      <c r="BI4" s="36">
        <v>-0.18062564664440056</v>
      </c>
      <c r="BJ4" s="36">
        <v>-0.2426064290581155</v>
      </c>
      <c r="BK4" s="36">
        <v>-0.58944900558893498</v>
      </c>
      <c r="BL4" s="36">
        <v>-0.65531705456469469</v>
      </c>
      <c r="BM4" s="36">
        <v>-0.65838800793425445</v>
      </c>
      <c r="BN4" s="36">
        <v>0.85435338091118851</v>
      </c>
      <c r="BO4" s="36">
        <v>-0.94656944141530186</v>
      </c>
      <c r="BP4" s="36">
        <v>0.29517251597665539</v>
      </c>
      <c r="BQ4" s="36">
        <v>0.77084918170801964</v>
      </c>
      <c r="BR4" s="36">
        <v>0.82848826502743345</v>
      </c>
      <c r="BS4" s="36">
        <v>1.7190991127804622</v>
      </c>
      <c r="BT4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7.2507920917050912</v>
      </c>
      <c r="BU4" s="50">
        <v>-0.20359000000000002</v>
      </c>
      <c r="BV4" s="50">
        <v>1.0617399999999999</v>
      </c>
      <c r="BW4" s="50">
        <v>0.40603</v>
      </c>
      <c r="BX4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1.3336011350777297</v>
      </c>
      <c r="BY4" s="63">
        <v>-0.27549197491135691</v>
      </c>
      <c r="BZ4" s="64">
        <v>0.88270588183856691</v>
      </c>
      <c r="CA4" s="64">
        <v>0.29048844157355808</v>
      </c>
      <c r="CB4" s="64">
        <v>0.13039962069662531</v>
      </c>
      <c r="CC4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0.95645309783861998</v>
      </c>
    </row>
    <row r="5" spans="1:81" ht="28.8" customHeight="1" x14ac:dyDescent="0.3">
      <c r="A5" s="22" t="s">
        <v>37</v>
      </c>
      <c r="B5">
        <v>1</v>
      </c>
      <c r="C5">
        <v>4</v>
      </c>
      <c r="D5" s="28">
        <v>5</v>
      </c>
      <c r="E5" s="28">
        <v>2</v>
      </c>
      <c r="F5" s="28">
        <v>4</v>
      </c>
      <c r="G5" s="28">
        <v>5</v>
      </c>
      <c r="H5" s="28">
        <v>4</v>
      </c>
      <c r="I5">
        <v>2</v>
      </c>
      <c r="J5" s="51">
        <v>1</v>
      </c>
      <c r="K5" s="50">
        <v>3</v>
      </c>
      <c r="L5">
        <v>3</v>
      </c>
      <c r="M5" s="49">
        <v>1</v>
      </c>
      <c r="N5" s="65">
        <v>5</v>
      </c>
      <c r="O5" s="66">
        <v>4</v>
      </c>
      <c r="P5" s="66">
        <v>5</v>
      </c>
      <c r="Q5" s="66">
        <v>1</v>
      </c>
      <c r="S5" s="39" t="str">
        <f>RIGHT(Таблица1[[#This Row],[Классификация дискр ф-ции]])</f>
        <v>2</v>
      </c>
      <c r="T5" s="90">
        <v>2</v>
      </c>
      <c r="U5" s="90">
        <f>IF(Таблица1[[#This Row],[Обучающая выборка]]=Таблица1[[#This Row],[Номер класса по классификации дискр функции (Python)]],1,0)</f>
        <v>0</v>
      </c>
      <c r="V5" s="90">
        <f>MATCH(MIN(Таблица1[[#This Row],[Махаланобис 1]:[Махаланобис 6]]),Таблица1[[#This Row],[Махаланобис 1]:[Махаланобис 6]],0)</f>
        <v>2</v>
      </c>
      <c r="W5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5" s="40" t="str">
        <f>RIGHT(Таблица1[[#This Row],[Forward Классификация дискр ф-ции]])</f>
        <v>6</v>
      </c>
      <c r="Y5" s="40">
        <f>MATCH(MIN(Таблица1[[#This Row],[Forward Махаланобис 1]:[Forward Махаланобис 6]]),Таблица1[[#This Row],[Forward Махаланобис 1]:[Forward Махаланобис 6]],0)</f>
        <v>6</v>
      </c>
      <c r="Z5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5" s="90">
        <v>6</v>
      </c>
      <c r="AB5" s="90">
        <f>IF(Таблица1[[#This Row],[Обучающая выборка]]=Таблица1[[#This Row],[Номер класса (пошаговый дискр анализ с включением) Python]],1,0)</f>
        <v>0</v>
      </c>
      <c r="AC5" s="40" t="s">
        <v>131</v>
      </c>
      <c r="AD5" s="41">
        <v>62.849713943458084</v>
      </c>
      <c r="AE5" s="41">
        <v>43.401439084520426</v>
      </c>
      <c r="AF5" s="41">
        <v>60.832003585845861</v>
      </c>
      <c r="AG5" s="42">
        <v>94.996247332436937</v>
      </c>
      <c r="AH5" s="41">
        <v>995.49870824253503</v>
      </c>
      <c r="AI5" s="41">
        <v>48.460502249622849</v>
      </c>
      <c r="AJ5" s="43">
        <v>8.0112612014170823E-5</v>
      </c>
      <c r="AK5" s="43">
        <v>0.89278905950990828</v>
      </c>
      <c r="AL5" s="43">
        <v>4.0279360220612755E-4</v>
      </c>
      <c r="AM5" s="43">
        <v>5.5857127913736254E-12</v>
      </c>
      <c r="AN5" s="43">
        <v>0</v>
      </c>
      <c r="AO5" s="43">
        <v>0.10672803427028571</v>
      </c>
      <c r="AP5" s="40" t="s">
        <v>129</v>
      </c>
      <c r="AQ5" s="42">
        <v>11.718077666507572</v>
      </c>
      <c r="AR5" s="42">
        <v>25.332289561310706</v>
      </c>
      <c r="AS5" s="41">
        <v>21.821738771730914</v>
      </c>
      <c r="AT5" s="42">
        <v>79.551287177534618</v>
      </c>
      <c r="AU5" s="41">
        <v>888.10586031829041</v>
      </c>
      <c r="AV5" s="41">
        <v>11.580303443486301</v>
      </c>
      <c r="AW5" s="43">
        <v>0.47989676993666708</v>
      </c>
      <c r="AX5" s="43">
        <v>3.5380830020553328E-4</v>
      </c>
      <c r="AY5" s="43">
        <v>5.6286873887545896E-3</v>
      </c>
      <c r="AZ5" s="43">
        <v>5.9602198229453369E-16</v>
      </c>
      <c r="BA5" s="43">
        <v>0</v>
      </c>
      <c r="BB5" s="43">
        <v>0.51412073437437211</v>
      </c>
      <c r="BC5" s="40">
        <v>2</v>
      </c>
      <c r="BD5" s="40">
        <v>5</v>
      </c>
      <c r="BE5" s="40">
        <f>IF(Таблица1[[#This Row],[Neuron id (Кохонен)]]=Таблица1[[#This Row],[Кохонен 2020]],1,0)</f>
        <v>0</v>
      </c>
      <c r="BF5" s="28">
        <v>4</v>
      </c>
      <c r="BG5" s="40">
        <f>IF(Таблица1[[#This Row],[Персептрон]]=Таблица1[[#This Row],[Обучающая выборка]],1,0)</f>
        <v>0</v>
      </c>
      <c r="BH5" s="40">
        <f>IF(Таблица1[[#This Row],[Номер класса по классификации дискр функции (Python)]]=Таблица1[[#This Row],[Персептрон]],1,0)</f>
        <v>0</v>
      </c>
      <c r="BI5" s="36">
        <v>-9.7643048257508636E-2</v>
      </c>
      <c r="BJ5" s="36">
        <v>-0.17800311955375944</v>
      </c>
      <c r="BK5" s="36">
        <v>-0.76033713383770285</v>
      </c>
      <c r="BL5" s="36">
        <v>-0.22907604863913805</v>
      </c>
      <c r="BM5" s="36">
        <v>-1.5663311720879953</v>
      </c>
      <c r="BN5" s="36">
        <v>-0.64026596019805548</v>
      </c>
      <c r="BO5" s="36">
        <v>2.8205614576870618E-2</v>
      </c>
      <c r="BP5" s="36">
        <v>-0.38389246023744567</v>
      </c>
      <c r="BQ5" s="36">
        <v>9.7007356501398287E-2</v>
      </c>
      <c r="BR5" s="36">
        <v>1.4354542051016219</v>
      </c>
      <c r="BS5" s="36">
        <v>-1.2228068594270287</v>
      </c>
      <c r="BT5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7.2485063043813707</v>
      </c>
      <c r="BU5" s="50">
        <v>-3.8210000000000001E-2</v>
      </c>
      <c r="BV5" s="50">
        <v>-0.21905000000000002</v>
      </c>
      <c r="BW5" s="50">
        <v>-1.04966</v>
      </c>
      <c r="BX5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1.1512291996565536</v>
      </c>
      <c r="BY5" s="63">
        <v>-0.16270020200605442</v>
      </c>
      <c r="BZ5" s="64">
        <v>-0.78435416938950853</v>
      </c>
      <c r="CA5" s="64">
        <v>0.28481831750679115</v>
      </c>
      <c r="CB5" s="64">
        <v>0.16823877366334017</v>
      </c>
      <c r="CC5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0.75110857772266071</v>
      </c>
    </row>
    <row r="6" spans="1:81" x14ac:dyDescent="0.3">
      <c r="A6" s="22" t="s">
        <v>5</v>
      </c>
      <c r="B6">
        <v>3</v>
      </c>
      <c r="C6">
        <v>1</v>
      </c>
      <c r="D6" s="28">
        <v>5</v>
      </c>
      <c r="E6" s="28">
        <v>2</v>
      </c>
      <c r="F6" s="28">
        <v>4</v>
      </c>
      <c r="G6" s="28">
        <v>5</v>
      </c>
      <c r="H6" s="28">
        <v>1</v>
      </c>
      <c r="I6">
        <v>4</v>
      </c>
      <c r="J6" s="51">
        <v>3</v>
      </c>
      <c r="K6" s="50">
        <v>4</v>
      </c>
      <c r="L6">
        <v>2</v>
      </c>
      <c r="M6" s="49">
        <v>3</v>
      </c>
      <c r="N6" s="65">
        <v>4</v>
      </c>
      <c r="O6" s="66">
        <v>5</v>
      </c>
      <c r="P6" s="66">
        <v>5</v>
      </c>
      <c r="Q6" s="66">
        <v>1</v>
      </c>
      <c r="S6" s="39" t="str">
        <f>RIGHT(Таблица1[[#This Row],[Классификация дискр ф-ции]])</f>
        <v>1</v>
      </c>
      <c r="T6" s="90">
        <v>1</v>
      </c>
      <c r="U6" s="90">
        <f>IF(Таблица1[[#This Row],[Обучающая выборка]]=Таблица1[[#This Row],[Номер класса по классификации дискр функции (Python)]],1,0)</f>
        <v>0</v>
      </c>
      <c r="V6" s="90">
        <f>MATCH(MIN(Таблица1[[#This Row],[Махаланобис 1]:[Махаланобис 6]]),Таблица1[[#This Row],[Махаланобис 1]:[Махаланобис 6]],0)</f>
        <v>1</v>
      </c>
      <c r="W6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6" s="40" t="str">
        <f>RIGHT(Таблица1[[#This Row],[Forward Классификация дискр ф-ции]])</f>
        <v>1</v>
      </c>
      <c r="Y6" s="40">
        <f>MATCH(MIN(Таблица1[[#This Row],[Forward Махаланобис 1]:[Forward Махаланобис 6]]),Таблица1[[#This Row],[Forward Махаланобис 1]:[Forward Махаланобис 6]],0)</f>
        <v>1</v>
      </c>
      <c r="Z6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6" s="90">
        <v>1</v>
      </c>
      <c r="AB6" s="90">
        <f>IF(Таблица1[[#This Row],[Обучающая выборка]]=Таблица1[[#This Row],[Номер класса (пошаговый дискр анализ с включением) Python]],1,0)</f>
        <v>0</v>
      </c>
      <c r="AC6" s="40" t="s">
        <v>130</v>
      </c>
      <c r="AD6" s="41">
        <v>60.573465723373943</v>
      </c>
      <c r="AE6" s="41">
        <v>171.52075189294192</v>
      </c>
      <c r="AF6" s="41">
        <v>80.919127691523258</v>
      </c>
      <c r="AG6" s="42">
        <v>158.40342333532436</v>
      </c>
      <c r="AH6" s="41">
        <v>1156.1302876570126</v>
      </c>
      <c r="AI6" s="41">
        <v>166.55811546984853</v>
      </c>
      <c r="AJ6" s="43">
        <v>0.99992998248972897</v>
      </c>
      <c r="AK6" s="43">
        <v>5.3948732906728819E-25</v>
      </c>
      <c r="AL6" s="43">
        <v>7.0017510271130692E-5</v>
      </c>
      <c r="AM6" s="43">
        <v>3.8051602719173032E-22</v>
      </c>
      <c r="AN6" s="43">
        <v>0</v>
      </c>
      <c r="AO6" s="43">
        <v>9.6759878654367388E-24</v>
      </c>
      <c r="AP6" s="40" t="s">
        <v>130</v>
      </c>
      <c r="AQ6" s="42">
        <v>27.263722857601927</v>
      </c>
      <c r="AR6" s="42">
        <v>109.77014861979279</v>
      </c>
      <c r="AS6" s="41">
        <v>35.524404567473958</v>
      </c>
      <c r="AT6" s="42">
        <v>83.748259429384717</v>
      </c>
      <c r="AU6" s="41">
        <v>930.76792400274621</v>
      </c>
      <c r="AV6" s="41">
        <v>88.369182882807323</v>
      </c>
      <c r="AW6" s="43">
        <v>0.97136868521787978</v>
      </c>
      <c r="AX6" s="43">
        <v>7.856880080672942E-19</v>
      </c>
      <c r="AY6" s="43">
        <v>2.8631314781716464E-2</v>
      </c>
      <c r="AZ6" s="43">
        <v>3.5142412050729784E-13</v>
      </c>
      <c r="BA6" s="43">
        <v>0</v>
      </c>
      <c r="BB6" s="43">
        <v>5.2300043141960323E-14</v>
      </c>
      <c r="BC6" s="40">
        <v>5</v>
      </c>
      <c r="BD6" s="40">
        <v>5</v>
      </c>
      <c r="BE6" s="40">
        <f>IF(Таблица1[[#This Row],[Neuron id (Кохонен)]]=Таблица1[[#This Row],[Кохонен 2020]],1,0)</f>
        <v>1</v>
      </c>
      <c r="BF6" s="28">
        <v>3</v>
      </c>
      <c r="BG6" s="40">
        <f>IF(Таблица1[[#This Row],[Персептрон]]=Таблица1[[#This Row],[Обучающая выборка]],1,0)</f>
        <v>0</v>
      </c>
      <c r="BH6" s="40">
        <f>IF(Таблица1[[#This Row],[Номер класса по классификации дискр функции (Python)]]=Таблица1[[#This Row],[Персептрон]],1,0)</f>
        <v>0</v>
      </c>
      <c r="BI6" s="36">
        <v>-7.4621640945323794E-2</v>
      </c>
      <c r="BJ6" s="36">
        <v>-0.24571366842083883</v>
      </c>
      <c r="BK6" s="36">
        <v>1.6114555991990298</v>
      </c>
      <c r="BL6" s="36">
        <v>0.52653300731980202</v>
      </c>
      <c r="BM6" s="36">
        <v>0.94332624334502635</v>
      </c>
      <c r="BN6" s="36">
        <v>-1.2669267290891488</v>
      </c>
      <c r="BO6" s="36">
        <v>-1.1042449225099449</v>
      </c>
      <c r="BP6" s="36">
        <v>0.36665303978866642</v>
      </c>
      <c r="BQ6" s="36">
        <v>-0.21415769757063718</v>
      </c>
      <c r="BR6" s="36">
        <v>-0.80466884362580249</v>
      </c>
      <c r="BS6" s="36">
        <v>0.58964344722384343</v>
      </c>
      <c r="BT6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7.8297636530574284</v>
      </c>
      <c r="BU6" s="50">
        <v>0.13326000000000002</v>
      </c>
      <c r="BV6" s="50">
        <v>-0.60145999999999999</v>
      </c>
      <c r="BW6" s="50">
        <v>1.83805</v>
      </c>
      <c r="BX6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3.7579396504083182</v>
      </c>
      <c r="BY6" s="63">
        <v>-0.10343926311498607</v>
      </c>
      <c r="BZ6" s="64">
        <v>0.5053479623092707</v>
      </c>
      <c r="CA6" s="64">
        <v>-1.5020492559596945</v>
      </c>
      <c r="CB6" s="64">
        <v>0.48615809392823017</v>
      </c>
      <c r="CC6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2.758577903784905</v>
      </c>
    </row>
    <row r="7" spans="1:81" x14ac:dyDescent="0.3">
      <c r="A7" s="22" t="s">
        <v>6</v>
      </c>
      <c r="B7">
        <v>3</v>
      </c>
      <c r="C7">
        <v>1</v>
      </c>
      <c r="D7" s="28">
        <v>5</v>
      </c>
      <c r="E7" s="28">
        <v>2</v>
      </c>
      <c r="F7" s="28">
        <v>4</v>
      </c>
      <c r="G7" s="28">
        <v>5</v>
      </c>
      <c r="H7" s="28">
        <v>1</v>
      </c>
      <c r="I7">
        <v>4</v>
      </c>
      <c r="J7" s="51">
        <v>3</v>
      </c>
      <c r="K7" s="50">
        <v>4</v>
      </c>
      <c r="L7">
        <v>2</v>
      </c>
      <c r="M7" s="49">
        <v>3</v>
      </c>
      <c r="N7" s="65">
        <v>4</v>
      </c>
      <c r="O7" s="66">
        <v>5</v>
      </c>
      <c r="P7" s="66">
        <v>5</v>
      </c>
      <c r="Q7" s="66">
        <v>1</v>
      </c>
      <c r="R7">
        <v>3</v>
      </c>
      <c r="S7" s="39" t="str">
        <f>RIGHT(Таблица1[[#This Row],[Классификация дискр ф-ции]])</f>
        <v>3</v>
      </c>
      <c r="T7" s="90">
        <v>3</v>
      </c>
      <c r="U7" s="90">
        <f>IF(Таблица1[[#This Row],[Обучающая выборка]]=Таблица1[[#This Row],[Номер класса по классификации дискр функции (Python)]],1,0)</f>
        <v>1</v>
      </c>
      <c r="V7" s="90">
        <f>MATCH(MIN(Таблица1[[#This Row],[Махаланобис 1]:[Махаланобис 6]]),Таблица1[[#This Row],[Махаланобис 1]:[Махаланобис 6]],0)</f>
        <v>3</v>
      </c>
      <c r="W7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7" s="40" t="str">
        <f>RIGHT(Таблица1[[#This Row],[Forward Классификация дискр ф-ции]])</f>
        <v>3</v>
      </c>
      <c r="Y7" s="40">
        <f>MATCH(MIN(Таблица1[[#This Row],[Forward Махаланобис 1]:[Forward Махаланобис 6]]),Таблица1[[#This Row],[Forward Махаланобис 1]:[Forward Махаланобис 6]],0)</f>
        <v>3</v>
      </c>
      <c r="Z7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7" s="90">
        <v>3</v>
      </c>
      <c r="AB7" s="90">
        <f>IF(Таблица1[[#This Row],[Обучающая выборка]]=Таблица1[[#This Row],[Номер класса (пошаговый дискр анализ с включением) Python]],1,0)</f>
        <v>1</v>
      </c>
      <c r="AC7" s="40" t="s">
        <v>128</v>
      </c>
      <c r="AD7" s="41">
        <v>47.549761045370296</v>
      </c>
      <c r="AE7" s="41">
        <v>62.838243966457846</v>
      </c>
      <c r="AF7" s="41">
        <v>6.0382859992577584</v>
      </c>
      <c r="AG7" s="42">
        <v>138.93296962175103</v>
      </c>
      <c r="AH7" s="41">
        <v>1174.0848155740753</v>
      </c>
      <c r="AI7" s="41">
        <v>42.700103711949659</v>
      </c>
      <c r="AJ7" s="43">
        <v>5.28027192225322E-10</v>
      </c>
      <c r="AK7" s="43">
        <v>1.6854394098199027E-13</v>
      </c>
      <c r="AL7" s="43">
        <v>0.99999999350494206</v>
      </c>
      <c r="AM7" s="43">
        <v>5.0460717050895387E-30</v>
      </c>
      <c r="AN7" s="43">
        <v>0</v>
      </c>
      <c r="AO7" s="43">
        <v>5.9668620564595159E-9</v>
      </c>
      <c r="AP7" s="40" t="s">
        <v>128</v>
      </c>
      <c r="AQ7" s="42">
        <v>40.398909834372247</v>
      </c>
      <c r="AR7" s="42">
        <v>52.098217581568292</v>
      </c>
      <c r="AS7" s="41">
        <v>4.4625994183820783</v>
      </c>
      <c r="AT7" s="42">
        <v>109.95834496590598</v>
      </c>
      <c r="AU7" s="41">
        <v>1022.5597489617026</v>
      </c>
      <c r="AV7" s="41">
        <v>28.717864606387014</v>
      </c>
      <c r="AW7" s="43">
        <v>8.5760365565667199E-9</v>
      </c>
      <c r="AX7" s="43">
        <v>1.6471113740127826E-11</v>
      </c>
      <c r="AY7" s="43">
        <v>0.99999704160209268</v>
      </c>
      <c r="AZ7" s="43">
        <v>4.493202000503874E-24</v>
      </c>
      <c r="BA7" s="43">
        <v>0</v>
      </c>
      <c r="BB7" s="43">
        <v>2.9498053997493657E-6</v>
      </c>
      <c r="BC7" s="40">
        <v>5</v>
      </c>
      <c r="BD7" s="40">
        <v>5</v>
      </c>
      <c r="BE7" s="40">
        <f>IF(Таблица1[[#This Row],[Neuron id (Кохонен)]]=Таблица1[[#This Row],[Кохонен 2020]],1,0)</f>
        <v>1</v>
      </c>
      <c r="BF7" s="28">
        <v>3</v>
      </c>
      <c r="BG7" s="40">
        <f>IF(Таблица1[[#This Row],[Персептрон]]=Таблица1[[#This Row],[Обучающая выборка]],1,0)</f>
        <v>1</v>
      </c>
      <c r="BH7" s="40">
        <f>IF(Таблица1[[#This Row],[Номер класса по классификации дискр функции (Python)]]=Таблица1[[#This Row],[Персептрон]],1,0)</f>
        <v>1</v>
      </c>
      <c r="BI7" s="36">
        <v>-0.35142374266831961</v>
      </c>
      <c r="BJ7" s="36">
        <v>-0.32994360829875075</v>
      </c>
      <c r="BK7" s="36">
        <v>-5.4326819996866199E-2</v>
      </c>
      <c r="BL7" s="36">
        <v>-0.36469818688817918</v>
      </c>
      <c r="BM7" s="36">
        <v>-0.1513310392435564</v>
      </c>
      <c r="BN7" s="36">
        <v>-0.9775066198086978</v>
      </c>
      <c r="BO7" s="36">
        <v>-0.96340641649290182</v>
      </c>
      <c r="BP7" s="36">
        <v>0.83127644456673555</v>
      </c>
      <c r="BQ7" s="36">
        <v>-0.6537430590175094</v>
      </c>
      <c r="BR7" s="36">
        <v>-0.86956061096959369</v>
      </c>
      <c r="BS7" s="36">
        <v>0.99702709848282844</v>
      </c>
      <c r="BT7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5.1434890067707348</v>
      </c>
      <c r="BU7" s="50">
        <v>-0.62839000000000012</v>
      </c>
      <c r="BV7" s="50">
        <v>-0.25152000000000002</v>
      </c>
      <c r="BW7" s="50">
        <v>1.12439</v>
      </c>
      <c r="BX7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1.7223885551436127</v>
      </c>
      <c r="BY7" s="63">
        <v>-0.23377616678058347</v>
      </c>
      <c r="BZ7" s="64">
        <v>0.80851930515186088</v>
      </c>
      <c r="CA7" s="64">
        <v>-0.9132013611636266</v>
      </c>
      <c r="CB7" s="64">
        <v>-0.60319232504472242</v>
      </c>
      <c r="CC7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1.9061324699818296</v>
      </c>
    </row>
    <row r="8" spans="1:81" x14ac:dyDescent="0.3">
      <c r="A8" s="22" t="s">
        <v>7</v>
      </c>
      <c r="B8">
        <v>3</v>
      </c>
      <c r="C8">
        <v>1</v>
      </c>
      <c r="D8" s="28">
        <v>5</v>
      </c>
      <c r="E8" s="28">
        <v>2</v>
      </c>
      <c r="F8" s="28">
        <v>4</v>
      </c>
      <c r="G8" s="28">
        <v>5</v>
      </c>
      <c r="H8" s="28">
        <v>1</v>
      </c>
      <c r="I8">
        <v>4</v>
      </c>
      <c r="J8" s="51">
        <v>3</v>
      </c>
      <c r="K8" s="50">
        <v>4</v>
      </c>
      <c r="L8">
        <v>2</v>
      </c>
      <c r="M8" s="49">
        <v>3</v>
      </c>
      <c r="N8" s="65">
        <v>4</v>
      </c>
      <c r="O8" s="66">
        <v>5</v>
      </c>
      <c r="P8" s="66">
        <v>2</v>
      </c>
      <c r="Q8" s="66">
        <v>5</v>
      </c>
      <c r="S8" s="39" t="str">
        <f>RIGHT(Таблица1[[#This Row],[Классификация дискр ф-ции]])</f>
        <v>3</v>
      </c>
      <c r="T8" s="90">
        <v>3</v>
      </c>
      <c r="U8" s="90">
        <f>IF(Таблица1[[#This Row],[Обучающая выборка]]=Таблица1[[#This Row],[Номер класса по классификации дискр функции (Python)]],1,0)</f>
        <v>0</v>
      </c>
      <c r="V8" s="90">
        <f>MATCH(MIN(Таблица1[[#This Row],[Махаланобис 1]:[Махаланобис 6]]),Таблица1[[#This Row],[Махаланобис 1]:[Махаланобис 6]],0)</f>
        <v>3</v>
      </c>
      <c r="W8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8" s="40" t="str">
        <f>RIGHT(Таблица1[[#This Row],[Forward Классификация дискр ф-ции]])</f>
        <v>3</v>
      </c>
      <c r="Y8" s="40">
        <f>MATCH(MIN(Таблица1[[#This Row],[Forward Махаланобис 1]:[Forward Махаланобис 6]]),Таблица1[[#This Row],[Forward Махаланобис 1]:[Forward Махаланобис 6]],0)</f>
        <v>3</v>
      </c>
      <c r="Z8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8" s="90">
        <v>3</v>
      </c>
      <c r="AB8" s="90">
        <f>IF(Таблица1[[#This Row],[Обучающая выборка]]=Таблица1[[#This Row],[Номер класса (пошаговый дискр анализ с включением) Python]],1,0)</f>
        <v>0</v>
      </c>
      <c r="AC8" s="40" t="s">
        <v>128</v>
      </c>
      <c r="AD8" s="41">
        <v>50.368028098739764</v>
      </c>
      <c r="AE8" s="41">
        <v>93.428838802022526</v>
      </c>
      <c r="AF8" s="41">
        <v>12.934555145366412</v>
      </c>
      <c r="AG8" s="42">
        <v>170.12749448346906</v>
      </c>
      <c r="AH8" s="41">
        <v>1243.0013621265387</v>
      </c>
      <c r="AI8" s="41">
        <v>55.918125921593003</v>
      </c>
      <c r="AJ8" s="43">
        <v>4.0567962145247033E-9</v>
      </c>
      <c r="AK8" s="43">
        <v>1.2065788153692674E-18</v>
      </c>
      <c r="AL8" s="43">
        <v>0.99999999569027709</v>
      </c>
      <c r="AM8" s="43">
        <v>0</v>
      </c>
      <c r="AN8" s="43">
        <v>0</v>
      </c>
      <c r="AO8" s="43">
        <v>2.5292674970155848E-10</v>
      </c>
      <c r="AP8" s="40" t="s">
        <v>128</v>
      </c>
      <c r="AQ8" s="42">
        <v>42.356382246306417</v>
      </c>
      <c r="AR8" s="42">
        <v>71.233413189506663</v>
      </c>
      <c r="AS8" s="41">
        <v>5.6749614341393677</v>
      </c>
      <c r="AT8" s="42">
        <v>121.09591481996581</v>
      </c>
      <c r="AU8" s="41">
        <v>1046.9434954739918</v>
      </c>
      <c r="AV8" s="41">
        <v>36.923141512059161</v>
      </c>
      <c r="AW8" s="43">
        <v>5.9086627217054875E-9</v>
      </c>
      <c r="AX8" s="43">
        <v>2.1126635772034057E-15</v>
      </c>
      <c r="AY8" s="43">
        <v>0.99999990469855682</v>
      </c>
      <c r="AZ8" s="43">
        <v>3.1428647286203994E-26</v>
      </c>
      <c r="BA8" s="43">
        <v>0</v>
      </c>
      <c r="BB8" s="43">
        <v>8.9392778285714431E-8</v>
      </c>
      <c r="BC8" s="40">
        <v>5</v>
      </c>
      <c r="BD8" s="40">
        <v>5</v>
      </c>
      <c r="BE8" s="40">
        <f>IF(Таблица1[[#This Row],[Neuron id (Кохонен)]]=Таблица1[[#This Row],[Кохонен 2020]],1,0)</f>
        <v>1</v>
      </c>
      <c r="BF8" s="28">
        <v>3</v>
      </c>
      <c r="BG8" s="40">
        <f>IF(Таблица1[[#This Row],[Персептрон]]=Таблица1[[#This Row],[Обучающая выборка]],1,0)</f>
        <v>0</v>
      </c>
      <c r="BH8" s="40">
        <f>IF(Таблица1[[#This Row],[Номер класса по классификации дискр функции (Python)]]=Таблица1[[#This Row],[Персептрон]],1,0)</f>
        <v>1</v>
      </c>
      <c r="BI8" s="36">
        <v>-0.29138835496047988</v>
      </c>
      <c r="BJ8" s="36">
        <v>-0.3167198116457477</v>
      </c>
      <c r="BK8" s="36">
        <v>6.5996743860691182E-2</v>
      </c>
      <c r="BL8" s="36">
        <v>0.2359141396432865</v>
      </c>
      <c r="BM8" s="36">
        <v>0.21660560590745553</v>
      </c>
      <c r="BN8" s="36">
        <v>5.3741016488589788E-3</v>
      </c>
      <c r="BO8" s="36">
        <v>-0.90653480629717298</v>
      </c>
      <c r="BP8" s="36">
        <v>1.188679063626789</v>
      </c>
      <c r="BQ8" s="36">
        <v>-0.98666609748271328</v>
      </c>
      <c r="BR8" s="36">
        <v>-1.4207315533538099</v>
      </c>
      <c r="BS8" s="36">
        <v>0.79345073892114337</v>
      </c>
      <c r="BT8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6.1484920145027191</v>
      </c>
      <c r="BU8" s="50">
        <v>-0.53186</v>
      </c>
      <c r="BV8" s="50">
        <v>-8.6890000000000009E-2</v>
      </c>
      <c r="BW8" s="50">
        <v>1.1076900000000001</v>
      </c>
      <c r="BX8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1.5174015364353772</v>
      </c>
      <c r="BY8" s="63">
        <v>-0.21634356631258705</v>
      </c>
      <c r="BZ8" s="64">
        <v>0.99549541023016541</v>
      </c>
      <c r="CA8" s="64">
        <v>-0.70304490714210877</v>
      </c>
      <c r="CB8" s="64">
        <v>-0.45057169079021769</v>
      </c>
      <c r="CC8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1.7351026404741858</v>
      </c>
    </row>
    <row r="9" spans="1:81" x14ac:dyDescent="0.3">
      <c r="A9" s="22" t="s">
        <v>38</v>
      </c>
      <c r="B9">
        <v>3</v>
      </c>
      <c r="C9">
        <v>1</v>
      </c>
      <c r="D9" s="28">
        <v>5</v>
      </c>
      <c r="E9" s="28">
        <v>2</v>
      </c>
      <c r="F9" s="28">
        <v>4</v>
      </c>
      <c r="G9" s="28">
        <v>5</v>
      </c>
      <c r="H9" s="28">
        <v>1</v>
      </c>
      <c r="I9">
        <v>4</v>
      </c>
      <c r="J9" s="51">
        <v>2</v>
      </c>
      <c r="K9" s="50">
        <v>1</v>
      </c>
      <c r="L9">
        <v>1</v>
      </c>
      <c r="M9" s="49">
        <v>2</v>
      </c>
      <c r="N9" s="65">
        <v>4</v>
      </c>
      <c r="O9" s="66">
        <v>5</v>
      </c>
      <c r="P9" s="66">
        <v>5</v>
      </c>
      <c r="Q9" s="66">
        <v>1</v>
      </c>
      <c r="R9">
        <v>3</v>
      </c>
      <c r="S9" s="39" t="str">
        <f>RIGHT(Таблица1[[#This Row],[Классификация дискр ф-ции]])</f>
        <v>3</v>
      </c>
      <c r="T9" s="90">
        <v>3</v>
      </c>
      <c r="U9" s="90">
        <f>IF(Таблица1[[#This Row],[Обучающая выборка]]=Таблица1[[#This Row],[Номер класса по классификации дискр функции (Python)]],1,0)</f>
        <v>1</v>
      </c>
      <c r="V9" s="90">
        <f>MATCH(MIN(Таблица1[[#This Row],[Махаланобис 1]:[Махаланобис 6]]),Таблица1[[#This Row],[Махаланобис 1]:[Махаланобис 6]],0)</f>
        <v>3</v>
      </c>
      <c r="W9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9" s="40" t="str">
        <f>RIGHT(Таблица1[[#This Row],[Forward Классификация дискр ф-ции]])</f>
        <v>3</v>
      </c>
      <c r="Y9" s="40">
        <f>MATCH(MIN(Таблица1[[#This Row],[Forward Махаланобис 1]:[Forward Махаланобис 6]]),Таблица1[[#This Row],[Forward Махаланобис 1]:[Forward Махаланобис 6]],0)</f>
        <v>3</v>
      </c>
      <c r="Z9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9" s="90">
        <v>3</v>
      </c>
      <c r="AB9" s="90">
        <f>IF(Таблица1[[#This Row],[Обучающая выборка]]=Таблица1[[#This Row],[Номер класса (пошаговый дискр анализ с включением) Python]],1,0)</f>
        <v>1</v>
      </c>
      <c r="AC9" s="40" t="s">
        <v>128</v>
      </c>
      <c r="AD9" s="41">
        <v>28.606139719909624</v>
      </c>
      <c r="AE9" s="41">
        <v>60.935609276109247</v>
      </c>
      <c r="AF9" s="41">
        <v>8.1205004400620577</v>
      </c>
      <c r="AG9" s="42">
        <v>143.74538829695172</v>
      </c>
      <c r="AH9" s="41">
        <v>1194.3754237491585</v>
      </c>
      <c r="AI9" s="41">
        <v>35.816674806402766</v>
      </c>
      <c r="AJ9" s="43">
        <v>1.9424500114834273E-5</v>
      </c>
      <c r="AK9" s="43">
        <v>1.2359573272548899E-12</v>
      </c>
      <c r="AL9" s="43">
        <v>0.99998004753739567</v>
      </c>
      <c r="AM9" s="43">
        <v>1.2885119134308744E-30</v>
      </c>
      <c r="AN9" s="43">
        <v>0</v>
      </c>
      <c r="AO9" s="43">
        <v>5.2796125352811574E-7</v>
      </c>
      <c r="AP9" s="40" t="s">
        <v>128</v>
      </c>
      <c r="AQ9" s="42">
        <v>18.387601053955851</v>
      </c>
      <c r="AR9" s="42">
        <v>49.187349801086825</v>
      </c>
      <c r="AS9" s="41">
        <v>2.4219567549015264</v>
      </c>
      <c r="AT9" s="42">
        <v>105.87709858572761</v>
      </c>
      <c r="AU9" s="41">
        <v>1011.0398153238729</v>
      </c>
      <c r="AV9" s="41">
        <v>27.672030378832488</v>
      </c>
      <c r="AW9" s="43">
        <v>1.8611498446068832E-4</v>
      </c>
      <c r="AX9" s="43">
        <v>2.5445419718324105E-11</v>
      </c>
      <c r="AY9" s="43">
        <v>0.99981209152417305</v>
      </c>
      <c r="AZ9" s="43">
        <v>1.246198086474716E-23</v>
      </c>
      <c r="BA9" s="43">
        <v>0</v>
      </c>
      <c r="BB9" s="43">
        <v>1.7934659207845904E-6</v>
      </c>
      <c r="BC9" s="40">
        <v>5</v>
      </c>
      <c r="BD9" s="40">
        <v>5</v>
      </c>
      <c r="BE9" s="40">
        <f>IF(Таблица1[[#This Row],[Neuron id (Кохонен)]]=Таблица1[[#This Row],[Кохонен 2020]],1,0)</f>
        <v>1</v>
      </c>
      <c r="BF9" s="28">
        <v>3</v>
      </c>
      <c r="BG9" s="40">
        <f>IF(Таблица1[[#This Row],[Персептрон]]=Таблица1[[#This Row],[Обучающая выборка]],1,0)</f>
        <v>1</v>
      </c>
      <c r="BH9" s="40">
        <f>IF(Таблица1[[#This Row],[Номер класса по классификации дискр функции (Python)]]=Таблица1[[#This Row],[Персептрон]],1,0)</f>
        <v>1</v>
      </c>
      <c r="BI9" s="36">
        <v>-0.30112996579432677</v>
      </c>
      <c r="BJ9" s="36">
        <v>-0.29493522557769225</v>
      </c>
      <c r="BK9" s="36">
        <v>-0.25737752797665153</v>
      </c>
      <c r="BL9" s="36">
        <v>-0.50032032513721891</v>
      </c>
      <c r="BM9" s="36">
        <v>-0.488148664655428</v>
      </c>
      <c r="BN9" s="36">
        <v>0.23846258890680788</v>
      </c>
      <c r="BO9" s="36">
        <v>-1.0310986067756189</v>
      </c>
      <c r="BP9" s="36">
        <v>0.25943225407065013</v>
      </c>
      <c r="BQ9" s="36">
        <v>-0.2531037619629698</v>
      </c>
      <c r="BR9" s="36">
        <v>-0.30373177596118861</v>
      </c>
      <c r="BS9" s="36">
        <v>-0.1129145956481417</v>
      </c>
      <c r="BT9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2.0889168316571824</v>
      </c>
      <c r="BU9" s="50">
        <v>-0.41872000000000004</v>
      </c>
      <c r="BV9" s="50">
        <v>-0.16073000000000001</v>
      </c>
      <c r="BW9" s="50">
        <v>0.19241000000000003</v>
      </c>
      <c r="BX9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0.23818189926361244</v>
      </c>
      <c r="BY9" s="63">
        <v>-0.32452741189534534</v>
      </c>
      <c r="BZ9" s="64">
        <v>0.11625872361159867</v>
      </c>
      <c r="CA9" s="64">
        <v>-0.27121544480812398</v>
      </c>
      <c r="CB9" s="64">
        <v>-0.30523442266775525</v>
      </c>
      <c r="CC9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0.28556000217107563</v>
      </c>
    </row>
    <row r="10" spans="1:81" x14ac:dyDescent="0.3">
      <c r="A10" s="22" t="s">
        <v>39</v>
      </c>
      <c r="B10">
        <v>3</v>
      </c>
      <c r="C10">
        <v>1</v>
      </c>
      <c r="D10" s="28">
        <v>5</v>
      </c>
      <c r="E10" s="28">
        <v>2</v>
      </c>
      <c r="F10" s="28">
        <v>4</v>
      </c>
      <c r="G10" s="28">
        <v>5</v>
      </c>
      <c r="H10" s="28">
        <v>1</v>
      </c>
      <c r="I10">
        <v>4</v>
      </c>
      <c r="J10" s="51">
        <v>3</v>
      </c>
      <c r="K10" s="50">
        <v>4</v>
      </c>
      <c r="L10">
        <v>1</v>
      </c>
      <c r="M10" s="49">
        <v>2</v>
      </c>
      <c r="N10" s="65">
        <v>4</v>
      </c>
      <c r="O10" s="66">
        <v>5</v>
      </c>
      <c r="P10" s="66">
        <v>5</v>
      </c>
      <c r="Q10" s="66">
        <v>1</v>
      </c>
      <c r="R10">
        <v>3</v>
      </c>
      <c r="S10" s="39" t="str">
        <f>RIGHT(Таблица1[[#This Row],[Классификация дискр ф-ции]])</f>
        <v>3</v>
      </c>
      <c r="T10" s="90">
        <v>3</v>
      </c>
      <c r="U10" s="90">
        <f>IF(Таблица1[[#This Row],[Обучающая выборка]]=Таблица1[[#This Row],[Номер класса по классификации дискр функции (Python)]],1,0)</f>
        <v>1</v>
      </c>
      <c r="V10" s="90">
        <f>MATCH(MIN(Таблица1[[#This Row],[Махаланобис 1]:[Махаланобис 6]]),Таблица1[[#This Row],[Махаланобис 1]:[Махаланобис 6]],0)</f>
        <v>3</v>
      </c>
      <c r="W10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10" s="40" t="str">
        <f>RIGHT(Таблица1[[#This Row],[Forward Классификация дискр ф-ции]])</f>
        <v>3</v>
      </c>
      <c r="Y10" s="40">
        <f>MATCH(MIN(Таблица1[[#This Row],[Forward Махаланобис 1]:[Forward Махаланобис 6]]),Таблица1[[#This Row],[Forward Махаланобис 1]:[Forward Махаланобис 6]],0)</f>
        <v>3</v>
      </c>
      <c r="Z10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10" s="90">
        <v>3</v>
      </c>
      <c r="AB10" s="90">
        <f>IF(Таблица1[[#This Row],[Обучающая выборка]]=Таблица1[[#This Row],[Номер класса (пошаговый дискр анализ с включением) Python]],1,0)</f>
        <v>1</v>
      </c>
      <c r="AC10" s="40" t="s">
        <v>128</v>
      </c>
      <c r="AD10" s="41">
        <v>25.632658504013339</v>
      </c>
      <c r="AE10" s="41">
        <v>80.182622089893258</v>
      </c>
      <c r="AF10" s="41">
        <v>5.4835388437726058</v>
      </c>
      <c r="AG10" s="42">
        <v>140.2352203080095</v>
      </c>
      <c r="AH10" s="41">
        <v>1146.178436670587</v>
      </c>
      <c r="AI10" s="41">
        <v>47.347802871280514</v>
      </c>
      <c r="AJ10" s="43">
        <v>2.2983853317419336E-5</v>
      </c>
      <c r="AK10" s="43">
        <v>2.1875475181572733E-17</v>
      </c>
      <c r="AL10" s="43">
        <v>0.99997701570405428</v>
      </c>
      <c r="AM10" s="43">
        <v>1.9938913098722473E-30</v>
      </c>
      <c r="AN10" s="43">
        <v>0</v>
      </c>
      <c r="AO10" s="43">
        <v>4.4262827703594664E-10</v>
      </c>
      <c r="AP10" s="40" t="s">
        <v>128</v>
      </c>
      <c r="AQ10" s="42">
        <v>18.744887134034375</v>
      </c>
      <c r="AR10" s="42">
        <v>60.008294514306073</v>
      </c>
      <c r="AS10" s="41">
        <v>1.6834517111298719</v>
      </c>
      <c r="AT10" s="42">
        <v>106.10311331157956</v>
      </c>
      <c r="AU10" s="41">
        <v>1011.2686917539122</v>
      </c>
      <c r="AV10" s="41">
        <v>32.399888544796561</v>
      </c>
      <c r="AW10" s="43">
        <v>1.0761384459465386E-4</v>
      </c>
      <c r="AX10" s="43">
        <v>7.8621590136714594E-14</v>
      </c>
      <c r="AY10" s="43">
        <v>0.99989226954895949</v>
      </c>
      <c r="AZ10" s="43">
        <v>7.6944768840456334E-24</v>
      </c>
      <c r="BA10" s="43">
        <v>0</v>
      </c>
      <c r="BB10" s="43">
        <v>1.1660636727681794E-7</v>
      </c>
      <c r="BC10" s="40">
        <v>5</v>
      </c>
      <c r="BD10" s="40">
        <v>5</v>
      </c>
      <c r="BE10" s="40">
        <f>IF(Таблица1[[#This Row],[Neuron id (Кохонен)]]=Таблица1[[#This Row],[Кохонен 2020]],1,0)</f>
        <v>1</v>
      </c>
      <c r="BF10" s="28">
        <v>3</v>
      </c>
      <c r="BG10" s="40">
        <f>IF(Таблица1[[#This Row],[Персептрон]]=Таблица1[[#This Row],[Обучающая выборка]],1,0)</f>
        <v>1</v>
      </c>
      <c r="BH10" s="40">
        <f>IF(Таблица1[[#This Row],[Номер класса по классификации дискр функции (Python)]]=Таблица1[[#This Row],[Персептрон]],1,0)</f>
        <v>1</v>
      </c>
      <c r="BI10" s="36">
        <v>-0.15014235195872136</v>
      </c>
      <c r="BJ10" s="36">
        <v>5.4687037045089894E-3</v>
      </c>
      <c r="BK10" s="36">
        <v>7.5202566755385766E-2</v>
      </c>
      <c r="BL10" s="36">
        <v>-0.38407277806661383</v>
      </c>
      <c r="BM10" s="36">
        <v>-0.47167388949941258</v>
      </c>
      <c r="BN10" s="36">
        <v>-0.58604714860159413</v>
      </c>
      <c r="BO10" s="36">
        <v>-0.95084468271240163</v>
      </c>
      <c r="BP10" s="36">
        <v>0.61683487313070362</v>
      </c>
      <c r="BQ10" s="36">
        <v>-0.2834393043783891</v>
      </c>
      <c r="BR10" s="36">
        <v>-1.3852307729501785</v>
      </c>
      <c r="BS10" s="36">
        <v>0.26173511672635835</v>
      </c>
      <c r="BT10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4.0939657521649009</v>
      </c>
      <c r="BU10" s="50">
        <v>-0.49722</v>
      </c>
      <c r="BV10" s="50">
        <v>-0.32953000000000005</v>
      </c>
      <c r="BW10" s="50">
        <v>0.75435000000000008</v>
      </c>
      <c r="BX10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0.92486118278361251</v>
      </c>
      <c r="BY10" s="63">
        <v>-1.4205006848594071E-3</v>
      </c>
      <c r="BZ10" s="64">
        <v>0.49268239316799389</v>
      </c>
      <c r="CA10" s="64">
        <v>-0.75176109444545947</v>
      </c>
      <c r="CB10" s="64">
        <v>-0.85972838530068174</v>
      </c>
      <c r="CC10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1.5470155979734899</v>
      </c>
    </row>
    <row r="11" spans="1:81" x14ac:dyDescent="0.3">
      <c r="A11" s="22" t="s">
        <v>8</v>
      </c>
      <c r="B11">
        <v>3</v>
      </c>
      <c r="C11">
        <v>1</v>
      </c>
      <c r="D11" s="28">
        <v>5</v>
      </c>
      <c r="E11" s="28">
        <v>2</v>
      </c>
      <c r="F11" s="28">
        <v>4</v>
      </c>
      <c r="G11" s="28">
        <v>5</v>
      </c>
      <c r="H11" s="28">
        <v>1</v>
      </c>
      <c r="I11">
        <v>4</v>
      </c>
      <c r="J11" s="51">
        <v>2</v>
      </c>
      <c r="K11" s="50">
        <v>1</v>
      </c>
      <c r="L11">
        <v>2</v>
      </c>
      <c r="M11" s="49">
        <v>2</v>
      </c>
      <c r="N11" s="65">
        <v>3</v>
      </c>
      <c r="O11" s="66">
        <v>5</v>
      </c>
      <c r="P11" s="66">
        <v>2</v>
      </c>
      <c r="Q11" s="66">
        <v>5</v>
      </c>
      <c r="S11" s="39" t="str">
        <f>RIGHT(Таблица1[[#This Row],[Классификация дискр ф-ции]])</f>
        <v>3</v>
      </c>
      <c r="T11" s="90">
        <v>3</v>
      </c>
      <c r="U11" s="90">
        <f>IF(Таблица1[[#This Row],[Обучающая выборка]]=Таблица1[[#This Row],[Номер класса по классификации дискр функции (Python)]],1,0)</f>
        <v>0</v>
      </c>
      <c r="V11" s="90">
        <f>MATCH(MIN(Таблица1[[#This Row],[Махаланобис 1]:[Махаланобис 6]]),Таблица1[[#This Row],[Махаланобис 1]:[Махаланобис 6]],0)</f>
        <v>1</v>
      </c>
      <c r="W11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11" s="40" t="str">
        <f>RIGHT(Таблица1[[#This Row],[Forward Классификация дискр ф-ции]])</f>
        <v>3</v>
      </c>
      <c r="Y11" s="40">
        <f>MATCH(MIN(Таблица1[[#This Row],[Forward Махаланобис 1]:[Forward Махаланобис 6]]),Таблица1[[#This Row],[Forward Махаланобис 1]:[Forward Махаланобис 6]],0)</f>
        <v>3</v>
      </c>
      <c r="Z11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11" s="90">
        <v>3</v>
      </c>
      <c r="AB11" s="90">
        <f>IF(Таблица1[[#This Row],[Обучающая выборка]]=Таблица1[[#This Row],[Номер класса (пошаговый дискр анализ с включением) Python]],1,0)</f>
        <v>0</v>
      </c>
      <c r="AC11" s="40" t="s">
        <v>128</v>
      </c>
      <c r="AD11" s="41">
        <v>23.303976183383405</v>
      </c>
      <c r="AE11" s="41">
        <v>76.28121955306132</v>
      </c>
      <c r="AF11" s="41">
        <v>24.508340006526822</v>
      </c>
      <c r="AG11" s="42">
        <v>112.5137636315761</v>
      </c>
      <c r="AH11" s="41">
        <v>1131.0902987093903</v>
      </c>
      <c r="AI11" s="41">
        <v>56.129425419112437</v>
      </c>
      <c r="AJ11" s="43">
        <v>0.49901150974093367</v>
      </c>
      <c r="AK11" s="43">
        <v>1.0426944760866637E-12</v>
      </c>
      <c r="AL11" s="43">
        <v>0.50098845309125295</v>
      </c>
      <c r="AM11" s="43">
        <v>1.4137092299389231E-20</v>
      </c>
      <c r="AN11" s="43">
        <v>0</v>
      </c>
      <c r="AO11" s="43">
        <v>3.7166770695059716E-8</v>
      </c>
      <c r="AP11" s="40" t="s">
        <v>128</v>
      </c>
      <c r="AQ11" s="42">
        <v>14.184456300557587</v>
      </c>
      <c r="AR11" s="42">
        <v>56.186934604571512</v>
      </c>
      <c r="AS11" s="41">
        <v>4.8756654575817562</v>
      </c>
      <c r="AT11" s="42">
        <v>96.048833745892708</v>
      </c>
      <c r="AU11" s="41">
        <v>1006.6111279785538</v>
      </c>
      <c r="AV11" s="41">
        <v>28.49980663207301</v>
      </c>
      <c r="AW11" s="43">
        <v>5.1657015433177068E-3</v>
      </c>
      <c r="AX11" s="43">
        <v>2.6080491678030148E-12</v>
      </c>
      <c r="AY11" s="43">
        <v>0.99483027507935473</v>
      </c>
      <c r="AZ11" s="43">
        <v>5.7598922207519103E-21</v>
      </c>
      <c r="BA11" s="43">
        <v>0</v>
      </c>
      <c r="BB11" s="43">
        <v>4.0233747196599375E-6</v>
      </c>
      <c r="BC11" s="40">
        <v>5</v>
      </c>
      <c r="BD11" s="40">
        <v>5</v>
      </c>
      <c r="BE11" s="40">
        <f>IF(Таблица1[[#This Row],[Neuron id (Кохонен)]]=Таблица1[[#This Row],[Кохонен 2020]],1,0)</f>
        <v>1</v>
      </c>
      <c r="BF11" s="28">
        <v>3</v>
      </c>
      <c r="BG11" s="40">
        <f>IF(Таблица1[[#This Row],[Персептрон]]=Таблица1[[#This Row],[Обучающая выборка]],1,0)</f>
        <v>0</v>
      </c>
      <c r="BH11" s="40">
        <f>IF(Таблица1[[#This Row],[Номер класса по классификации дискр функции (Python)]]=Таблица1[[#This Row],[Персептрон]],1,0)</f>
        <v>1</v>
      </c>
      <c r="BI11" s="36">
        <v>-0.25542537723257319</v>
      </c>
      <c r="BJ11" s="36">
        <v>-0.18321096327604752</v>
      </c>
      <c r="BK11" s="36">
        <v>0.79822735117458632</v>
      </c>
      <c r="BL11" s="36">
        <v>-0.19032686628227014</v>
      </c>
      <c r="BM11" s="36">
        <v>0.61749180137049842</v>
      </c>
      <c r="BN11" s="36">
        <v>-2.5978496897407652E-2</v>
      </c>
      <c r="BO11" s="36">
        <v>-0.11012266973078177</v>
      </c>
      <c r="BP11" s="36">
        <v>0.65257513503670883</v>
      </c>
      <c r="BQ11" s="36">
        <v>-0.35108833383300614</v>
      </c>
      <c r="BR11" s="36">
        <v>0.55759729970504823</v>
      </c>
      <c r="BS11" s="36">
        <v>0.42414877230129333</v>
      </c>
      <c r="BT11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2.2062318647453001</v>
      </c>
      <c r="BU11" s="50">
        <v>8.6E-3</v>
      </c>
      <c r="BV11" s="50">
        <v>0.15051000000000003</v>
      </c>
      <c r="BW11" s="50">
        <v>0.63506000000000007</v>
      </c>
      <c r="BX11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0.42602831373537725</v>
      </c>
      <c r="BY11" s="63">
        <v>-0.10370171227607496</v>
      </c>
      <c r="BZ11" s="64">
        <v>0.49656195870621178</v>
      </c>
      <c r="CA11" s="64">
        <v>-0.28185930148418348</v>
      </c>
      <c r="CB11" s="64">
        <v>0.1274237667946182</v>
      </c>
      <c r="CC11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0.35300930614042059</v>
      </c>
    </row>
    <row r="12" spans="1:81" ht="14.4" customHeight="1" x14ac:dyDescent="0.3">
      <c r="A12" s="22" t="s">
        <v>40</v>
      </c>
      <c r="B12">
        <v>4</v>
      </c>
      <c r="C12">
        <v>4</v>
      </c>
      <c r="D12" s="28">
        <v>4</v>
      </c>
      <c r="E12" s="28">
        <v>5</v>
      </c>
      <c r="F12" s="28">
        <v>5</v>
      </c>
      <c r="G12" s="28">
        <v>2</v>
      </c>
      <c r="H12" s="28">
        <v>5</v>
      </c>
      <c r="I12">
        <v>2</v>
      </c>
      <c r="J12" s="51">
        <v>4</v>
      </c>
      <c r="K12" s="50">
        <v>6</v>
      </c>
      <c r="L12">
        <v>6</v>
      </c>
      <c r="M12" s="49">
        <v>5</v>
      </c>
      <c r="N12" s="65">
        <v>6</v>
      </c>
      <c r="O12" s="66">
        <v>1</v>
      </c>
      <c r="P12" s="66">
        <v>3</v>
      </c>
      <c r="Q12" s="66">
        <v>4</v>
      </c>
      <c r="S12" s="39" t="str">
        <f>RIGHT(Таблица1[[#This Row],[Классификация дискр ф-ции]])</f>
        <v>4</v>
      </c>
      <c r="T12" s="90">
        <v>4</v>
      </c>
      <c r="U12" s="90">
        <f>IF(Таблица1[[#This Row],[Обучающая выборка]]=Таблица1[[#This Row],[Номер класса по классификации дискр функции (Python)]],1,0)</f>
        <v>0</v>
      </c>
      <c r="V12" s="90">
        <f>MATCH(MIN(Таблица1[[#This Row],[Махаланобис 1]:[Махаланобис 6]]),Таблица1[[#This Row],[Махаланобис 1]:[Махаланобис 6]],0)</f>
        <v>4</v>
      </c>
      <c r="W12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4</v>
      </c>
      <c r="X12" s="40" t="str">
        <f>RIGHT(Таблица1[[#This Row],[Forward Классификация дискр ф-ции]])</f>
        <v>4</v>
      </c>
      <c r="Y12" s="40">
        <f>MATCH(MIN(Таблица1[[#This Row],[Forward Махаланобис 1]:[Forward Махаланобис 6]]),Таблица1[[#This Row],[Forward Махаланобис 1]:[Forward Махаланобис 6]],0)</f>
        <v>4</v>
      </c>
      <c r="Z12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4</v>
      </c>
      <c r="AA12" s="90">
        <v>4</v>
      </c>
      <c r="AB12" s="90">
        <f>IF(Таблица1[[#This Row],[Обучающая выборка]]=Таблица1[[#This Row],[Номер класса (пошаговый дискр анализ с включением) Python]],1,0)</f>
        <v>0</v>
      </c>
      <c r="AC12" s="40" t="s">
        <v>132</v>
      </c>
      <c r="AD12" s="41">
        <v>334.31156174433261</v>
      </c>
      <c r="AE12" s="41">
        <v>301.70796146416404</v>
      </c>
      <c r="AF12" s="41">
        <v>362.50300214056927</v>
      </c>
      <c r="AG12" s="42">
        <v>200.74173963870632</v>
      </c>
      <c r="AH12" s="41">
        <v>663.63931077783604</v>
      </c>
      <c r="AI12" s="41">
        <v>316.13562852069492</v>
      </c>
      <c r="AJ12" s="43">
        <v>1.4851588736014961E-29</v>
      </c>
      <c r="AK12" s="43">
        <v>1.1897713349323221E-22</v>
      </c>
      <c r="AL12" s="43">
        <v>0</v>
      </c>
      <c r="AM12" s="43">
        <v>1</v>
      </c>
      <c r="AN12" s="43">
        <v>0</v>
      </c>
      <c r="AO12" s="43">
        <v>1.3140947058927752E-25</v>
      </c>
      <c r="AP12" s="40" t="s">
        <v>132</v>
      </c>
      <c r="AQ12" s="42">
        <v>282.41143922112497</v>
      </c>
      <c r="AR12" s="42">
        <v>243.97184061682671</v>
      </c>
      <c r="AS12" s="41">
        <v>319.86676813717042</v>
      </c>
      <c r="AT12" s="42">
        <v>102.77329428753565</v>
      </c>
      <c r="AU12" s="41">
        <v>416.86953345424962</v>
      </c>
      <c r="AV12" s="41">
        <v>282.5408437363393</v>
      </c>
      <c r="AW12" s="43">
        <v>0</v>
      </c>
      <c r="AX12" s="43">
        <v>2.1833594400227511E-31</v>
      </c>
      <c r="AY12" s="43">
        <v>0</v>
      </c>
      <c r="AZ12" s="43">
        <v>1</v>
      </c>
      <c r="BA12" s="43">
        <v>0</v>
      </c>
      <c r="BB12" s="43">
        <v>0</v>
      </c>
      <c r="BC12" s="40">
        <v>4</v>
      </c>
      <c r="BD12" s="40">
        <v>4</v>
      </c>
      <c r="BE12" s="40">
        <f>IF(Таблица1[[#This Row],[Neuron id (Кохонен)]]=Таблица1[[#This Row],[Кохонен 2020]],1,0)</f>
        <v>1</v>
      </c>
      <c r="BF12" s="28">
        <v>4</v>
      </c>
      <c r="BG12" s="40">
        <f>IF(Таблица1[[#This Row],[Персептрон]]=Таблица1[[#This Row],[Обучающая выборка]],1,0)</f>
        <v>0</v>
      </c>
      <c r="BH12" s="40">
        <f>IF(Таблица1[[#This Row],[Номер класса по классификации дискр функции (Python)]]=Таблица1[[#This Row],[Персептрон]],1,0)</f>
        <v>1</v>
      </c>
      <c r="BI12" s="36">
        <v>0.8355222605528011</v>
      </c>
      <c r="BJ12" s="36">
        <v>0.19210083720853685</v>
      </c>
      <c r="BK12" s="36">
        <v>-0.60550116212131844</v>
      </c>
      <c r="BL12" s="36">
        <v>1.7277576603827334</v>
      </c>
      <c r="BM12" s="36">
        <v>0.54244004788198352</v>
      </c>
      <c r="BN12" s="36">
        <v>0.24368945629019192</v>
      </c>
      <c r="BO12" s="36">
        <v>-0.53228911643075039</v>
      </c>
      <c r="BP12" s="36">
        <v>-0.99147691263953697</v>
      </c>
      <c r="BQ12" s="36">
        <v>2.4178220370913452</v>
      </c>
      <c r="BR12" s="36">
        <v>1.5209839913443617</v>
      </c>
      <c r="BS12" s="36">
        <v>2.9900725065921496</v>
      </c>
      <c r="BT12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22.806551597946651</v>
      </c>
      <c r="BU12" s="50">
        <v>1.1487400000000001</v>
      </c>
      <c r="BV12" s="50">
        <v>1.4724900000000001</v>
      </c>
      <c r="BW12" s="50">
        <v>0.99878</v>
      </c>
      <c r="BX12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4.4853925281447893</v>
      </c>
      <c r="BY12" s="63">
        <v>0.24338535129144961</v>
      </c>
      <c r="BZ12" s="64">
        <v>0.81354118464140424</v>
      </c>
      <c r="CA12" s="64">
        <v>0.24447213808645282</v>
      </c>
      <c r="CB12" s="64">
        <v>2.1568042540237307</v>
      </c>
      <c r="CC12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5.432656904806425</v>
      </c>
    </row>
    <row r="13" spans="1:81" ht="14.4" customHeight="1" x14ac:dyDescent="0.3">
      <c r="A13" s="22" t="s">
        <v>41</v>
      </c>
      <c r="B13">
        <v>4</v>
      </c>
      <c r="C13">
        <v>4</v>
      </c>
      <c r="D13" s="28">
        <v>4</v>
      </c>
      <c r="E13" s="28">
        <v>5</v>
      </c>
      <c r="F13" s="28">
        <v>5</v>
      </c>
      <c r="G13" s="28">
        <v>2</v>
      </c>
      <c r="H13" s="28">
        <v>5</v>
      </c>
      <c r="I13">
        <v>2</v>
      </c>
      <c r="J13" s="51">
        <v>4</v>
      </c>
      <c r="K13" s="50">
        <v>6</v>
      </c>
      <c r="L13">
        <v>6</v>
      </c>
      <c r="M13" s="49">
        <v>5</v>
      </c>
      <c r="N13" s="65">
        <v>6</v>
      </c>
      <c r="O13" s="66">
        <v>1</v>
      </c>
      <c r="P13" s="66">
        <v>3</v>
      </c>
      <c r="Q13" s="66">
        <v>4</v>
      </c>
      <c r="R13">
        <v>4</v>
      </c>
      <c r="S13" s="39" t="str">
        <f>RIGHT(Таблица1[[#This Row],[Классификация дискр ф-ции]])</f>
        <v>4</v>
      </c>
      <c r="T13" s="90">
        <v>4</v>
      </c>
      <c r="U13" s="90">
        <f>IF(Таблица1[[#This Row],[Обучающая выборка]]=Таблица1[[#This Row],[Номер класса по классификации дискр функции (Python)]],1,0)</f>
        <v>1</v>
      </c>
      <c r="V13" s="90">
        <f>MATCH(MIN(Таблица1[[#This Row],[Махаланобис 1]:[Махаланобис 6]]),Таблица1[[#This Row],[Махаланобис 1]:[Махаланобис 6]],0)</f>
        <v>4</v>
      </c>
      <c r="W13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4</v>
      </c>
      <c r="X13" s="40" t="str">
        <f>RIGHT(Таблица1[[#This Row],[Forward Классификация дискр ф-ции]])</f>
        <v>4</v>
      </c>
      <c r="Y13" s="40">
        <f>MATCH(MIN(Таблица1[[#This Row],[Forward Махаланобис 1]:[Forward Махаланобис 6]]),Таблица1[[#This Row],[Forward Махаланобис 1]:[Forward Махаланобис 6]],0)</f>
        <v>4</v>
      </c>
      <c r="Z13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4</v>
      </c>
      <c r="AA13" s="90">
        <v>4</v>
      </c>
      <c r="AB13" s="90">
        <f>IF(Таблица1[[#This Row],[Обучающая выборка]]=Таблица1[[#This Row],[Номер класса (пошаговый дискр анализ с включением) Python]],1,0)</f>
        <v>1</v>
      </c>
      <c r="AC13" s="40" t="s">
        <v>132</v>
      </c>
      <c r="AD13" s="41">
        <v>117.0444058001074</v>
      </c>
      <c r="AE13" s="41">
        <v>131.77949960462016</v>
      </c>
      <c r="AF13" s="41">
        <v>163.93851618214524</v>
      </c>
      <c r="AG13" s="42">
        <v>16.452601547025413</v>
      </c>
      <c r="AH13" s="41">
        <v>654.40068861579937</v>
      </c>
      <c r="AI13" s="41">
        <v>148.81726610296877</v>
      </c>
      <c r="AJ13" s="43">
        <v>2.1520804543179313E-22</v>
      </c>
      <c r="AK13" s="43">
        <v>9.0590421277152066E-26</v>
      </c>
      <c r="AL13" s="43">
        <v>2.58924562790276E-32</v>
      </c>
      <c r="AM13" s="43">
        <v>1</v>
      </c>
      <c r="AN13" s="43">
        <v>0</v>
      </c>
      <c r="AO13" s="43">
        <v>2.7131234260951732E-29</v>
      </c>
      <c r="AP13" s="40" t="s">
        <v>132</v>
      </c>
      <c r="AQ13" s="42">
        <v>88.396620160997159</v>
      </c>
      <c r="AR13" s="42">
        <v>115.12811077256721</v>
      </c>
      <c r="AS13" s="41">
        <v>131.08602481044807</v>
      </c>
      <c r="AT13" s="42">
        <v>13.915689981595694</v>
      </c>
      <c r="AU13" s="41">
        <v>569.5223824023609</v>
      </c>
      <c r="AV13" s="41">
        <v>122.71860564003001</v>
      </c>
      <c r="AW13" s="43">
        <v>1.0063817836688141E-16</v>
      </c>
      <c r="AX13" s="43">
        <v>1.0519669004639716E-22</v>
      </c>
      <c r="AY13" s="43">
        <v>9.9110065776643773E-26</v>
      </c>
      <c r="AZ13" s="43">
        <v>0.99999999999999989</v>
      </c>
      <c r="BA13" s="43">
        <v>0</v>
      </c>
      <c r="BB13" s="43">
        <v>3.5468132020100295E-24</v>
      </c>
      <c r="BC13" s="40">
        <v>4</v>
      </c>
      <c r="BD13" s="40">
        <v>4</v>
      </c>
      <c r="BE13" s="40">
        <f>IF(Таблица1[[#This Row],[Neuron id (Кохонен)]]=Таблица1[[#This Row],[Кохонен 2020]],1,0)</f>
        <v>1</v>
      </c>
      <c r="BF13" s="28">
        <v>4</v>
      </c>
      <c r="BG13" s="40">
        <f>IF(Таблица1[[#This Row],[Персептрон]]=Таблица1[[#This Row],[Обучающая выборка]],1,0)</f>
        <v>1</v>
      </c>
      <c r="BH13" s="40">
        <f>IF(Таблица1[[#This Row],[Номер класса по классификации дискр функции (Python)]]=Таблица1[[#This Row],[Персептрон]],1,0)</f>
        <v>1</v>
      </c>
      <c r="BI13" s="36">
        <v>0.24825503706273441</v>
      </c>
      <c r="BJ13" s="36">
        <v>-0.15624631361134897</v>
      </c>
      <c r="BK13" s="36">
        <v>0.61028258590867612</v>
      </c>
      <c r="BL13" s="36">
        <v>1.572760930955259</v>
      </c>
      <c r="BM13" s="36">
        <v>0.34657327658268855</v>
      </c>
      <c r="BN13" s="36">
        <v>-0.27969090114152406</v>
      </c>
      <c r="BO13" s="36">
        <v>0.406394769338909</v>
      </c>
      <c r="BP13" s="36">
        <v>-0.49111324595546196</v>
      </c>
      <c r="BQ13" s="36">
        <v>2.2082898057845317</v>
      </c>
      <c r="BR13" s="36">
        <v>4.1377523501612616</v>
      </c>
      <c r="BS13" s="36">
        <v>1.9859199728220136</v>
      </c>
      <c r="BT13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29.478170735718649</v>
      </c>
      <c r="BU13" s="50">
        <v>1.4438299999999999</v>
      </c>
      <c r="BV13" s="50">
        <v>1.6760300000000001</v>
      </c>
      <c r="BW13" s="50">
        <v>0.6233200000000001</v>
      </c>
      <c r="BX13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5.2822503793459656</v>
      </c>
      <c r="BY13" s="63">
        <v>-2.1822419940736745E-2</v>
      </c>
      <c r="BZ13" s="64">
        <v>0.53035727215167605</v>
      </c>
      <c r="CA13" s="64">
        <v>0.42739232758054185</v>
      </c>
      <c r="CB13" s="64">
        <v>2.8023976940486657</v>
      </c>
      <c r="CC13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8.3178520914202281</v>
      </c>
    </row>
    <row r="14" spans="1:81" ht="14.4" customHeight="1" x14ac:dyDescent="0.3">
      <c r="A14" s="22" t="s">
        <v>42</v>
      </c>
      <c r="B14">
        <v>2</v>
      </c>
      <c r="C14">
        <v>1</v>
      </c>
      <c r="D14" s="28">
        <v>5</v>
      </c>
      <c r="E14" s="28">
        <v>2</v>
      </c>
      <c r="F14" s="28">
        <v>6</v>
      </c>
      <c r="G14" s="28">
        <v>1</v>
      </c>
      <c r="H14" s="28">
        <v>2</v>
      </c>
      <c r="I14">
        <v>1</v>
      </c>
      <c r="J14" s="51">
        <v>3</v>
      </c>
      <c r="K14" s="50">
        <v>4</v>
      </c>
      <c r="L14">
        <v>1</v>
      </c>
      <c r="M14" s="49">
        <v>1</v>
      </c>
      <c r="N14" s="65">
        <v>4</v>
      </c>
      <c r="O14" s="66">
        <v>5</v>
      </c>
      <c r="P14" s="66">
        <v>5</v>
      </c>
      <c r="Q14" s="66">
        <v>1</v>
      </c>
      <c r="S14" s="39" t="str">
        <f>RIGHT(Таблица1[[#This Row],[Классификация дискр ф-ции]])</f>
        <v>1</v>
      </c>
      <c r="T14" s="90">
        <v>1</v>
      </c>
      <c r="U14" s="90">
        <f>IF(Таблица1[[#This Row],[Обучающая выборка]]=Таблица1[[#This Row],[Номер класса по классификации дискр функции (Python)]],1,0)</f>
        <v>0</v>
      </c>
      <c r="V14" s="90">
        <f>MATCH(MIN(Таблица1[[#This Row],[Махаланобис 1]:[Махаланобис 6]]),Таблица1[[#This Row],[Махаланобис 1]:[Махаланобис 6]],0)</f>
        <v>1</v>
      </c>
      <c r="W14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14" s="40" t="str">
        <f>RIGHT(Таблица1[[#This Row],[Forward Классификация дискр ф-ции]])</f>
        <v>3</v>
      </c>
      <c r="Y14" s="40">
        <f>MATCH(MIN(Таблица1[[#This Row],[Forward Махаланобис 1]:[Forward Махаланобис 6]]),Таблица1[[#This Row],[Forward Махаланобис 1]:[Forward Махаланобис 6]],0)</f>
        <v>3</v>
      </c>
      <c r="Z14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14" s="90">
        <v>3</v>
      </c>
      <c r="AB14" s="90">
        <f>IF(Таблица1[[#This Row],[Обучающая выборка]]=Таблица1[[#This Row],[Номер класса (пошаговый дискр анализ с включением) Python]],1,0)</f>
        <v>0</v>
      </c>
      <c r="AC14" s="40" t="s">
        <v>130</v>
      </c>
      <c r="AD14" s="41">
        <v>92.521737622779455</v>
      </c>
      <c r="AE14" s="41">
        <v>141.96760669218037</v>
      </c>
      <c r="AF14" s="41">
        <v>103.45231792344022</v>
      </c>
      <c r="AG14" s="42">
        <v>203.35417750226458</v>
      </c>
      <c r="AH14" s="41">
        <v>1226.9010905629909</v>
      </c>
      <c r="AI14" s="41">
        <v>139.21207887587212</v>
      </c>
      <c r="AJ14" s="43">
        <v>0.9923026675532387</v>
      </c>
      <c r="AK14" s="43">
        <v>1.2120453086380527E-11</v>
      </c>
      <c r="AL14" s="43">
        <v>7.6973323625358879E-3</v>
      </c>
      <c r="AM14" s="43">
        <v>5.6701477022938578E-25</v>
      </c>
      <c r="AN14" s="43">
        <v>0</v>
      </c>
      <c r="AO14" s="43">
        <v>7.21049992468929E-11</v>
      </c>
      <c r="AP14" s="40" t="s">
        <v>128</v>
      </c>
      <c r="AQ14" s="42">
        <v>21.94320915404159</v>
      </c>
      <c r="AR14" s="42">
        <v>35.254465463016615</v>
      </c>
      <c r="AS14" s="41">
        <v>6.3233742895124001</v>
      </c>
      <c r="AT14" s="42">
        <v>104.23032259202688</v>
      </c>
      <c r="AU14" s="41">
        <v>993.02843857749622</v>
      </c>
      <c r="AV14" s="41">
        <v>11.412822048050316</v>
      </c>
      <c r="AW14" s="43">
        <v>2.1215579428182646E-4</v>
      </c>
      <c r="AX14" s="43">
        <v>1.8199567077716118E-7</v>
      </c>
      <c r="AY14" s="43">
        <v>0.95873896258843494</v>
      </c>
      <c r="AZ14" s="43">
        <v>1.9148906980601302E-22</v>
      </c>
      <c r="BA14" s="43">
        <v>0</v>
      </c>
      <c r="BB14" s="43">
        <v>4.1048699621612429E-2</v>
      </c>
      <c r="BC14" s="40">
        <v>6</v>
      </c>
      <c r="BD14" s="40">
        <v>6</v>
      </c>
      <c r="BE14" s="40">
        <f>IF(Таблица1[[#This Row],[Neuron id (Кохонен)]]=Таблица1[[#This Row],[Кохонен 2020]],1,0)</f>
        <v>1</v>
      </c>
      <c r="BF14" s="28">
        <v>3</v>
      </c>
      <c r="BG14" s="40">
        <f>IF(Таблица1[[#This Row],[Персептрон]]=Таблица1[[#This Row],[Обучающая выборка]],1,0)</f>
        <v>0</v>
      </c>
      <c r="BH14" s="40">
        <f>IF(Таблица1[[#This Row],[Номер класса по классификации дискр функции (Python)]]=Таблица1[[#This Row],[Персептрон]],1,0)</f>
        <v>0</v>
      </c>
      <c r="BI14" s="36">
        <v>-0.37310583931213614</v>
      </c>
      <c r="BJ14" s="36">
        <v>-0.21578191637159555</v>
      </c>
      <c r="BK14" s="36">
        <v>-0.70557096898847227</v>
      </c>
      <c r="BL14" s="36">
        <v>3.4190455020735437E-3</v>
      </c>
      <c r="BM14" s="36">
        <v>2.9019939563379755</v>
      </c>
      <c r="BN14" s="36">
        <v>-1.0800832016948654</v>
      </c>
      <c r="BO14" s="36">
        <v>-0.34590633244768243</v>
      </c>
      <c r="BP14" s="36">
        <v>0.25943225407065013</v>
      </c>
      <c r="BQ14" s="36">
        <v>-0.51615162915795654</v>
      </c>
      <c r="BR14" s="36">
        <v>-0.20097447011807923</v>
      </c>
      <c r="BS14" s="36">
        <v>-0.6118883699505353</v>
      </c>
      <c r="BT14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11.139927434600825</v>
      </c>
      <c r="BU14" s="50">
        <v>-0.36954000000000004</v>
      </c>
      <c r="BV14" s="50">
        <v>-1.1721600000000001</v>
      </c>
      <c r="BW14" s="50">
        <v>0.78710999999999998</v>
      </c>
      <c r="BX14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2.1300603943942011</v>
      </c>
      <c r="BY14" s="63">
        <v>-0.17849210459986792</v>
      </c>
      <c r="BZ14" s="64">
        <v>-0.20664601821082978</v>
      </c>
      <c r="CA14" s="64">
        <v>-0.91743302953573092</v>
      </c>
      <c r="CB14" s="64">
        <v>-0.33813925086671898</v>
      </c>
      <c r="CC14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1.0305835249066959</v>
      </c>
    </row>
    <row r="15" spans="1:81" x14ac:dyDescent="0.3">
      <c r="A15" s="22" t="s">
        <v>43</v>
      </c>
      <c r="B15">
        <v>6</v>
      </c>
      <c r="C15">
        <v>3</v>
      </c>
      <c r="D15" s="28">
        <v>5</v>
      </c>
      <c r="E15" s="28">
        <v>2</v>
      </c>
      <c r="F15" s="28">
        <v>4</v>
      </c>
      <c r="G15" s="28">
        <v>5</v>
      </c>
      <c r="H15" s="28">
        <v>3</v>
      </c>
      <c r="I15">
        <v>5</v>
      </c>
      <c r="J15" s="51">
        <v>1</v>
      </c>
      <c r="K15" s="50">
        <v>6</v>
      </c>
      <c r="L15">
        <v>1</v>
      </c>
      <c r="M15" s="49">
        <v>2</v>
      </c>
      <c r="N15" s="65">
        <v>5</v>
      </c>
      <c r="O15" s="66">
        <v>4</v>
      </c>
      <c r="P15" s="66">
        <v>2</v>
      </c>
      <c r="Q15" s="66">
        <v>5</v>
      </c>
      <c r="S15" s="39" t="str">
        <f>RIGHT(Таблица1[[#This Row],[Классификация дискр ф-ции]])</f>
        <v>6</v>
      </c>
      <c r="T15" s="90">
        <v>6</v>
      </c>
      <c r="U15" s="90">
        <f>IF(Таблица1[[#This Row],[Обучающая выборка]]=Таблица1[[#This Row],[Номер класса по классификации дискр функции (Python)]],1,0)</f>
        <v>0</v>
      </c>
      <c r="V15" s="90">
        <f>MATCH(MIN(Таблица1[[#This Row],[Махаланобис 1]:[Махаланобис 6]]),Таблица1[[#This Row],[Махаланобис 1]:[Махаланобис 6]],0)</f>
        <v>6</v>
      </c>
      <c r="W15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15" s="40" t="str">
        <f>RIGHT(Таблица1[[#This Row],[Forward Классификация дискр ф-ции]])</f>
        <v>6</v>
      </c>
      <c r="Y15" s="40">
        <f>MATCH(MIN(Таблица1[[#This Row],[Forward Махаланобис 1]:[Forward Махаланобис 6]]),Таблица1[[#This Row],[Forward Махаланобис 1]:[Forward Махаланобис 6]],0)</f>
        <v>6</v>
      </c>
      <c r="Z15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15" s="90">
        <v>6</v>
      </c>
      <c r="AB15" s="90">
        <f>IF(Таблица1[[#This Row],[Обучающая выборка]]=Таблица1[[#This Row],[Номер класса (пошаговый дискр анализ с включением) Python]],1,0)</f>
        <v>0</v>
      </c>
      <c r="AC15" s="40" t="s">
        <v>129</v>
      </c>
      <c r="AD15" s="41">
        <v>123.60095654292051</v>
      </c>
      <c r="AE15" s="41">
        <v>153.83466397598482</v>
      </c>
      <c r="AF15" s="41">
        <v>122.11946551214545</v>
      </c>
      <c r="AG15" s="42">
        <v>255.08851234022447</v>
      </c>
      <c r="AH15" s="41">
        <v>1222.4943500825805</v>
      </c>
      <c r="AI15" s="41">
        <v>68.494073879744619</v>
      </c>
      <c r="AJ15" s="43">
        <v>1.0806684494331193E-12</v>
      </c>
      <c r="AK15" s="43">
        <v>1.9608079558084108E-19</v>
      </c>
      <c r="AL15" s="43">
        <v>4.1556177904898524E-12</v>
      </c>
      <c r="AM15" s="43">
        <v>0</v>
      </c>
      <c r="AN15" s="43">
        <v>0</v>
      </c>
      <c r="AO15" s="43">
        <v>0.99999999999476374</v>
      </c>
      <c r="AP15" s="40" t="s">
        <v>129</v>
      </c>
      <c r="AQ15" s="42">
        <v>46.451970487033655</v>
      </c>
      <c r="AR15" s="42">
        <v>62.887622435683753</v>
      </c>
      <c r="AS15" s="41">
        <v>50.57298764357833</v>
      </c>
      <c r="AT15" s="42">
        <v>155.68529233676597</v>
      </c>
      <c r="AU15" s="41">
        <v>1079.2291566270201</v>
      </c>
      <c r="AV15" s="41">
        <v>20.031819986298832</v>
      </c>
      <c r="AW15" s="43">
        <v>1.8320453995360669E-6</v>
      </c>
      <c r="AX15" s="43">
        <v>3.2952509862143133E-10</v>
      </c>
      <c r="AY15" s="43">
        <v>4.278683486410336E-7</v>
      </c>
      <c r="AZ15" s="43">
        <v>2.3287909940460482E-30</v>
      </c>
      <c r="BA15" s="43">
        <v>0</v>
      </c>
      <c r="BB15" s="43">
        <v>0.99999773975672679</v>
      </c>
      <c r="BC15" s="40">
        <v>3</v>
      </c>
      <c r="BD15" s="40">
        <v>3</v>
      </c>
      <c r="BE15" s="40">
        <f>IF(Таблица1[[#This Row],[Neuron id (Кохонен)]]=Таблица1[[#This Row],[Кохонен 2020]],1,0)</f>
        <v>1</v>
      </c>
      <c r="BF15" s="28">
        <v>6</v>
      </c>
      <c r="BG15" s="40">
        <f>IF(Таблица1[[#This Row],[Персептрон]]=Таблица1[[#This Row],[Обучающая выборка]],1,0)</f>
        <v>0</v>
      </c>
      <c r="BH15" s="40">
        <f>IF(Таблица1[[#This Row],[Номер класса по классификации дискр функции (Python)]]=Таблица1[[#This Row],[Персептрон]],1,0)</f>
        <v>1</v>
      </c>
      <c r="BI15" s="36">
        <v>-0.32979224949162766</v>
      </c>
      <c r="BJ15" s="36">
        <v>-0.1725780782690379</v>
      </c>
      <c r="BK15" s="36">
        <v>-0.98444141432415844</v>
      </c>
      <c r="BL15" s="36">
        <v>-0.44219655160191634</v>
      </c>
      <c r="BM15" s="36">
        <v>-1.3265316670393259</v>
      </c>
      <c r="BN15" s="36">
        <v>2.1655087396736383</v>
      </c>
      <c r="BO15" s="36">
        <v>2.241725935699566</v>
      </c>
      <c r="BP15" s="36">
        <v>0.65257513503670883</v>
      </c>
      <c r="BQ15" s="36">
        <v>1.5374455237199196</v>
      </c>
      <c r="BR15" s="36">
        <v>-1.1224224627953943</v>
      </c>
      <c r="BS15" s="36">
        <v>-0.24014243179217984</v>
      </c>
      <c r="BT15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16.88475196326743</v>
      </c>
      <c r="BU15" s="50">
        <v>-0.66485000000000016</v>
      </c>
      <c r="BV15" s="50">
        <v>1.7964199999999999</v>
      </c>
      <c r="BW15" s="50">
        <v>-1.6655500000000001</v>
      </c>
      <c r="BX15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6.4432076431106706</v>
      </c>
      <c r="BY15" s="63">
        <v>-0.29188832645835072</v>
      </c>
      <c r="BZ15" s="64">
        <v>0.30543903248056148</v>
      </c>
      <c r="CA15" s="64">
        <v>2.1224111233850715</v>
      </c>
      <c r="CB15" s="64">
        <v>-0.59484425615212067</v>
      </c>
      <c r="CC15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5.0369604634311687</v>
      </c>
    </row>
    <row r="16" spans="1:81" ht="28.8" customHeight="1" x14ac:dyDescent="0.3">
      <c r="A16" s="22" t="s">
        <v>44</v>
      </c>
      <c r="B16">
        <v>6</v>
      </c>
      <c r="C16">
        <v>3</v>
      </c>
      <c r="D16" s="28">
        <v>5</v>
      </c>
      <c r="E16" s="28">
        <v>2</v>
      </c>
      <c r="F16" s="28">
        <v>4</v>
      </c>
      <c r="G16" s="28">
        <v>5</v>
      </c>
      <c r="H16" s="28">
        <v>3</v>
      </c>
      <c r="I16">
        <v>5</v>
      </c>
      <c r="J16" s="51">
        <v>1</v>
      </c>
      <c r="K16" s="50">
        <v>3</v>
      </c>
      <c r="L16">
        <v>3</v>
      </c>
      <c r="M16" s="49">
        <v>1</v>
      </c>
      <c r="N16" s="65">
        <v>5</v>
      </c>
      <c r="O16" s="66">
        <v>4</v>
      </c>
      <c r="P16" s="66">
        <v>5</v>
      </c>
      <c r="Q16" s="66">
        <v>1</v>
      </c>
      <c r="R16">
        <v>6</v>
      </c>
      <c r="S16" s="39" t="str">
        <f>RIGHT(Таблица1[[#This Row],[Классификация дискр ф-ции]])</f>
        <v>6</v>
      </c>
      <c r="T16" s="90">
        <v>6</v>
      </c>
      <c r="U16" s="90">
        <f>IF(Таблица1[[#This Row],[Обучающая выборка]]=Таблица1[[#This Row],[Номер класса по классификации дискр функции (Python)]],1,0)</f>
        <v>1</v>
      </c>
      <c r="V16" s="90">
        <f>MATCH(MIN(Таблица1[[#This Row],[Махаланобис 1]:[Махаланобис 6]]),Таблица1[[#This Row],[Махаланобис 1]:[Махаланобис 6]],0)</f>
        <v>6</v>
      </c>
      <c r="W16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16" s="40" t="str">
        <f>RIGHT(Таблица1[[#This Row],[Forward Классификация дискр ф-ции]])</f>
        <v>6</v>
      </c>
      <c r="Y16" s="40">
        <f>MATCH(MIN(Таблица1[[#This Row],[Forward Махаланобис 1]:[Forward Махаланобис 6]]),Таблица1[[#This Row],[Forward Махаланобис 1]:[Forward Махаланобис 6]],0)</f>
        <v>6</v>
      </c>
      <c r="Z16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16" s="90">
        <v>6</v>
      </c>
      <c r="AB16" s="90">
        <f>IF(Таблица1[[#This Row],[Обучающая выборка]]=Таблица1[[#This Row],[Номер класса (пошаговый дискр анализ с включением) Python]],1,0)</f>
        <v>1</v>
      </c>
      <c r="AC16" s="40" t="s">
        <v>129</v>
      </c>
      <c r="AD16" s="41">
        <v>52.093636227924122</v>
      </c>
      <c r="AE16" s="41">
        <v>39.658237479329081</v>
      </c>
      <c r="AF16" s="41">
        <v>39.296873624192934</v>
      </c>
      <c r="AG16" s="42">
        <v>131.83143909214618</v>
      </c>
      <c r="AH16" s="41">
        <v>1095.2945291114413</v>
      </c>
      <c r="AI16" s="41">
        <v>7.529232291952181</v>
      </c>
      <c r="AJ16" s="43">
        <v>2.1035968381700708E-10</v>
      </c>
      <c r="AK16" s="43">
        <v>7.0336989922121362E-8</v>
      </c>
      <c r="AL16" s="43">
        <v>2.3173180084741836E-7</v>
      </c>
      <c r="AM16" s="43">
        <v>6.7924642106193173E-28</v>
      </c>
      <c r="AN16" s="43">
        <v>0</v>
      </c>
      <c r="AO16" s="43">
        <v>0.99999969772084951</v>
      </c>
      <c r="AP16" s="40" t="s">
        <v>129</v>
      </c>
      <c r="AQ16" s="42">
        <v>26.314753840660096</v>
      </c>
      <c r="AR16" s="42">
        <v>24.727599821456455</v>
      </c>
      <c r="AS16" s="41">
        <v>19.768811961512402</v>
      </c>
      <c r="AT16" s="42">
        <v>109.38073835971917</v>
      </c>
      <c r="AU16" s="41">
        <v>980.91203295533171</v>
      </c>
      <c r="AV16" s="41">
        <v>3.7782843454380335</v>
      </c>
      <c r="AW16" s="43">
        <v>1.2763971627896243E-5</v>
      </c>
      <c r="AX16" s="43">
        <v>1.881657983091075E-5</v>
      </c>
      <c r="AY16" s="43">
        <v>6.175334448497217E-4</v>
      </c>
      <c r="AZ16" s="43">
        <v>7.8045023525109632E-24</v>
      </c>
      <c r="BA16" s="43">
        <v>0</v>
      </c>
      <c r="BB16" s="43">
        <v>0.99935088600369149</v>
      </c>
      <c r="BC16" s="40">
        <v>3</v>
      </c>
      <c r="BD16" s="40">
        <v>3</v>
      </c>
      <c r="BE16" s="40">
        <f>IF(Таблица1[[#This Row],[Neuron id (Кохонен)]]=Таблица1[[#This Row],[Кохонен 2020]],1,0)</f>
        <v>1</v>
      </c>
      <c r="BF16" s="28">
        <v>6</v>
      </c>
      <c r="BG16" s="40">
        <f>IF(Таблица1[[#This Row],[Персептрон]]=Таблица1[[#This Row],[Обучающая выборка]],1,0)</f>
        <v>1</v>
      </c>
      <c r="BH16" s="40">
        <f>IF(Таблица1[[#This Row],[Номер класса по классификации дискр функции (Python)]]=Таблица1[[#This Row],[Персептрон]],1,0)</f>
        <v>1</v>
      </c>
      <c r="BI16" s="36">
        <v>-0.34110467917950077</v>
      </c>
      <c r="BJ16" s="36">
        <v>-0.1914024749288179</v>
      </c>
      <c r="BK16" s="36">
        <v>-0.95279475487689191</v>
      </c>
      <c r="BL16" s="36">
        <v>-0.30657441335287522</v>
      </c>
      <c r="BM16" s="36">
        <v>-1.0903932231364377</v>
      </c>
      <c r="BN16" s="36">
        <v>1.0848380601751657</v>
      </c>
      <c r="BO16" s="36">
        <v>0.41628042223546641</v>
      </c>
      <c r="BP16" s="36">
        <v>9.2504207286129882E-3</v>
      </c>
      <c r="BQ16" s="36">
        <v>-0.19955693671776376</v>
      </c>
      <c r="BR16" s="36">
        <v>0.31650972376131348</v>
      </c>
      <c r="BS16" s="36">
        <v>-0.99242217864445781</v>
      </c>
      <c r="BT16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4.8189021403903425</v>
      </c>
      <c r="BU16" s="50">
        <v>-0.34315000000000001</v>
      </c>
      <c r="BV16" s="50">
        <v>0.27394000000000002</v>
      </c>
      <c r="BW16" s="50">
        <v>-1.3032900000000001</v>
      </c>
      <c r="BX16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1.8913600798306713</v>
      </c>
      <c r="BY16" s="63">
        <v>-0.30839554150087894</v>
      </c>
      <c r="BZ16" s="64">
        <v>-0.44346987400952714</v>
      </c>
      <c r="CA16" s="64">
        <v>0.91681934686866828</v>
      </c>
      <c r="CB16" s="64">
        <v>-0.31468655503946763</v>
      </c>
      <c r="CC16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1.2313586818869455</v>
      </c>
    </row>
    <row r="17" spans="1:81" x14ac:dyDescent="0.3">
      <c r="A17" s="22" t="s">
        <v>9</v>
      </c>
      <c r="B17">
        <v>3</v>
      </c>
      <c r="C17">
        <v>1</v>
      </c>
      <c r="D17" s="28">
        <v>5</v>
      </c>
      <c r="E17" s="28">
        <v>2</v>
      </c>
      <c r="F17" s="28">
        <v>4</v>
      </c>
      <c r="G17" s="28">
        <v>5</v>
      </c>
      <c r="H17" s="28">
        <v>1</v>
      </c>
      <c r="I17">
        <v>4</v>
      </c>
      <c r="J17" s="51">
        <v>3</v>
      </c>
      <c r="K17" s="50">
        <v>1</v>
      </c>
      <c r="L17">
        <v>2</v>
      </c>
      <c r="M17" s="49">
        <v>2</v>
      </c>
      <c r="N17" s="65">
        <v>4</v>
      </c>
      <c r="O17" s="66">
        <v>5</v>
      </c>
      <c r="P17" s="66">
        <v>2</v>
      </c>
      <c r="Q17" s="66">
        <v>5</v>
      </c>
      <c r="R17">
        <v>3</v>
      </c>
      <c r="S17" s="39" t="str">
        <f>RIGHT(Таблица1[[#This Row],[Классификация дискр ф-ции]])</f>
        <v>3</v>
      </c>
      <c r="T17" s="90">
        <v>3</v>
      </c>
      <c r="U17" s="90">
        <f>IF(Таблица1[[#This Row],[Обучающая выборка]]=Таблица1[[#This Row],[Номер класса по классификации дискр функции (Python)]],1,0)</f>
        <v>1</v>
      </c>
      <c r="V17" s="90">
        <f>MATCH(MIN(Таблица1[[#This Row],[Махаланобис 1]:[Махаланобис 6]]),Таблица1[[#This Row],[Махаланобис 1]:[Махаланобис 6]],0)</f>
        <v>3</v>
      </c>
      <c r="W17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17" s="40" t="str">
        <f>RIGHT(Таблица1[[#This Row],[Forward Классификация дискр ф-ции]])</f>
        <v>3</v>
      </c>
      <c r="Y17" s="40">
        <f>MATCH(MIN(Таблица1[[#This Row],[Forward Махаланобис 1]:[Forward Махаланобис 6]]),Таблица1[[#This Row],[Forward Махаланобис 1]:[Forward Махаланобис 6]],0)</f>
        <v>3</v>
      </c>
      <c r="Z17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17" s="90">
        <v>3</v>
      </c>
      <c r="AB17" s="90">
        <f>IF(Таблица1[[#This Row],[Обучающая выборка]]=Таблица1[[#This Row],[Номер класса (пошаговый дискр анализ с включением) Python]],1,0)</f>
        <v>1</v>
      </c>
      <c r="AC17" s="40" t="s">
        <v>128</v>
      </c>
      <c r="AD17" s="41">
        <v>58.597555274557237</v>
      </c>
      <c r="AE17" s="41">
        <v>74.371185612691306</v>
      </c>
      <c r="AF17" s="41">
        <v>10.51986349038974</v>
      </c>
      <c r="AG17" s="42">
        <v>175.35773824934157</v>
      </c>
      <c r="AH17" s="41">
        <v>1274.0724133988037</v>
      </c>
      <c r="AI17" s="41">
        <v>38.33992691570743</v>
      </c>
      <c r="AJ17" s="43">
        <v>1.9807069590441946E-11</v>
      </c>
      <c r="AK17" s="43">
        <v>4.9605366269529669E-15</v>
      </c>
      <c r="AL17" s="43">
        <v>0.99999950372125923</v>
      </c>
      <c r="AM17" s="43">
        <v>0</v>
      </c>
      <c r="AN17" s="43">
        <v>0</v>
      </c>
      <c r="AO17" s="43">
        <v>4.9625892882717966E-7</v>
      </c>
      <c r="AP17" s="40" t="s">
        <v>128</v>
      </c>
      <c r="AQ17" s="42">
        <v>53.80110274810054</v>
      </c>
      <c r="AR17" s="42">
        <v>69.998441359747332</v>
      </c>
      <c r="AS17" s="41">
        <v>9.0915665640605194</v>
      </c>
      <c r="AT17" s="42">
        <v>153.05878981844023</v>
      </c>
      <c r="AU17" s="41">
        <v>1118.7294329920039</v>
      </c>
      <c r="AV17" s="41">
        <v>30.981217721481645</v>
      </c>
      <c r="AW17" s="43">
        <v>1.0670922303298976E-10</v>
      </c>
      <c r="AX17" s="43">
        <v>2.1622370683700814E-14</v>
      </c>
      <c r="AY17" s="43">
        <v>0.99999037320230977</v>
      </c>
      <c r="AZ17" s="43">
        <v>1.988739080653391E-32</v>
      </c>
      <c r="BA17" s="43">
        <v>0</v>
      </c>
      <c r="BB17" s="43">
        <v>9.6266909594255642E-6</v>
      </c>
      <c r="BC17" s="40">
        <v>5</v>
      </c>
      <c r="BD17" s="40">
        <v>5</v>
      </c>
      <c r="BE17" s="40">
        <f>IF(Таблица1[[#This Row],[Neuron id (Кохонен)]]=Таблица1[[#This Row],[Кохонен 2020]],1,0)</f>
        <v>1</v>
      </c>
      <c r="BF17" s="28">
        <v>3</v>
      </c>
      <c r="BG17" s="40">
        <f>IF(Таблица1[[#This Row],[Персептрон]]=Таблица1[[#This Row],[Обучающая выборка]],1,0)</f>
        <v>1</v>
      </c>
      <c r="BH17" s="40">
        <f>IF(Таблица1[[#This Row],[Номер класса по классификации дискр функции (Python)]]=Таблица1[[#This Row],[Персептрон]],1,0)</f>
        <v>1</v>
      </c>
      <c r="BI17" s="36">
        <v>-0.431315660637203</v>
      </c>
      <c r="BJ17" s="36">
        <v>-0.40320346166021825</v>
      </c>
      <c r="BK17" s="36">
        <v>-0.71185845437808348</v>
      </c>
      <c r="BL17" s="36">
        <v>-3.5330136854794365E-2</v>
      </c>
      <c r="BM17" s="36">
        <v>4.2640594521451526E-3</v>
      </c>
      <c r="BN17" s="36">
        <v>-2.9109360059165597E-2</v>
      </c>
      <c r="BO17" s="36">
        <v>-0.72463267509700047</v>
      </c>
      <c r="BP17" s="36">
        <v>1.2244193255327949</v>
      </c>
      <c r="BQ17" s="36">
        <v>-0.83262872704156132</v>
      </c>
      <c r="BR17" s="36">
        <v>-0.43627539621314015</v>
      </c>
      <c r="BS17" s="36">
        <v>0.45080284228814216</v>
      </c>
      <c r="BT17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3.9685876648987541</v>
      </c>
      <c r="BU17" s="50">
        <v>-0.64357000000000009</v>
      </c>
      <c r="BV17" s="50">
        <v>2.8879999999999999E-2</v>
      </c>
      <c r="BW17" s="50">
        <v>0.58684999999999998</v>
      </c>
      <c r="BX17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0.75940888765655346</v>
      </c>
      <c r="BY17" s="63">
        <v>-0.30797823652138556</v>
      </c>
      <c r="BZ17" s="64">
        <v>0.81144324333778883</v>
      </c>
      <c r="CA17" s="64">
        <v>-0.35899790282375305</v>
      </c>
      <c r="CB17" s="64">
        <v>-0.49966634216917255</v>
      </c>
      <c r="CC17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1.1318366790579459</v>
      </c>
    </row>
    <row r="18" spans="1:81" x14ac:dyDescent="0.3">
      <c r="A18" s="22" t="s">
        <v>45</v>
      </c>
      <c r="B18">
        <v>6</v>
      </c>
      <c r="C18">
        <v>1</v>
      </c>
      <c r="D18" s="28">
        <v>5</v>
      </c>
      <c r="E18" s="28">
        <v>2</v>
      </c>
      <c r="F18" s="28">
        <v>4</v>
      </c>
      <c r="G18" s="28">
        <v>5</v>
      </c>
      <c r="H18" s="28">
        <v>3</v>
      </c>
      <c r="I18">
        <v>5</v>
      </c>
      <c r="J18" s="51">
        <v>2</v>
      </c>
      <c r="K18" s="50">
        <v>3</v>
      </c>
      <c r="L18">
        <v>1</v>
      </c>
      <c r="M18" s="49">
        <v>2</v>
      </c>
      <c r="N18" s="65">
        <v>3</v>
      </c>
      <c r="O18" s="66">
        <v>3</v>
      </c>
      <c r="P18" s="66">
        <v>2</v>
      </c>
      <c r="Q18" s="66">
        <v>5</v>
      </c>
      <c r="S18" s="39" t="str">
        <f>RIGHT(Таблица1[[#This Row],[Классификация дискр ф-ции]])</f>
        <v>6</v>
      </c>
      <c r="T18" s="90">
        <v>6</v>
      </c>
      <c r="U18" s="90">
        <f>IF(Таблица1[[#This Row],[Обучающая выборка]]=Таблица1[[#This Row],[Номер класса по классификации дискр функции (Python)]],1,0)</f>
        <v>0</v>
      </c>
      <c r="V18" s="90">
        <f>MATCH(MIN(Таблица1[[#This Row],[Махаланобис 1]:[Махаланобис 6]]),Таблица1[[#This Row],[Махаланобис 1]:[Махаланобис 6]],0)</f>
        <v>6</v>
      </c>
      <c r="W18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18" s="40" t="str">
        <f>RIGHT(Таблица1[[#This Row],[Forward Классификация дискр ф-ции]])</f>
        <v>3</v>
      </c>
      <c r="Y18" s="40">
        <f>MATCH(MIN(Таблица1[[#This Row],[Forward Махаланобис 1]:[Forward Махаланобис 6]]),Таблица1[[#This Row],[Forward Махаланобис 1]:[Forward Махаланобис 6]],0)</f>
        <v>3</v>
      </c>
      <c r="Z18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18" s="90">
        <v>3</v>
      </c>
      <c r="AB18" s="90">
        <f>IF(Таблица1[[#This Row],[Обучающая выборка]]=Таблица1[[#This Row],[Номер класса (пошаговый дискр анализ с включением) Python]],1,0)</f>
        <v>0</v>
      </c>
      <c r="AC18" s="40" t="s">
        <v>129</v>
      </c>
      <c r="AD18" s="41">
        <v>55.352780440837719</v>
      </c>
      <c r="AE18" s="41">
        <v>59.4871869846191</v>
      </c>
      <c r="AF18" s="41">
        <v>35.303891580253584</v>
      </c>
      <c r="AG18" s="42">
        <v>135.31222679442618</v>
      </c>
      <c r="AH18" s="41">
        <v>1087.2849533836177</v>
      </c>
      <c r="AI18" s="41">
        <v>24.392521317780226</v>
      </c>
      <c r="AJ18" s="43">
        <v>1.8779194520770328E-7</v>
      </c>
      <c r="AK18" s="43">
        <v>1.5842026211332817E-8</v>
      </c>
      <c r="AL18" s="43">
        <v>7.7710427037636148E-3</v>
      </c>
      <c r="AM18" s="43">
        <v>5.4276587882779219E-25</v>
      </c>
      <c r="AN18" s="43">
        <v>0</v>
      </c>
      <c r="AO18" s="43">
        <v>0.99222875366226493</v>
      </c>
      <c r="AP18" s="40" t="s">
        <v>128</v>
      </c>
      <c r="AQ18" s="42">
        <v>25.603131344912359</v>
      </c>
      <c r="AR18" s="42">
        <v>30.046284238985859</v>
      </c>
      <c r="AS18" s="41">
        <v>11.081540091482037</v>
      </c>
      <c r="AT18" s="42">
        <v>79.110458101747966</v>
      </c>
      <c r="AU18" s="41">
        <v>896.84070856658707</v>
      </c>
      <c r="AV18" s="41">
        <v>12.218141322239081</v>
      </c>
      <c r="AW18" s="43">
        <v>2.9265869529230464E-4</v>
      </c>
      <c r="AX18" s="43">
        <v>2.1156887707568517E-5</v>
      </c>
      <c r="AY18" s="43">
        <v>0.76370624477204796</v>
      </c>
      <c r="AZ18" s="43">
        <v>4.6913928014835377E-16</v>
      </c>
      <c r="BA18" s="43">
        <v>0</v>
      </c>
      <c r="BB18" s="43">
        <v>0.23597993964495154</v>
      </c>
      <c r="BC18" s="40">
        <v>5</v>
      </c>
      <c r="BD18" s="40">
        <v>5</v>
      </c>
      <c r="BE18" s="40">
        <f>IF(Таблица1[[#This Row],[Neuron id (Кохонен)]]=Таблица1[[#This Row],[Кохонен 2020]],1,0)</f>
        <v>1</v>
      </c>
      <c r="BF18" s="28">
        <v>3</v>
      </c>
      <c r="BG18" s="40">
        <f>IF(Таблица1[[#This Row],[Персептрон]]=Таблица1[[#This Row],[Обучающая выборка]],1,0)</f>
        <v>0</v>
      </c>
      <c r="BH18" s="40">
        <f>IF(Таблица1[[#This Row],[Номер класса по классификации дискр функции (Python)]]=Таблица1[[#This Row],[Персептрон]],1,0)</f>
        <v>0</v>
      </c>
      <c r="BI18" s="36">
        <v>-4.8659017170736237E-2</v>
      </c>
      <c r="BJ18" s="36">
        <v>-3.836616716181071E-2</v>
      </c>
      <c r="BK18" s="36">
        <v>-0.84991677622874251</v>
      </c>
      <c r="BL18" s="36">
        <v>-0.22907604863913805</v>
      </c>
      <c r="BM18" s="36">
        <v>-0.39662213601089769</v>
      </c>
      <c r="BN18" s="36">
        <v>1.2879707551859638</v>
      </c>
      <c r="BO18" s="36">
        <v>-0.55753091451731074</v>
      </c>
      <c r="BP18" s="36">
        <v>0.29517251597665539</v>
      </c>
      <c r="BQ18" s="36">
        <v>2.4964383542845529E-2</v>
      </c>
      <c r="BR18" s="36">
        <v>0.1243650902352454</v>
      </c>
      <c r="BS18" s="36">
        <v>0.16341710114279437</v>
      </c>
      <c r="BT18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3.0356143901893411</v>
      </c>
      <c r="BU18" s="50">
        <v>-0.18803</v>
      </c>
      <c r="BV18" s="50">
        <v>0.47038000000000008</v>
      </c>
      <c r="BW18" s="50">
        <v>-0.31313000000000002</v>
      </c>
      <c r="BX18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0.3546631180706713</v>
      </c>
      <c r="BY18" s="63">
        <v>-0.10365728858882617</v>
      </c>
      <c r="BZ18" s="64">
        <v>0.28222787870018873</v>
      </c>
      <c r="CA18" s="64">
        <v>0.48385919384217385</v>
      </c>
      <c r="CB18" s="64">
        <v>-0.18890289091754794</v>
      </c>
      <c r="CC18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0.36020143065580107</v>
      </c>
    </row>
    <row r="19" spans="1:81" ht="14.4" customHeight="1" x14ac:dyDescent="0.3">
      <c r="A19" s="22" t="s">
        <v>46</v>
      </c>
      <c r="B19">
        <v>2</v>
      </c>
      <c r="C19">
        <v>6</v>
      </c>
      <c r="D19" s="28">
        <v>5</v>
      </c>
      <c r="E19" s="28">
        <v>2</v>
      </c>
      <c r="F19" s="28">
        <v>4</v>
      </c>
      <c r="G19" s="28">
        <v>5</v>
      </c>
      <c r="H19" s="28">
        <v>4</v>
      </c>
      <c r="I19">
        <v>1</v>
      </c>
      <c r="J19" s="51">
        <v>6</v>
      </c>
      <c r="K19" s="50">
        <v>5</v>
      </c>
      <c r="L19">
        <v>4</v>
      </c>
      <c r="M19" s="49">
        <v>4</v>
      </c>
      <c r="N19" s="65">
        <v>5</v>
      </c>
      <c r="O19" s="66">
        <v>2</v>
      </c>
      <c r="P19" s="66">
        <v>1</v>
      </c>
      <c r="Q19" s="66">
        <v>3</v>
      </c>
      <c r="R19">
        <v>2</v>
      </c>
      <c r="S19" s="39" t="str">
        <f>RIGHT(Таблица1[[#This Row],[Классификация дискр ф-ции]])</f>
        <v>2</v>
      </c>
      <c r="T19" s="90">
        <v>2</v>
      </c>
      <c r="U19" s="90">
        <f>IF(Таблица1[[#This Row],[Обучающая выборка]]=Таблица1[[#This Row],[Номер класса по классификации дискр функции (Python)]],1,0)</f>
        <v>1</v>
      </c>
      <c r="V19" s="90">
        <f>MATCH(MIN(Таблица1[[#This Row],[Махаланобис 1]:[Махаланобис 6]]),Таблица1[[#This Row],[Махаланобис 1]:[Махаланобис 6]],0)</f>
        <v>2</v>
      </c>
      <c r="W19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19" s="40" t="str">
        <f>RIGHT(Таблица1[[#This Row],[Forward Классификация дискр ф-ции]])</f>
        <v>2</v>
      </c>
      <c r="Y19" s="40">
        <f>MATCH(MIN(Таблица1[[#This Row],[Forward Махаланобис 1]:[Forward Махаланобис 6]]),Таблица1[[#This Row],[Forward Махаланобис 1]:[Forward Махаланобис 6]],0)</f>
        <v>2</v>
      </c>
      <c r="Z19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19" s="90">
        <v>2</v>
      </c>
      <c r="AB19" s="90">
        <f>IF(Таблица1[[#This Row],[Обучающая выборка]]=Таблица1[[#This Row],[Номер класса (пошаговый дискр анализ с включением) Python]],1,0)</f>
        <v>1</v>
      </c>
      <c r="AC19" s="40" t="s">
        <v>131</v>
      </c>
      <c r="AD19" s="41">
        <v>78.711272985646573</v>
      </c>
      <c r="AE19" s="41">
        <v>7.6243493553428907</v>
      </c>
      <c r="AF19" s="41">
        <v>84.209095993925686</v>
      </c>
      <c r="AG19" s="42">
        <v>87.417805908792502</v>
      </c>
      <c r="AH19" s="41">
        <v>932.32503668434015</v>
      </c>
      <c r="AI19" s="41">
        <v>40.382186056794602</v>
      </c>
      <c r="AJ19" s="43">
        <v>5.49239641254659E-16</v>
      </c>
      <c r="AK19" s="43">
        <v>0.99999988443738719</v>
      </c>
      <c r="AL19" s="43">
        <v>6.4441584754290699E-17</v>
      </c>
      <c r="AM19" s="43">
        <v>4.7105434408967499E-18</v>
      </c>
      <c r="AN19" s="43">
        <v>0</v>
      </c>
      <c r="AO19" s="43">
        <v>1.1556261205162207E-7</v>
      </c>
      <c r="AP19" s="40" t="s">
        <v>131</v>
      </c>
      <c r="AQ19" s="42">
        <v>64.221518431530299</v>
      </c>
      <c r="AR19" s="42">
        <v>4.9563850840965484</v>
      </c>
      <c r="AS19" s="41">
        <v>71.801461041211311</v>
      </c>
      <c r="AT19" s="42">
        <v>80.392406539517623</v>
      </c>
      <c r="AU19" s="41">
        <v>806.95512781663194</v>
      </c>
      <c r="AV19" s="41">
        <v>24.662708251981389</v>
      </c>
      <c r="AW19" s="43">
        <v>2.026734293763006E-13</v>
      </c>
      <c r="AX19" s="43">
        <v>0.99992113518241943</v>
      </c>
      <c r="AY19" s="43">
        <v>8.3960424682997557E-15</v>
      </c>
      <c r="AZ19" s="43">
        <v>4.1614225928941947E-17</v>
      </c>
      <c r="BA19" s="43">
        <v>0</v>
      </c>
      <c r="BB19" s="43">
        <v>7.8864817369613544E-5</v>
      </c>
      <c r="BC19" s="40">
        <v>2</v>
      </c>
      <c r="BD19" s="40">
        <v>2</v>
      </c>
      <c r="BE19" s="40">
        <f>IF(Таблица1[[#This Row],[Neuron id (Кохонен)]]=Таблица1[[#This Row],[Кохонен 2020]],1,0)</f>
        <v>1</v>
      </c>
      <c r="BF19" s="28">
        <v>2</v>
      </c>
      <c r="BG19" s="40">
        <f>IF(Таблица1[[#This Row],[Персептрон]]=Таблица1[[#This Row],[Обучающая выборка]],1,0)</f>
        <v>1</v>
      </c>
      <c r="BH19" s="40">
        <f>IF(Таблица1[[#This Row],[Номер класса по классификации дискр функции (Python)]]=Таблица1[[#This Row],[Персептрон]],1,0)</f>
        <v>1</v>
      </c>
      <c r="BI19" s="36">
        <v>-0.4808540459014739</v>
      </c>
      <c r="BJ19" s="36">
        <v>-0.39010742379027552</v>
      </c>
      <c r="BK19" s="36">
        <v>-1.0096255904616542</v>
      </c>
      <c r="BL19" s="36">
        <v>-7.407931921166365E-2</v>
      </c>
      <c r="BM19" s="36">
        <v>-0.26665446533566461</v>
      </c>
      <c r="BN19" s="36">
        <v>-0.86090065641678581</v>
      </c>
      <c r="BO19" s="36">
        <v>0.18140875336702156</v>
      </c>
      <c r="BP19" s="36">
        <v>-1.4918405793236118</v>
      </c>
      <c r="BQ19" s="36">
        <v>-1.3719724529762201</v>
      </c>
      <c r="BR19" s="36">
        <v>-8.0886828400486346E-2</v>
      </c>
      <c r="BS19" s="36">
        <v>-2.1347604967889851</v>
      </c>
      <c r="BT19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10.925041457408145</v>
      </c>
      <c r="BU19" s="50">
        <v>-0.38940000000000008</v>
      </c>
      <c r="BV19" s="50">
        <v>-1.6518200000000003</v>
      </c>
      <c r="BW19" s="50">
        <v>-1.34572</v>
      </c>
      <c r="BX19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4.691103735529496</v>
      </c>
      <c r="BY19" s="63">
        <v>-0.54764676139993218</v>
      </c>
      <c r="BZ19" s="64">
        <v>-1.9042755717368767</v>
      </c>
      <c r="CA19" s="64">
        <v>-0.12696136033707475</v>
      </c>
      <c r="CB19" s="64">
        <v>-0.23100348271973264</v>
      </c>
      <c r="CC19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3.9956642244329283</v>
      </c>
    </row>
    <row r="20" spans="1:81" ht="28.8" customHeight="1" x14ac:dyDescent="0.3">
      <c r="A20" s="22" t="s">
        <v>47</v>
      </c>
      <c r="B20">
        <v>1</v>
      </c>
      <c r="C20">
        <v>4</v>
      </c>
      <c r="D20" s="28">
        <v>5</v>
      </c>
      <c r="E20" s="28">
        <v>2</v>
      </c>
      <c r="F20" s="28">
        <v>4</v>
      </c>
      <c r="G20" s="28">
        <v>5</v>
      </c>
      <c r="H20" s="28">
        <v>2</v>
      </c>
      <c r="I20">
        <v>2</v>
      </c>
      <c r="J20" s="51">
        <v>3</v>
      </c>
      <c r="K20" s="50">
        <v>4</v>
      </c>
      <c r="L20">
        <v>1</v>
      </c>
      <c r="M20" s="49">
        <v>2</v>
      </c>
      <c r="N20" s="65">
        <v>6</v>
      </c>
      <c r="O20" s="66">
        <v>5</v>
      </c>
      <c r="P20" s="66">
        <v>5</v>
      </c>
      <c r="Q20" s="66">
        <v>1</v>
      </c>
      <c r="S20" s="39" t="str">
        <f>RIGHT(Таблица1[[#This Row],[Классификация дискр ф-ции]])</f>
        <v>1</v>
      </c>
      <c r="T20" s="90">
        <v>1</v>
      </c>
      <c r="U20" s="90">
        <f>IF(Таблица1[[#This Row],[Обучающая выборка]]=Таблица1[[#This Row],[Номер класса по классификации дискр функции (Python)]],1,0)</f>
        <v>0</v>
      </c>
      <c r="V20" s="90">
        <f>MATCH(MIN(Таблица1[[#This Row],[Махаланобис 1]:[Махаланобис 6]]),Таблица1[[#This Row],[Махаланобис 1]:[Махаланобис 6]],0)</f>
        <v>1</v>
      </c>
      <c r="W20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20" s="40" t="str">
        <f>RIGHT(Таблица1[[#This Row],[Forward Классификация дискр ф-ции]])</f>
        <v>1</v>
      </c>
      <c r="Y20" s="40">
        <f>MATCH(MIN(Таблица1[[#This Row],[Forward Махаланобис 1]:[Forward Махаланобис 6]]),Таблица1[[#This Row],[Forward Махаланобис 1]:[Forward Махаланобис 6]],0)</f>
        <v>1</v>
      </c>
      <c r="Z20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20" s="90">
        <v>1</v>
      </c>
      <c r="AB20" s="90">
        <f>IF(Таблица1[[#This Row],[Обучающая выборка]]=Таблица1[[#This Row],[Номер класса (пошаговый дискр анализ с включением) Python]],1,0)</f>
        <v>0</v>
      </c>
      <c r="AC20" s="40" t="s">
        <v>130</v>
      </c>
      <c r="AD20" s="41">
        <v>72.742771768978599</v>
      </c>
      <c r="AE20" s="41">
        <v>229.15144381773871</v>
      </c>
      <c r="AF20" s="41">
        <v>130.09051082562925</v>
      </c>
      <c r="AG20" s="42">
        <v>212.49736930806483</v>
      </c>
      <c r="AH20" s="41">
        <v>1197.5679652323581</v>
      </c>
      <c r="AI20" s="41">
        <v>200.43463947644244</v>
      </c>
      <c r="AJ20" s="43">
        <v>0.99999999999935385</v>
      </c>
      <c r="AK20" s="43">
        <v>0</v>
      </c>
      <c r="AL20" s="43">
        <v>6.4615710457708829E-13</v>
      </c>
      <c r="AM20" s="43">
        <v>2.9962874485561289E-31</v>
      </c>
      <c r="AN20" s="43">
        <v>0</v>
      </c>
      <c r="AO20" s="43">
        <v>1.8709545405074595E-28</v>
      </c>
      <c r="AP20" s="40" t="s">
        <v>130</v>
      </c>
      <c r="AQ20" s="42">
        <v>13.47316565413451</v>
      </c>
      <c r="AR20" s="42">
        <v>115.10715163618781</v>
      </c>
      <c r="AS20" s="41">
        <v>43.767056231530177</v>
      </c>
      <c r="AT20" s="42">
        <v>90.250057445460769</v>
      </c>
      <c r="AU20" s="41">
        <v>930.92907567889552</v>
      </c>
      <c r="AV20" s="41">
        <v>86.859996268561716</v>
      </c>
      <c r="AW20" s="43">
        <v>0.99999951582042146</v>
      </c>
      <c r="AX20" s="43">
        <v>5.6802687999520551E-23</v>
      </c>
      <c r="AY20" s="43">
        <v>4.8417957839274609E-7</v>
      </c>
      <c r="AZ20" s="43">
        <v>1.4191173487304543E-17</v>
      </c>
      <c r="BA20" s="43">
        <v>0</v>
      </c>
      <c r="BB20" s="43">
        <v>1.1594499324772539E-16</v>
      </c>
      <c r="BC20" s="40">
        <v>4</v>
      </c>
      <c r="BD20" s="40">
        <v>4</v>
      </c>
      <c r="BE20" s="40">
        <f>IF(Таблица1[[#This Row],[Neuron id (Кохонен)]]=Таблица1[[#This Row],[Кохонен 2020]],1,0)</f>
        <v>1</v>
      </c>
      <c r="BF20" s="28">
        <v>1</v>
      </c>
      <c r="BG20" s="40">
        <f>IF(Таблица1[[#This Row],[Персептрон]]=Таблица1[[#This Row],[Обучающая выборка]],1,0)</f>
        <v>0</v>
      </c>
      <c r="BH20" s="40">
        <f>IF(Таблица1[[#This Row],[Номер класса по классификации дискр функции (Python)]]=Таблица1[[#This Row],[Персептрон]],1,0)</f>
        <v>1</v>
      </c>
      <c r="BI20" s="36">
        <v>-0.17048112546811459</v>
      </c>
      <c r="BJ20" s="36">
        <v>-0.20847213161871486</v>
      </c>
      <c r="BK20" s="36">
        <v>0.19350442115017485</v>
      </c>
      <c r="BL20" s="36">
        <v>0.72027891910414565</v>
      </c>
      <c r="BM20" s="36">
        <v>2.210053399785326</v>
      </c>
      <c r="BN20" s="36">
        <v>-8.4788057536306805E-2</v>
      </c>
      <c r="BO20" s="36">
        <v>-0.69971768055711436</v>
      </c>
      <c r="BP20" s="36">
        <v>-0.13371062689540852</v>
      </c>
      <c r="BQ20" s="36">
        <v>1.7243035255570986</v>
      </c>
      <c r="BR20" s="36">
        <v>-9.1548631464602306E-2</v>
      </c>
      <c r="BS20" s="36">
        <v>-0.23032852118913549</v>
      </c>
      <c r="BT20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9.0624335627903356</v>
      </c>
      <c r="BU20" s="50">
        <v>0.24460000000000001</v>
      </c>
      <c r="BV20" s="50">
        <v>-8.7790000000000021E-2</v>
      </c>
      <c r="BW20" s="50">
        <v>1.0703</v>
      </c>
      <c r="BX20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1.2130781767142009</v>
      </c>
      <c r="BY20" s="63">
        <v>-0.26495632077596187</v>
      </c>
      <c r="BZ20" s="64">
        <v>-2.0215504067373741E-2</v>
      </c>
      <c r="CA20" s="64">
        <v>-0.58240038516120374</v>
      </c>
      <c r="CB20" s="64">
        <v>0.87769838309683035</v>
      </c>
      <c r="CC20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1.1801551788505413</v>
      </c>
    </row>
    <row r="21" spans="1:81" x14ac:dyDescent="0.3">
      <c r="A21" s="22" t="s">
        <v>10</v>
      </c>
      <c r="B21">
        <v>1</v>
      </c>
      <c r="C21">
        <v>4</v>
      </c>
      <c r="D21" s="28">
        <v>5</v>
      </c>
      <c r="E21" s="28">
        <v>2</v>
      </c>
      <c r="F21" s="28">
        <v>4</v>
      </c>
      <c r="G21" s="28">
        <v>5</v>
      </c>
      <c r="H21" s="28">
        <v>5</v>
      </c>
      <c r="I21">
        <v>2</v>
      </c>
      <c r="J21" s="51">
        <v>2</v>
      </c>
      <c r="K21" s="50">
        <v>1</v>
      </c>
      <c r="L21">
        <v>2</v>
      </c>
      <c r="M21" s="49">
        <v>2</v>
      </c>
      <c r="N21" s="65">
        <v>3</v>
      </c>
      <c r="O21" s="66">
        <v>3</v>
      </c>
      <c r="P21" s="66">
        <v>2</v>
      </c>
      <c r="Q21" s="66">
        <v>5</v>
      </c>
      <c r="S21" s="39" t="str">
        <f>RIGHT(Таблица1[[#This Row],[Классификация дискр ф-ции]])</f>
        <v>1</v>
      </c>
      <c r="T21" s="90">
        <v>1</v>
      </c>
      <c r="U21" s="90">
        <f>IF(Таблица1[[#This Row],[Обучающая выборка]]=Таблица1[[#This Row],[Номер класса по классификации дискр функции (Python)]],1,0)</f>
        <v>0</v>
      </c>
      <c r="V21" s="90">
        <f>MATCH(MIN(Таблица1[[#This Row],[Махаланобис 1]:[Махаланобис 6]]),Таблица1[[#This Row],[Махаланобис 1]:[Махаланобис 6]],0)</f>
        <v>1</v>
      </c>
      <c r="W21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21" s="40" t="str">
        <f>RIGHT(Таблица1[[#This Row],[Forward Классификация дискр ф-ции]])</f>
        <v>1</v>
      </c>
      <c r="Y21" s="40">
        <f>MATCH(MIN(Таблица1[[#This Row],[Forward Махаланобис 1]:[Forward Махаланобис 6]]),Таблица1[[#This Row],[Forward Махаланобис 1]:[Forward Махаланобис 6]],0)</f>
        <v>1</v>
      </c>
      <c r="Z21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21" s="90">
        <v>1</v>
      </c>
      <c r="AB21" s="90">
        <f>IF(Таблица1[[#This Row],[Обучающая выборка]]=Таблица1[[#This Row],[Номер класса (пошаговый дискр анализ с включением) Python]],1,0)</f>
        <v>0</v>
      </c>
      <c r="AC21" s="40" t="s">
        <v>130</v>
      </c>
      <c r="AD21" s="41">
        <v>17.567226226022164</v>
      </c>
      <c r="AE21" s="41">
        <v>127.44398038386042</v>
      </c>
      <c r="AF21" s="41">
        <v>30.199873110030165</v>
      </c>
      <c r="AG21" s="42">
        <v>150.65348348072183</v>
      </c>
      <c r="AH21" s="41">
        <v>1162.9211179214903</v>
      </c>
      <c r="AI21" s="41">
        <v>69.16067553337264</v>
      </c>
      <c r="AJ21" s="43">
        <v>0.99669888244499505</v>
      </c>
      <c r="AK21" s="43">
        <v>9.1841443734506839E-25</v>
      </c>
      <c r="AL21" s="43">
        <v>3.3011175487648726E-3</v>
      </c>
      <c r="AM21" s="43">
        <v>8.3783623862804245E-30</v>
      </c>
      <c r="AN21" s="43">
        <v>0</v>
      </c>
      <c r="AO21" s="43">
        <v>6.2400605383242854E-12</v>
      </c>
      <c r="AP21" s="40" t="s">
        <v>130</v>
      </c>
      <c r="AQ21" s="42">
        <v>10.542502796800843</v>
      </c>
      <c r="AR21" s="42">
        <v>97.744821859391564</v>
      </c>
      <c r="AS21" s="41">
        <v>19.083074252496811</v>
      </c>
      <c r="AT21" s="42">
        <v>108.91586677985732</v>
      </c>
      <c r="AU21" s="41">
        <v>1020.1994348614135</v>
      </c>
      <c r="AV21" s="41">
        <v>54.18852181311275</v>
      </c>
      <c r="AW21" s="43">
        <v>0.9750143349571827</v>
      </c>
      <c r="AX21" s="43">
        <v>7.5366223307232538E-20</v>
      </c>
      <c r="AY21" s="43">
        <v>2.4985664718180031E-2</v>
      </c>
      <c r="AZ21" s="43">
        <v>2.8275817488785628E-22</v>
      </c>
      <c r="BA21" s="43">
        <v>0</v>
      </c>
      <c r="BB21" s="43">
        <v>3.2463728151592191E-10</v>
      </c>
      <c r="BC21" s="40">
        <v>4</v>
      </c>
      <c r="BD21" s="40">
        <v>4</v>
      </c>
      <c r="BE21" s="40">
        <f>IF(Таблица1[[#This Row],[Neuron id (Кохонен)]]=Таблица1[[#This Row],[Кохонен 2020]],1,0)</f>
        <v>1</v>
      </c>
      <c r="BF21" s="28">
        <v>3</v>
      </c>
      <c r="BG21" s="40">
        <f>IF(Таблица1[[#This Row],[Персептрон]]=Таблица1[[#This Row],[Обучающая выборка]],1,0)</f>
        <v>0</v>
      </c>
      <c r="BH21" s="40">
        <f>IF(Таблица1[[#This Row],[Номер класса по классификации дискр функции (Python)]]=Таблица1[[#This Row],[Персептрон]],1,0)</f>
        <v>0</v>
      </c>
      <c r="BI21" s="36">
        <v>-0.14974631279852188</v>
      </c>
      <c r="BJ21" s="36">
        <v>-0.16595981964902384</v>
      </c>
      <c r="BK21" s="36">
        <v>0.43979752095787739</v>
      </c>
      <c r="BL21" s="36">
        <v>0.46840923378449945</v>
      </c>
      <c r="BM21" s="36">
        <v>-0.34170621882417951</v>
      </c>
      <c r="BN21" s="36">
        <v>0.81983048619488141</v>
      </c>
      <c r="BO21" s="36">
        <v>6.618035246781083E-2</v>
      </c>
      <c r="BP21" s="36">
        <v>0.79553618266073034</v>
      </c>
      <c r="BQ21" s="36">
        <v>0.98798517412462328</v>
      </c>
      <c r="BR21" s="36">
        <v>-0.61062394137948395</v>
      </c>
      <c r="BS21" s="36">
        <v>0.27610292810319936</v>
      </c>
      <c r="BT21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3.3141476417058282</v>
      </c>
      <c r="BU21" s="50">
        <v>-3.7069999999999999E-2</v>
      </c>
      <c r="BV21" s="50">
        <v>0.90200999999999998</v>
      </c>
      <c r="BW21" s="50">
        <v>0.35278999999999999</v>
      </c>
      <c r="BX21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0.93945712088361244</v>
      </c>
      <c r="BY21" s="63">
        <v>-0.15839253405056183</v>
      </c>
      <c r="BZ21" s="64">
        <v>0.688906576382595</v>
      </c>
      <c r="CA21" s="64">
        <v>0.2608951868767721</v>
      </c>
      <c r="CB21" s="64">
        <v>0.28551253615437527</v>
      </c>
      <c r="CC21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0.64926417266291592</v>
      </c>
    </row>
    <row r="22" spans="1:81" x14ac:dyDescent="0.3">
      <c r="A22" s="22" t="s">
        <v>48</v>
      </c>
      <c r="B22">
        <v>4</v>
      </c>
      <c r="C22">
        <v>4</v>
      </c>
      <c r="D22" s="28">
        <v>5</v>
      </c>
      <c r="E22" s="28">
        <v>2</v>
      </c>
      <c r="F22" s="28">
        <v>5</v>
      </c>
      <c r="G22" s="28">
        <v>2</v>
      </c>
      <c r="H22" s="28">
        <v>5</v>
      </c>
      <c r="I22">
        <v>4</v>
      </c>
      <c r="J22" s="51">
        <v>2</v>
      </c>
      <c r="K22" s="50">
        <v>3</v>
      </c>
      <c r="L22">
        <v>1</v>
      </c>
      <c r="M22" s="49">
        <v>2</v>
      </c>
      <c r="N22" s="65">
        <v>6</v>
      </c>
      <c r="O22" s="66">
        <v>1</v>
      </c>
      <c r="P22" s="66">
        <v>5</v>
      </c>
      <c r="Q22" s="66">
        <v>1</v>
      </c>
      <c r="R22">
        <v>4</v>
      </c>
      <c r="S22" s="39" t="str">
        <f>RIGHT(Таблица1[[#This Row],[Классификация дискр ф-ции]])</f>
        <v>4</v>
      </c>
      <c r="T22" s="90">
        <v>4</v>
      </c>
      <c r="U22" s="90">
        <f>IF(Таблица1[[#This Row],[Обучающая выборка]]=Таблица1[[#This Row],[Номер класса по классификации дискр функции (Python)]],1,0)</f>
        <v>1</v>
      </c>
      <c r="V22" s="90">
        <f>MATCH(MIN(Таблица1[[#This Row],[Махаланобис 1]:[Махаланобис 6]]),Таблица1[[#This Row],[Махаланобис 1]:[Махаланобис 6]],0)</f>
        <v>4</v>
      </c>
      <c r="W22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4</v>
      </c>
      <c r="X22" s="40" t="str">
        <f>RIGHT(Таблица1[[#This Row],[Forward Классификация дискр ф-ции]])</f>
        <v>4</v>
      </c>
      <c r="Y22" s="40">
        <f>MATCH(MIN(Таблица1[[#This Row],[Forward Махаланобис 1]:[Forward Махаланобис 6]]),Таблица1[[#This Row],[Forward Махаланобис 1]:[Forward Махаланобис 6]],0)</f>
        <v>4</v>
      </c>
      <c r="Z22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4</v>
      </c>
      <c r="AA22" s="90">
        <v>4</v>
      </c>
      <c r="AB22" s="90">
        <f>IF(Таблица1[[#This Row],[Обучающая выборка]]=Таблица1[[#This Row],[Номер класса (пошаговый дискр анализ с включением) Python]],1,0)</f>
        <v>1</v>
      </c>
      <c r="AC22" s="40" t="s">
        <v>132</v>
      </c>
      <c r="AD22" s="41">
        <v>79.403549130094646</v>
      </c>
      <c r="AE22" s="41">
        <v>91.382527932395362</v>
      </c>
      <c r="AF22" s="41">
        <v>116.52562531663938</v>
      </c>
      <c r="AG22" s="42">
        <v>18.286545832428594</v>
      </c>
      <c r="AH22" s="41">
        <v>718.45937789133188</v>
      </c>
      <c r="AI22" s="41">
        <v>108.36875734118333</v>
      </c>
      <c r="AJ22" s="43">
        <v>8.0297609764187044E-14</v>
      </c>
      <c r="AK22" s="43">
        <v>1.3409394332545383E-16</v>
      </c>
      <c r="AL22" s="43">
        <v>1.279344864695414E-21</v>
      </c>
      <c r="AM22" s="43">
        <v>0.99999999999991951</v>
      </c>
      <c r="AN22" s="43">
        <v>0</v>
      </c>
      <c r="AO22" s="43">
        <v>4.1208572562038868E-20</v>
      </c>
      <c r="AP22" s="40" t="s">
        <v>132</v>
      </c>
      <c r="AQ22" s="42">
        <v>62.41067629643598</v>
      </c>
      <c r="AR22" s="42">
        <v>85.000206811270758</v>
      </c>
      <c r="AS22" s="41">
        <v>101.5999429080557</v>
      </c>
      <c r="AT22" s="42">
        <v>16.586159400401986</v>
      </c>
      <c r="AU22" s="41">
        <v>629.11056451542572</v>
      </c>
      <c r="AV22" s="41">
        <v>92.449854838007511</v>
      </c>
      <c r="AW22" s="43">
        <v>1.6804432364928629E-10</v>
      </c>
      <c r="AX22" s="43">
        <v>1.3934082011506702E-15</v>
      </c>
      <c r="AY22" s="43">
        <v>9.524104725963857E-19</v>
      </c>
      <c r="AZ22" s="43">
        <v>0.99999999983195431</v>
      </c>
      <c r="BA22" s="43">
        <v>0</v>
      </c>
      <c r="BB22" s="43">
        <v>5.040795818105775E-17</v>
      </c>
      <c r="BC22" s="40">
        <v>5</v>
      </c>
      <c r="BD22" s="40">
        <v>5</v>
      </c>
      <c r="BE22" s="40">
        <f>IF(Таблица1[[#This Row],[Neuron id (Кохонен)]]=Таблица1[[#This Row],[Кохонен 2020]],1,0)</f>
        <v>1</v>
      </c>
      <c r="BF22" s="28">
        <v>4</v>
      </c>
      <c r="BG22" s="40">
        <f>IF(Таблица1[[#This Row],[Персептрон]]=Таблица1[[#This Row],[Обучающая выборка]],1,0)</f>
        <v>1</v>
      </c>
      <c r="BH22" s="40">
        <f>IF(Таблица1[[#This Row],[Номер класса по классификации дискр функции (Python)]]=Таблица1[[#This Row],[Персептрон]],1,0)</f>
        <v>1</v>
      </c>
      <c r="BI22" s="36">
        <v>0.18716493387684213</v>
      </c>
      <c r="BJ22" s="36">
        <v>-6.8543676637642395E-2</v>
      </c>
      <c r="BK22" s="36">
        <v>2.0309178424084045</v>
      </c>
      <c r="BL22" s="36">
        <v>1.7665068427396027</v>
      </c>
      <c r="BM22" s="36">
        <v>-1.061104733970188</v>
      </c>
      <c r="BN22" s="36">
        <v>-0.29904500168778086</v>
      </c>
      <c r="BO22" s="36">
        <v>0.67835704610491132</v>
      </c>
      <c r="BP22" s="36">
        <v>-0.49111324595546196</v>
      </c>
      <c r="BQ22" s="36">
        <v>-0.88887340420684335</v>
      </c>
      <c r="BR22" s="36">
        <v>0.53334638016095115</v>
      </c>
      <c r="BS22" s="36">
        <v>0.14132018234673474</v>
      </c>
      <c r="BT22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10.296160011855834</v>
      </c>
      <c r="BU22" s="50">
        <v>0.94821</v>
      </c>
      <c r="BV22" s="50">
        <v>7.6700000000000018E-2</v>
      </c>
      <c r="BW22" s="50">
        <v>7.1000000000000008E-2</v>
      </c>
      <c r="BX22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0.91002654165773034</v>
      </c>
      <c r="BY22" s="63">
        <v>2.6277662319781892E-2</v>
      </c>
      <c r="BZ22" s="64">
        <v>-0.23280156445382849</v>
      </c>
      <c r="CA22" s="64">
        <v>-0.14512797814576858</v>
      </c>
      <c r="CB22" s="64">
        <v>1.4904212089620064</v>
      </c>
      <c r="CC22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2.2973045941135894</v>
      </c>
    </row>
    <row r="23" spans="1:81" ht="14.4" customHeight="1" x14ac:dyDescent="0.3">
      <c r="A23" s="22" t="s">
        <v>49</v>
      </c>
      <c r="B23">
        <v>2</v>
      </c>
      <c r="C23">
        <v>6</v>
      </c>
      <c r="D23" s="28">
        <v>5</v>
      </c>
      <c r="E23" s="28">
        <v>2</v>
      </c>
      <c r="F23" s="28">
        <v>4</v>
      </c>
      <c r="G23" s="28">
        <v>5</v>
      </c>
      <c r="H23" s="28">
        <v>4</v>
      </c>
      <c r="I23">
        <v>1</v>
      </c>
      <c r="J23" s="51">
        <v>6</v>
      </c>
      <c r="K23" s="50">
        <v>5</v>
      </c>
      <c r="L23">
        <v>3</v>
      </c>
      <c r="M23" s="49">
        <v>1</v>
      </c>
      <c r="N23" s="65">
        <v>5</v>
      </c>
      <c r="O23" s="66">
        <v>2</v>
      </c>
      <c r="P23" s="66">
        <v>1</v>
      </c>
      <c r="Q23" s="66">
        <v>3</v>
      </c>
      <c r="R23">
        <v>2</v>
      </c>
      <c r="S23" s="39" t="str">
        <f>RIGHT(Таблица1[[#This Row],[Классификация дискр ф-ции]])</f>
        <v>2</v>
      </c>
      <c r="T23" s="90">
        <v>2</v>
      </c>
      <c r="U23" s="90">
        <f>IF(Таблица1[[#This Row],[Обучающая выборка]]=Таблица1[[#This Row],[Номер класса по классификации дискр функции (Python)]],1,0)</f>
        <v>1</v>
      </c>
      <c r="V23" s="90">
        <f>MATCH(MIN(Таблица1[[#This Row],[Махаланобис 1]:[Махаланобис 6]]),Таблица1[[#This Row],[Махаланобис 1]:[Махаланобис 6]],0)</f>
        <v>2</v>
      </c>
      <c r="W23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23" s="40" t="str">
        <f>RIGHT(Таблица1[[#This Row],[Forward Классификация дискр ф-ции]])</f>
        <v>2</v>
      </c>
      <c r="Y23" s="40">
        <f>MATCH(MIN(Таблица1[[#This Row],[Forward Махаланобис 1]:[Forward Махаланобис 6]]),Таблица1[[#This Row],[Forward Махаланобис 1]:[Forward Махаланобис 6]],0)</f>
        <v>2</v>
      </c>
      <c r="Z23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23" s="90">
        <v>2</v>
      </c>
      <c r="AB23" s="90">
        <f>IF(Таблица1[[#This Row],[Обучающая выборка]]=Таблица1[[#This Row],[Номер класса (пошаговый дискр анализ с включением) Python]],1,0)</f>
        <v>1</v>
      </c>
      <c r="AC23" s="40" t="s">
        <v>131</v>
      </c>
      <c r="AD23" s="41">
        <v>93.804043895269203</v>
      </c>
      <c r="AE23" s="41">
        <v>7.9721031871478525</v>
      </c>
      <c r="AF23" s="41">
        <v>76.444230100979439</v>
      </c>
      <c r="AG23" s="42">
        <v>146.16989156002805</v>
      </c>
      <c r="AH23" s="41">
        <v>1089.650268500221</v>
      </c>
      <c r="AI23" s="41">
        <v>33.100604480587322</v>
      </c>
      <c r="AJ23" s="43">
        <v>3.4508006577671597E-19</v>
      </c>
      <c r="AK23" s="43">
        <v>0.99999475791259906</v>
      </c>
      <c r="AL23" s="43">
        <v>3.72217661067878E-15</v>
      </c>
      <c r="AM23" s="43">
        <v>9.7887958818501301E-31</v>
      </c>
      <c r="AN23" s="43">
        <v>0</v>
      </c>
      <c r="AO23" s="43">
        <v>5.2420873971890816E-6</v>
      </c>
      <c r="AP23" s="40" t="s">
        <v>131</v>
      </c>
      <c r="AQ23" s="42">
        <v>81.64507143309757</v>
      </c>
      <c r="AR23" s="42">
        <v>6.5282578853178403</v>
      </c>
      <c r="AS23" s="41">
        <v>71.622807368476188</v>
      </c>
      <c r="AT23" s="42">
        <v>128.16123246148209</v>
      </c>
      <c r="AU23" s="41">
        <v>944.20222400161515</v>
      </c>
      <c r="AV23" s="41">
        <v>27.879371996927777</v>
      </c>
      <c r="AW23" s="43">
        <v>7.3226351878431483E-17</v>
      </c>
      <c r="AX23" s="43">
        <v>0.99996534701194517</v>
      </c>
      <c r="AY23" s="43">
        <v>2.0147252191403821E-14</v>
      </c>
      <c r="AZ23" s="43">
        <v>3.8700815112896464E-27</v>
      </c>
      <c r="BA23" s="43">
        <v>0</v>
      </c>
      <c r="BB23" s="43">
        <v>3.4652988034471323E-5</v>
      </c>
      <c r="BC23" s="40">
        <v>2</v>
      </c>
      <c r="BD23" s="40">
        <v>2</v>
      </c>
      <c r="BE23" s="40">
        <f>IF(Таблица1[[#This Row],[Neuron id (Кохонен)]]=Таблица1[[#This Row],[Кохонен 2020]],1,0)</f>
        <v>1</v>
      </c>
      <c r="BF23" s="28">
        <v>2</v>
      </c>
      <c r="BG23" s="40">
        <f>IF(Таблица1[[#This Row],[Персептрон]]=Таблица1[[#This Row],[Обучающая выборка]],1,0)</f>
        <v>1</v>
      </c>
      <c r="BH23" s="40">
        <f>IF(Таблица1[[#This Row],[Номер класса по классификации дискр функции (Python)]]=Таблица1[[#This Row],[Персептрон]],1,0)</f>
        <v>1</v>
      </c>
      <c r="BI23" s="36">
        <v>-0.48067029741483797</v>
      </c>
      <c r="BJ23" s="36">
        <v>-0.34367856133718178</v>
      </c>
      <c r="BK23" s="36">
        <v>-0.5762720006291796</v>
      </c>
      <c r="BL23" s="36">
        <v>-2.0115384370551004</v>
      </c>
      <c r="BM23" s="36">
        <v>-0.48631813408253743</v>
      </c>
      <c r="BN23" s="36">
        <v>-0.79157366562077747</v>
      </c>
      <c r="BO23" s="36">
        <v>0.15952207175319882</v>
      </c>
      <c r="BP23" s="36">
        <v>-1.2059184840755688</v>
      </c>
      <c r="BQ23" s="36">
        <v>-1.2447458149168518</v>
      </c>
      <c r="BR23" s="36">
        <v>-0.66926691142247463</v>
      </c>
      <c r="BS23" s="36">
        <v>-1.214175910419276</v>
      </c>
      <c r="BT23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10.541849551972755</v>
      </c>
      <c r="BU23" s="50">
        <v>-0.92242000000000002</v>
      </c>
      <c r="BV23" s="50">
        <v>-1.39561</v>
      </c>
      <c r="BW23" s="50">
        <v>-1.09823</v>
      </c>
      <c r="BX23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4.0046945573483184</v>
      </c>
      <c r="BY23" s="63">
        <v>-0.46746061687532736</v>
      </c>
      <c r="BZ23" s="64">
        <v>-1.3921925748368169</v>
      </c>
      <c r="CA23" s="64">
        <v>-8.4612601115287109E-2</v>
      </c>
      <c r="CB23" s="64">
        <v>-1.2339237169582402</v>
      </c>
      <c r="CC23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3.6864466252997614</v>
      </c>
    </row>
    <row r="24" spans="1:81" x14ac:dyDescent="0.3">
      <c r="A24" s="22" t="s">
        <v>50</v>
      </c>
      <c r="B24">
        <v>6</v>
      </c>
      <c r="C24">
        <v>3</v>
      </c>
      <c r="D24" s="28">
        <v>5</v>
      </c>
      <c r="E24" s="28">
        <v>2</v>
      </c>
      <c r="F24" s="28">
        <v>4</v>
      </c>
      <c r="G24" s="28">
        <v>5</v>
      </c>
      <c r="H24" s="28">
        <v>3</v>
      </c>
      <c r="I24">
        <v>5</v>
      </c>
      <c r="J24" s="51">
        <v>2</v>
      </c>
      <c r="K24" s="50">
        <v>3</v>
      </c>
      <c r="L24">
        <v>1</v>
      </c>
      <c r="M24" s="49">
        <v>2</v>
      </c>
      <c r="N24" s="65">
        <v>3</v>
      </c>
      <c r="O24" s="66">
        <v>3</v>
      </c>
      <c r="P24" s="66">
        <v>2</v>
      </c>
      <c r="Q24" s="66">
        <v>5</v>
      </c>
      <c r="R24">
        <v>6</v>
      </c>
      <c r="S24" s="39" t="str">
        <f>RIGHT(Таблица1[[#This Row],[Классификация дискр ф-ции]])</f>
        <v>6</v>
      </c>
      <c r="T24" s="90">
        <v>6</v>
      </c>
      <c r="U24" s="90">
        <f>IF(Таблица1[[#This Row],[Обучающая выборка]]=Таблица1[[#This Row],[Номер класса по классификации дискр функции (Python)]],1,0)</f>
        <v>1</v>
      </c>
      <c r="V24" s="90">
        <f>MATCH(MIN(Таблица1[[#This Row],[Махаланобис 1]:[Махаланобис 6]]),Таблица1[[#This Row],[Махаланобис 1]:[Махаланобис 6]],0)</f>
        <v>6</v>
      </c>
      <c r="W24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24" s="40" t="str">
        <f>RIGHT(Таблица1[[#This Row],[Forward Классификация дискр ф-ции]])</f>
        <v>6</v>
      </c>
      <c r="Y24" s="40">
        <f>MATCH(MIN(Таблица1[[#This Row],[Forward Махаланобис 1]:[Forward Махаланобис 6]]),Таблица1[[#This Row],[Forward Махаланобис 1]:[Forward Махаланобис 6]],0)</f>
        <v>6</v>
      </c>
      <c r="Z24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24" s="90">
        <v>6</v>
      </c>
      <c r="AB24" s="90">
        <f>IF(Таблица1[[#This Row],[Обучающая выборка]]=Таблица1[[#This Row],[Номер класса (пошаговый дискр анализ с включением) Python]],1,0)</f>
        <v>1</v>
      </c>
      <c r="AC24" s="40" t="s">
        <v>129</v>
      </c>
      <c r="AD24" s="41">
        <v>57.143364952541376</v>
      </c>
      <c r="AE24" s="41">
        <v>44.641221609823539</v>
      </c>
      <c r="AF24" s="41">
        <v>29.895653757706562</v>
      </c>
      <c r="AG24" s="42">
        <v>146.5093174925934</v>
      </c>
      <c r="AH24" s="41">
        <v>1134.7536849080238</v>
      </c>
      <c r="AI24" s="41">
        <v>4.5970968696573289</v>
      </c>
      <c r="AJ24" s="43">
        <v>3.8879467417092022E-12</v>
      </c>
      <c r="AK24" s="43">
        <v>1.344110522405945E-9</v>
      </c>
      <c r="AL24" s="43">
        <v>5.884736891624873E-6</v>
      </c>
      <c r="AM24" s="43">
        <v>1.018729820355756E-31</v>
      </c>
      <c r="AN24" s="43">
        <v>0</v>
      </c>
      <c r="AO24" s="43">
        <v>0.99999411391510984</v>
      </c>
      <c r="AP24" s="40" t="s">
        <v>129</v>
      </c>
      <c r="AQ24" s="42">
        <v>43.290577798761355</v>
      </c>
      <c r="AR24" s="42">
        <v>29.584651029751591</v>
      </c>
      <c r="AS24" s="41">
        <v>19.76525533858948</v>
      </c>
      <c r="AT24" s="42">
        <v>119.48564259996326</v>
      </c>
      <c r="AU24" s="41">
        <v>1009.0471492951143</v>
      </c>
      <c r="AV24" s="41">
        <v>2.927056726455842</v>
      </c>
      <c r="AW24" s="43">
        <v>1.7178952316945213E-9</v>
      </c>
      <c r="AX24" s="43">
        <v>1.0842004863260151E-6</v>
      </c>
      <c r="AY24" s="43">
        <v>4.042936998479635E-4</v>
      </c>
      <c r="AZ24" s="43">
        <v>3.2610489622261035E-26</v>
      </c>
      <c r="BA24" s="43">
        <v>0</v>
      </c>
      <c r="BB24" s="43">
        <v>0.99959462038177038</v>
      </c>
      <c r="BC24" s="40">
        <v>5</v>
      </c>
      <c r="BD24" s="40">
        <v>5</v>
      </c>
      <c r="BE24" s="40">
        <f>IF(Таблица1[[#This Row],[Neuron id (Кохонен)]]=Таблица1[[#This Row],[Кохонен 2020]],1,0)</f>
        <v>1</v>
      </c>
      <c r="BF24" s="28">
        <v>6</v>
      </c>
      <c r="BG24" s="40">
        <f>IF(Таблица1[[#This Row],[Персептрон]]=Таблица1[[#This Row],[Обучающая выборка]],1,0)</f>
        <v>1</v>
      </c>
      <c r="BH24" s="40">
        <f>IF(Таблица1[[#This Row],[Номер класса по классификации дискр функции (Python)]]=Таблица1[[#This Row],[Персептрон]],1,0)</f>
        <v>1</v>
      </c>
      <c r="BI24" s="36">
        <v>-0.270385250872691</v>
      </c>
      <c r="BJ24" s="36">
        <v>-0.18640578187986215</v>
      </c>
      <c r="BK24" s="36">
        <v>-0.70313410051836134</v>
      </c>
      <c r="BL24" s="36">
        <v>-0.51969491631565357</v>
      </c>
      <c r="BM24" s="36">
        <v>-0.31790932137660161</v>
      </c>
      <c r="BN24" s="36">
        <v>0.82781290185898426</v>
      </c>
      <c r="BO24" s="36">
        <v>0.65873836362978488</v>
      </c>
      <c r="BP24" s="36">
        <v>0.68831539694271471</v>
      </c>
      <c r="BQ24" s="36">
        <v>-0.26442364923903894</v>
      </c>
      <c r="BR24" s="36">
        <v>-0.46572871957657042</v>
      </c>
      <c r="BS24" s="36">
        <v>0.19755685568583589</v>
      </c>
      <c r="BT24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2.892242340995999</v>
      </c>
      <c r="BU24" s="50">
        <v>-0.56655999999999995</v>
      </c>
      <c r="BV24" s="50">
        <v>0.54502000000000006</v>
      </c>
      <c r="BW24" s="50">
        <v>-0.50197000000000003</v>
      </c>
      <c r="BX24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0.87001089463420078</v>
      </c>
      <c r="BY24" s="63">
        <v>-0.17744366620818197</v>
      </c>
      <c r="BZ24" s="64">
        <v>0.40357203301481304</v>
      </c>
      <c r="CA24" s="64">
        <v>0.69358795159976849</v>
      </c>
      <c r="CB24" s="64">
        <v>-0.63862001544685709</v>
      </c>
      <c r="CC24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1.0832564112428167</v>
      </c>
    </row>
    <row r="25" spans="1:81" ht="28.8" customHeight="1" x14ac:dyDescent="0.3">
      <c r="A25" s="22" t="s">
        <v>51</v>
      </c>
      <c r="B25">
        <v>3</v>
      </c>
      <c r="C25">
        <v>1</v>
      </c>
      <c r="D25" s="28">
        <v>5</v>
      </c>
      <c r="E25" s="28">
        <v>2</v>
      </c>
      <c r="F25" s="28">
        <v>4</v>
      </c>
      <c r="G25" s="28">
        <v>5</v>
      </c>
      <c r="H25" s="28">
        <v>1</v>
      </c>
      <c r="I25">
        <v>4</v>
      </c>
      <c r="J25" s="51">
        <v>2</v>
      </c>
      <c r="K25" s="50">
        <v>1</v>
      </c>
      <c r="L25">
        <v>2</v>
      </c>
      <c r="M25" s="49">
        <v>3</v>
      </c>
      <c r="N25" s="65">
        <v>3</v>
      </c>
      <c r="O25" s="66">
        <v>3</v>
      </c>
      <c r="P25" s="66">
        <v>2</v>
      </c>
      <c r="Q25" s="66">
        <v>5</v>
      </c>
      <c r="R25">
        <v>3</v>
      </c>
      <c r="S25" s="39" t="str">
        <f>RIGHT(Таблица1[[#This Row],[Классификация дискр ф-ции]])</f>
        <v>3</v>
      </c>
      <c r="T25" s="90">
        <v>3</v>
      </c>
      <c r="U25" s="90">
        <f>IF(Таблица1[[#This Row],[Обучающая выборка]]=Таблица1[[#This Row],[Номер класса по классификации дискр функции (Python)]],1,0)</f>
        <v>1</v>
      </c>
      <c r="V25" s="90">
        <f>MATCH(MIN(Таблица1[[#This Row],[Махаланобис 1]:[Махаланобис 6]]),Таблица1[[#This Row],[Махаланобис 1]:[Махаланобис 6]],0)</f>
        <v>3</v>
      </c>
      <c r="W25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25" s="40" t="str">
        <f>RIGHT(Таблица1[[#This Row],[Forward Классификация дискр ф-ции]])</f>
        <v>3</v>
      </c>
      <c r="Y25" s="40">
        <f>MATCH(MIN(Таблица1[[#This Row],[Forward Махаланобис 1]:[Forward Махаланобис 6]]),Таблица1[[#This Row],[Forward Махаланобис 1]:[Forward Махаланобис 6]],0)</f>
        <v>3</v>
      </c>
      <c r="Z25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25" s="90">
        <v>3</v>
      </c>
      <c r="AB25" s="90">
        <f>IF(Таблица1[[#This Row],[Обучающая выборка]]=Таблица1[[#This Row],[Номер класса (пошаговый дискр анализ с включением) Python]],1,0)</f>
        <v>1</v>
      </c>
      <c r="AC25" s="40" t="s">
        <v>128</v>
      </c>
      <c r="AD25" s="41">
        <v>27.138031854339115</v>
      </c>
      <c r="AE25" s="41">
        <v>69.58619505157715</v>
      </c>
      <c r="AF25" s="41">
        <v>5.6669609253969773</v>
      </c>
      <c r="AG25" s="42">
        <v>121.70924362975349</v>
      </c>
      <c r="AH25" s="41">
        <v>1156.2260961783886</v>
      </c>
      <c r="AI25" s="41">
        <v>37.067488703749703</v>
      </c>
      <c r="AJ25" s="43">
        <v>1.1867782067609148E-5</v>
      </c>
      <c r="AK25" s="43">
        <v>4.7948693913393729E-15</v>
      </c>
      <c r="AL25" s="43">
        <v>0.9999880493826363</v>
      </c>
      <c r="AM25" s="43">
        <v>2.3035656458614962E-26</v>
      </c>
      <c r="AN25" s="43">
        <v>0</v>
      </c>
      <c r="AO25" s="43">
        <v>8.2835291258350327E-8</v>
      </c>
      <c r="AP25" s="40" t="s">
        <v>128</v>
      </c>
      <c r="AQ25" s="42">
        <v>21.970546398111502</v>
      </c>
      <c r="AR25" s="42">
        <v>60.794162901951232</v>
      </c>
      <c r="AS25" s="41">
        <v>2.9182518531479764</v>
      </c>
      <c r="AT25" s="42">
        <v>99.440708741611061</v>
      </c>
      <c r="AU25" s="41">
        <v>1023.6454028371995</v>
      </c>
      <c r="AV25" s="41">
        <v>35.307916332714484</v>
      </c>
      <c r="AW25" s="43">
        <v>3.9772974844033105E-5</v>
      </c>
      <c r="AX25" s="43">
        <v>9.8413711075386743E-14</v>
      </c>
      <c r="AY25" s="43">
        <v>0.99996017651068159</v>
      </c>
      <c r="AZ25" s="43">
        <v>3.9908445121128329E-22</v>
      </c>
      <c r="BA25" s="43">
        <v>0</v>
      </c>
      <c r="BB25" s="43">
        <v>5.0514376013823458E-8</v>
      </c>
      <c r="BC25" s="40">
        <v>5</v>
      </c>
      <c r="BD25" s="40">
        <v>5</v>
      </c>
      <c r="BE25" s="40">
        <f>IF(Таблица1[[#This Row],[Neuron id (Кохонен)]]=Таблица1[[#This Row],[Кохонен 2020]],1,0)</f>
        <v>1</v>
      </c>
      <c r="BF25" s="28">
        <v>3</v>
      </c>
      <c r="BG25" s="40">
        <f>IF(Таблица1[[#This Row],[Персептрон]]=Таблица1[[#This Row],[Обучающая выборка]],1,0)</f>
        <v>1</v>
      </c>
      <c r="BH25" s="40">
        <f>IF(Таблица1[[#This Row],[Номер класса по классификации дискр функции (Python)]]=Таблица1[[#This Row],[Персептрон]],1,0)</f>
        <v>1</v>
      </c>
      <c r="BI25" s="36">
        <v>-0.39039337931889401</v>
      </c>
      <c r="BJ25" s="36">
        <v>-0.32269553603066814</v>
      </c>
      <c r="BK25" s="36">
        <v>0.60099721053246502</v>
      </c>
      <c r="BL25" s="36">
        <v>-0.24845063981757268</v>
      </c>
      <c r="BM25" s="36">
        <v>-0.54672564298792747</v>
      </c>
      <c r="BN25" s="36">
        <v>0.19818036016705468</v>
      </c>
      <c r="BO25" s="36">
        <v>-0.63296626697247649</v>
      </c>
      <c r="BP25" s="36">
        <v>0.68831539694271471</v>
      </c>
      <c r="BQ25" s="36">
        <v>-0.19583793514113762</v>
      </c>
      <c r="BR25" s="36">
        <v>3.8073923176271347E-2</v>
      </c>
      <c r="BS25" s="36">
        <v>0.90795841680093636</v>
      </c>
      <c r="BT25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2.7562641388397289</v>
      </c>
      <c r="BU25" s="50">
        <v>-0.22613</v>
      </c>
      <c r="BV25" s="50">
        <v>0.44308000000000003</v>
      </c>
      <c r="BW25" s="50">
        <v>0.69662000000000013</v>
      </c>
      <c r="BX25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0.73273392162949491</v>
      </c>
      <c r="BY25" s="63">
        <v>-0.30097065353978592</v>
      </c>
      <c r="BZ25" s="64">
        <v>0.74415869064351015</v>
      </c>
      <c r="CA25" s="64">
        <v>-0.27136326314753129</v>
      </c>
      <c r="CB25" s="64">
        <v>-5.5425239865406067E-3</v>
      </c>
      <c r="CC25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0.71802423131064697</v>
      </c>
    </row>
    <row r="26" spans="1:81" x14ac:dyDescent="0.3">
      <c r="A26" s="22" t="s">
        <v>11</v>
      </c>
      <c r="B26">
        <v>3</v>
      </c>
      <c r="C26">
        <v>1</v>
      </c>
      <c r="D26" s="28">
        <v>5</v>
      </c>
      <c r="E26" s="28">
        <v>2</v>
      </c>
      <c r="F26" s="28">
        <v>4</v>
      </c>
      <c r="G26" s="28">
        <v>5</v>
      </c>
      <c r="H26" s="28">
        <v>1</v>
      </c>
      <c r="I26">
        <v>4</v>
      </c>
      <c r="J26" s="51">
        <v>2</v>
      </c>
      <c r="K26" s="50">
        <v>1</v>
      </c>
      <c r="L26">
        <v>2</v>
      </c>
      <c r="M26" s="49">
        <v>3</v>
      </c>
      <c r="N26" s="65">
        <v>4</v>
      </c>
      <c r="O26" s="66">
        <v>3</v>
      </c>
      <c r="P26" s="66">
        <v>2</v>
      </c>
      <c r="Q26" s="66">
        <v>5</v>
      </c>
      <c r="S26" s="39" t="str">
        <f>RIGHT(Таблица1[[#This Row],[Классификация дискр ф-ции]])</f>
        <v>3</v>
      </c>
      <c r="T26" s="90">
        <v>3</v>
      </c>
      <c r="U26" s="90">
        <f>IF(Таблица1[[#This Row],[Обучающая выборка]]=Таблица1[[#This Row],[Номер класса по классификации дискр функции (Python)]],1,0)</f>
        <v>0</v>
      </c>
      <c r="V26" s="90">
        <f>MATCH(MIN(Таблица1[[#This Row],[Махаланобис 1]:[Махаланобис 6]]),Таблица1[[#This Row],[Махаланобис 1]:[Махаланобис 6]],0)</f>
        <v>3</v>
      </c>
      <c r="W26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26" s="40" t="str">
        <f>RIGHT(Таблица1[[#This Row],[Forward Классификация дискр ф-ции]])</f>
        <v>3</v>
      </c>
      <c r="Y26" s="40">
        <f>MATCH(MIN(Таблица1[[#This Row],[Forward Махаланобис 1]:[Forward Махаланобис 6]]),Таблица1[[#This Row],[Forward Махаланобис 1]:[Forward Махаланобис 6]],0)</f>
        <v>3</v>
      </c>
      <c r="Z26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26" s="90">
        <v>3</v>
      </c>
      <c r="AB26" s="90">
        <f>IF(Таблица1[[#This Row],[Обучающая выборка]]=Таблица1[[#This Row],[Номер класса (пошаговый дискр анализ с включением) Python]],1,0)</f>
        <v>0</v>
      </c>
      <c r="AC26" s="40" t="s">
        <v>128</v>
      </c>
      <c r="AD26" s="41">
        <v>37.976962452725118</v>
      </c>
      <c r="AE26" s="41">
        <v>102.18326420342795</v>
      </c>
      <c r="AF26" s="41">
        <v>15.627143857755202</v>
      </c>
      <c r="AG26" s="42">
        <v>184.06862498447055</v>
      </c>
      <c r="AH26" s="41">
        <v>1252.0504449532712</v>
      </c>
      <c r="AI26" s="41">
        <v>51.049040227457361</v>
      </c>
      <c r="AJ26" s="43">
        <v>7.6481041812679982E-6</v>
      </c>
      <c r="AK26" s="43">
        <v>5.8242667758666799E-20</v>
      </c>
      <c r="AL26" s="43">
        <v>0.9999923408043726</v>
      </c>
      <c r="AM26" s="43">
        <v>0</v>
      </c>
      <c r="AN26" s="43">
        <v>0</v>
      </c>
      <c r="AO26" s="43">
        <v>1.1091446096504708E-8</v>
      </c>
      <c r="AP26" s="40" t="s">
        <v>128</v>
      </c>
      <c r="AQ26" s="42">
        <v>23.401323348670307</v>
      </c>
      <c r="AR26" s="42">
        <v>69.446956894759609</v>
      </c>
      <c r="AS26" s="41">
        <v>4.7802150054505423</v>
      </c>
      <c r="AT26" s="42">
        <v>127.13786240762876</v>
      </c>
      <c r="AU26" s="41">
        <v>1078.547207371211</v>
      </c>
      <c r="AV26" s="41">
        <v>31.538600513433561</v>
      </c>
      <c r="AW26" s="43">
        <v>4.9341740988002294E-5</v>
      </c>
      <c r="AX26" s="43">
        <v>3.299445261617E-15</v>
      </c>
      <c r="AY26" s="43">
        <v>0.99994981448297837</v>
      </c>
      <c r="AZ26" s="43">
        <v>9.7953502058456711E-28</v>
      </c>
      <c r="BA26" s="43">
        <v>0</v>
      </c>
      <c r="BB26" s="43">
        <v>8.4377603044465551E-7</v>
      </c>
      <c r="BC26" s="40">
        <v>5</v>
      </c>
      <c r="BD26" s="40">
        <v>4</v>
      </c>
      <c r="BE26" s="40">
        <f>IF(Таблица1[[#This Row],[Neuron id (Кохонен)]]=Таблица1[[#This Row],[Кохонен 2020]],1,0)</f>
        <v>0</v>
      </c>
      <c r="BF26" s="28">
        <v>3</v>
      </c>
      <c r="BG26" s="40">
        <f>IF(Таблица1[[#This Row],[Персептрон]]=Таблица1[[#This Row],[Обучающая выборка]],1,0)</f>
        <v>0</v>
      </c>
      <c r="BH26" s="40">
        <f>IF(Таблица1[[#This Row],[Номер класса по классификации дискр функции (Python)]]=Таблица1[[#This Row],[Персептрон]],1,0)</f>
        <v>1</v>
      </c>
      <c r="BI26" s="36">
        <v>-0.3639352605781192</v>
      </c>
      <c r="BJ26" s="36">
        <v>-0.37748708880256043</v>
      </c>
      <c r="BK26" s="36">
        <v>-0.60315779265637692</v>
      </c>
      <c r="BL26" s="36">
        <v>-0.461571142780351</v>
      </c>
      <c r="BM26" s="36">
        <v>-0.23370491502363369</v>
      </c>
      <c r="BN26" s="36">
        <v>-0.11889802207069608</v>
      </c>
      <c r="BO26" s="36">
        <v>-0.41485753219124855</v>
      </c>
      <c r="BP26" s="36">
        <v>0.83127644456673555</v>
      </c>
      <c r="BQ26" s="36">
        <v>1.0552908639365743</v>
      </c>
      <c r="BR26" s="36">
        <v>-1.0946349963869693</v>
      </c>
      <c r="BS26" s="36">
        <v>0.76789697730518836</v>
      </c>
      <c r="BT26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4.6852049956377577</v>
      </c>
      <c r="BU26" s="50">
        <v>-0.72847000000000006</v>
      </c>
      <c r="BV26" s="50">
        <v>0.55280000000000007</v>
      </c>
      <c r="BW26" s="50">
        <v>0.64461000000000013</v>
      </c>
      <c r="BX26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1.2517780685883186</v>
      </c>
      <c r="BY26" s="63">
        <v>-0.35213331891755267</v>
      </c>
      <c r="BZ26" s="64">
        <v>0.82118039392338793</v>
      </c>
      <c r="CA26" s="64">
        <v>-0.12259679917681628</v>
      </c>
      <c r="CB26" s="64">
        <v>-0.46601431543285898</v>
      </c>
      <c r="CC26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1.0305344310128184</v>
      </c>
    </row>
    <row r="27" spans="1:81" x14ac:dyDescent="0.3">
      <c r="A27" s="22" t="s">
        <v>52</v>
      </c>
      <c r="B27">
        <v>3</v>
      </c>
      <c r="C27">
        <v>1</v>
      </c>
      <c r="D27" s="28">
        <v>5</v>
      </c>
      <c r="E27" s="28">
        <v>2</v>
      </c>
      <c r="F27" s="28">
        <v>4</v>
      </c>
      <c r="G27" s="28">
        <v>5</v>
      </c>
      <c r="H27" s="28">
        <v>1</v>
      </c>
      <c r="I27">
        <v>4</v>
      </c>
      <c r="J27" s="51">
        <v>3</v>
      </c>
      <c r="K27" s="50">
        <v>4</v>
      </c>
      <c r="L27">
        <v>1</v>
      </c>
      <c r="M27" s="49">
        <v>1</v>
      </c>
      <c r="N27" s="65">
        <v>4</v>
      </c>
      <c r="O27" s="66">
        <v>5</v>
      </c>
      <c r="P27" s="66">
        <v>5</v>
      </c>
      <c r="Q27" s="66">
        <v>1</v>
      </c>
      <c r="S27" s="39" t="str">
        <f>RIGHT(Таблица1[[#This Row],[Классификация дискр ф-ции]])</f>
        <v>1</v>
      </c>
      <c r="T27" s="90">
        <v>1</v>
      </c>
      <c r="U27" s="90">
        <f>IF(Таблица1[[#This Row],[Обучающая выборка]]=Таблица1[[#This Row],[Номер класса по классификации дискр функции (Python)]],1,0)</f>
        <v>0</v>
      </c>
      <c r="V27" s="90">
        <f>MATCH(MIN(Таблица1[[#This Row],[Махаланобис 1]:[Махаланобис 6]]),Таблица1[[#This Row],[Махаланобис 1]:[Махаланобис 6]],0)</f>
        <v>1</v>
      </c>
      <c r="W27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27" s="40" t="str">
        <f>RIGHT(Таблица1[[#This Row],[Forward Классификация дискр ф-ции]])</f>
        <v>1</v>
      </c>
      <c r="Y27" s="40">
        <f>MATCH(MIN(Таблица1[[#This Row],[Forward Махаланобис 1]:[Forward Махаланобис 6]]),Таблица1[[#This Row],[Forward Махаланобис 1]:[Forward Махаланобис 6]],0)</f>
        <v>1</v>
      </c>
      <c r="Z27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27" s="90">
        <v>1</v>
      </c>
      <c r="AB27" s="90">
        <f>IF(Таблица1[[#This Row],[Обучающая выборка]]=Таблица1[[#This Row],[Номер класса (пошаговый дискр анализ с включением) Python]],1,0)</f>
        <v>0</v>
      </c>
      <c r="AC27" s="40" t="s">
        <v>130</v>
      </c>
      <c r="AD27" s="41">
        <v>25.704369670235451</v>
      </c>
      <c r="AE27" s="41">
        <v>78.493762583428534</v>
      </c>
      <c r="AF27" s="41">
        <v>39.554884798280852</v>
      </c>
      <c r="AG27" s="42">
        <v>122.90905684886155</v>
      </c>
      <c r="AH27" s="41">
        <v>1119.694283368538</v>
      </c>
      <c r="AI27" s="41">
        <v>75.446017224871596</v>
      </c>
      <c r="AJ27" s="43">
        <v>0.99820171465575014</v>
      </c>
      <c r="AK27" s="43">
        <v>2.2911632247920945E-12</v>
      </c>
      <c r="AL27" s="43">
        <v>1.7982853261842239E-3</v>
      </c>
      <c r="AM27" s="43">
        <v>5.1927501156596873E-22</v>
      </c>
      <c r="AN27" s="43">
        <v>0</v>
      </c>
      <c r="AO27" s="43">
        <v>1.5774542941499971E-11</v>
      </c>
      <c r="AP27" s="40" t="s">
        <v>130</v>
      </c>
      <c r="AQ27" s="42">
        <v>7.4245264421115964</v>
      </c>
      <c r="AR27" s="42">
        <v>40.710412501101125</v>
      </c>
      <c r="AS27" s="41">
        <v>9.7044140205082599</v>
      </c>
      <c r="AT27" s="42">
        <v>78.266801388326158</v>
      </c>
      <c r="AU27" s="41">
        <v>936.05143584844109</v>
      </c>
      <c r="AV27" s="41">
        <v>23.318285463998233</v>
      </c>
      <c r="AW27" s="43">
        <v>0.63023026663943327</v>
      </c>
      <c r="AX27" s="43">
        <v>2.4858199939815034E-8</v>
      </c>
      <c r="AY27" s="43">
        <v>0.36954675549426635</v>
      </c>
      <c r="AZ27" s="43">
        <v>1.7386151106770394E-16</v>
      </c>
      <c r="BA27" s="43">
        <v>0</v>
      </c>
      <c r="BB27" s="43">
        <v>2.2295300810034826E-4</v>
      </c>
      <c r="BC27" s="40">
        <v>5</v>
      </c>
      <c r="BD27" s="40">
        <v>3</v>
      </c>
      <c r="BE27" s="40">
        <f>IF(Таблица1[[#This Row],[Neuron id (Кохонен)]]=Таблица1[[#This Row],[Кохонен 2020]],1,0)</f>
        <v>0</v>
      </c>
      <c r="BF27" s="28">
        <v>3</v>
      </c>
      <c r="BG27" s="40">
        <f>IF(Таблица1[[#This Row],[Персептрон]]=Таблица1[[#This Row],[Обучающая выборка]],1,0)</f>
        <v>0</v>
      </c>
      <c r="BH27" s="40">
        <f>IF(Таблица1[[#This Row],[Номер класса по классификации дискр функции (Python)]]=Таблица1[[#This Row],[Персептрон]],1,0)</f>
        <v>0</v>
      </c>
      <c r="BI27" s="36">
        <v>-0.23196480782642184</v>
      </c>
      <c r="BJ27" s="36">
        <v>-0.27192495122742566</v>
      </c>
      <c r="BK27" s="36">
        <v>0.32093737696245217</v>
      </c>
      <c r="BL27" s="36">
        <v>-7.407931921166365E-2</v>
      </c>
      <c r="BM27" s="36">
        <v>1.0165474662606506</v>
      </c>
      <c r="BN27" s="36">
        <v>-0.77481797725766755</v>
      </c>
      <c r="BO27" s="36">
        <v>-0.28681081470435538</v>
      </c>
      <c r="BP27" s="36">
        <v>9.2504207286129882E-3</v>
      </c>
      <c r="BQ27" s="36">
        <v>-0.36345960170231234</v>
      </c>
      <c r="BR27" s="36">
        <v>-0.46963782764462342</v>
      </c>
      <c r="BS27" s="36">
        <v>-0.4622484798490249</v>
      </c>
      <c r="BT27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2.518633287741137</v>
      </c>
      <c r="BU27" s="50">
        <v>-0.20915</v>
      </c>
      <c r="BV27" s="50">
        <v>-0.7551000000000001</v>
      </c>
      <c r="BW27" s="50">
        <v>0.52671000000000001</v>
      </c>
      <c r="BX27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0.8913427565742007</v>
      </c>
      <c r="BY27" s="63">
        <v>-0.21922305900610112</v>
      </c>
      <c r="BZ27" s="64">
        <v>-0.21991098454252</v>
      </c>
      <c r="CA27" s="64">
        <v>-0.68720629502118546</v>
      </c>
      <c r="CB27" s="64">
        <v>-2.4216932447804637E-2</v>
      </c>
      <c r="CC27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0.56925854245637908</v>
      </c>
    </row>
    <row r="28" spans="1:81" x14ac:dyDescent="0.3">
      <c r="A28" s="22" t="s">
        <v>53</v>
      </c>
      <c r="B28">
        <v>1</v>
      </c>
      <c r="C28">
        <v>4</v>
      </c>
      <c r="D28" s="28">
        <v>5</v>
      </c>
      <c r="E28" s="28">
        <v>2</v>
      </c>
      <c r="F28" s="28">
        <v>4</v>
      </c>
      <c r="G28" s="28">
        <v>5</v>
      </c>
      <c r="H28" s="28">
        <v>5</v>
      </c>
      <c r="I28">
        <v>2</v>
      </c>
      <c r="J28" s="51">
        <v>2</v>
      </c>
      <c r="K28" s="50">
        <v>3</v>
      </c>
      <c r="L28">
        <v>1</v>
      </c>
      <c r="M28" s="49">
        <v>2</v>
      </c>
      <c r="N28" s="65">
        <v>6</v>
      </c>
      <c r="O28" s="66">
        <v>3</v>
      </c>
      <c r="P28" s="66">
        <v>2</v>
      </c>
      <c r="Q28" s="66">
        <v>5</v>
      </c>
      <c r="R28">
        <v>1</v>
      </c>
      <c r="S28" s="39" t="str">
        <f>RIGHT(Таблица1[[#This Row],[Классификация дискр ф-ции]])</f>
        <v>1</v>
      </c>
      <c r="T28" s="90">
        <v>1</v>
      </c>
      <c r="U28" s="90">
        <f>IF(Таблица1[[#This Row],[Обучающая выборка]]=Таблица1[[#This Row],[Номер класса по классификации дискр функции (Python)]],1,0)</f>
        <v>1</v>
      </c>
      <c r="V28" s="90">
        <f>MATCH(MIN(Таблица1[[#This Row],[Махаланобис 1]:[Махаланобис 6]]),Таблица1[[#This Row],[Махаланобис 1]:[Махаланобис 6]],0)</f>
        <v>1</v>
      </c>
      <c r="W28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28" s="40" t="str">
        <f>RIGHT(Таблица1[[#This Row],[Forward Классификация дискр ф-ции]])</f>
        <v>1</v>
      </c>
      <c r="Y28" s="40">
        <f>MATCH(MIN(Таблица1[[#This Row],[Forward Махаланобис 1]:[Forward Махаланобис 6]]),Таблица1[[#This Row],[Forward Махаланобис 1]:[Forward Махаланобис 6]],0)</f>
        <v>1</v>
      </c>
      <c r="Z28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28" s="90">
        <v>1</v>
      </c>
      <c r="AB28" s="90">
        <f>IF(Таблица1[[#This Row],[Обучающая выборка]]=Таблица1[[#This Row],[Номер класса (пошаговый дискр анализ с включением) Python]],1,0)</f>
        <v>1</v>
      </c>
      <c r="AC28" s="40" t="s">
        <v>130</v>
      </c>
      <c r="AD28" s="41">
        <v>6.1144648906385424</v>
      </c>
      <c r="AE28" s="41">
        <v>55.058142467962568</v>
      </c>
      <c r="AF28" s="41">
        <v>26.934773021183062</v>
      </c>
      <c r="AG28" s="42">
        <v>72.989397899116057</v>
      </c>
      <c r="AH28" s="41">
        <v>954.65222139896514</v>
      </c>
      <c r="AI28" s="41">
        <v>34.425847806972904</v>
      </c>
      <c r="AJ28" s="43">
        <v>0.99994406224446208</v>
      </c>
      <c r="AK28" s="43">
        <v>1.5700008909501278E-11</v>
      </c>
      <c r="AL28" s="43">
        <v>5.5226138068426561E-5</v>
      </c>
      <c r="AM28" s="43">
        <v>2.0052903098980522E-15</v>
      </c>
      <c r="AN28" s="43">
        <v>0</v>
      </c>
      <c r="AO28" s="43">
        <v>7.116017673799443E-7</v>
      </c>
      <c r="AP28" s="40" t="s">
        <v>130</v>
      </c>
      <c r="AQ28" s="42">
        <v>3.2454500435025864</v>
      </c>
      <c r="AR28" s="42">
        <v>49.515099773581561</v>
      </c>
      <c r="AS28" s="41">
        <v>25.843419383440512</v>
      </c>
      <c r="AT28" s="42">
        <v>51.143991844173136</v>
      </c>
      <c r="AU28" s="41">
        <v>804.28699896732132</v>
      </c>
      <c r="AV28" s="41">
        <v>27.97967541204773</v>
      </c>
      <c r="AW28" s="43">
        <v>0.99997303761318113</v>
      </c>
      <c r="AX28" s="43">
        <v>5.9781974157985501E-11</v>
      </c>
      <c r="AY28" s="43">
        <v>2.2706125384535144E-5</v>
      </c>
      <c r="AZ28" s="43">
        <v>2.6476515823115495E-11</v>
      </c>
      <c r="BA28" s="43">
        <v>0</v>
      </c>
      <c r="BB28" s="43">
        <v>4.2561751758921182E-6</v>
      </c>
      <c r="BC28" s="40">
        <v>4</v>
      </c>
      <c r="BD28" s="40">
        <v>3</v>
      </c>
      <c r="BE28" s="40">
        <f>IF(Таблица1[[#This Row],[Neuron id (Кохонен)]]=Таблица1[[#This Row],[Кохонен 2020]],1,0)</f>
        <v>0</v>
      </c>
      <c r="BF28" s="28">
        <v>1</v>
      </c>
      <c r="BG28" s="40">
        <f>IF(Таблица1[[#This Row],[Персептрон]]=Таблица1[[#This Row],[Обучающая выборка]],1,0)</f>
        <v>1</v>
      </c>
      <c r="BH28" s="40">
        <f>IF(Таблица1[[#This Row],[Номер класса по классификации дискр функции (Python)]]=Таблица1[[#This Row],[Персептрон]],1,0)</f>
        <v>1</v>
      </c>
      <c r="BI28" s="36">
        <v>0.23367033979452337</v>
      </c>
      <c r="BJ28" s="36">
        <v>-2.1200415882085329E-2</v>
      </c>
      <c r="BK28" s="36">
        <v>-0.3953286539382927</v>
      </c>
      <c r="BL28" s="36">
        <v>0.4296600514276302</v>
      </c>
      <c r="BM28" s="36">
        <v>-0.32340091309527341</v>
      </c>
      <c r="BN28" s="36">
        <v>0.29299528398226199</v>
      </c>
      <c r="BO28" s="36">
        <v>4.4079084481139952E-2</v>
      </c>
      <c r="BP28" s="36">
        <v>-2.6489841177392229E-2</v>
      </c>
      <c r="BQ28" s="36">
        <v>0.97362104164146324</v>
      </c>
      <c r="BR28" s="36">
        <v>0.22588957431552831</v>
      </c>
      <c r="BS28" s="36">
        <v>-0.39896626929219048</v>
      </c>
      <c r="BT28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1.7471609706961111</v>
      </c>
      <c r="BU28" s="50">
        <v>0.17839000000000002</v>
      </c>
      <c r="BV28" s="50">
        <v>0.36261000000000004</v>
      </c>
      <c r="BW28" s="50">
        <v>-0.28311000000000003</v>
      </c>
      <c r="BX28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0.24346051218243608</v>
      </c>
      <c r="BY28" s="63">
        <v>2.3175945982798266E-2</v>
      </c>
      <c r="BZ28" s="64">
        <v>-7.541802114820334E-2</v>
      </c>
      <c r="CA28" s="64">
        <v>0.34748522945647298</v>
      </c>
      <c r="CB28" s="64">
        <v>0.50865686164912993</v>
      </c>
      <c r="CC28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0.38570278997926821</v>
      </c>
    </row>
    <row r="29" spans="1:81" x14ac:dyDescent="0.3">
      <c r="A29" s="22" t="s">
        <v>54</v>
      </c>
      <c r="B29">
        <v>6</v>
      </c>
      <c r="C29">
        <v>3</v>
      </c>
      <c r="D29" s="28">
        <v>5</v>
      </c>
      <c r="E29" s="28">
        <v>2</v>
      </c>
      <c r="F29" s="28">
        <v>4</v>
      </c>
      <c r="G29" s="28">
        <v>5</v>
      </c>
      <c r="H29" s="28">
        <v>3</v>
      </c>
      <c r="I29">
        <v>5</v>
      </c>
      <c r="J29" s="51">
        <v>2</v>
      </c>
      <c r="K29" s="50">
        <v>6</v>
      </c>
      <c r="L29">
        <v>2</v>
      </c>
      <c r="M29" s="49">
        <v>3</v>
      </c>
      <c r="N29" s="65">
        <v>3</v>
      </c>
      <c r="O29" s="66">
        <v>3</v>
      </c>
      <c r="P29" s="66">
        <v>2</v>
      </c>
      <c r="Q29" s="66">
        <v>5</v>
      </c>
      <c r="S29" s="39" t="str">
        <f>RIGHT(Таблица1[[#This Row],[Классификация дискр ф-ции]])</f>
        <v>6</v>
      </c>
      <c r="T29" s="90">
        <v>6</v>
      </c>
      <c r="U29" s="90">
        <f>IF(Таблица1[[#This Row],[Обучающая выборка]]=Таблица1[[#This Row],[Номер класса по классификации дискр функции (Python)]],1,0)</f>
        <v>0</v>
      </c>
      <c r="V29" s="90">
        <f>MATCH(MIN(Таблица1[[#This Row],[Махаланобис 1]:[Махаланобис 6]]),Таблица1[[#This Row],[Махаланобис 1]:[Махаланобис 6]],0)</f>
        <v>6</v>
      </c>
      <c r="W29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29" s="40" t="str">
        <f>RIGHT(Таблица1[[#This Row],[Forward Классификация дискр ф-ции]])</f>
        <v>6</v>
      </c>
      <c r="Y29" s="40">
        <f>MATCH(MIN(Таблица1[[#This Row],[Forward Махаланобис 1]:[Forward Махаланобис 6]]),Таблица1[[#This Row],[Forward Махаланобис 1]:[Forward Махаланобис 6]],0)</f>
        <v>6</v>
      </c>
      <c r="Z29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29" s="90">
        <v>6</v>
      </c>
      <c r="AB29" s="90">
        <f>IF(Таблица1[[#This Row],[Обучающая выборка]]=Таблица1[[#This Row],[Номер класса (пошаговый дискр анализ с включением) Python]],1,0)</f>
        <v>0</v>
      </c>
      <c r="AC29" s="40" t="s">
        <v>129</v>
      </c>
      <c r="AD29" s="41">
        <v>167.94688698332899</v>
      </c>
      <c r="AE29" s="41">
        <v>132.8373968753813</v>
      </c>
      <c r="AF29" s="41">
        <v>112.50405369804103</v>
      </c>
      <c r="AG29" s="42">
        <v>305.54198454707034</v>
      </c>
      <c r="AH29" s="41">
        <v>1383.3830278706562</v>
      </c>
      <c r="AI29" s="41">
        <v>71.42226659081777</v>
      </c>
      <c r="AJ29" s="43">
        <v>1.0963393367399765E-21</v>
      </c>
      <c r="AK29" s="43">
        <v>3.0745576871239078E-14</v>
      </c>
      <c r="AL29" s="43">
        <v>2.2001115963798038E-9</v>
      </c>
      <c r="AM29" s="43">
        <v>0</v>
      </c>
      <c r="AN29" s="43">
        <v>0</v>
      </c>
      <c r="AO29" s="43">
        <v>0.99999999779985771</v>
      </c>
      <c r="AP29" s="40" t="s">
        <v>129</v>
      </c>
      <c r="AQ29" s="42">
        <v>93.644254094716004</v>
      </c>
      <c r="AR29" s="42">
        <v>50.113093222682821</v>
      </c>
      <c r="AS29" s="41">
        <v>50.310221139733635</v>
      </c>
      <c r="AT29" s="42">
        <v>186.49840810821007</v>
      </c>
      <c r="AU29" s="41">
        <v>1148.3462732030805</v>
      </c>
      <c r="AV29" s="41">
        <v>23.507758419612294</v>
      </c>
      <c r="AW29" s="43">
        <v>5.8891387388011317E-16</v>
      </c>
      <c r="AX29" s="43">
        <v>1.1133507485712713E-6</v>
      </c>
      <c r="AY29" s="43">
        <v>2.7743350969350571E-6</v>
      </c>
      <c r="AZ29" s="43">
        <v>0</v>
      </c>
      <c r="BA29" s="43">
        <v>0</v>
      </c>
      <c r="BB29" s="43">
        <v>0.99999611231415397</v>
      </c>
      <c r="BC29" s="40">
        <v>5</v>
      </c>
      <c r="BD29" s="40">
        <v>5</v>
      </c>
      <c r="BE29" s="40">
        <f>IF(Таблица1[[#This Row],[Neuron id (Кохонен)]]=Таблица1[[#This Row],[Кохонен 2020]],1,0)</f>
        <v>1</v>
      </c>
      <c r="BF29" s="28">
        <v>3</v>
      </c>
      <c r="BG29" s="40">
        <f>IF(Таблица1[[#This Row],[Персептрон]]=Таблица1[[#This Row],[Обучающая выборка]],1,0)</f>
        <v>0</v>
      </c>
      <c r="BH29" s="40">
        <f>IF(Таблица1[[#This Row],[Номер класса по классификации дискр функции (Python)]]=Таблица1[[#This Row],[Персептрон]],1,0)</f>
        <v>0</v>
      </c>
      <c r="BI29" s="36">
        <v>-0.40136654935323512</v>
      </c>
      <c r="BJ29" s="36">
        <v>-0.34918283845929554</v>
      </c>
      <c r="BK29" s="36">
        <v>-0.62519366380051911</v>
      </c>
      <c r="BL29" s="36">
        <v>-1.8371671164491914</v>
      </c>
      <c r="BM29" s="36">
        <v>-0.70232074168362901</v>
      </c>
      <c r="BN29" s="36">
        <v>1.3853364659641882</v>
      </c>
      <c r="BO29" s="36">
        <v>1.1247679554691208</v>
      </c>
      <c r="BP29" s="36">
        <v>1.0457180160027681</v>
      </c>
      <c r="BQ29" s="36">
        <v>-0.16360185608237854</v>
      </c>
      <c r="BR29" s="36">
        <v>-2.0787374244603938</v>
      </c>
      <c r="BS29" s="36">
        <v>1.1210638132299477</v>
      </c>
      <c r="BT29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14.424813483904389</v>
      </c>
      <c r="BU29" s="50">
        <v>-1.30443</v>
      </c>
      <c r="BV29" s="50">
        <v>1.0271699999999999</v>
      </c>
      <c r="BW29" s="50">
        <v>-0.49135000000000001</v>
      </c>
      <c r="BX29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2.998040399749494</v>
      </c>
      <c r="BY29" s="63">
        <v>-0.32536759661920223</v>
      </c>
      <c r="BZ29" s="64">
        <v>0.96291421227186724</v>
      </c>
      <c r="CA29" s="64">
        <v>1.0699086335547057</v>
      </c>
      <c r="CB29" s="64">
        <v>-1.5671800013767601</v>
      </c>
      <c r="CC29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4.6338254939950652</v>
      </c>
    </row>
    <row r="30" spans="1:81" x14ac:dyDescent="0.3">
      <c r="A30" s="22" t="s">
        <v>12</v>
      </c>
      <c r="B30">
        <v>3</v>
      </c>
      <c r="C30">
        <v>1</v>
      </c>
      <c r="D30" s="28">
        <v>5</v>
      </c>
      <c r="E30" s="28">
        <v>2</v>
      </c>
      <c r="F30" s="28">
        <v>4</v>
      </c>
      <c r="G30" s="28">
        <v>5</v>
      </c>
      <c r="H30" s="28">
        <v>1</v>
      </c>
      <c r="I30">
        <v>4</v>
      </c>
      <c r="J30" s="51">
        <v>3</v>
      </c>
      <c r="K30" s="50">
        <v>4</v>
      </c>
      <c r="L30">
        <v>2</v>
      </c>
      <c r="M30" s="49">
        <v>3</v>
      </c>
      <c r="N30" s="65">
        <v>4</v>
      </c>
      <c r="O30" s="66">
        <v>5</v>
      </c>
      <c r="P30" s="66">
        <v>2</v>
      </c>
      <c r="Q30" s="66">
        <v>5</v>
      </c>
      <c r="S30" s="39" t="str">
        <f>RIGHT(Таблица1[[#This Row],[Классификация дискр ф-ции]])</f>
        <v>3</v>
      </c>
      <c r="T30" s="90">
        <v>3</v>
      </c>
      <c r="U30" s="90">
        <f>IF(Таблица1[[#This Row],[Обучающая выборка]]=Таблица1[[#This Row],[Номер класса по классификации дискр функции (Python)]],1,0)</f>
        <v>0</v>
      </c>
      <c r="V30" s="90">
        <f>MATCH(MIN(Таблица1[[#This Row],[Махаланобис 1]:[Махаланобис 6]]),Таблица1[[#This Row],[Махаланобис 1]:[Махаланобис 6]],0)</f>
        <v>3</v>
      </c>
      <c r="W30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30" s="40" t="str">
        <f>RIGHT(Таблица1[[#This Row],[Forward Классификация дискр ф-ции]])</f>
        <v>3</v>
      </c>
      <c r="Y30" s="40">
        <f>MATCH(MIN(Таблица1[[#This Row],[Forward Махаланобис 1]:[Forward Махаланобис 6]]),Таблица1[[#This Row],[Forward Махаланобис 1]:[Forward Махаланобис 6]],0)</f>
        <v>3</v>
      </c>
      <c r="Z30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30" s="90">
        <v>3</v>
      </c>
      <c r="AB30" s="90">
        <f>IF(Таблица1[[#This Row],[Обучающая выборка]]=Таблица1[[#This Row],[Номер класса (пошаговый дискр анализ с включением) Python]],1,0)</f>
        <v>0</v>
      </c>
      <c r="AC30" s="40" t="s">
        <v>128</v>
      </c>
      <c r="AD30" s="41">
        <v>28.488382886738563</v>
      </c>
      <c r="AE30" s="41">
        <v>93.243444842245054</v>
      </c>
      <c r="AF30" s="41">
        <v>19.683706858654421</v>
      </c>
      <c r="AG30" s="42">
        <v>110.59211425464639</v>
      </c>
      <c r="AH30" s="41">
        <v>1111.5506706986152</v>
      </c>
      <c r="AI30" s="41">
        <v>67.347840033683809</v>
      </c>
      <c r="AJ30" s="43">
        <v>6.6367513472672859E-3</v>
      </c>
      <c r="AK30" s="43">
        <v>3.8413267121692448E-17</v>
      </c>
      <c r="AL30" s="43">
        <v>0.99336324862853742</v>
      </c>
      <c r="AM30" s="43">
        <v>6.565465888037327E-21</v>
      </c>
      <c r="AN30" s="43">
        <v>0</v>
      </c>
      <c r="AO30" s="43">
        <v>2.4195335152984983E-11</v>
      </c>
      <c r="AP30" s="40" t="s">
        <v>128</v>
      </c>
      <c r="AQ30" s="42">
        <v>22.822409227955518</v>
      </c>
      <c r="AR30" s="42">
        <v>72.782273815254712</v>
      </c>
      <c r="AS30" s="41">
        <v>5.901424187785846</v>
      </c>
      <c r="AT30" s="42">
        <v>93.323763981466982</v>
      </c>
      <c r="AU30" s="41">
        <v>1000.1490226515843</v>
      </c>
      <c r="AV30" s="41">
        <v>42.989964825681191</v>
      </c>
      <c r="AW30" s="43">
        <v>1.154418316464684E-4</v>
      </c>
      <c r="AX30" s="43">
        <v>1.0904988108346569E-15</v>
      </c>
      <c r="AY30" s="43">
        <v>0.99988455334849546</v>
      </c>
      <c r="AZ30" s="43">
        <v>3.7765677633841716E-20</v>
      </c>
      <c r="BA30" s="43">
        <v>0</v>
      </c>
      <c r="BB30" s="43">
        <v>4.8198570074217501E-9</v>
      </c>
      <c r="BC30" s="40">
        <v>5</v>
      </c>
      <c r="BD30" s="40">
        <v>5</v>
      </c>
      <c r="BE30" s="40">
        <f>IF(Таблица1[[#This Row],[Neuron id (Кохонен)]]=Таблица1[[#This Row],[Кохонен 2020]],1,0)</f>
        <v>1</v>
      </c>
      <c r="BF30" s="28">
        <v>3</v>
      </c>
      <c r="BG30" s="40">
        <f>IF(Таблица1[[#This Row],[Персептрон]]=Таблица1[[#This Row],[Обучающая выборка]],1,0)</f>
        <v>0</v>
      </c>
      <c r="BH30" s="40">
        <f>IF(Таблица1[[#This Row],[Номер класса по классификации дискр функции (Python)]]=Таблица1[[#This Row],[Персептрон]],1,0)</f>
        <v>1</v>
      </c>
      <c r="BI30" s="36">
        <v>-0.23805661805711711</v>
      </c>
      <c r="BJ30" s="36">
        <v>-0.13589678029847671</v>
      </c>
      <c r="BK30" s="36">
        <v>0.82215020965684771</v>
      </c>
      <c r="BL30" s="36">
        <v>3.4190455020735437E-3</v>
      </c>
      <c r="BM30" s="36">
        <v>0.56257588418378024</v>
      </c>
      <c r="BN30" s="36">
        <v>-0.50635403598858497</v>
      </c>
      <c r="BO30" s="36">
        <v>-0.59409903038337264</v>
      </c>
      <c r="BP30" s="36">
        <v>0.93849723028475185</v>
      </c>
      <c r="BQ30" s="36">
        <v>-3.366228697164593E-2</v>
      </c>
      <c r="BR30" s="36">
        <v>0.3797019511248107</v>
      </c>
      <c r="BS30" s="36">
        <v>1.2817260465163305</v>
      </c>
      <c r="BT30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4.3458266693594565</v>
      </c>
      <c r="BU30" s="50">
        <v>2.5300000000000001E-3</v>
      </c>
      <c r="BV30" s="50">
        <v>0.32923000000000002</v>
      </c>
      <c r="BW30" s="50">
        <v>1.3487899999999999</v>
      </c>
      <c r="BX30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1.9276330191942008</v>
      </c>
      <c r="BY30" s="63">
        <v>-3.8474524967869045E-2</v>
      </c>
      <c r="BZ30" s="64">
        <v>1.0306353980961891</v>
      </c>
      <c r="CA30" s="64">
        <v>-0.68923750800000938</v>
      </c>
      <c r="CB30" s="64">
        <v>0.10843778976744878</v>
      </c>
      <c r="CC30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1.5504967095641056</v>
      </c>
    </row>
    <row r="31" spans="1:81" x14ac:dyDescent="0.3">
      <c r="A31" s="22" t="s">
        <v>55</v>
      </c>
      <c r="B31">
        <v>2</v>
      </c>
      <c r="C31">
        <v>1</v>
      </c>
      <c r="D31" s="28">
        <v>5</v>
      </c>
      <c r="E31" s="28">
        <v>2</v>
      </c>
      <c r="F31" s="28">
        <v>6</v>
      </c>
      <c r="G31" s="28">
        <v>1</v>
      </c>
      <c r="H31" s="28">
        <v>2</v>
      </c>
      <c r="I31">
        <v>1</v>
      </c>
      <c r="J31" s="51">
        <v>3</v>
      </c>
      <c r="K31" s="50">
        <v>4</v>
      </c>
      <c r="L31">
        <v>3</v>
      </c>
      <c r="M31" s="49">
        <v>1</v>
      </c>
      <c r="N31" s="65">
        <v>4</v>
      </c>
      <c r="O31" s="66">
        <v>5</v>
      </c>
      <c r="P31" s="66">
        <v>5</v>
      </c>
      <c r="Q31" s="66">
        <v>1</v>
      </c>
      <c r="S31" s="39" t="str">
        <f>RIGHT(Таблица1[[#This Row],[Классификация дискр ф-ции]])</f>
        <v>1</v>
      </c>
      <c r="T31" s="90">
        <v>1</v>
      </c>
      <c r="U31" s="90">
        <f>IF(Таблица1[[#This Row],[Обучающая выборка]]=Таблица1[[#This Row],[Номер класса по классификации дискр функции (Python)]],1,0)</f>
        <v>0</v>
      </c>
      <c r="V31" s="90">
        <f>MATCH(MIN(Таблица1[[#This Row],[Махаланобис 1]:[Махаланобис 6]]),Таблица1[[#This Row],[Махаланобис 1]:[Махаланобис 6]],0)</f>
        <v>1</v>
      </c>
      <c r="W31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31" s="40" t="str">
        <f>RIGHT(Таблица1[[#This Row],[Forward Классификация дискр ф-ции]])</f>
        <v>1</v>
      </c>
      <c r="Y31" s="40">
        <f>MATCH(MIN(Таблица1[[#This Row],[Forward Махаланобис 1]:[Forward Махаланобис 6]]),Таблица1[[#This Row],[Forward Махаланобис 1]:[Forward Махаланобис 6]],0)</f>
        <v>1</v>
      </c>
      <c r="Z31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31" s="90">
        <v>1</v>
      </c>
      <c r="AB31" s="90">
        <f>IF(Таблица1[[#This Row],[Обучающая выборка]]=Таблица1[[#This Row],[Номер класса (пошаговый дискр анализ с включением) Python]],1,0)</f>
        <v>0</v>
      </c>
      <c r="AC31" s="40" t="s">
        <v>130</v>
      </c>
      <c r="AD31" s="41">
        <v>151.16204446462908</v>
      </c>
      <c r="AE31" s="41">
        <v>284.73956463671215</v>
      </c>
      <c r="AF31" s="41">
        <v>206.26373296214669</v>
      </c>
      <c r="AG31" s="42">
        <v>319.2834071169201</v>
      </c>
      <c r="AH31" s="41">
        <v>1356.5378474484478</v>
      </c>
      <c r="AI31" s="41">
        <v>255.7667006103546</v>
      </c>
      <c r="AJ31" s="43">
        <v>0.9999999999980137</v>
      </c>
      <c r="AK31" s="43">
        <v>6.5753485999993964E-30</v>
      </c>
      <c r="AL31" s="43">
        <v>1.9863775846478171E-12</v>
      </c>
      <c r="AM31" s="43">
        <v>0</v>
      </c>
      <c r="AN31" s="43">
        <v>0</v>
      </c>
      <c r="AO31" s="43">
        <v>1.9292456392106554E-23</v>
      </c>
      <c r="AP31" s="40" t="s">
        <v>130</v>
      </c>
      <c r="AQ31" s="42">
        <v>18.674437130261634</v>
      </c>
      <c r="AR31" s="42">
        <v>84.130719194537832</v>
      </c>
      <c r="AS31" s="41">
        <v>30.934149600948569</v>
      </c>
      <c r="AT31" s="42">
        <v>116.8442410275255</v>
      </c>
      <c r="AU31" s="41">
        <v>989.47983654547886</v>
      </c>
      <c r="AV31" s="41">
        <v>55.115254815660528</v>
      </c>
      <c r="AW31" s="43">
        <v>0.9960248802758378</v>
      </c>
      <c r="AX31" s="43">
        <v>4.0600172125602297E-15</v>
      </c>
      <c r="AY31" s="43">
        <v>3.9751075553744446E-3</v>
      </c>
      <c r="AZ31" s="43">
        <v>3.1979882736086366E-22</v>
      </c>
      <c r="BA31" s="43">
        <v>0</v>
      </c>
      <c r="BB31" s="43">
        <v>1.2168783617382556E-8</v>
      </c>
      <c r="BC31" s="40">
        <v>6</v>
      </c>
      <c r="BD31" s="40">
        <v>5</v>
      </c>
      <c r="BE31" s="40">
        <f>IF(Таблица1[[#This Row],[Neuron id (Кохонен)]]=Таблица1[[#This Row],[Кохонен 2020]],1,0)</f>
        <v>0</v>
      </c>
      <c r="BF31" s="28">
        <v>1</v>
      </c>
      <c r="BG31" s="40">
        <f>IF(Таблица1[[#This Row],[Персептрон]]=Таблица1[[#This Row],[Обучающая выборка]],1,0)</f>
        <v>0</v>
      </c>
      <c r="BH31" s="40">
        <f>IF(Таблица1[[#This Row],[Номер класса по классификации дискр функции (Python)]]=Таблица1[[#This Row],[Персептрон]],1,0)</f>
        <v>1</v>
      </c>
      <c r="BI31" s="36">
        <v>-3.1233809818798731E-2</v>
      </c>
      <c r="BJ31" s="36">
        <v>0.23480976209170351</v>
      </c>
      <c r="BK31" s="36">
        <v>0.49902166843003898</v>
      </c>
      <c r="BL31" s="36">
        <v>0.33278709553545832</v>
      </c>
      <c r="BM31" s="36">
        <v>3.5792902683075001</v>
      </c>
      <c r="BN31" s="36">
        <v>1.1932959530053155</v>
      </c>
      <c r="BO31" s="36">
        <v>-0.3817486156043427</v>
      </c>
      <c r="BP31" s="36">
        <v>0.11647120644662864</v>
      </c>
      <c r="BQ31" s="36">
        <v>-0.85152414582279645</v>
      </c>
      <c r="BR31" s="36">
        <v>-1.1256503516358132</v>
      </c>
      <c r="BS31" s="36">
        <v>-1.5364264855178349</v>
      </c>
      <c r="BT31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19.163241085931364</v>
      </c>
      <c r="BU31" s="50">
        <v>0.15765000000000001</v>
      </c>
      <c r="BV31" s="50">
        <v>-1.12113</v>
      </c>
      <c r="BW31" s="50">
        <v>0.46467000000000003</v>
      </c>
      <c r="BX31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1.4977039093589068</v>
      </c>
      <c r="BY31" s="63">
        <v>0.12434694276125456</v>
      </c>
      <c r="BZ31" s="64">
        <v>-0.45202041420544214</v>
      </c>
      <c r="CA31" s="64">
        <v>-0.48100638865977124</v>
      </c>
      <c r="CB31" s="64">
        <v>-0.231713673756615</v>
      </c>
      <c r="CC31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0.50484298956983209</v>
      </c>
    </row>
    <row r="32" spans="1:81" x14ac:dyDescent="0.3">
      <c r="A32" s="22" t="s">
        <v>13</v>
      </c>
      <c r="B32">
        <v>3</v>
      </c>
      <c r="C32">
        <v>1</v>
      </c>
      <c r="D32" s="28">
        <v>5</v>
      </c>
      <c r="E32" s="28">
        <v>2</v>
      </c>
      <c r="F32" s="28">
        <v>4</v>
      </c>
      <c r="G32" s="28">
        <v>5</v>
      </c>
      <c r="H32" s="28">
        <v>1</v>
      </c>
      <c r="I32">
        <v>4</v>
      </c>
      <c r="J32" s="51">
        <v>3</v>
      </c>
      <c r="K32" s="50">
        <v>4</v>
      </c>
      <c r="L32">
        <v>2</v>
      </c>
      <c r="M32" s="49">
        <v>3</v>
      </c>
      <c r="N32" s="65">
        <v>4</v>
      </c>
      <c r="O32" s="66">
        <v>5</v>
      </c>
      <c r="P32" s="66">
        <v>2</v>
      </c>
      <c r="Q32" s="66">
        <v>5</v>
      </c>
      <c r="S32" s="39" t="str">
        <f>RIGHT(Таблица1[[#This Row],[Классификация дискр ф-ции]])</f>
        <v>1</v>
      </c>
      <c r="T32" s="90">
        <v>1</v>
      </c>
      <c r="U32" s="90">
        <f>IF(Таблица1[[#This Row],[Обучающая выборка]]=Таблица1[[#This Row],[Номер класса по классификации дискр функции (Python)]],1,0)</f>
        <v>0</v>
      </c>
      <c r="V32" s="90">
        <f>MATCH(MIN(Таблица1[[#This Row],[Махаланобис 1]:[Махаланобис 6]]),Таблица1[[#This Row],[Махаланобис 1]:[Махаланобис 6]],0)</f>
        <v>1</v>
      </c>
      <c r="W32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32" s="40" t="str">
        <f>RIGHT(Таблица1[[#This Row],[Forward Классификация дискр ф-ции]])</f>
        <v>1</v>
      </c>
      <c r="Y32" s="40">
        <f>MATCH(MIN(Таблица1[[#This Row],[Forward Махаланобис 1]:[Forward Махаланобис 6]]),Таблица1[[#This Row],[Forward Махаланобис 1]:[Forward Махаланобис 6]],0)</f>
        <v>1</v>
      </c>
      <c r="Z32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32" s="90">
        <v>1</v>
      </c>
      <c r="AB32" s="90">
        <f>IF(Таблица1[[#This Row],[Обучающая выборка]]=Таблица1[[#This Row],[Номер класса (пошаговый дискр анализ с включением) Python]],1,0)</f>
        <v>0</v>
      </c>
      <c r="AC32" s="40" t="s">
        <v>130</v>
      </c>
      <c r="AD32" s="41">
        <v>27.580510845556844</v>
      </c>
      <c r="AE32" s="41">
        <v>133.06915399439441</v>
      </c>
      <c r="AF32" s="41">
        <v>39.666790747183867</v>
      </c>
      <c r="AG32" s="42">
        <v>131.67163848062137</v>
      </c>
      <c r="AH32" s="41">
        <v>1122.4542811323074</v>
      </c>
      <c r="AI32" s="41">
        <v>103.39264031860903</v>
      </c>
      <c r="AJ32" s="43">
        <v>0.99566635896968381</v>
      </c>
      <c r="AK32" s="43">
        <v>8.2310409647132869E-24</v>
      </c>
      <c r="AL32" s="43">
        <v>4.3336410303162912E-3</v>
      </c>
      <c r="AM32" s="43">
        <v>1.6554703283207914E-23</v>
      </c>
      <c r="AN32" s="43">
        <v>0</v>
      </c>
      <c r="AO32" s="43">
        <v>3.4333579824715758E-17</v>
      </c>
      <c r="AP32" s="40" t="s">
        <v>130</v>
      </c>
      <c r="AQ32" s="42">
        <v>15.383078131000604</v>
      </c>
      <c r="AR32" s="42">
        <v>96.756483873245855</v>
      </c>
      <c r="AS32" s="41">
        <v>19.965802792472832</v>
      </c>
      <c r="AT32" s="42">
        <v>96.017607591050051</v>
      </c>
      <c r="AU32" s="41">
        <v>997.73669213415599</v>
      </c>
      <c r="AV32" s="41">
        <v>63.821807869877631</v>
      </c>
      <c r="AW32" s="43">
        <v>0.84359536974263938</v>
      </c>
      <c r="AX32" s="43">
        <v>1.2023540885847971E-18</v>
      </c>
      <c r="AY32" s="43">
        <v>0.15640463023178658</v>
      </c>
      <c r="AZ32" s="43">
        <v>1.7397118858637458E-18</v>
      </c>
      <c r="BA32" s="43">
        <v>0</v>
      </c>
      <c r="BB32" s="43">
        <v>2.557394161514335E-11</v>
      </c>
      <c r="BC32" s="40">
        <v>5</v>
      </c>
      <c r="BD32" s="40">
        <v>5</v>
      </c>
      <c r="BE32" s="40">
        <f>IF(Таблица1[[#This Row],[Neuron id (Кохонен)]]=Таблица1[[#This Row],[Кохонен 2020]],1,0)</f>
        <v>1</v>
      </c>
      <c r="BF32" s="28">
        <v>3</v>
      </c>
      <c r="BG32" s="40">
        <f>IF(Таблица1[[#This Row],[Персептрон]]=Таблица1[[#This Row],[Обучающая выборка]],1,0)</f>
        <v>0</v>
      </c>
      <c r="BH32" s="40">
        <f>IF(Таблица1[[#This Row],[Номер класса по классификации дискр функции (Python)]]=Таблица1[[#This Row],[Персептрон]],1,0)</f>
        <v>0</v>
      </c>
      <c r="BI32" s="36">
        <v>-0.18983224268221505</v>
      </c>
      <c r="BJ32" s="36">
        <v>-0.1660566488320103</v>
      </c>
      <c r="BK32" s="36">
        <v>1.1831282372324121</v>
      </c>
      <c r="BL32" s="36">
        <v>0.25528873082172115</v>
      </c>
      <c r="BM32" s="36">
        <v>0.1488759747105031</v>
      </c>
      <c r="BN32" s="36">
        <v>-0.90805095745807995</v>
      </c>
      <c r="BO32" s="36">
        <v>-0.35559986979394115</v>
      </c>
      <c r="BP32" s="36">
        <v>0.68831539694271471</v>
      </c>
      <c r="BQ32" s="36">
        <v>0.4926166103390906</v>
      </c>
      <c r="BR32" s="36">
        <v>-0.6242829091285087</v>
      </c>
      <c r="BS32" s="36">
        <v>0.78353657099139462</v>
      </c>
      <c r="BT32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4.2218556365496074</v>
      </c>
      <c r="BU32" s="50">
        <v>-3.5119999999999998E-2</v>
      </c>
      <c r="BV32" s="50">
        <v>0.16599000000000003</v>
      </c>
      <c r="BW32" s="50">
        <v>1.3127800000000001</v>
      </c>
      <c r="BX32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1.7521771365400833</v>
      </c>
      <c r="BY32" s="63">
        <v>-7.875031072928422E-2</v>
      </c>
      <c r="BZ32" s="64">
        <v>0.7514032289002035</v>
      </c>
      <c r="CA32" s="64">
        <v>-0.81075453238051998</v>
      </c>
      <c r="CB32" s="64">
        <v>0.16007271977993606</v>
      </c>
      <c r="CC32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1.2537546112349118</v>
      </c>
    </row>
    <row r="33" spans="1:81" x14ac:dyDescent="0.3">
      <c r="A33" s="22" t="s">
        <v>56</v>
      </c>
      <c r="B33">
        <v>6</v>
      </c>
      <c r="C33">
        <v>4</v>
      </c>
      <c r="D33" s="28">
        <v>5</v>
      </c>
      <c r="E33" s="28">
        <v>2</v>
      </c>
      <c r="F33" s="28">
        <v>5</v>
      </c>
      <c r="G33" s="28">
        <v>2</v>
      </c>
      <c r="H33" s="28">
        <v>5</v>
      </c>
      <c r="I33">
        <v>2</v>
      </c>
      <c r="J33" s="51">
        <v>1</v>
      </c>
      <c r="K33" s="50">
        <v>6</v>
      </c>
      <c r="L33">
        <v>1</v>
      </c>
      <c r="M33" s="49">
        <v>2</v>
      </c>
      <c r="N33" s="65">
        <v>6</v>
      </c>
      <c r="O33" s="66">
        <v>4</v>
      </c>
      <c r="P33" s="66">
        <v>3</v>
      </c>
      <c r="Q33" s="66">
        <v>4</v>
      </c>
      <c r="S33" s="39" t="str">
        <f>RIGHT(Таблица1[[#This Row],[Классификация дискр ф-ции]])</f>
        <v>4</v>
      </c>
      <c r="T33" s="90">
        <v>4</v>
      </c>
      <c r="U33" s="90">
        <f>IF(Таблица1[[#This Row],[Обучающая выборка]]=Таблица1[[#This Row],[Номер класса по классификации дискр функции (Python)]],1,0)</f>
        <v>0</v>
      </c>
      <c r="V33" s="90">
        <f>MATCH(MIN(Таблица1[[#This Row],[Махаланобис 1]:[Махаланобис 6]]),Таблица1[[#This Row],[Махаланобис 1]:[Махаланобис 6]],0)</f>
        <v>4</v>
      </c>
      <c r="W33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4</v>
      </c>
      <c r="X33" s="40" t="str">
        <f>RIGHT(Таблица1[[#This Row],[Forward Классификация дискр ф-ции]])</f>
        <v>4</v>
      </c>
      <c r="Y33" s="40">
        <f>MATCH(MIN(Таблица1[[#This Row],[Forward Махаланобис 1]:[Forward Махаланобис 6]]),Таблица1[[#This Row],[Forward Махаланобис 1]:[Forward Махаланобис 6]],0)</f>
        <v>4</v>
      </c>
      <c r="Z33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4</v>
      </c>
      <c r="AA33" s="90">
        <v>4</v>
      </c>
      <c r="AB33" s="90">
        <f>IF(Таблица1[[#This Row],[Обучающая выборка]]=Таблица1[[#This Row],[Номер класса (пошаговый дискр анализ с включением) Python]],1,0)</f>
        <v>0</v>
      </c>
      <c r="AC33" s="40" t="s">
        <v>132</v>
      </c>
      <c r="AD33" s="41">
        <v>306.97914776275212</v>
      </c>
      <c r="AE33" s="41">
        <v>187.55559723578662</v>
      </c>
      <c r="AF33" s="41">
        <v>315.70669556337896</v>
      </c>
      <c r="AG33" s="42">
        <v>159.25687455491783</v>
      </c>
      <c r="AH33" s="41">
        <v>673.5873293984821</v>
      </c>
      <c r="AI33" s="41">
        <v>192.08989117783352</v>
      </c>
      <c r="AJ33" s="43">
        <v>1.2548934298712885E-32</v>
      </c>
      <c r="AK33" s="43">
        <v>7.1616004538230941E-7</v>
      </c>
      <c r="AL33" s="43">
        <v>0</v>
      </c>
      <c r="AM33" s="43">
        <v>0.99999917254078408</v>
      </c>
      <c r="AN33" s="43">
        <v>0</v>
      </c>
      <c r="AO33" s="43">
        <v>1.1129917057942675E-7</v>
      </c>
      <c r="AP33" s="40" t="s">
        <v>132</v>
      </c>
      <c r="AQ33" s="42">
        <v>212.86755766787229</v>
      </c>
      <c r="AR33" s="42">
        <v>130.1011368615078</v>
      </c>
      <c r="AS33" s="41">
        <v>236.63213606958828</v>
      </c>
      <c r="AT33" s="42">
        <v>86.224636016571353</v>
      </c>
      <c r="AU33" s="41">
        <v>488.94201742748106</v>
      </c>
      <c r="AV33" s="41">
        <v>148.18161852369789</v>
      </c>
      <c r="AW33" s="43">
        <v>4.7416581063061087E-28</v>
      </c>
      <c r="AX33" s="43">
        <v>2.9671458787128407E-10</v>
      </c>
      <c r="AY33" s="43">
        <v>0</v>
      </c>
      <c r="AZ33" s="43">
        <v>0.99999999970323261</v>
      </c>
      <c r="BA33" s="43">
        <v>0</v>
      </c>
      <c r="BB33" s="43">
        <v>5.2759837568549723E-14</v>
      </c>
      <c r="BC33" s="40">
        <v>3</v>
      </c>
      <c r="BD33" s="40">
        <v>3</v>
      </c>
      <c r="BE33" s="40">
        <f>IF(Таблица1[[#This Row],[Neuron id (Кохонен)]]=Таблица1[[#This Row],[Кохонен 2020]],1,0)</f>
        <v>1</v>
      </c>
      <c r="BF33" s="28">
        <v>4</v>
      </c>
      <c r="BG33" s="40">
        <f>IF(Таблица1[[#This Row],[Персептрон]]=Таблица1[[#This Row],[Обучающая выборка]],1,0)</f>
        <v>0</v>
      </c>
      <c r="BH33" s="40">
        <f>IF(Таблица1[[#This Row],[Номер класса по классификации дискр функции (Python)]]=Таблица1[[#This Row],[Персептрон]],1,0)</f>
        <v>1</v>
      </c>
      <c r="BI33" s="36">
        <v>0.7898863458832136</v>
      </c>
      <c r="BJ33" s="36">
        <v>0.29549056705063409</v>
      </c>
      <c r="BK33" s="36">
        <v>-0.33130088735184648</v>
      </c>
      <c r="BL33" s="36">
        <v>2.0958748927729847</v>
      </c>
      <c r="BM33" s="36">
        <v>-1.1105290594382344</v>
      </c>
      <c r="BN33" s="36">
        <v>2.293183756438486</v>
      </c>
      <c r="BO33" s="36">
        <v>1.8772333156098875</v>
      </c>
      <c r="BP33" s="36">
        <v>-0.31241193642543524</v>
      </c>
      <c r="BQ33" s="36">
        <v>-0.8787405483853522</v>
      </c>
      <c r="BR33" s="36">
        <v>1.5480094386204382</v>
      </c>
      <c r="BS33" s="36">
        <v>0.48677102468236338</v>
      </c>
      <c r="BT33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18.73272383455669</v>
      </c>
      <c r="BU33" s="50">
        <v>1.1227</v>
      </c>
      <c r="BV33" s="50">
        <v>1.38381</v>
      </c>
      <c r="BW33" s="50">
        <v>-1.6629300000000002</v>
      </c>
      <c r="BX33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5.9407228362094955</v>
      </c>
      <c r="BY33" s="63">
        <v>0.4041859942130856</v>
      </c>
      <c r="BZ33" s="64">
        <v>1.6072855925000434E-2</v>
      </c>
      <c r="CA33" s="64">
        <v>1.9176377430731668</v>
      </c>
      <c r="CB33" s="64">
        <v>1.5503801933014993</v>
      </c>
      <c r="CC33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6.2446379120559499</v>
      </c>
    </row>
    <row r="34" spans="1:81" ht="57.6" customHeight="1" x14ac:dyDescent="0.3">
      <c r="A34" s="22" t="s">
        <v>14</v>
      </c>
      <c r="B34">
        <v>1</v>
      </c>
      <c r="C34">
        <v>1</v>
      </c>
      <c r="D34" s="28">
        <v>5</v>
      </c>
      <c r="E34" s="28">
        <v>2</v>
      </c>
      <c r="F34" s="28">
        <v>4</v>
      </c>
      <c r="G34" s="28">
        <v>5</v>
      </c>
      <c r="H34" s="28">
        <v>2</v>
      </c>
      <c r="I34">
        <v>2</v>
      </c>
      <c r="J34" s="51">
        <v>3</v>
      </c>
      <c r="K34" s="50">
        <v>4</v>
      </c>
      <c r="L34">
        <v>3</v>
      </c>
      <c r="M34" s="49">
        <v>1</v>
      </c>
      <c r="N34" s="65">
        <v>6</v>
      </c>
      <c r="O34" s="66">
        <v>5</v>
      </c>
      <c r="P34" s="66">
        <v>5</v>
      </c>
      <c r="Q34" s="66">
        <v>1</v>
      </c>
      <c r="S34" s="39" t="str">
        <f>RIGHT(Таблица1[[#This Row],[Классификация дискр ф-ции]])</f>
        <v>1</v>
      </c>
      <c r="T34" s="90">
        <v>1</v>
      </c>
      <c r="U34" s="90">
        <f>IF(Таблица1[[#This Row],[Обучающая выборка]]=Таблица1[[#This Row],[Номер класса по классификации дискр функции (Python)]],1,0)</f>
        <v>0</v>
      </c>
      <c r="V34" s="90">
        <f>MATCH(MIN(Таблица1[[#This Row],[Махаланобис 1]:[Махаланобис 6]]),Таблица1[[#This Row],[Махаланобис 1]:[Махаланобис 6]],0)</f>
        <v>1</v>
      </c>
      <c r="W34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34" s="40" t="str">
        <f>RIGHT(Таблица1[[#This Row],[Forward Классификация дискр ф-ции]])</f>
        <v>1</v>
      </c>
      <c r="Y34" s="40">
        <f>MATCH(MIN(Таблица1[[#This Row],[Forward Махаланобис 1]:[Forward Махаланобис 6]]),Таблица1[[#This Row],[Forward Махаланобис 1]:[Forward Махаланобис 6]],0)</f>
        <v>1</v>
      </c>
      <c r="Z34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34" s="90">
        <v>1</v>
      </c>
      <c r="AB34" s="90">
        <f>IF(Таблица1[[#This Row],[Обучающая выборка]]=Таблица1[[#This Row],[Номер класса (пошаговый дискр анализ с включением) Python]],1,0)</f>
        <v>0</v>
      </c>
      <c r="AC34" s="40" t="s">
        <v>130</v>
      </c>
      <c r="AD34" s="41">
        <v>121.6805536453606</v>
      </c>
      <c r="AE34" s="41">
        <v>271.81875345180543</v>
      </c>
      <c r="AF34" s="41">
        <v>187.33686176257351</v>
      </c>
      <c r="AG34" s="42">
        <v>254.20522580675953</v>
      </c>
      <c r="AH34" s="41">
        <v>1229.1082023943493</v>
      </c>
      <c r="AI34" s="41">
        <v>258.60907055173317</v>
      </c>
      <c r="AJ34" s="43">
        <v>0.9999999999999899</v>
      </c>
      <c r="AK34" s="43">
        <v>0</v>
      </c>
      <c r="AL34" s="43">
        <v>1.0142739606979037E-14</v>
      </c>
      <c r="AM34" s="43">
        <v>1.1131195823869371E-29</v>
      </c>
      <c r="AN34" s="43">
        <v>0</v>
      </c>
      <c r="AO34" s="43">
        <v>1.8465043971210913E-30</v>
      </c>
      <c r="AP34" s="40" t="s">
        <v>130</v>
      </c>
      <c r="AQ34" s="42">
        <v>20.703251899868444</v>
      </c>
      <c r="AR34" s="42">
        <v>121.18766637209147</v>
      </c>
      <c r="AS34" s="41">
        <v>54.702092059113852</v>
      </c>
      <c r="AT34" s="42">
        <v>107.16573366375249</v>
      </c>
      <c r="AU34" s="41">
        <v>933.38874176723289</v>
      </c>
      <c r="AV34" s="41">
        <v>87.392573488317709</v>
      </c>
      <c r="AW34" s="43">
        <v>0.99999992405711624</v>
      </c>
      <c r="AX34" s="43">
        <v>1.0092420723275044E-22</v>
      </c>
      <c r="AY34" s="43">
        <v>7.594288047002775E-8</v>
      </c>
      <c r="AZ34" s="43">
        <v>1.1189723292222534E-19</v>
      </c>
      <c r="BA34" s="43">
        <v>0</v>
      </c>
      <c r="BB34" s="43">
        <v>3.3006371471940731E-15</v>
      </c>
      <c r="BC34" s="40">
        <v>6</v>
      </c>
      <c r="BD34" s="40">
        <v>4</v>
      </c>
      <c r="BE34" s="40">
        <f>IF(Таблица1[[#This Row],[Neuron id (Кохонен)]]=Таблица1[[#This Row],[Кохонен 2020]],1,0)</f>
        <v>0</v>
      </c>
      <c r="BF34" s="28">
        <v>1</v>
      </c>
      <c r="BG34" s="40">
        <f>IF(Таблица1[[#This Row],[Персептрон]]=Таблица1[[#This Row],[Обучающая выборка]],1,0)</f>
        <v>0</v>
      </c>
      <c r="BH34" s="40">
        <f>IF(Таблица1[[#This Row],[Номер класса по классификации дискр функции (Python)]]=Таблица1[[#This Row],[Персептрон]],1,0)</f>
        <v>1</v>
      </c>
      <c r="BI34" s="36">
        <v>-1.9478789390454953E-2</v>
      </c>
      <c r="BJ34" s="36">
        <v>-7.9110131071540898E-2</v>
      </c>
      <c r="BK34" s="36">
        <v>0.20018867605630752</v>
      </c>
      <c r="BL34" s="36">
        <v>1.3402658368140461</v>
      </c>
      <c r="BM34" s="36">
        <v>2.4919551080104796</v>
      </c>
      <c r="BN34" s="36">
        <v>-0.53526576975815499</v>
      </c>
      <c r="BO34" s="36">
        <v>-0.37934686185093303</v>
      </c>
      <c r="BP34" s="36">
        <v>-9.79703649894033E-2</v>
      </c>
      <c r="BQ34" s="36">
        <v>0.41870187739408887</v>
      </c>
      <c r="BR34" s="36">
        <v>-0.51901732111093646</v>
      </c>
      <c r="BS34" s="36">
        <v>-1.6012607391623244</v>
      </c>
      <c r="BT34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11.501603990582126</v>
      </c>
      <c r="BU34" s="50">
        <v>0.3258700000000001</v>
      </c>
      <c r="BV34" s="50">
        <v>-1.0186200000000001</v>
      </c>
      <c r="BW34" s="50">
        <v>0.67989000000000022</v>
      </c>
      <c r="BX34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1.60602812710126</v>
      </c>
      <c r="BY34" s="63">
        <v>-6.7014405902649676E-2</v>
      </c>
      <c r="BZ34" s="64">
        <v>-0.59294495589958618</v>
      </c>
      <c r="CA34" s="64">
        <v>-0.83192866939339805</v>
      </c>
      <c r="CB34" s="64">
        <v>0.70884715418486455</v>
      </c>
      <c r="CC34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1.5506442502798983</v>
      </c>
    </row>
    <row r="35" spans="1:81" x14ac:dyDescent="0.3">
      <c r="A35" s="22" t="s">
        <v>57</v>
      </c>
      <c r="B35">
        <v>1</v>
      </c>
      <c r="C35">
        <v>4</v>
      </c>
      <c r="D35" s="28">
        <v>5</v>
      </c>
      <c r="E35" s="28">
        <v>2</v>
      </c>
      <c r="F35" s="28">
        <v>5</v>
      </c>
      <c r="G35" s="28">
        <v>2</v>
      </c>
      <c r="H35" s="28">
        <v>5</v>
      </c>
      <c r="I35">
        <v>2</v>
      </c>
      <c r="J35" s="51">
        <v>4</v>
      </c>
      <c r="K35" s="50">
        <v>6</v>
      </c>
      <c r="L35">
        <v>2</v>
      </c>
      <c r="M35" s="49">
        <v>3</v>
      </c>
      <c r="N35" s="65">
        <v>6</v>
      </c>
      <c r="O35" s="66">
        <v>4</v>
      </c>
      <c r="P35" s="66">
        <v>2</v>
      </c>
      <c r="Q35" s="66">
        <v>5</v>
      </c>
      <c r="S35" s="39" t="str">
        <f>RIGHT(Таблица1[[#This Row],[Классификация дискр ф-ции]])</f>
        <v>4</v>
      </c>
      <c r="T35" s="90">
        <v>4</v>
      </c>
      <c r="U35" s="90">
        <f>IF(Таблица1[[#This Row],[Обучающая выборка]]=Таблица1[[#This Row],[Номер класса по классификации дискр функции (Python)]],1,0)</f>
        <v>0</v>
      </c>
      <c r="V35" s="90">
        <f>MATCH(MIN(Таблица1[[#This Row],[Махаланобис 1]:[Махаланобис 6]]),Таблица1[[#This Row],[Махаланобис 1]:[Махаланобис 6]],0)</f>
        <v>4</v>
      </c>
      <c r="W35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4</v>
      </c>
      <c r="X35" s="40" t="str">
        <f>RIGHT(Таблица1[[#This Row],[Forward Классификация дискр ф-ции]])</f>
        <v>4</v>
      </c>
      <c r="Y35" s="40">
        <f>MATCH(MIN(Таблица1[[#This Row],[Forward Махаланобис 1]:[Forward Махаланобис 6]]),Таблица1[[#This Row],[Forward Махаланобис 1]:[Forward Махаланобис 6]],0)</f>
        <v>4</v>
      </c>
      <c r="Z35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4</v>
      </c>
      <c r="AA35" s="90">
        <v>4</v>
      </c>
      <c r="AB35" s="90">
        <f>IF(Таблица1[[#This Row],[Обучающая выборка]]=Таблица1[[#This Row],[Номер класса (пошаговый дискр анализ с включением) Python]],1,0)</f>
        <v>0</v>
      </c>
      <c r="AC35" s="40" t="s">
        <v>132</v>
      </c>
      <c r="AD35" s="41">
        <v>111.18153493430172</v>
      </c>
      <c r="AE35" s="41">
        <v>133.67058519307403</v>
      </c>
      <c r="AF35" s="41">
        <v>141.76347658586928</v>
      </c>
      <c r="AG35" s="42">
        <v>80.138873454890486</v>
      </c>
      <c r="AH35" s="41">
        <v>709.23828125579757</v>
      </c>
      <c r="AI35" s="41">
        <v>98.421669100435523</v>
      </c>
      <c r="AJ35" s="43">
        <v>2.7239119219554264E-7</v>
      </c>
      <c r="AK35" s="43">
        <v>2.375016253771635E-12</v>
      </c>
      <c r="AL35" s="43">
        <v>1.1419582928632596E-13</v>
      </c>
      <c r="AM35" s="43">
        <v>0.99983904727401141</v>
      </c>
      <c r="AN35" s="43">
        <v>0</v>
      </c>
      <c r="AO35" s="43">
        <v>1.6068033230724231E-4</v>
      </c>
      <c r="AP35" s="40" t="s">
        <v>132</v>
      </c>
      <c r="AQ35" s="42">
        <v>42.798019686246469</v>
      </c>
      <c r="AR35" s="42">
        <v>57.878740763675559</v>
      </c>
      <c r="AS35" s="41">
        <v>79.47592571314631</v>
      </c>
      <c r="AT35" s="42">
        <v>17.591952043852114</v>
      </c>
      <c r="AU35" s="41">
        <v>650.79098110938537</v>
      </c>
      <c r="AV35" s="41">
        <v>52.966850290968665</v>
      </c>
      <c r="AW35" s="43">
        <v>5.0426753727688883E-6</v>
      </c>
      <c r="AX35" s="43">
        <v>1.7857998343362566E-9</v>
      </c>
      <c r="AY35" s="43">
        <v>1.0032203845855435E-13</v>
      </c>
      <c r="AZ35" s="43">
        <v>0.9999949243119256</v>
      </c>
      <c r="BA35" s="43">
        <v>0</v>
      </c>
      <c r="BB35" s="43">
        <v>3.1226801415457317E-8</v>
      </c>
      <c r="BC35" s="40">
        <v>4</v>
      </c>
      <c r="BD35" s="40">
        <v>4</v>
      </c>
      <c r="BE35" s="40">
        <f>IF(Таблица1[[#This Row],[Neuron id (Кохонен)]]=Таблица1[[#This Row],[Кохонен 2020]],1,0)</f>
        <v>1</v>
      </c>
      <c r="BF35" s="28">
        <v>4</v>
      </c>
      <c r="BG35" s="40">
        <f>IF(Таблица1[[#This Row],[Персептрон]]=Таблица1[[#This Row],[Обучающая выборка]],1,0)</f>
        <v>0</v>
      </c>
      <c r="BH35" s="40">
        <f>IF(Таблица1[[#This Row],[Номер класса по классификации дискр функции (Python)]]=Таблица1[[#This Row],[Персептрон]],1,0)</f>
        <v>1</v>
      </c>
      <c r="BI35" s="36">
        <v>0.12535852971672068</v>
      </c>
      <c r="BJ35" s="36">
        <v>0.25952644848807999</v>
      </c>
      <c r="BK35" s="36">
        <v>-0.2685992298787927</v>
      </c>
      <c r="BL35" s="36">
        <v>1.1465199250297022</v>
      </c>
      <c r="BM35" s="36">
        <v>-1.3411759116224506</v>
      </c>
      <c r="BN35" s="36">
        <v>0.2273989438785457</v>
      </c>
      <c r="BO35" s="36">
        <v>1.1151441949779182</v>
      </c>
      <c r="BP35" s="36">
        <v>-0.38389246023744567</v>
      </c>
      <c r="BQ35" s="36">
        <v>1.9729379452905005</v>
      </c>
      <c r="BR35" s="36">
        <v>0.38412721090332569</v>
      </c>
      <c r="BS35" s="36">
        <v>0.78045712922519428</v>
      </c>
      <c r="BT35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9.3602565061145668</v>
      </c>
      <c r="BU35" s="50">
        <v>0.48089000000000004</v>
      </c>
      <c r="BV35" s="50">
        <v>1.3622700000000001</v>
      </c>
      <c r="BW35" s="50">
        <v>-0.48906000000000005</v>
      </c>
      <c r="BX35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2.3262150905083185</v>
      </c>
      <c r="BY35" s="63">
        <v>0.11592298896448995</v>
      </c>
      <c r="BZ35" s="64">
        <v>0.17273804155155356</v>
      </c>
      <c r="CA35" s="64">
        <v>0.89392430417876012</v>
      </c>
      <c r="CB35" s="64">
        <v>0.68369029670072423</v>
      </c>
      <c r="CC35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1.3098096537737323</v>
      </c>
    </row>
    <row r="36" spans="1:81" ht="14.4" customHeight="1" x14ac:dyDescent="0.3">
      <c r="A36" s="22" t="s">
        <v>31</v>
      </c>
      <c r="B36">
        <v>5</v>
      </c>
      <c r="C36">
        <v>2</v>
      </c>
      <c r="D36" s="28">
        <v>6</v>
      </c>
      <c r="E36" s="28">
        <v>1</v>
      </c>
      <c r="F36" s="28">
        <v>3</v>
      </c>
      <c r="G36" s="28">
        <v>4</v>
      </c>
      <c r="H36" s="28">
        <v>6</v>
      </c>
      <c r="I36">
        <v>3</v>
      </c>
      <c r="J36" s="51">
        <v>5</v>
      </c>
      <c r="K36" s="50">
        <v>2</v>
      </c>
      <c r="L36">
        <v>5</v>
      </c>
      <c r="M36" s="49">
        <v>6</v>
      </c>
      <c r="N36" s="65">
        <v>2</v>
      </c>
      <c r="O36" s="66">
        <v>6</v>
      </c>
      <c r="P36" s="66">
        <v>4</v>
      </c>
      <c r="Q36" s="66">
        <v>2</v>
      </c>
      <c r="R36">
        <v>5</v>
      </c>
      <c r="S36" s="39" t="str">
        <f>RIGHT(Таблица1[[#This Row],[Классификация дискр ф-ции]])</f>
        <v>5</v>
      </c>
      <c r="T36" s="90">
        <v>5</v>
      </c>
      <c r="U36" s="90">
        <f>IF(Таблица1[[#This Row],[Обучающая выборка]]=Таблица1[[#This Row],[Номер класса по классификации дискр функции (Python)]],1,0)</f>
        <v>1</v>
      </c>
      <c r="V36" s="90">
        <f>MATCH(MIN(Таблица1[[#This Row],[Махаланобис 1]:[Махаланобис 6]]),Таблица1[[#This Row],[Махаланобис 1]:[Махаланобис 6]],0)</f>
        <v>5</v>
      </c>
      <c r="W36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5</v>
      </c>
      <c r="X36" s="40" t="str">
        <f>RIGHT(Таблица1[[#This Row],[Forward Классификация дискр ф-ции]])</f>
        <v>5</v>
      </c>
      <c r="Y36" s="40">
        <f>MATCH(MIN(Таблица1[[#This Row],[Forward Махаланобис 1]:[Forward Махаланобис 6]]),Таблица1[[#This Row],[Forward Махаланобис 1]:[Forward Махаланобис 6]],0)</f>
        <v>5</v>
      </c>
      <c r="Z36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5</v>
      </c>
      <c r="AA36" s="90">
        <v>5</v>
      </c>
      <c r="AB36" s="90">
        <f>IF(Таблица1[[#This Row],[Обучающая выборка]]=Таблица1[[#This Row],[Номер класса (пошаговый дискр анализ с включением) Python]],1,0)</f>
        <v>1</v>
      </c>
      <c r="AC36" s="40" t="s">
        <v>133</v>
      </c>
      <c r="AD36" s="41">
        <v>1092.4615486902994</v>
      </c>
      <c r="AE36" s="41">
        <v>1070.8605113377241</v>
      </c>
      <c r="AF36" s="41">
        <v>1256.0593751696263</v>
      </c>
      <c r="AG36" s="42">
        <v>663.42244571587844</v>
      </c>
      <c r="AH36" s="41">
        <v>11.413427116643065</v>
      </c>
      <c r="AI36" s="41">
        <v>1138.9709926795347</v>
      </c>
      <c r="AJ36" s="43">
        <v>0</v>
      </c>
      <c r="AK36" s="43">
        <v>0</v>
      </c>
      <c r="AL36" s="43">
        <v>0</v>
      </c>
      <c r="AM36" s="43">
        <v>0</v>
      </c>
      <c r="AN36" s="43">
        <v>1</v>
      </c>
      <c r="AO36" s="43">
        <v>0</v>
      </c>
      <c r="AP36" s="40" t="s">
        <v>133</v>
      </c>
      <c r="AQ36" s="42">
        <v>942.22619159370652</v>
      </c>
      <c r="AR36" s="42">
        <v>919.57916062397283</v>
      </c>
      <c r="AS36" s="41">
        <v>1099.1346110886045</v>
      </c>
      <c r="AT36" s="42">
        <v>575.58723530981376</v>
      </c>
      <c r="AU36" s="41">
        <v>9.9249461909432704</v>
      </c>
      <c r="AV36" s="41">
        <v>1000.1635733186907</v>
      </c>
      <c r="AW36" s="43">
        <v>0</v>
      </c>
      <c r="AX36" s="43">
        <v>0</v>
      </c>
      <c r="AY36" s="43">
        <v>0</v>
      </c>
      <c r="AZ36" s="43">
        <v>0</v>
      </c>
      <c r="BA36" s="43">
        <v>1</v>
      </c>
      <c r="BB36" s="43">
        <v>0</v>
      </c>
      <c r="BC36" s="40">
        <v>1</v>
      </c>
      <c r="BD36" s="40">
        <v>1</v>
      </c>
      <c r="BE36" s="40">
        <f>IF(Таблица1[[#This Row],[Neuron id (Кохонен)]]=Таблица1[[#This Row],[Кохонен 2020]],1,0)</f>
        <v>1</v>
      </c>
      <c r="BF36" s="28">
        <v>5</v>
      </c>
      <c r="BG36" s="40">
        <f>IF(Таблица1[[#This Row],[Персептрон]]=Таблица1[[#This Row],[Обучающая выборка]],1,0)</f>
        <v>1</v>
      </c>
      <c r="BH36" s="40">
        <f>IF(Таблица1[[#This Row],[Номер класса по классификации дискр функции (Python)]]=Таблица1[[#This Row],[Персептрон]],1,0)</f>
        <v>1</v>
      </c>
      <c r="BI36" s="36">
        <v>6.6299585357731292</v>
      </c>
      <c r="BJ36" s="36">
        <v>6.9027532045131581</v>
      </c>
      <c r="BK36" s="36">
        <v>2.977671742547396</v>
      </c>
      <c r="BL36" s="36">
        <v>0.73965351028258031</v>
      </c>
      <c r="BM36" s="36">
        <v>0.17450340273097156</v>
      </c>
      <c r="BN36" s="36">
        <v>1.0239000266449758</v>
      </c>
      <c r="BO36" s="36">
        <v>-0.83501981110849177</v>
      </c>
      <c r="BP36" s="36">
        <v>-1.3846197936055955</v>
      </c>
      <c r="BQ36" s="36">
        <v>-1.4434447085826514</v>
      </c>
      <c r="BR36" s="36">
        <v>0.44538136548292812</v>
      </c>
      <c r="BS36" s="36">
        <v>0.36476156264522364</v>
      </c>
      <c r="BT36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107.12616925508067</v>
      </c>
      <c r="BU36" s="50">
        <v>4.9273400000000001</v>
      </c>
      <c r="BV36" s="50">
        <v>-0.97987000000000002</v>
      </c>
      <c r="BW36" s="50">
        <v>-0.27601000000000003</v>
      </c>
      <c r="BX36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25.315008365734201</v>
      </c>
      <c r="BY36" s="63">
        <v>6.9391574620972811</v>
      </c>
      <c r="BZ36" s="64">
        <v>0.26812944697561042</v>
      </c>
      <c r="CA36" s="64">
        <v>-0.27005184120881248</v>
      </c>
      <c r="CB36" s="64">
        <v>-1.9343949485919196</v>
      </c>
      <c r="CC36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52.03861149819403</v>
      </c>
    </row>
    <row r="37" spans="1:81" x14ac:dyDescent="0.3">
      <c r="A37" s="22" t="s">
        <v>58</v>
      </c>
      <c r="B37">
        <v>1</v>
      </c>
      <c r="C37">
        <v>4</v>
      </c>
      <c r="D37" s="28">
        <v>5</v>
      </c>
      <c r="E37" s="28">
        <v>2</v>
      </c>
      <c r="F37" s="28">
        <v>4</v>
      </c>
      <c r="G37" s="28">
        <v>5</v>
      </c>
      <c r="H37" s="28">
        <v>5</v>
      </c>
      <c r="I37">
        <v>2</v>
      </c>
      <c r="J37" s="51">
        <v>2</v>
      </c>
      <c r="K37" s="50">
        <v>1</v>
      </c>
      <c r="L37">
        <v>2</v>
      </c>
      <c r="M37" s="49">
        <v>3</v>
      </c>
      <c r="N37" s="65">
        <v>3</v>
      </c>
      <c r="O37" s="66">
        <v>3</v>
      </c>
      <c r="P37" s="66">
        <v>2</v>
      </c>
      <c r="Q37" s="66">
        <v>5</v>
      </c>
      <c r="S37" s="39" t="str">
        <f>RIGHT(Таблица1[[#This Row],[Классификация дискр ф-ции]])</f>
        <v>1</v>
      </c>
      <c r="T37" s="90">
        <v>1</v>
      </c>
      <c r="U37" s="90">
        <f>IF(Таблица1[[#This Row],[Обучающая выборка]]=Таблица1[[#This Row],[Номер класса по классификации дискр функции (Python)]],1,0)</f>
        <v>0</v>
      </c>
      <c r="V37" s="90">
        <f>MATCH(MIN(Таблица1[[#This Row],[Махаланобис 1]:[Махаланобис 6]]),Таблица1[[#This Row],[Махаланобис 1]:[Махаланобис 6]],0)</f>
        <v>1</v>
      </c>
      <c r="W37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37" s="40" t="str">
        <f>RIGHT(Таблица1[[#This Row],[Forward Классификация дискр ф-ции]])</f>
        <v>1</v>
      </c>
      <c r="Y37" s="40">
        <f>MATCH(MIN(Таблица1[[#This Row],[Forward Махаланобис 1]:[Forward Махаланобис 6]]),Таблица1[[#This Row],[Forward Махаланобис 1]:[Forward Махаланобис 6]],0)</f>
        <v>1</v>
      </c>
      <c r="Z37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37" s="90">
        <v>1</v>
      </c>
      <c r="AB37" s="90">
        <f>IF(Таблица1[[#This Row],[Обучающая выборка]]=Таблица1[[#This Row],[Номер класса (пошаговый дискр анализ с включением) Python]],1,0)</f>
        <v>0</v>
      </c>
      <c r="AC37" s="40" t="s">
        <v>130</v>
      </c>
      <c r="AD37" s="41">
        <v>26.797240659744968</v>
      </c>
      <c r="AE37" s="41">
        <v>165.79598471868363</v>
      </c>
      <c r="AF37" s="41">
        <v>48.211717634043872</v>
      </c>
      <c r="AG37" s="42">
        <v>164.39683053352522</v>
      </c>
      <c r="AH37" s="41">
        <v>1183.1478351900359</v>
      </c>
      <c r="AI37" s="41">
        <v>114.02786300705387</v>
      </c>
      <c r="AJ37" s="43">
        <v>0.99995896740130352</v>
      </c>
      <c r="AK37" s="43">
        <v>4.3721711299131243E-31</v>
      </c>
      <c r="AL37" s="43">
        <v>4.1032598696437352E-5</v>
      </c>
      <c r="AM37" s="43">
        <v>8.8007487613061573E-31</v>
      </c>
      <c r="AN37" s="43">
        <v>0</v>
      </c>
      <c r="AO37" s="43">
        <v>1.1431236506890494E-19</v>
      </c>
      <c r="AP37" s="40" t="s">
        <v>130</v>
      </c>
      <c r="AQ37" s="42">
        <v>19.398312228095904</v>
      </c>
      <c r="AR37" s="42">
        <v>131.61338673913548</v>
      </c>
      <c r="AS37" s="41">
        <v>32.595439109159507</v>
      </c>
      <c r="AT37" s="42">
        <v>126.24992933464888</v>
      </c>
      <c r="AU37" s="41">
        <v>1047.5695967896886</v>
      </c>
      <c r="AV37" s="41">
        <v>82.083087056796657</v>
      </c>
      <c r="AW37" s="43">
        <v>0.99750862899741277</v>
      </c>
      <c r="AX37" s="43">
        <v>2.8551674177793484E-25</v>
      </c>
      <c r="AY37" s="43">
        <v>2.4913710025629299E-3</v>
      </c>
      <c r="AZ37" s="43">
        <v>4.1714933568118141E-24</v>
      </c>
      <c r="BA37" s="43">
        <v>0</v>
      </c>
      <c r="BB37" s="43">
        <v>2.4383203178634832E-14</v>
      </c>
      <c r="BC37" s="40">
        <v>4</v>
      </c>
      <c r="BD37" s="40">
        <v>4</v>
      </c>
      <c r="BE37" s="40">
        <f>IF(Таблица1[[#This Row],[Neuron id (Кохонен)]]=Таблица1[[#This Row],[Кохонен 2020]],1,0)</f>
        <v>1</v>
      </c>
      <c r="BF37" s="28">
        <v>3</v>
      </c>
      <c r="BG37" s="40">
        <f>IF(Таблица1[[#This Row],[Персептрон]]=Таблица1[[#This Row],[Обучающая выборка]],1,0)</f>
        <v>0</v>
      </c>
      <c r="BH37" s="40">
        <f>IF(Таблица1[[#This Row],[Номер класса по классификации дискр функции (Python)]]=Таблица1[[#This Row],[Персептрон]],1,0)</f>
        <v>0</v>
      </c>
      <c r="BI37" s="36">
        <v>-0.18405871158069559</v>
      </c>
      <c r="BJ37" s="36">
        <v>-0.25172160916621034</v>
      </c>
      <c r="BK37" s="36">
        <v>4.524032815027311E-2</v>
      </c>
      <c r="BL37" s="36">
        <v>0.700904327925711</v>
      </c>
      <c r="BM37" s="36">
        <v>0.22026666705323675</v>
      </c>
      <c r="BN37" s="36">
        <v>-0.19555081874497734</v>
      </c>
      <c r="BO37" s="36">
        <v>-0.34308673007826379</v>
      </c>
      <c r="BP37" s="36">
        <v>0.79553618266073034</v>
      </c>
      <c r="BQ37" s="36">
        <v>1.9092680259643464</v>
      </c>
      <c r="BR37" s="36">
        <v>3.6769344780028392E-2</v>
      </c>
      <c r="BS37" s="36">
        <v>0.41988502246925558</v>
      </c>
      <c r="BT37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5.2508586034102347</v>
      </c>
      <c r="BU37" s="50">
        <v>3.1719999999999998E-2</v>
      </c>
      <c r="BV37" s="50">
        <v>0.81829000000000007</v>
      </c>
      <c r="BW37" s="50">
        <v>0.90142999999999995</v>
      </c>
      <c r="BX37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1.4831807227647889</v>
      </c>
      <c r="BY37" s="63">
        <v>-0.20139740388381464</v>
      </c>
      <c r="BZ37" s="64">
        <v>0.75375521317174266</v>
      </c>
      <c r="CA37" s="64">
        <v>-0.18953929323024207</v>
      </c>
      <c r="CB37" s="64">
        <v>0.63733322215258803</v>
      </c>
      <c r="CC37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1.0508266154123393</v>
      </c>
    </row>
    <row r="38" spans="1:81" x14ac:dyDescent="0.3">
      <c r="A38" s="22" t="s">
        <v>59</v>
      </c>
      <c r="B38">
        <v>1</v>
      </c>
      <c r="C38">
        <v>4</v>
      </c>
      <c r="D38" s="28">
        <v>5</v>
      </c>
      <c r="E38" s="28">
        <v>2</v>
      </c>
      <c r="F38" s="28">
        <v>4</v>
      </c>
      <c r="G38" s="28">
        <v>5</v>
      </c>
      <c r="H38" s="28">
        <v>5</v>
      </c>
      <c r="I38">
        <v>2</v>
      </c>
      <c r="J38" s="51">
        <v>4</v>
      </c>
      <c r="K38" s="50">
        <v>1</v>
      </c>
      <c r="L38">
        <v>2</v>
      </c>
      <c r="M38" s="49">
        <v>3</v>
      </c>
      <c r="N38" s="65">
        <v>3</v>
      </c>
      <c r="O38" s="66">
        <v>3</v>
      </c>
      <c r="P38" s="66">
        <v>2</v>
      </c>
      <c r="Q38" s="66">
        <v>5</v>
      </c>
      <c r="S38" s="39" t="str">
        <f>RIGHT(Таблица1[[#This Row],[Классификация дискр ф-ции]])</f>
        <v>1</v>
      </c>
      <c r="T38" s="90">
        <v>1</v>
      </c>
      <c r="U38" s="90">
        <f>IF(Таблица1[[#This Row],[Обучающая выборка]]=Таблица1[[#This Row],[Номер класса по классификации дискр функции (Python)]],1,0)</f>
        <v>0</v>
      </c>
      <c r="V38" s="90">
        <f>MATCH(MIN(Таблица1[[#This Row],[Махаланобис 1]:[Махаланобис 6]]),Таблица1[[#This Row],[Махаланобис 1]:[Махаланобис 6]],0)</f>
        <v>1</v>
      </c>
      <c r="W38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38" s="40" t="str">
        <f>RIGHT(Таблица1[[#This Row],[Forward Классификация дискр ф-ции]])</f>
        <v>1</v>
      </c>
      <c r="Y38" s="40">
        <f>MATCH(MIN(Таблица1[[#This Row],[Forward Махаланобис 1]:[Forward Махаланобис 6]]),Таблица1[[#This Row],[Forward Махаланобис 1]:[Forward Махаланобис 6]],0)</f>
        <v>1</v>
      </c>
      <c r="Z38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38" s="90">
        <v>1</v>
      </c>
      <c r="AB38" s="90">
        <f>IF(Таблица1[[#This Row],[Обучающая выборка]]=Таблица1[[#This Row],[Номер класса (пошаговый дискр анализ с включением) Python]],1,0)</f>
        <v>0</v>
      </c>
      <c r="AC38" s="40" t="s">
        <v>130</v>
      </c>
      <c r="AD38" s="41">
        <v>66.17322270232448</v>
      </c>
      <c r="AE38" s="41">
        <v>228.15217347484298</v>
      </c>
      <c r="AF38" s="41">
        <v>80.558393241259765</v>
      </c>
      <c r="AG38" s="42">
        <v>270.09968447206597</v>
      </c>
      <c r="AH38" s="41">
        <v>1395.8120005979811</v>
      </c>
      <c r="AI38" s="41">
        <v>137.18946934622829</v>
      </c>
      <c r="AJ38" s="43">
        <v>0.99862297161150959</v>
      </c>
      <c r="AK38" s="43">
        <v>0</v>
      </c>
      <c r="AL38" s="43">
        <v>1.3770283884901112E-3</v>
      </c>
      <c r="AM38" s="43">
        <v>0</v>
      </c>
      <c r="AN38" s="43">
        <v>0</v>
      </c>
      <c r="AO38" s="43">
        <v>3.788083387168031E-16</v>
      </c>
      <c r="AP38" s="40" t="s">
        <v>130</v>
      </c>
      <c r="AQ38" s="42">
        <v>42.821291661006484</v>
      </c>
      <c r="AR38" s="42">
        <v>167.02308423100416</v>
      </c>
      <c r="AS38" s="41">
        <v>47.89959127863569</v>
      </c>
      <c r="AT38" s="42">
        <v>195.99358082202278</v>
      </c>
      <c r="AU38" s="41">
        <v>1224.7464918881249</v>
      </c>
      <c r="AV38" s="41">
        <v>100.26184855834531</v>
      </c>
      <c r="AW38" s="43">
        <v>0.87358264953041009</v>
      </c>
      <c r="AX38" s="43">
        <v>6.2393042368009859E-28</v>
      </c>
      <c r="AY38" s="43">
        <v>0.12641735046929603</v>
      </c>
      <c r="AZ38" s="43">
        <v>0</v>
      </c>
      <c r="BA38" s="43">
        <v>0</v>
      </c>
      <c r="BB38" s="43">
        <v>2.9393110735855695E-13</v>
      </c>
      <c r="BC38" s="40">
        <v>4</v>
      </c>
      <c r="BD38" s="40">
        <v>3</v>
      </c>
      <c r="BE38" s="40">
        <f>IF(Таблица1[[#This Row],[Neuron id (Кохонен)]]=Таблица1[[#This Row],[Кохонен 2020]],1,0)</f>
        <v>0</v>
      </c>
      <c r="BF38" s="28">
        <v>3</v>
      </c>
      <c r="BG38" s="40">
        <f>IF(Таблица1[[#This Row],[Персептрон]]=Таблица1[[#This Row],[Обучающая выборка]],1,0)</f>
        <v>0</v>
      </c>
      <c r="BH38" s="40">
        <f>IF(Таблица1[[#This Row],[Номер класса по классификации дискр функции (Python)]]=Таблица1[[#This Row],[Персептрон]],1,0)</f>
        <v>0</v>
      </c>
      <c r="BI38" s="36">
        <v>-0.23128329175121751</v>
      </c>
      <c r="BJ38" s="36">
        <v>-0.23736855117052436</v>
      </c>
      <c r="BK38" s="36">
        <v>0.26360798460593837</v>
      </c>
      <c r="BL38" s="36">
        <v>-0.11282850156853155</v>
      </c>
      <c r="BM38" s="36">
        <v>0.10677377153401915</v>
      </c>
      <c r="BN38" s="36">
        <v>1.3754617050261571</v>
      </c>
      <c r="BO38" s="36">
        <v>0.36798128463122692</v>
      </c>
      <c r="BP38" s="36">
        <v>1.4388608969688261</v>
      </c>
      <c r="BQ38" s="36">
        <v>2.3706661563101195</v>
      </c>
      <c r="BR38" s="36">
        <v>-0.51105117208683148</v>
      </c>
      <c r="BS38" s="36">
        <v>0.86416249153636326</v>
      </c>
      <c r="BT38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10.929089814331968</v>
      </c>
      <c r="BU38" s="50">
        <v>-0.24419000000000002</v>
      </c>
      <c r="BV38" s="50">
        <v>1.81498</v>
      </c>
      <c r="BW38" s="50">
        <v>0.57921</v>
      </c>
      <c r="BX38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3.6892655564565535</v>
      </c>
      <c r="BY38" s="63">
        <v>-0.20224720305840158</v>
      </c>
      <c r="BZ38" s="64">
        <v>1.3490027104041777</v>
      </c>
      <c r="CA38" s="64">
        <v>0.70403273455588811</v>
      </c>
      <c r="CB38" s="64">
        <v>0.19389188139585178</v>
      </c>
      <c r="CC38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2.3939683968202288</v>
      </c>
    </row>
    <row r="39" spans="1:81" x14ac:dyDescent="0.3">
      <c r="A39" s="22" t="s">
        <v>60</v>
      </c>
      <c r="B39">
        <v>1</v>
      </c>
      <c r="C39">
        <v>1</v>
      </c>
      <c r="D39" s="28">
        <v>5</v>
      </c>
      <c r="E39" s="28">
        <v>2</v>
      </c>
      <c r="F39" s="28">
        <v>4</v>
      </c>
      <c r="G39" s="28">
        <v>5</v>
      </c>
      <c r="H39" s="28">
        <v>1</v>
      </c>
      <c r="I39">
        <v>2</v>
      </c>
      <c r="J39" s="51">
        <v>2</v>
      </c>
      <c r="K39" s="50">
        <v>4</v>
      </c>
      <c r="L39">
        <v>1</v>
      </c>
      <c r="M39" s="49">
        <v>2</v>
      </c>
      <c r="N39" s="65">
        <v>6</v>
      </c>
      <c r="O39" s="66">
        <v>5</v>
      </c>
      <c r="P39" s="66">
        <v>5</v>
      </c>
      <c r="Q39" s="66">
        <v>1</v>
      </c>
      <c r="S39" s="39" t="str">
        <f>RIGHT(Таблица1[[#This Row],[Классификация дискр ф-ции]])</f>
        <v>1</v>
      </c>
      <c r="T39" s="90">
        <v>1</v>
      </c>
      <c r="U39" s="90">
        <f>IF(Таблица1[[#This Row],[Обучающая выборка]]=Таблица1[[#This Row],[Номер класса по классификации дискр функции (Python)]],1,0)</f>
        <v>0</v>
      </c>
      <c r="V39" s="90">
        <f>MATCH(MIN(Таблица1[[#This Row],[Махаланобис 1]:[Махаланобис 6]]),Таблица1[[#This Row],[Махаланобис 1]:[Махаланобис 6]],0)</f>
        <v>1</v>
      </c>
      <c r="W39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39" s="40" t="str">
        <f>RIGHT(Таблица1[[#This Row],[Forward Классификация дискр ф-ции]])</f>
        <v>1</v>
      </c>
      <c r="Y39" s="40">
        <f>MATCH(MIN(Таблица1[[#This Row],[Forward Махаланобис 1]:[Forward Махаланобис 6]]),Таблица1[[#This Row],[Forward Махаланобис 1]:[Forward Махаланобис 6]],0)</f>
        <v>1</v>
      </c>
      <c r="Z39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39" s="90">
        <v>1</v>
      </c>
      <c r="AB39" s="90">
        <f>IF(Таблица1[[#This Row],[Обучающая выборка]]=Таблица1[[#This Row],[Номер класса (пошаговый дискр анализ с включением) Python]],1,0)</f>
        <v>0</v>
      </c>
      <c r="AC39" s="40" t="s">
        <v>130</v>
      </c>
      <c r="AD39" s="41">
        <v>24.281836375065541</v>
      </c>
      <c r="AE39" s="41">
        <v>113.11359105194845</v>
      </c>
      <c r="AF39" s="41">
        <v>43.388247574865431</v>
      </c>
      <c r="AG39" s="42">
        <v>141.47228807851491</v>
      </c>
      <c r="AH39" s="41">
        <v>1189.9579397527702</v>
      </c>
      <c r="AI39" s="41">
        <v>95.937611582381592</v>
      </c>
      <c r="AJ39" s="43">
        <v>0.99986989905459767</v>
      </c>
      <c r="AK39" s="43">
        <v>3.4220141275920043E-20</v>
      </c>
      <c r="AL39" s="43">
        <v>1.3010094540200532E-4</v>
      </c>
      <c r="AM39" s="43">
        <v>2.3783128472725341E-26</v>
      </c>
      <c r="AN39" s="43">
        <v>0</v>
      </c>
      <c r="AO39" s="43">
        <v>2.7547970527761331E-16</v>
      </c>
      <c r="AP39" s="40" t="s">
        <v>130</v>
      </c>
      <c r="AQ39" s="42">
        <v>11.604293539913236</v>
      </c>
      <c r="AR39" s="42">
        <v>87.868840582400438</v>
      </c>
      <c r="AS39" s="41">
        <v>20.475309382703919</v>
      </c>
      <c r="AT39" s="42">
        <v>102.43523258428878</v>
      </c>
      <c r="AU39" s="41">
        <v>992.97795218664874</v>
      </c>
      <c r="AV39" s="41">
        <v>61.327666136846481</v>
      </c>
      <c r="AW39" s="43">
        <v>0.97873861538794993</v>
      </c>
      <c r="AX39" s="43">
        <v>1.794483591901277E-17</v>
      </c>
      <c r="AY39" s="43">
        <v>2.1261384596441089E-2</v>
      </c>
      <c r="AZ39" s="43">
        <v>1.232785898117076E-20</v>
      </c>
      <c r="BA39" s="43">
        <v>0</v>
      </c>
      <c r="BB39" s="43">
        <v>1.5608945102515227E-11</v>
      </c>
      <c r="BC39" s="40">
        <v>5</v>
      </c>
      <c r="BD39" s="40">
        <v>4</v>
      </c>
      <c r="BE39" s="40">
        <f>IF(Таблица1[[#This Row],[Neuron id (Кохонен)]]=Таблица1[[#This Row],[Кохонен 2020]],1,0)</f>
        <v>0</v>
      </c>
      <c r="BF39" s="28">
        <v>3</v>
      </c>
      <c r="BG39" s="40">
        <f>IF(Таблица1[[#This Row],[Персептрон]]=Таблица1[[#This Row],[Обучающая выборка]],1,0)</f>
        <v>0</v>
      </c>
      <c r="BH39" s="40">
        <f>IF(Таблица1[[#This Row],[Номер класса по классификации дискр функции (Python)]]=Таблица1[[#This Row],[Персептрон]],1,0)</f>
        <v>0</v>
      </c>
      <c r="BI39" s="36">
        <v>-0.1841238349632853</v>
      </c>
      <c r="BJ39" s="36">
        <v>-0.29350254894594519</v>
      </c>
      <c r="BK39" s="36">
        <v>0.5763485100471234</v>
      </c>
      <c r="BL39" s="36">
        <v>4.2168227858942829E-2</v>
      </c>
      <c r="BM39" s="36">
        <v>0.53328739501753053</v>
      </c>
      <c r="BN39" s="36">
        <v>0.31481098025436238</v>
      </c>
      <c r="BO39" s="36">
        <v>-0.85324605299080025</v>
      </c>
      <c r="BP39" s="36">
        <v>0.15221146835263449</v>
      </c>
      <c r="BQ39" s="36">
        <v>0.24336835715276403</v>
      </c>
      <c r="BR39" s="36">
        <v>0.76374556208109723</v>
      </c>
      <c r="BS39" s="36">
        <v>-0.32257569794750374</v>
      </c>
      <c r="BT39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2.3352901760975269</v>
      </c>
      <c r="BU39" s="50">
        <v>0.17597000000000002</v>
      </c>
      <c r="BV39" s="50">
        <v>-4.3450000000000003E-2</v>
      </c>
      <c r="BW39" s="50">
        <v>0.48230000000000006</v>
      </c>
      <c r="BX39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0.26546659250361254</v>
      </c>
      <c r="BY39" s="63">
        <v>-0.26535457813533819</v>
      </c>
      <c r="BZ39" s="64">
        <v>1.6648859334291527E-2</v>
      </c>
      <c r="CA39" s="64">
        <v>-0.32659890333053543</v>
      </c>
      <c r="CB39" s="64">
        <v>0.64579072942044036</v>
      </c>
      <c r="CC39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0.59440274651660918</v>
      </c>
    </row>
    <row r="40" spans="1:81" ht="57.6" customHeight="1" x14ac:dyDescent="0.3">
      <c r="A40" s="22" t="s">
        <v>61</v>
      </c>
      <c r="B40">
        <v>1</v>
      </c>
      <c r="C40">
        <v>4</v>
      </c>
      <c r="D40" s="28">
        <v>5</v>
      </c>
      <c r="E40" s="28">
        <v>2</v>
      </c>
      <c r="F40" s="28">
        <v>4</v>
      </c>
      <c r="G40" s="28">
        <v>5</v>
      </c>
      <c r="H40" s="28">
        <v>5</v>
      </c>
      <c r="I40">
        <v>2</v>
      </c>
      <c r="J40" s="51">
        <v>2</v>
      </c>
      <c r="K40" s="50">
        <v>3</v>
      </c>
      <c r="L40">
        <v>1</v>
      </c>
      <c r="M40" s="49">
        <v>2</v>
      </c>
      <c r="N40" s="65">
        <v>6</v>
      </c>
      <c r="O40" s="66">
        <v>3</v>
      </c>
      <c r="P40" s="66">
        <v>2</v>
      </c>
      <c r="Q40" s="66">
        <v>5</v>
      </c>
      <c r="S40" s="39" t="str">
        <f>RIGHT(Таблица1[[#This Row],[Классификация дискр ф-ции]])</f>
        <v>1</v>
      </c>
      <c r="T40" s="90">
        <v>1</v>
      </c>
      <c r="U40" s="90">
        <f>IF(Таблица1[[#This Row],[Обучающая выборка]]=Таблица1[[#This Row],[Номер класса по классификации дискр функции (Python)]],1,0)</f>
        <v>0</v>
      </c>
      <c r="V40" s="90">
        <f>MATCH(MIN(Таблица1[[#This Row],[Махаланобис 1]:[Махаланобис 6]]),Таблица1[[#This Row],[Махаланобис 1]:[Махаланобис 6]],0)</f>
        <v>1</v>
      </c>
      <c r="W40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40" s="40" t="str">
        <f>RIGHT(Таблица1[[#This Row],[Forward Классификация дискр ф-ции]])</f>
        <v>1</v>
      </c>
      <c r="Y40" s="40">
        <f>MATCH(MIN(Таблица1[[#This Row],[Forward Махаланобис 1]:[Forward Махаланобис 6]]),Таблица1[[#This Row],[Forward Махаланобис 1]:[Forward Махаланобис 6]],0)</f>
        <v>1</v>
      </c>
      <c r="Z40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40" s="90">
        <v>1</v>
      </c>
      <c r="AB40" s="90">
        <f>IF(Таблица1[[#This Row],[Обучающая выборка]]=Таблица1[[#This Row],[Номер класса (пошаговый дискр анализ с включением) Python]],1,0)</f>
        <v>0</v>
      </c>
      <c r="AC40" s="40" t="s">
        <v>130</v>
      </c>
      <c r="AD40" s="41">
        <v>18.22859666335588</v>
      </c>
      <c r="AE40" s="41">
        <v>62.219404729759795</v>
      </c>
      <c r="AF40" s="41">
        <v>24.712698532985932</v>
      </c>
      <c r="AG40" s="42">
        <v>86.045176811663453</v>
      </c>
      <c r="AH40" s="41">
        <v>1005.4778892980156</v>
      </c>
      <c r="AI40" s="41">
        <v>31.84301351435386</v>
      </c>
      <c r="AJ40" s="43">
        <v>0.93217569546155188</v>
      </c>
      <c r="AK40" s="43">
        <v>1.7415017592415156E-10</v>
      </c>
      <c r="AL40" s="43">
        <v>6.6793527365241689E-2</v>
      </c>
      <c r="AM40" s="43">
        <v>1.1674095624947821E-15</v>
      </c>
      <c r="AN40" s="43">
        <v>0</v>
      </c>
      <c r="AO40" s="43">
        <v>1.0307769990551435E-3</v>
      </c>
      <c r="AP40" s="40" t="s">
        <v>130</v>
      </c>
      <c r="AQ40" s="42">
        <v>2.1169383928765373</v>
      </c>
      <c r="AR40" s="42">
        <v>48.681622363647016</v>
      </c>
      <c r="AS40" s="41">
        <v>14.624448910469518</v>
      </c>
      <c r="AT40" s="42">
        <v>72.806459085202533</v>
      </c>
      <c r="AU40" s="41">
        <v>926.40324260459431</v>
      </c>
      <c r="AV40" s="41">
        <v>23.862532019138371</v>
      </c>
      <c r="AW40" s="43">
        <v>0.99646765404266957</v>
      </c>
      <c r="AX40" s="43">
        <v>5.1401914714039913E-11</v>
      </c>
      <c r="AY40" s="43">
        <v>3.5134456560052519E-3</v>
      </c>
      <c r="AZ40" s="43">
        <v>2.9671367607949114E-16</v>
      </c>
      <c r="BA40" s="43">
        <v>0</v>
      </c>
      <c r="BB40" s="43">
        <v>1.8900249922888769E-5</v>
      </c>
      <c r="BC40" s="40">
        <v>4</v>
      </c>
      <c r="BD40" s="40">
        <v>5</v>
      </c>
      <c r="BE40" s="40">
        <f>IF(Таблица1[[#This Row],[Neuron id (Кохонен)]]=Таблица1[[#This Row],[Кохонен 2020]],1,0)</f>
        <v>0</v>
      </c>
      <c r="BF40" s="28">
        <v>4</v>
      </c>
      <c r="BG40" s="40">
        <f>IF(Таблица1[[#This Row],[Персептрон]]=Таблица1[[#This Row],[Обучающая выборка]],1,0)</f>
        <v>0</v>
      </c>
      <c r="BH40" s="40">
        <f>IF(Таблица1[[#This Row],[Номер класса по классификации дискр функции (Python)]]=Таблица1[[#This Row],[Персептрон]],1,0)</f>
        <v>0</v>
      </c>
      <c r="BI40" s="36">
        <v>-0.28744727636661538</v>
      </c>
      <c r="BJ40" s="36">
        <v>-0.2638473008484572</v>
      </c>
      <c r="BK40" s="36">
        <v>-7.1421947643323602E-2</v>
      </c>
      <c r="BL40" s="36">
        <v>0.2359141396432865</v>
      </c>
      <c r="BM40" s="36">
        <v>-1.2917515861544042</v>
      </c>
      <c r="BN40" s="36">
        <v>-0.17040943716464099</v>
      </c>
      <c r="BO40" s="36">
        <v>0.3072394912486745</v>
      </c>
      <c r="BP40" s="36">
        <v>8.073094454062342E-2</v>
      </c>
      <c r="BQ40" s="36">
        <v>0.97931174712976932</v>
      </c>
      <c r="BR40" s="36">
        <v>0.29921930568339516</v>
      </c>
      <c r="BS40" s="36">
        <v>-8.0668229393229124E-2</v>
      </c>
      <c r="BT40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3.0666640919342085</v>
      </c>
      <c r="BU40" s="50">
        <v>-8.5020000000000012E-2</v>
      </c>
      <c r="BV40" s="50">
        <v>0.59414999999999996</v>
      </c>
      <c r="BW40" s="50">
        <v>-0.27673999999999999</v>
      </c>
      <c r="BX40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0.43682781540596544</v>
      </c>
      <c r="BY40" s="63">
        <v>-0.29561799662161825</v>
      </c>
      <c r="BZ40" s="64">
        <v>1.9791202342583577E-2</v>
      </c>
      <c r="CA40" s="64">
        <v>0.31253811311420904</v>
      </c>
      <c r="CB40" s="64">
        <v>0.31756298195466093</v>
      </c>
      <c r="CC40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0.28630801127367062</v>
      </c>
    </row>
    <row r="41" spans="1:81" x14ac:dyDescent="0.3">
      <c r="A41" s="22" t="s">
        <v>62</v>
      </c>
      <c r="B41">
        <v>6</v>
      </c>
      <c r="C41">
        <v>1</v>
      </c>
      <c r="D41" s="28">
        <v>5</v>
      </c>
      <c r="E41" s="28">
        <v>2</v>
      </c>
      <c r="F41" s="28">
        <v>4</v>
      </c>
      <c r="G41" s="28">
        <v>5</v>
      </c>
      <c r="H41" s="28">
        <v>3</v>
      </c>
      <c r="I41">
        <v>5</v>
      </c>
      <c r="J41" s="51">
        <v>2</v>
      </c>
      <c r="K41" s="50">
        <v>3</v>
      </c>
      <c r="L41">
        <v>1</v>
      </c>
      <c r="M41" s="49">
        <v>2</v>
      </c>
      <c r="N41" s="65">
        <v>3</v>
      </c>
      <c r="O41" s="66">
        <v>3</v>
      </c>
      <c r="P41" s="66">
        <v>2</v>
      </c>
      <c r="Q41" s="66">
        <v>1</v>
      </c>
      <c r="R41">
        <v>6</v>
      </c>
      <c r="S41" s="39" t="str">
        <f>RIGHT(Таблица1[[#This Row],[Классификация дискр ф-ции]])</f>
        <v>6</v>
      </c>
      <c r="T41" s="90">
        <v>6</v>
      </c>
      <c r="U41" s="90">
        <f>IF(Таблица1[[#This Row],[Обучающая выборка]]=Таблица1[[#This Row],[Номер класса по классификации дискр функции (Python)]],1,0)</f>
        <v>1</v>
      </c>
      <c r="V41" s="90">
        <f>MATCH(MIN(Таблица1[[#This Row],[Махаланобис 1]:[Махаланобис 6]]),Таблица1[[#This Row],[Махаланобис 1]:[Махаланобис 6]],0)</f>
        <v>6</v>
      </c>
      <c r="W41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41" s="40" t="str">
        <f>RIGHT(Таблица1[[#This Row],[Forward Классификация дискр ф-ции]])</f>
        <v>6</v>
      </c>
      <c r="Y41" s="40">
        <f>MATCH(MIN(Таблица1[[#This Row],[Forward Махаланобис 1]:[Forward Махаланобис 6]]),Таблица1[[#This Row],[Forward Махаланобис 1]:[Forward Махаланобис 6]],0)</f>
        <v>6</v>
      </c>
      <c r="Z41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41" s="90">
        <v>6</v>
      </c>
      <c r="AB41" s="90">
        <f>IF(Таблица1[[#This Row],[Обучающая выборка]]=Таблица1[[#This Row],[Номер класса (пошаговый дискр анализ с включением) Python]],1,0)</f>
        <v>1</v>
      </c>
      <c r="AC41" s="40" t="s">
        <v>129</v>
      </c>
      <c r="AD41" s="41">
        <v>53.759027153584753</v>
      </c>
      <c r="AE41" s="41">
        <v>13.982950504217873</v>
      </c>
      <c r="AF41" s="41">
        <v>35.689262742960793</v>
      </c>
      <c r="AG41" s="42">
        <v>97.754067053913104</v>
      </c>
      <c r="AH41" s="41">
        <v>1026.5062531305698</v>
      </c>
      <c r="AI41" s="41">
        <v>5.8136236224369107</v>
      </c>
      <c r="AJ41" s="43">
        <v>3.8365630781530566E-11</v>
      </c>
      <c r="AK41" s="43">
        <v>1.1094720967886388E-2</v>
      </c>
      <c r="AL41" s="43">
        <v>5.9017833679611902E-7</v>
      </c>
      <c r="AM41" s="43">
        <v>7.1523631011340027E-21</v>
      </c>
      <c r="AN41" s="43">
        <v>0</v>
      </c>
      <c r="AO41" s="43">
        <v>0.98890468881541116</v>
      </c>
      <c r="AP41" s="40" t="s">
        <v>129</v>
      </c>
      <c r="AQ41" s="42">
        <v>45.277522153684224</v>
      </c>
      <c r="AR41" s="42">
        <v>13.087741425436038</v>
      </c>
      <c r="AS41" s="41">
        <v>30.935845367252334</v>
      </c>
      <c r="AT41" s="42">
        <v>86.756918192729117</v>
      </c>
      <c r="AU41" s="41">
        <v>899.72807509232075</v>
      </c>
      <c r="AV41" s="41">
        <v>2.8369889590634623</v>
      </c>
      <c r="AW41" s="43">
        <v>6.0595046977301191E-10</v>
      </c>
      <c r="AX41" s="43">
        <v>3.9470073890670483E-3</v>
      </c>
      <c r="AY41" s="43">
        <v>1.445220476044733E-6</v>
      </c>
      <c r="AZ41" s="43">
        <v>3.9738316207333161E-19</v>
      </c>
      <c r="BA41" s="43">
        <v>0</v>
      </c>
      <c r="BB41" s="43">
        <v>0.99605154678450647</v>
      </c>
      <c r="BC41" s="40">
        <v>5</v>
      </c>
      <c r="BD41" s="40">
        <v>5</v>
      </c>
      <c r="BE41" s="40">
        <f>IF(Таблица1[[#This Row],[Neuron id (Кохонен)]]=Таблица1[[#This Row],[Кохонен 2020]],1,0)</f>
        <v>1</v>
      </c>
      <c r="BF41" s="28">
        <v>6</v>
      </c>
      <c r="BG41" s="40">
        <f>IF(Таблица1[[#This Row],[Персептрон]]=Таблица1[[#This Row],[Обучающая выборка]],1,0)</f>
        <v>1</v>
      </c>
      <c r="BH41" s="40">
        <f>IF(Таблица1[[#This Row],[Номер класса по классификации дискр функции (Python)]]=Таблица1[[#This Row],[Персептрон]],1,0)</f>
        <v>1</v>
      </c>
      <c r="BI41" s="36">
        <v>-0.1265830061385107</v>
      </c>
      <c r="BJ41" s="36">
        <v>-0.19652861579524142</v>
      </c>
      <c r="BK41" s="36">
        <v>-0.10670382903250689</v>
      </c>
      <c r="BL41" s="36">
        <v>-0.53906950749408822</v>
      </c>
      <c r="BM41" s="36">
        <v>-0.16780581439957187</v>
      </c>
      <c r="BN41" s="36">
        <v>0.13578668768581847</v>
      </c>
      <c r="BO41" s="36">
        <v>0.75345026218195743</v>
      </c>
      <c r="BP41" s="36">
        <v>0.25943225407065013</v>
      </c>
      <c r="BQ41" s="36">
        <v>-0.85873710833818584</v>
      </c>
      <c r="BR41" s="36">
        <v>-0.17047087901459013</v>
      </c>
      <c r="BS41" s="36">
        <v>0.10283947475329068</v>
      </c>
      <c r="BT41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1.8152833026393678</v>
      </c>
      <c r="BU41" s="50">
        <v>-0.36064000000000002</v>
      </c>
      <c r="BV41" s="50">
        <v>3.9140000000000001E-2</v>
      </c>
      <c r="BW41" s="50">
        <v>-0.42092000000000007</v>
      </c>
      <c r="BX41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0.3087667341365537</v>
      </c>
      <c r="BY41" s="63">
        <v>-0.10814188686673687</v>
      </c>
      <c r="BZ41" s="64">
        <v>6.7681770107067218E-2</v>
      </c>
      <c r="CA41" s="64">
        <v>0.35999699048739847</v>
      </c>
      <c r="CB41" s="64">
        <v>-0.38275227841173648</v>
      </c>
      <c r="CC41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0.29237262948928355</v>
      </c>
    </row>
    <row r="42" spans="1:81" ht="28.8" customHeight="1" x14ac:dyDescent="0.3">
      <c r="A42" s="22" t="s">
        <v>15</v>
      </c>
      <c r="B42">
        <v>3</v>
      </c>
      <c r="C42">
        <v>1</v>
      </c>
      <c r="D42" s="28">
        <v>5</v>
      </c>
      <c r="E42" s="28">
        <v>2</v>
      </c>
      <c r="F42" s="28">
        <v>4</v>
      </c>
      <c r="G42" s="28">
        <v>5</v>
      </c>
      <c r="H42" s="28">
        <v>1</v>
      </c>
      <c r="I42">
        <v>4</v>
      </c>
      <c r="J42" s="51">
        <v>3</v>
      </c>
      <c r="K42" s="50">
        <v>4</v>
      </c>
      <c r="L42">
        <v>2</v>
      </c>
      <c r="M42" s="49">
        <v>3</v>
      </c>
      <c r="N42" s="65">
        <v>4</v>
      </c>
      <c r="O42" s="66">
        <v>5</v>
      </c>
      <c r="P42" s="66">
        <v>2</v>
      </c>
      <c r="Q42" s="66">
        <v>5</v>
      </c>
      <c r="S42" s="39" t="str">
        <f>RIGHT(Таблица1[[#This Row],[Классификация дискр ф-ции]])</f>
        <v>3</v>
      </c>
      <c r="T42" s="90">
        <v>3</v>
      </c>
      <c r="U42" s="90">
        <f>IF(Таблица1[[#This Row],[Обучающая выборка]]=Таблица1[[#This Row],[Номер класса по классификации дискр функции (Python)]],1,0)</f>
        <v>0</v>
      </c>
      <c r="V42" s="90">
        <f>MATCH(MIN(Таблица1[[#This Row],[Махаланобис 1]:[Махаланобис 6]]),Таблица1[[#This Row],[Махаланобис 1]:[Махаланобис 6]],0)</f>
        <v>3</v>
      </c>
      <c r="W42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42" s="40" t="str">
        <f>RIGHT(Таблица1[[#This Row],[Forward Классификация дискр ф-ции]])</f>
        <v>3</v>
      </c>
      <c r="Y42" s="40">
        <f>MATCH(MIN(Таблица1[[#This Row],[Forward Махаланобис 1]:[Forward Махаланобис 6]]),Таблица1[[#This Row],[Forward Махаланобис 1]:[Forward Махаланобис 6]],0)</f>
        <v>3</v>
      </c>
      <c r="Z42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42" s="90">
        <v>3</v>
      </c>
      <c r="AB42" s="90">
        <f>IF(Таблица1[[#This Row],[Обучающая выборка]]=Таблица1[[#This Row],[Номер класса (пошаговый дискр анализ с включением) Python]],1,0)</f>
        <v>0</v>
      </c>
      <c r="AC42" s="40" t="s">
        <v>128</v>
      </c>
      <c r="AD42" s="41">
        <v>45.776625435871573</v>
      </c>
      <c r="AE42" s="41">
        <v>90.994775064974291</v>
      </c>
      <c r="AF42" s="41">
        <v>9.7503073611719113</v>
      </c>
      <c r="AG42" s="42">
        <v>167.23361491489891</v>
      </c>
      <c r="AH42" s="41">
        <v>1275.6376265628965</v>
      </c>
      <c r="AI42" s="41">
        <v>66.031396655950005</v>
      </c>
      <c r="AJ42" s="43">
        <v>8.1986621443175076E-9</v>
      </c>
      <c r="AK42" s="43">
        <v>8.2919237183843775E-19</v>
      </c>
      <c r="AL42" s="43">
        <v>0.99999999180101007</v>
      </c>
      <c r="AM42" s="43">
        <v>0</v>
      </c>
      <c r="AN42" s="43">
        <v>0</v>
      </c>
      <c r="AO42" s="43">
        <v>3.2769914144271177E-13</v>
      </c>
      <c r="AP42" s="40" t="s">
        <v>128</v>
      </c>
      <c r="AQ42" s="42">
        <v>39.401699378782389</v>
      </c>
      <c r="AR42" s="42">
        <v>81.394429311416275</v>
      </c>
      <c r="AS42" s="41">
        <v>7.4686872807803804</v>
      </c>
      <c r="AT42" s="42">
        <v>143.23223904943185</v>
      </c>
      <c r="AU42" s="41">
        <v>1132.5253779653808</v>
      </c>
      <c r="AV42" s="41">
        <v>50.322049922192392</v>
      </c>
      <c r="AW42" s="43">
        <v>6.3473590428916929E-8</v>
      </c>
      <c r="AX42" s="43">
        <v>3.2203002165345236E-17</v>
      </c>
      <c r="AY42" s="43">
        <v>0.99999993625646832</v>
      </c>
      <c r="AZ42" s="43">
        <v>1.2022273124316767E-30</v>
      </c>
      <c r="BA42" s="43">
        <v>0</v>
      </c>
      <c r="BB42" s="43">
        <v>2.6994113802288961E-10</v>
      </c>
      <c r="BC42" s="40">
        <v>5</v>
      </c>
      <c r="BD42" s="40">
        <v>5</v>
      </c>
      <c r="BE42" s="40">
        <f>IF(Таблица1[[#This Row],[Neuron id (Кохонен)]]=Таблица1[[#This Row],[Кохонен 2020]],1,0)</f>
        <v>1</v>
      </c>
      <c r="BF42" s="28">
        <v>3</v>
      </c>
      <c r="BG42" s="40">
        <f>IF(Таблица1[[#This Row],[Персептрон]]=Таблица1[[#This Row],[Обучающая выборка]],1,0)</f>
        <v>0</v>
      </c>
      <c r="BH42" s="40">
        <f>IF(Таблица1[[#This Row],[Номер класса по классификации дискр функции (Python)]]=Таблица1[[#This Row],[Персептрон]],1,0)</f>
        <v>1</v>
      </c>
      <c r="BI42" s="36">
        <v>-0.32445921264646016</v>
      </c>
      <c r="BJ42" s="36">
        <v>-0.32467054716387783</v>
      </c>
      <c r="BK42" s="36">
        <v>0.80833693064290779</v>
      </c>
      <c r="BL42" s="36">
        <v>-1.217180198739291</v>
      </c>
      <c r="BM42" s="36">
        <v>-0.30143454622058619</v>
      </c>
      <c r="BN42" s="36">
        <v>-0.96676900157052859</v>
      </c>
      <c r="BO42" s="36">
        <v>-0.86498656585516454</v>
      </c>
      <c r="BP42" s="36">
        <v>1.0814582779087734</v>
      </c>
      <c r="BQ42" s="36">
        <v>-0.15123381200659003</v>
      </c>
      <c r="BR42" s="36">
        <v>-0.37270605917984995</v>
      </c>
      <c r="BS42" s="36">
        <v>1.4497728690465614</v>
      </c>
      <c r="BT42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7.5525026727981777</v>
      </c>
      <c r="BU42" s="50">
        <v>-0.59077000000000002</v>
      </c>
      <c r="BV42" s="50">
        <v>0.16976000000000002</v>
      </c>
      <c r="BW42" s="50">
        <v>1.3839900000000001</v>
      </c>
      <c r="BX42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2.2932554068894953</v>
      </c>
      <c r="BY42" s="63">
        <v>-0.16619292781093989</v>
      </c>
      <c r="BZ42" s="64">
        <v>1.1490868773559895</v>
      </c>
      <c r="CA42" s="64">
        <v>-0.86222742492290727</v>
      </c>
      <c r="CB42" s="64">
        <v>-0.61273551912719315</v>
      </c>
      <c r="CC42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2.4669016896553697</v>
      </c>
    </row>
    <row r="43" spans="1:81" x14ac:dyDescent="0.3">
      <c r="A43" s="22" t="s">
        <v>63</v>
      </c>
      <c r="B43">
        <v>3</v>
      </c>
      <c r="C43">
        <v>1</v>
      </c>
      <c r="D43" s="28">
        <v>5</v>
      </c>
      <c r="E43" s="28">
        <v>2</v>
      </c>
      <c r="F43" s="28">
        <v>4</v>
      </c>
      <c r="G43" s="28">
        <v>5</v>
      </c>
      <c r="H43" s="28">
        <v>1</v>
      </c>
      <c r="I43">
        <v>4</v>
      </c>
      <c r="J43" s="51">
        <v>3</v>
      </c>
      <c r="K43" s="50">
        <v>1</v>
      </c>
      <c r="L43">
        <v>2</v>
      </c>
      <c r="M43" s="49">
        <v>3</v>
      </c>
      <c r="N43" s="65">
        <v>4</v>
      </c>
      <c r="O43" s="66">
        <v>5</v>
      </c>
      <c r="P43" s="66">
        <v>5</v>
      </c>
      <c r="Q43" s="66">
        <v>1</v>
      </c>
      <c r="R43">
        <v>3</v>
      </c>
      <c r="S43" s="39" t="str">
        <f>RIGHT(Таблица1[[#This Row],[Классификация дискр ф-ции]])</f>
        <v>3</v>
      </c>
      <c r="T43" s="90">
        <v>3</v>
      </c>
      <c r="U43" s="90">
        <f>IF(Таблица1[[#This Row],[Обучающая выборка]]=Таблица1[[#This Row],[Номер класса по классификации дискр функции (Python)]],1,0)</f>
        <v>1</v>
      </c>
      <c r="V43" s="90">
        <f>MATCH(MIN(Таблица1[[#This Row],[Махаланобис 1]:[Махаланобис 6]]),Таблица1[[#This Row],[Махаланобис 1]:[Махаланобис 6]],0)</f>
        <v>3</v>
      </c>
      <c r="W43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43" s="40" t="str">
        <f>RIGHT(Таблица1[[#This Row],[Forward Классификация дискр ф-ции]])</f>
        <v>3</v>
      </c>
      <c r="Y43" s="40">
        <f>MATCH(MIN(Таблица1[[#This Row],[Forward Махаланобис 1]:[Forward Махаланобис 6]]),Таблица1[[#This Row],[Forward Махаланобис 1]:[Forward Махаланобис 6]],0)</f>
        <v>3</v>
      </c>
      <c r="Z43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43" s="90">
        <v>3</v>
      </c>
      <c r="AB43" s="90">
        <f>IF(Таблица1[[#This Row],[Обучающая выборка]]=Таблица1[[#This Row],[Номер класса (пошаговый дискр анализ с включением) Python]],1,0)</f>
        <v>1</v>
      </c>
      <c r="AC43" s="40" t="s">
        <v>128</v>
      </c>
      <c r="AD43" s="41">
        <v>27.259281746819696</v>
      </c>
      <c r="AE43" s="41">
        <v>83.687098714081202</v>
      </c>
      <c r="AF43" s="41">
        <v>7.1949021926791223</v>
      </c>
      <c r="AG43" s="42">
        <v>143.55239220455488</v>
      </c>
      <c r="AH43" s="41">
        <v>1185.4411222323081</v>
      </c>
      <c r="AI43" s="41">
        <v>53.199563976311886</v>
      </c>
      <c r="AJ43" s="43">
        <v>2.3978581596159545E-5</v>
      </c>
      <c r="AK43" s="43">
        <v>8.9245733498829307E-18</v>
      </c>
      <c r="AL43" s="43">
        <v>0.9999760213625617</v>
      </c>
      <c r="AM43" s="43">
        <v>8.9331402630868023E-31</v>
      </c>
      <c r="AN43" s="43">
        <v>0</v>
      </c>
      <c r="AO43" s="43">
        <v>5.5842232704445964E-11</v>
      </c>
      <c r="AP43" s="40" t="s">
        <v>128</v>
      </c>
      <c r="AQ43" s="42">
        <v>17.637397279035905</v>
      </c>
      <c r="AR43" s="42">
        <v>68.610833597809034</v>
      </c>
      <c r="AS43" s="41">
        <v>4.2924758908497891</v>
      </c>
      <c r="AT43" s="42">
        <v>113.33385529094014</v>
      </c>
      <c r="AU43" s="41">
        <v>1050.8722621070258</v>
      </c>
      <c r="AV43" s="41">
        <v>38.803658692301781</v>
      </c>
      <c r="AW43" s="43">
        <v>6.8967752091724486E-4</v>
      </c>
      <c r="AX43" s="43">
        <v>3.9247658633535258E-15</v>
      </c>
      <c r="AY43" s="43">
        <v>0.99931030500272588</v>
      </c>
      <c r="AZ43" s="43">
        <v>7.6266354152263496E-25</v>
      </c>
      <c r="BA43" s="43">
        <v>0</v>
      </c>
      <c r="BB43" s="43">
        <v>1.7476352819790661E-8</v>
      </c>
      <c r="BC43" s="40">
        <v>5</v>
      </c>
      <c r="BD43" s="40">
        <v>5</v>
      </c>
      <c r="BE43" s="40">
        <f>IF(Таблица1[[#This Row],[Neuron id (Кохонен)]]=Таблица1[[#This Row],[Кохонен 2020]],1,0)</f>
        <v>1</v>
      </c>
      <c r="BF43" s="28">
        <v>3</v>
      </c>
      <c r="BG43" s="40">
        <f>IF(Таблица1[[#This Row],[Персептрон]]=Таблица1[[#This Row],[Обучающая выборка]],1,0)</f>
        <v>1</v>
      </c>
      <c r="BH43" s="40">
        <f>IF(Таблица1[[#This Row],[Номер класса по классификации дискр функции (Python)]]=Таблица1[[#This Row],[Персептрон]],1,0)</f>
        <v>1</v>
      </c>
      <c r="BI43" s="36">
        <v>-0.34248785480612287</v>
      </c>
      <c r="BJ43" s="36">
        <v>-0.34227346223461524</v>
      </c>
      <c r="BK43" s="36">
        <v>6.571515047951966E-2</v>
      </c>
      <c r="BL43" s="36">
        <v>-0.53906950749408822</v>
      </c>
      <c r="BM43" s="36">
        <v>-0.77371143402636267</v>
      </c>
      <c r="BN43" s="36">
        <v>-0.90068197027439223</v>
      </c>
      <c r="BO43" s="36">
        <v>-0.72486347567894127</v>
      </c>
      <c r="BP43" s="36">
        <v>0.58109461122469841</v>
      </c>
      <c r="BQ43" s="36">
        <v>0.58824305520295916</v>
      </c>
      <c r="BR43" s="36">
        <v>-0.61800063083202217</v>
      </c>
      <c r="BS43" s="36">
        <v>0.65790880989336264</v>
      </c>
      <c r="BT43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3.9631175426790457</v>
      </c>
      <c r="BU43" s="50">
        <v>-0.54372000000000009</v>
      </c>
      <c r="BV43" s="50">
        <v>0.14867</v>
      </c>
      <c r="BW43" s="50">
        <v>0.80464000000000013</v>
      </c>
      <c r="BX43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0.96517932668596562</v>
      </c>
      <c r="BY43" s="63">
        <v>-0.29278663515833553</v>
      </c>
      <c r="BZ43" s="64">
        <v>0.59945579000748772</v>
      </c>
      <c r="CA43" s="64">
        <v>-0.58107030621317002</v>
      </c>
      <c r="CB43" s="64">
        <v>-0.3567989270102026</v>
      </c>
      <c r="CC43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0.91001943297914056</v>
      </c>
    </row>
    <row r="44" spans="1:81" x14ac:dyDescent="0.3">
      <c r="A44" s="22" t="s">
        <v>64</v>
      </c>
      <c r="B44">
        <v>6</v>
      </c>
      <c r="C44">
        <v>3</v>
      </c>
      <c r="D44" s="28">
        <v>5</v>
      </c>
      <c r="E44" s="28">
        <v>2</v>
      </c>
      <c r="F44" s="28">
        <v>4</v>
      </c>
      <c r="G44" s="28">
        <v>5</v>
      </c>
      <c r="H44" s="28">
        <v>3</v>
      </c>
      <c r="I44">
        <v>5</v>
      </c>
      <c r="J44" s="51">
        <v>2</v>
      </c>
      <c r="K44" s="50">
        <v>3</v>
      </c>
      <c r="L44">
        <v>1</v>
      </c>
      <c r="M44" s="49">
        <v>2</v>
      </c>
      <c r="N44" s="65">
        <v>3</v>
      </c>
      <c r="O44" s="66">
        <v>3</v>
      </c>
      <c r="P44" s="66">
        <v>2</v>
      </c>
      <c r="Q44" s="66">
        <v>5</v>
      </c>
      <c r="R44">
        <v>6</v>
      </c>
      <c r="S44" s="39" t="str">
        <f>RIGHT(Таблица1[[#This Row],[Классификация дискр ф-ции]])</f>
        <v>6</v>
      </c>
      <c r="T44" s="90">
        <v>6</v>
      </c>
      <c r="U44" s="90">
        <f>IF(Таблица1[[#This Row],[Обучающая выборка]]=Таблица1[[#This Row],[Номер класса по классификации дискр функции (Python)]],1,0)</f>
        <v>1</v>
      </c>
      <c r="V44" s="90">
        <f>MATCH(MIN(Таблица1[[#This Row],[Махаланобис 1]:[Махаланобис 6]]),Таблица1[[#This Row],[Махаланобис 1]:[Махаланобис 6]],0)</f>
        <v>6</v>
      </c>
      <c r="W44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44" s="40" t="str">
        <f>RIGHT(Таблица1[[#This Row],[Forward Классификация дискр ф-ции]])</f>
        <v>6</v>
      </c>
      <c r="Y44" s="40">
        <f>MATCH(MIN(Таблица1[[#This Row],[Forward Махаланобис 1]:[Forward Махаланобис 6]]),Таблица1[[#This Row],[Forward Махаланобис 1]:[Forward Махаланобис 6]],0)</f>
        <v>6</v>
      </c>
      <c r="Z44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44" s="90">
        <v>6</v>
      </c>
      <c r="AB44" s="90">
        <f>IF(Таблица1[[#This Row],[Обучающая выборка]]=Таблица1[[#This Row],[Номер класса (пошаговый дискр анализ с включением) Python]],1,0)</f>
        <v>1</v>
      </c>
      <c r="AC44" s="40" t="s">
        <v>129</v>
      </c>
      <c r="AD44" s="41">
        <v>33.961570024352547</v>
      </c>
      <c r="AE44" s="41">
        <v>25.904690455108092</v>
      </c>
      <c r="AF44" s="41">
        <v>20.10388820071838</v>
      </c>
      <c r="AG44" s="42">
        <v>112.17663345343826</v>
      </c>
      <c r="AH44" s="41">
        <v>1096.6228750477651</v>
      </c>
      <c r="AI44" s="41">
        <v>5.6805963666833827</v>
      </c>
      <c r="AJ44" s="43">
        <v>7.2154827596333236E-7</v>
      </c>
      <c r="AK44" s="43">
        <v>2.7021117341374143E-5</v>
      </c>
      <c r="AL44" s="43">
        <v>1.3510275403787761E-3</v>
      </c>
      <c r="AM44" s="43">
        <v>4.9887174804725003E-24</v>
      </c>
      <c r="AN44" s="43">
        <v>0</v>
      </c>
      <c r="AO44" s="43">
        <v>0.99862122979400392</v>
      </c>
      <c r="AP44" s="40" t="s">
        <v>129</v>
      </c>
      <c r="AQ44" s="42">
        <v>22.462041734677683</v>
      </c>
      <c r="AR44" s="42">
        <v>22.273580613696801</v>
      </c>
      <c r="AS44" s="41">
        <v>12.446697409235906</v>
      </c>
      <c r="AT44" s="42">
        <v>93.561021754305969</v>
      </c>
      <c r="AU44" s="41">
        <v>950.87878923272956</v>
      </c>
      <c r="AV44" s="41">
        <v>3.3075318800683959</v>
      </c>
      <c r="AW44" s="43">
        <v>6.7987136286728171E-5</v>
      </c>
      <c r="AX44" s="43">
        <v>4.9803435490741386E-5</v>
      </c>
      <c r="AY44" s="43">
        <v>1.8641144402110264E-2</v>
      </c>
      <c r="AZ44" s="43">
        <v>1.6496360684703329E-20</v>
      </c>
      <c r="BA44" s="43">
        <v>0</v>
      </c>
      <c r="BB44" s="43">
        <v>0.9812410650261123</v>
      </c>
      <c r="BC44" s="40">
        <v>5</v>
      </c>
      <c r="BD44" s="40">
        <v>5</v>
      </c>
      <c r="BE44" s="40">
        <f>IF(Таблица1[[#This Row],[Neuron id (Кохонен)]]=Таблица1[[#This Row],[Кохонен 2020]],1,0)</f>
        <v>1</v>
      </c>
      <c r="BF44" s="28">
        <v>6</v>
      </c>
      <c r="BG44" s="40">
        <f>IF(Таблица1[[#This Row],[Персептрон]]=Таблица1[[#This Row],[Обучающая выборка]],1,0)</f>
        <v>1</v>
      </c>
      <c r="BH44" s="40">
        <f>IF(Таблица1[[#This Row],[Номер класса по классификации дискр функции (Python)]]=Таблица1[[#This Row],[Персептрон]],1,0)</f>
        <v>1</v>
      </c>
      <c r="BI44" s="36">
        <v>-0.11825553539911408</v>
      </c>
      <c r="BJ44" s="36">
        <v>-0.18246892567063339</v>
      </c>
      <c r="BK44" s="36">
        <v>-0.24166587871036124</v>
      </c>
      <c r="BL44" s="36">
        <v>-0.67469164574312934</v>
      </c>
      <c r="BM44" s="36">
        <v>-0.40943585002113192</v>
      </c>
      <c r="BN44" s="36">
        <v>0.68176775805010337</v>
      </c>
      <c r="BO44" s="36">
        <v>0.2935960006009512</v>
      </c>
      <c r="BP44" s="36">
        <v>0.29517251597665539</v>
      </c>
      <c r="BQ44" s="36">
        <v>-0.32209713445045091</v>
      </c>
      <c r="BR44" s="36">
        <v>0.2832681986702138</v>
      </c>
      <c r="BS44" s="36">
        <v>-0.1471825096723208</v>
      </c>
      <c r="BT44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1.572311038764904</v>
      </c>
      <c r="BU44" s="50">
        <v>-0.27862000000000003</v>
      </c>
      <c r="BV44" s="50">
        <v>0.28314</v>
      </c>
      <c r="BW44" s="50">
        <v>-0.53410999999999997</v>
      </c>
      <c r="BX44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0.44307091727890663</v>
      </c>
      <c r="BY44" s="63">
        <v>-0.14008065462866126</v>
      </c>
      <c r="BZ44" s="64">
        <v>6.0917702201532233E-2</v>
      </c>
      <c r="CA44" s="64">
        <v>0.52590301814919405</v>
      </c>
      <c r="CB44" s="64">
        <v>-0.23846000913541784</v>
      </c>
      <c r="CC44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0.35677071669800392</v>
      </c>
    </row>
    <row r="45" spans="1:81" x14ac:dyDescent="0.3">
      <c r="A45" s="22" t="s">
        <v>65</v>
      </c>
      <c r="B45">
        <v>1</v>
      </c>
      <c r="C45">
        <v>4</v>
      </c>
      <c r="D45" s="28">
        <v>5</v>
      </c>
      <c r="E45" s="28">
        <v>2</v>
      </c>
      <c r="F45" s="28">
        <v>4</v>
      </c>
      <c r="G45" s="28">
        <v>5</v>
      </c>
      <c r="H45" s="28">
        <v>3</v>
      </c>
      <c r="I45">
        <v>5</v>
      </c>
      <c r="J45" s="51">
        <v>1</v>
      </c>
      <c r="K45" s="50">
        <v>6</v>
      </c>
      <c r="L45">
        <v>1</v>
      </c>
      <c r="M45" s="49">
        <v>2</v>
      </c>
      <c r="N45" s="65">
        <v>6</v>
      </c>
      <c r="O45" s="66">
        <v>4</v>
      </c>
      <c r="P45" s="66">
        <v>2</v>
      </c>
      <c r="Q45" s="66">
        <v>5</v>
      </c>
      <c r="S45" s="39" t="str">
        <f>RIGHT(Таблица1[[#This Row],[Классификация дискр ф-ции]])</f>
        <v>1</v>
      </c>
      <c r="T45" s="90">
        <v>1</v>
      </c>
      <c r="U45" s="90">
        <f>IF(Таблица1[[#This Row],[Обучающая выборка]]=Таблица1[[#This Row],[Номер класса по классификации дискр функции (Python)]],1,0)</f>
        <v>0</v>
      </c>
      <c r="V45" s="90">
        <f>MATCH(MIN(Таблица1[[#This Row],[Махаланобис 1]:[Махаланобис 6]]),Таблица1[[#This Row],[Махаланобис 1]:[Махаланобис 6]],0)</f>
        <v>1</v>
      </c>
      <c r="W45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45" s="40" t="str">
        <f>RIGHT(Таблица1[[#This Row],[Forward Классификация дискр ф-ции]])</f>
        <v>1</v>
      </c>
      <c r="Y45" s="40">
        <f>MATCH(MIN(Таблица1[[#This Row],[Forward Махаланобис 1]:[Forward Махаланобис 6]]),Таблица1[[#This Row],[Forward Махаланобис 1]:[Forward Махаланобис 6]],0)</f>
        <v>1</v>
      </c>
      <c r="Z45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45" s="90">
        <v>1</v>
      </c>
      <c r="AB45" s="90">
        <f>IF(Таблица1[[#This Row],[Обучающая выборка]]=Таблица1[[#This Row],[Номер класса (пошаговый дискр анализ с включением) Python]],1,0)</f>
        <v>0</v>
      </c>
      <c r="AC45" s="40" t="s">
        <v>130</v>
      </c>
      <c r="AD45" s="41">
        <v>19.391800555076145</v>
      </c>
      <c r="AE45" s="41">
        <v>91.74866266815809</v>
      </c>
      <c r="AF45" s="41">
        <v>52.277114339397258</v>
      </c>
      <c r="AG45" s="42">
        <v>116.44024954426969</v>
      </c>
      <c r="AH45" s="41">
        <v>1058.3827871515557</v>
      </c>
      <c r="AI45" s="41">
        <v>49.421110041175169</v>
      </c>
      <c r="AJ45" s="43">
        <v>0.99999956602661899</v>
      </c>
      <c r="AK45" s="43">
        <v>1.2936463893295136E-16</v>
      </c>
      <c r="AL45" s="43">
        <v>1.3252142286838511E-7</v>
      </c>
      <c r="AM45" s="43">
        <v>5.6247809729524769E-22</v>
      </c>
      <c r="AN45" s="43">
        <v>0</v>
      </c>
      <c r="AO45" s="43">
        <v>3.0145195792049383E-7</v>
      </c>
      <c r="AP45" s="40" t="s">
        <v>130</v>
      </c>
      <c r="AQ45" s="42">
        <v>12.06737957876183</v>
      </c>
      <c r="AR45" s="42">
        <v>71.621094844601231</v>
      </c>
      <c r="AS45" s="41">
        <v>37.988369878488172</v>
      </c>
      <c r="AT45" s="42">
        <v>104.71780946635751</v>
      </c>
      <c r="AU45" s="41">
        <v>975.00102483320211</v>
      </c>
      <c r="AV45" s="41">
        <v>31.82021319212204</v>
      </c>
      <c r="AW45" s="43">
        <v>0.99994432015651846</v>
      </c>
      <c r="AX45" s="43">
        <v>7.7975757140558807E-14</v>
      </c>
      <c r="AY45" s="43">
        <v>4.3106794223046136E-6</v>
      </c>
      <c r="AZ45" s="43">
        <v>5.0710668502288286E-21</v>
      </c>
      <c r="BA45" s="43">
        <v>0</v>
      </c>
      <c r="BB45" s="43">
        <v>5.1369163981183039E-5</v>
      </c>
      <c r="BC45" s="40">
        <v>3</v>
      </c>
      <c r="BD45" s="40">
        <v>3</v>
      </c>
      <c r="BE45" s="40">
        <f>IF(Таблица1[[#This Row],[Neuron id (Кохонен)]]=Таблица1[[#This Row],[Кохонен 2020]],1,0)</f>
        <v>1</v>
      </c>
      <c r="BF45" s="28">
        <v>1</v>
      </c>
      <c r="BG45" s="40">
        <f>IF(Таблица1[[#This Row],[Персептрон]]=Таблица1[[#This Row],[Обучающая выборка]],1,0)</f>
        <v>0</v>
      </c>
      <c r="BH45" s="40">
        <f>IF(Таблица1[[#This Row],[Номер класса по классификации дискр функции (Python)]]=Таблица1[[#This Row],[Персептрон]],1,0)</f>
        <v>1</v>
      </c>
      <c r="BI45" s="36">
        <v>-0.12984767253831347</v>
      </c>
      <c r="BJ45" s="36">
        <v>-0.23636289655738399</v>
      </c>
      <c r="BK45" s="36">
        <v>-5.895563150385668E-2</v>
      </c>
      <c r="BL45" s="36">
        <v>0.2359141396432865</v>
      </c>
      <c r="BM45" s="36">
        <v>-7.9940346900822731E-2</v>
      </c>
      <c r="BN45" s="36">
        <v>0.46597886854661635</v>
      </c>
      <c r="BO45" s="36">
        <v>1.6545271305269464</v>
      </c>
      <c r="BP45" s="36">
        <v>0.40239330169467163</v>
      </c>
      <c r="BQ45" s="36">
        <v>1.6641208425213723</v>
      </c>
      <c r="BR45" s="36">
        <v>0.42814442057053731</v>
      </c>
      <c r="BS45" s="36">
        <v>-0.30588230822430773</v>
      </c>
      <c r="BT45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6.3009360544597008</v>
      </c>
      <c r="BU45" s="50">
        <v>1.022E-2</v>
      </c>
      <c r="BV45" s="50">
        <v>1.1229800000000001</v>
      </c>
      <c r="BW45" s="50">
        <v>-0.62060000000000015</v>
      </c>
      <c r="BX45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1.6463333038636128</v>
      </c>
      <c r="BY45" s="63">
        <v>-0.17137545545870481</v>
      </c>
      <c r="BZ45" s="64">
        <v>0.12422239903213468</v>
      </c>
      <c r="CA45" s="64">
        <v>1.0417198885417283</v>
      </c>
      <c r="CB45" s="64">
        <v>0.54176467113963533</v>
      </c>
      <c r="CC45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1.4234900362334055</v>
      </c>
    </row>
    <row r="46" spans="1:81" x14ac:dyDescent="0.3">
      <c r="A46" s="22" t="s">
        <v>66</v>
      </c>
      <c r="B46">
        <v>3</v>
      </c>
      <c r="C46">
        <v>1</v>
      </c>
      <c r="D46" s="28">
        <v>5</v>
      </c>
      <c r="E46" s="28">
        <v>2</v>
      </c>
      <c r="F46" s="28">
        <v>4</v>
      </c>
      <c r="G46" s="28">
        <v>5</v>
      </c>
      <c r="H46" s="28">
        <v>3</v>
      </c>
      <c r="I46">
        <v>5</v>
      </c>
      <c r="J46" s="51">
        <v>2</v>
      </c>
      <c r="K46" s="50">
        <v>1</v>
      </c>
      <c r="L46">
        <v>2</v>
      </c>
      <c r="M46" s="49">
        <v>3</v>
      </c>
      <c r="N46" s="65">
        <v>3</v>
      </c>
      <c r="O46" s="66">
        <v>3</v>
      </c>
      <c r="P46" s="66">
        <v>2</v>
      </c>
      <c r="Q46" s="66">
        <v>5</v>
      </c>
      <c r="S46" s="39" t="str">
        <f>RIGHT(Таблица1[[#This Row],[Классификация дискр ф-ции]])</f>
        <v>3</v>
      </c>
      <c r="T46" s="90">
        <v>3</v>
      </c>
      <c r="U46" s="90">
        <f>IF(Таблица1[[#This Row],[Обучающая выборка]]=Таблица1[[#This Row],[Номер класса по классификации дискр функции (Python)]],1,0)</f>
        <v>0</v>
      </c>
      <c r="V46" s="90">
        <f>MATCH(MIN(Таблица1[[#This Row],[Махаланобис 1]:[Махаланобис 6]]),Таблица1[[#This Row],[Махаланобис 1]:[Махаланобис 6]],0)</f>
        <v>3</v>
      </c>
      <c r="W46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46" s="40" t="str">
        <f>RIGHT(Таблица1[[#This Row],[Forward Классификация дискр ф-ции]])</f>
        <v>3</v>
      </c>
      <c r="Y46" s="40">
        <f>MATCH(MIN(Таблица1[[#This Row],[Forward Махаланобис 1]:[Forward Махаланобис 6]]),Таблица1[[#This Row],[Forward Махаланобис 1]:[Forward Махаланобис 6]],0)</f>
        <v>3</v>
      </c>
      <c r="Z46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46" s="90">
        <v>3</v>
      </c>
      <c r="AB46" s="90">
        <f>IF(Таблица1[[#This Row],[Обучающая выборка]]=Таблица1[[#This Row],[Номер класса (пошаговый дискр анализ с включением) Python]],1,0)</f>
        <v>0</v>
      </c>
      <c r="AC46" s="40" t="s">
        <v>128</v>
      </c>
      <c r="AD46" s="41">
        <v>56.603508975087408</v>
      </c>
      <c r="AE46" s="41">
        <v>111.5779138160421</v>
      </c>
      <c r="AF46" s="41">
        <v>27.376385714025997</v>
      </c>
      <c r="AG46" s="42">
        <v>218.46031706865804</v>
      </c>
      <c r="AH46" s="41">
        <v>1338.3441393636392</v>
      </c>
      <c r="AI46" s="41">
        <v>46.34214005695371</v>
      </c>
      <c r="AJ46" s="43">
        <v>2.4555639230963493E-7</v>
      </c>
      <c r="AK46" s="43">
        <v>1.8902517591889709E-19</v>
      </c>
      <c r="AL46" s="43">
        <v>0.99995822279287339</v>
      </c>
      <c r="AM46" s="43">
        <v>0</v>
      </c>
      <c r="AN46" s="43">
        <v>0</v>
      </c>
      <c r="AO46" s="43">
        <v>4.1531650734338342E-5</v>
      </c>
      <c r="AP46" s="40" t="s">
        <v>128</v>
      </c>
      <c r="AQ46" s="42">
        <v>46.121916615901753</v>
      </c>
      <c r="AR46" s="42">
        <v>75.386256583780352</v>
      </c>
      <c r="AS46" s="41">
        <v>13.526376866511017</v>
      </c>
      <c r="AT46" s="42">
        <v>163.92910379767977</v>
      </c>
      <c r="AU46" s="41">
        <v>1170.398247883192</v>
      </c>
      <c r="AV46" s="41">
        <v>25.31282378844546</v>
      </c>
      <c r="AW46" s="43">
        <v>4.5506575902596779E-8</v>
      </c>
      <c r="AX46" s="43">
        <v>1.3406401365922503E-14</v>
      </c>
      <c r="AY46" s="43">
        <v>0.99849781158142403</v>
      </c>
      <c r="AZ46" s="43">
        <v>0</v>
      </c>
      <c r="BA46" s="43">
        <v>0</v>
      </c>
      <c r="BB46" s="43">
        <v>1.5021429119867638E-3</v>
      </c>
      <c r="BC46" s="40">
        <v>5</v>
      </c>
      <c r="BD46" s="40">
        <v>3</v>
      </c>
      <c r="BE46" s="40">
        <f>IF(Таблица1[[#This Row],[Neuron id (Кохонен)]]=Таблица1[[#This Row],[Кохонен 2020]],1,0)</f>
        <v>0</v>
      </c>
      <c r="BF46" s="28">
        <v>3</v>
      </c>
      <c r="BG46" s="40">
        <f>IF(Таблица1[[#This Row],[Персептрон]]=Таблица1[[#This Row],[Обучающая выборка]],1,0)</f>
        <v>0</v>
      </c>
      <c r="BH46" s="40">
        <f>IF(Таблица1[[#This Row],[Номер класса по классификации дискр функции (Python)]]=Таблица1[[#This Row],[Персептрон]],1,0)</f>
        <v>1</v>
      </c>
      <c r="BI46" s="36">
        <v>-0.36911007125373507</v>
      </c>
      <c r="BJ46" s="36">
        <v>-0.35800454412591837</v>
      </c>
      <c r="BK46" s="36">
        <v>0.11217023133638136</v>
      </c>
      <c r="BL46" s="36">
        <v>-0.461571142780351</v>
      </c>
      <c r="BM46" s="36">
        <v>0.35938699059292284</v>
      </c>
      <c r="BN46" s="36">
        <v>0.68226495680752608</v>
      </c>
      <c r="BO46" s="36">
        <v>0.79802373898655599</v>
      </c>
      <c r="BP46" s="36">
        <v>1.6175622064988529</v>
      </c>
      <c r="BQ46" s="36">
        <v>-9.3223536227105164E-2</v>
      </c>
      <c r="BR46" s="36">
        <v>-1.8816405693421816</v>
      </c>
      <c r="BS46" s="36">
        <v>0.96257818930100281</v>
      </c>
      <c r="BT46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8.8138520695549367</v>
      </c>
      <c r="BU46" s="50">
        <v>-0.84650000000000003</v>
      </c>
      <c r="BV46" s="50">
        <v>0.8180400000000001</v>
      </c>
      <c r="BW46" s="50">
        <v>0.52667000000000008</v>
      </c>
      <c r="BX46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1.6631326507047892</v>
      </c>
      <c r="BY46" s="63">
        <v>-0.22471764623746665</v>
      </c>
      <c r="BZ46" s="64">
        <v>1.2839223494793768</v>
      </c>
      <c r="CA46" s="64">
        <v>0.30283366225813035</v>
      </c>
      <c r="CB46" s="64">
        <v>-0.81515320429420879</v>
      </c>
      <c r="CC46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2.4551375934909379</v>
      </c>
    </row>
    <row r="47" spans="1:81" x14ac:dyDescent="0.3">
      <c r="A47" s="22" t="s">
        <v>67</v>
      </c>
      <c r="B47">
        <v>2</v>
      </c>
      <c r="C47">
        <v>1</v>
      </c>
      <c r="D47" s="28">
        <v>5</v>
      </c>
      <c r="E47" s="28">
        <v>2</v>
      </c>
      <c r="F47" s="28">
        <v>6</v>
      </c>
      <c r="G47" s="28">
        <v>1</v>
      </c>
      <c r="H47" s="28">
        <v>2</v>
      </c>
      <c r="I47">
        <v>1</v>
      </c>
      <c r="J47" s="51">
        <v>3</v>
      </c>
      <c r="K47" s="50">
        <v>4</v>
      </c>
      <c r="L47">
        <v>3</v>
      </c>
      <c r="M47" s="49">
        <v>1</v>
      </c>
      <c r="N47" s="65">
        <v>4</v>
      </c>
      <c r="O47" s="66">
        <v>5</v>
      </c>
      <c r="P47" s="66">
        <v>1</v>
      </c>
      <c r="Q47" s="66">
        <v>3</v>
      </c>
      <c r="S47" s="39" t="str">
        <f>RIGHT(Таблица1[[#This Row],[Классификация дискр ф-ции]])</f>
        <v>1</v>
      </c>
      <c r="T47" s="90">
        <v>1</v>
      </c>
      <c r="U47" s="90">
        <f>IF(Таблица1[[#This Row],[Обучающая выборка]]=Таблица1[[#This Row],[Номер класса по классификации дискр функции (Python)]],1,0)</f>
        <v>0</v>
      </c>
      <c r="V47" s="90">
        <f>MATCH(MIN(Таблица1[[#This Row],[Махаланобис 1]:[Махаланобис 6]]),Таблица1[[#This Row],[Махаланобис 1]:[Махаланобис 6]],0)</f>
        <v>1</v>
      </c>
      <c r="W47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47" s="40" t="str">
        <f>RIGHT(Таблица1[[#This Row],[Forward Классификация дискр ф-ции]])</f>
        <v>3</v>
      </c>
      <c r="Y47" s="40">
        <f>MATCH(MIN(Таблица1[[#This Row],[Forward Махаланобис 1]:[Forward Махаланобис 6]]),Таблица1[[#This Row],[Forward Махаланобис 1]:[Forward Махаланобис 6]],0)</f>
        <v>3</v>
      </c>
      <c r="Z47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47" s="90">
        <v>3</v>
      </c>
      <c r="AB47" s="90">
        <f>IF(Таблица1[[#This Row],[Обучающая выборка]]=Таблица1[[#This Row],[Номер класса (пошаговый дискр анализ с включением) Python]],1,0)</f>
        <v>0</v>
      </c>
      <c r="AC47" s="40" t="s">
        <v>130</v>
      </c>
      <c r="AD47" s="41">
        <v>157.72560624941323</v>
      </c>
      <c r="AE47" s="41">
        <v>199.69264627472884</v>
      </c>
      <c r="AF47" s="41">
        <v>159.37513948757805</v>
      </c>
      <c r="AG47" s="42">
        <v>324.37708820427019</v>
      </c>
      <c r="AH47" s="41">
        <v>1479.5494456478568</v>
      </c>
      <c r="AI47" s="41">
        <v>211.46757040585902</v>
      </c>
      <c r="AJ47" s="43">
        <v>0.55444102211284541</v>
      </c>
      <c r="AK47" s="43">
        <v>2.849293215720144E-10</v>
      </c>
      <c r="AL47" s="43">
        <v>0.44555897760103974</v>
      </c>
      <c r="AM47" s="43">
        <v>0</v>
      </c>
      <c r="AN47" s="43">
        <v>0</v>
      </c>
      <c r="AO47" s="43">
        <v>1.1855943352311545E-12</v>
      </c>
      <c r="AP47" s="40" t="s">
        <v>128</v>
      </c>
      <c r="AQ47" s="42">
        <v>43.214912400391398</v>
      </c>
      <c r="AR47" s="42">
        <v>39.818838667546999</v>
      </c>
      <c r="AS47" s="41">
        <v>13.880788185100684</v>
      </c>
      <c r="AT47" s="42">
        <v>150.24959203013992</v>
      </c>
      <c r="AU47" s="41">
        <v>1099.4220843715243</v>
      </c>
      <c r="AV47" s="41">
        <v>27.748450471982924</v>
      </c>
      <c r="AW47" s="43">
        <v>2.3265009152676004E-7</v>
      </c>
      <c r="AX47" s="43">
        <v>8.4734449018801034E-7</v>
      </c>
      <c r="AY47" s="43">
        <v>0.99946778764477817</v>
      </c>
      <c r="AZ47" s="43">
        <v>8.8782342773086546E-31</v>
      </c>
      <c r="BA47" s="43">
        <v>0</v>
      </c>
      <c r="BB47" s="43">
        <v>5.3113236064011111E-4</v>
      </c>
      <c r="BC47" s="40">
        <v>6</v>
      </c>
      <c r="BD47" s="40">
        <v>5</v>
      </c>
      <c r="BE47" s="40">
        <f>IF(Таблица1[[#This Row],[Neuron id (Кохонен)]]=Таблица1[[#This Row],[Кохонен 2020]],1,0)</f>
        <v>0</v>
      </c>
      <c r="BF47" s="28">
        <v>3</v>
      </c>
      <c r="BG47" s="40">
        <f>IF(Таблица1[[#This Row],[Персептрон]]=Таблица1[[#This Row],[Обучающая выборка]],1,0)</f>
        <v>0</v>
      </c>
      <c r="BH47" s="40">
        <f>IF(Таблица1[[#This Row],[Номер класса по классификации дискр функции (Python)]]=Таблица1[[#This Row],[Персептрон]],1,0)</f>
        <v>0</v>
      </c>
      <c r="BI47" s="36">
        <v>-0.39064981595057707</v>
      </c>
      <c r="BJ47" s="36">
        <v>-0.23946354128997979</v>
      </c>
      <c r="BK47" s="36">
        <v>-0.28608092860576079</v>
      </c>
      <c r="BL47" s="36">
        <v>-1.6434212046648478</v>
      </c>
      <c r="BM47" s="36">
        <v>3.7696654478881233</v>
      </c>
      <c r="BN47" s="36">
        <v>-0.96143267390242948</v>
      </c>
      <c r="BO47" s="36">
        <v>-1.1448459097506425</v>
      </c>
      <c r="BP47" s="36">
        <v>9.2504207286129882E-3</v>
      </c>
      <c r="BQ47" s="36">
        <v>-1.3488762822363651</v>
      </c>
      <c r="BR47" s="36">
        <v>-0.89066917264562395</v>
      </c>
      <c r="BS47" s="36">
        <v>-0.75523618026887984</v>
      </c>
      <c r="BT47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22.621254210636689</v>
      </c>
      <c r="BU47" s="50">
        <v>-0.78491</v>
      </c>
      <c r="BV47" s="50">
        <v>-2.0046400000000002</v>
      </c>
      <c r="BW47" s="50">
        <v>1.07483</v>
      </c>
      <c r="BX47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5.7899236726494951</v>
      </c>
      <c r="BY47" s="63">
        <v>-0.20957398762090854</v>
      </c>
      <c r="BZ47" s="64">
        <v>-0.42289884352843815</v>
      </c>
      <c r="CA47" s="64">
        <v>-1.4035346911409645</v>
      </c>
      <c r="CB47" s="64">
        <v>-1.15493013012185</v>
      </c>
      <c r="CC47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3.5265379228444549</v>
      </c>
    </row>
    <row r="48" spans="1:81" ht="28.8" customHeight="1" x14ac:dyDescent="0.3">
      <c r="A48" s="22" t="s">
        <v>68</v>
      </c>
      <c r="B48">
        <v>2</v>
      </c>
      <c r="C48">
        <v>6</v>
      </c>
      <c r="D48" s="28">
        <v>5</v>
      </c>
      <c r="E48" s="28">
        <v>2</v>
      </c>
      <c r="F48" s="28">
        <v>4</v>
      </c>
      <c r="G48" s="28">
        <v>5</v>
      </c>
      <c r="H48" s="28">
        <v>4</v>
      </c>
      <c r="I48">
        <v>1</v>
      </c>
      <c r="J48" s="51">
        <v>6</v>
      </c>
      <c r="K48" s="50">
        <v>5</v>
      </c>
      <c r="L48">
        <v>3</v>
      </c>
      <c r="M48" s="49">
        <v>1</v>
      </c>
      <c r="N48" s="65">
        <v>5</v>
      </c>
      <c r="O48" s="66">
        <v>2</v>
      </c>
      <c r="P48" s="66">
        <v>1</v>
      </c>
      <c r="Q48" s="66">
        <v>1</v>
      </c>
      <c r="R48">
        <v>2</v>
      </c>
      <c r="S48" s="39" t="str">
        <f>RIGHT(Таблица1[[#This Row],[Классификация дискр ф-ции]])</f>
        <v>2</v>
      </c>
      <c r="T48" s="90">
        <v>2</v>
      </c>
      <c r="U48" s="90">
        <f>IF(Таблица1[[#This Row],[Обучающая выборка]]=Таблица1[[#This Row],[Номер класса по классификации дискр функции (Python)]],1,0)</f>
        <v>1</v>
      </c>
      <c r="V48" s="90">
        <f>MATCH(MIN(Таблица1[[#This Row],[Махаланобис 1]:[Махаланобис 6]]),Таблица1[[#This Row],[Махаланобис 1]:[Махаланобис 6]],0)</f>
        <v>2</v>
      </c>
      <c r="W48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48" s="40" t="str">
        <f>RIGHT(Таблица1[[#This Row],[Forward Классификация дискр ф-ции]])</f>
        <v>2</v>
      </c>
      <c r="Y48" s="40">
        <f>MATCH(MIN(Таблица1[[#This Row],[Forward Махаланобис 1]:[Forward Махаланобис 6]]),Таблица1[[#This Row],[Forward Махаланобис 1]:[Forward Махаланобис 6]],0)</f>
        <v>2</v>
      </c>
      <c r="Z48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48" s="90">
        <v>2</v>
      </c>
      <c r="AB48" s="90">
        <f>IF(Таблица1[[#This Row],[Обучающая выборка]]=Таблица1[[#This Row],[Номер класса (пошаговый дискр анализ с включением) Python]],1,0)</f>
        <v>1</v>
      </c>
      <c r="AC48" s="40" t="s">
        <v>131</v>
      </c>
      <c r="AD48" s="41">
        <v>56.828868330712616</v>
      </c>
      <c r="AE48" s="41">
        <v>8.0491670537355784</v>
      </c>
      <c r="AF48" s="41">
        <v>48.638502078284326</v>
      </c>
      <c r="AG48" s="42">
        <v>109.48766315674213</v>
      </c>
      <c r="AH48" s="41">
        <v>1047.659375144395</v>
      </c>
      <c r="AI48" s="41">
        <v>20.866120745116529</v>
      </c>
      <c r="AJ48" s="43">
        <v>3.8250909274716955E-11</v>
      </c>
      <c r="AK48" s="43">
        <v>0.99753478996325051</v>
      </c>
      <c r="AL48" s="43">
        <v>4.2111298418725705E-9</v>
      </c>
      <c r="AM48" s="43">
        <v>9.3721341428088436E-23</v>
      </c>
      <c r="AN48" s="43">
        <v>0</v>
      </c>
      <c r="AO48" s="43">
        <v>2.4652057873687473E-3</v>
      </c>
      <c r="AP48" s="40" t="s">
        <v>131</v>
      </c>
      <c r="AQ48" s="42">
        <v>51.638241525384188</v>
      </c>
      <c r="AR48" s="42">
        <v>1.2857554600080126</v>
      </c>
      <c r="AS48" s="41">
        <v>41.073316359008473</v>
      </c>
      <c r="AT48" s="42">
        <v>89.23907757096957</v>
      </c>
      <c r="AU48" s="41">
        <v>892.50002867998137</v>
      </c>
      <c r="AV48" s="41">
        <v>13.632743994038673</v>
      </c>
      <c r="AW48" s="43">
        <v>1.7411347492994837E-11</v>
      </c>
      <c r="AX48" s="43">
        <v>0.99688382247260088</v>
      </c>
      <c r="AY48" s="43">
        <v>6.2837394444473399E-9</v>
      </c>
      <c r="AZ48" s="43">
        <v>7.940051500771757E-20</v>
      </c>
      <c r="BA48" s="43">
        <v>0</v>
      </c>
      <c r="BB48" s="43">
        <v>3.1161712262483526E-3</v>
      </c>
      <c r="BC48" s="40">
        <v>2</v>
      </c>
      <c r="BD48" s="40">
        <v>2</v>
      </c>
      <c r="BE48" s="40">
        <f>IF(Таблица1[[#This Row],[Neuron id (Кохонен)]]=Таблица1[[#This Row],[Кохонен 2020]],1,0)</f>
        <v>1</v>
      </c>
      <c r="BF48" s="28">
        <v>2</v>
      </c>
      <c r="BG48" s="40">
        <f>IF(Таблица1[[#This Row],[Персептрон]]=Таблица1[[#This Row],[Обучающая выборка]],1,0)</f>
        <v>1</v>
      </c>
      <c r="BH48" s="40">
        <f>IF(Таблица1[[#This Row],[Номер класса по классификации дискр функции (Python)]]=Таблица1[[#This Row],[Персептрон]],1,0)</f>
        <v>1</v>
      </c>
      <c r="BI48" s="36">
        <v>-0.41126172346919182</v>
      </c>
      <c r="BJ48" s="36">
        <v>-0.24514207928788562</v>
      </c>
      <c r="BK48" s="36">
        <v>-0.32643011328117477</v>
      </c>
      <c r="BL48" s="36">
        <v>-1.0234342869549473</v>
      </c>
      <c r="BM48" s="36">
        <v>0.31911531798932946</v>
      </c>
      <c r="BN48" s="36">
        <v>-6.1951487283945866E-2</v>
      </c>
      <c r="BO48" s="36">
        <v>-0.14710915446513731</v>
      </c>
      <c r="BP48" s="36">
        <v>-0.81277560310951025</v>
      </c>
      <c r="BQ48" s="36">
        <v>-1.3891858295339279</v>
      </c>
      <c r="BR48" s="36">
        <v>-0.30177500608804336</v>
      </c>
      <c r="BS48" s="36">
        <v>-0.92784177675652912</v>
      </c>
      <c r="BT48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5.0529188460618002</v>
      </c>
      <c r="BU48" s="50">
        <v>-0.49545</v>
      </c>
      <c r="BV48" s="50">
        <v>-1.1153500000000001</v>
      </c>
      <c r="BW48" s="50">
        <v>-0.63951000000000002</v>
      </c>
      <c r="BX48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1.8984490199847892</v>
      </c>
      <c r="BY48" s="63">
        <v>-0.3698584897715298</v>
      </c>
      <c r="BZ48" s="64">
        <v>-0.98762317320116955</v>
      </c>
      <c r="CA48" s="64">
        <v>-0.13945249502644211</v>
      </c>
      <c r="CB48" s="64">
        <v>-0.67729797868311881</v>
      </c>
      <c r="CC48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1.5903743849973626</v>
      </c>
    </row>
    <row r="49" spans="1:81" ht="14.4" customHeight="1" x14ac:dyDescent="0.3">
      <c r="A49" s="22" t="s">
        <v>69</v>
      </c>
      <c r="B49">
        <v>3</v>
      </c>
      <c r="C49">
        <v>1</v>
      </c>
      <c r="D49" s="28">
        <v>5</v>
      </c>
      <c r="E49" s="28">
        <v>2</v>
      </c>
      <c r="F49" s="28">
        <v>4</v>
      </c>
      <c r="G49" s="28">
        <v>5</v>
      </c>
      <c r="H49" s="28">
        <v>1</v>
      </c>
      <c r="I49">
        <v>4</v>
      </c>
      <c r="J49" s="51">
        <v>2</v>
      </c>
      <c r="K49" s="50">
        <v>3</v>
      </c>
      <c r="L49">
        <v>1</v>
      </c>
      <c r="M49" s="49">
        <v>1</v>
      </c>
      <c r="N49" s="65">
        <v>4</v>
      </c>
      <c r="O49" s="66">
        <v>5</v>
      </c>
      <c r="P49" s="66">
        <v>5</v>
      </c>
      <c r="Q49" s="66">
        <v>1</v>
      </c>
      <c r="S49" s="39" t="str">
        <f>RIGHT(Таблица1[[#This Row],[Классификация дискр ф-ции]])</f>
        <v>3</v>
      </c>
      <c r="T49" s="90">
        <v>3</v>
      </c>
      <c r="U49" s="90">
        <f>IF(Таблица1[[#This Row],[Обучающая выборка]]=Таблица1[[#This Row],[Номер класса по классификации дискр функции (Python)]],1,0)</f>
        <v>0</v>
      </c>
      <c r="V49" s="90">
        <f>MATCH(MIN(Таблица1[[#This Row],[Махаланобис 1]:[Махаланобис 6]]),Таблица1[[#This Row],[Махаланобис 1]:[Махаланобис 6]],0)</f>
        <v>3</v>
      </c>
      <c r="W49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49" s="40" t="str">
        <f>RIGHT(Таблица1[[#This Row],[Forward Классификация дискр ф-ции]])</f>
        <v>3</v>
      </c>
      <c r="Y49" s="40">
        <f>MATCH(MIN(Таблица1[[#This Row],[Forward Махаланобис 1]:[Forward Махаланобис 6]]),Таблица1[[#This Row],[Forward Махаланобис 1]:[Forward Махаланобис 6]],0)</f>
        <v>6</v>
      </c>
      <c r="Z49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49" s="90">
        <v>3</v>
      </c>
      <c r="AB49" s="90">
        <f>IF(Таблица1[[#This Row],[Обучающая выборка]]=Таблица1[[#This Row],[Номер класса (пошаговый дискр анализ с включением) Python]],1,0)</f>
        <v>0</v>
      </c>
      <c r="AC49" s="40" t="s">
        <v>128</v>
      </c>
      <c r="AD49" s="41">
        <v>15.081180586641674</v>
      </c>
      <c r="AE49" s="41">
        <v>33.511710560417299</v>
      </c>
      <c r="AF49" s="41">
        <v>12.802421967471069</v>
      </c>
      <c r="AG49" s="42">
        <v>111.75867027602163</v>
      </c>
      <c r="AH49" s="41">
        <v>1103.8818271829277</v>
      </c>
      <c r="AI49" s="41">
        <v>19.998544073598797</v>
      </c>
      <c r="AJ49" s="43">
        <v>0.14674664783231411</v>
      </c>
      <c r="AK49" s="43">
        <v>9.7350502414848099E-6</v>
      </c>
      <c r="AL49" s="43">
        <v>0.84068978618901513</v>
      </c>
      <c r="AM49" s="43">
        <v>9.9363477425268166E-23</v>
      </c>
      <c r="AN49" s="43">
        <v>0</v>
      </c>
      <c r="AO49" s="43">
        <v>1.2553830928429257E-2</v>
      </c>
      <c r="AP49" s="40" t="s">
        <v>128</v>
      </c>
      <c r="AQ49" s="42">
        <v>11.712372205804018</v>
      </c>
      <c r="AR49" s="42">
        <v>28.661952057626404</v>
      </c>
      <c r="AS49" s="41">
        <v>11.956019217987311</v>
      </c>
      <c r="AT49" s="42">
        <v>92.692557143563988</v>
      </c>
      <c r="AU49" s="41">
        <v>960.96797721180599</v>
      </c>
      <c r="AV49" s="41">
        <v>11.153846619008425</v>
      </c>
      <c r="AW49" s="43">
        <v>0.25346278936420596</v>
      </c>
      <c r="AX49" s="43">
        <v>3.5258874967679636E-5</v>
      </c>
      <c r="AY49" s="43">
        <v>0.41138492040887198</v>
      </c>
      <c r="AZ49" s="43">
        <v>4.3974328859813626E-19</v>
      </c>
      <c r="BA49" s="43">
        <v>0</v>
      </c>
      <c r="BB49" s="43">
        <v>0.33511703135195448</v>
      </c>
      <c r="BC49" s="40">
        <v>5</v>
      </c>
      <c r="BD49" s="40">
        <v>5</v>
      </c>
      <c r="BE49" s="40">
        <f>IF(Таблица1[[#This Row],[Neuron id (Кохонен)]]=Таблица1[[#This Row],[Кохонен 2020]],1,0)</f>
        <v>1</v>
      </c>
      <c r="BF49" s="28">
        <v>3</v>
      </c>
      <c r="BG49" s="40">
        <f>IF(Таблица1[[#This Row],[Персептрон]]=Таблица1[[#This Row],[Обучающая выборка]],1,0)</f>
        <v>0</v>
      </c>
      <c r="BH49" s="40">
        <f>IF(Таблица1[[#This Row],[Номер класса по классификации дискр функции (Python)]]=Таблица1[[#This Row],[Персептрон]],1,0)</f>
        <v>1</v>
      </c>
      <c r="BI49" s="36">
        <v>-0.23984251254123043</v>
      </c>
      <c r="BJ49" s="36">
        <v>-0.2906162206119603</v>
      </c>
      <c r="BK49" s="36">
        <v>-0.24758104304073084</v>
      </c>
      <c r="BL49" s="36">
        <v>-0.57781868985095752</v>
      </c>
      <c r="BM49" s="36">
        <v>-0.39479160543800706</v>
      </c>
      <c r="BN49" s="36">
        <v>-0.3042120761729103</v>
      </c>
      <c r="BO49" s="36">
        <v>6.4795086807548918E-2</v>
      </c>
      <c r="BP49" s="36">
        <v>-6.2230103083398082E-2</v>
      </c>
      <c r="BQ49" s="36">
        <v>-3.3524166672806437E-2</v>
      </c>
      <c r="BR49" s="36">
        <v>-0.49845697183623117</v>
      </c>
      <c r="BS49" s="36">
        <v>-0.63695760726046935</v>
      </c>
      <c r="BT49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1.4489276337072388</v>
      </c>
      <c r="BU49" s="50">
        <v>-0.45980000000000004</v>
      </c>
      <c r="BV49" s="50">
        <v>-0.31328000000000006</v>
      </c>
      <c r="BW49" s="50">
        <v>-0.31401000000000007</v>
      </c>
      <c r="BX49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0.40816246229537728</v>
      </c>
      <c r="BY49" s="63">
        <v>-0.28090075875153475</v>
      </c>
      <c r="BZ49" s="64">
        <v>-0.332382762111257</v>
      </c>
      <c r="CA49" s="64">
        <v>-8.865877849894099E-3</v>
      </c>
      <c r="CB49" s="64">
        <v>-0.34602047535843911</v>
      </c>
      <c r="CC49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0.30919230997322578</v>
      </c>
    </row>
    <row r="50" spans="1:81" ht="28.8" customHeight="1" x14ac:dyDescent="0.3">
      <c r="A50" s="22" t="s">
        <v>70</v>
      </c>
      <c r="B50">
        <v>6</v>
      </c>
      <c r="C50">
        <v>3</v>
      </c>
      <c r="D50" s="28">
        <v>5</v>
      </c>
      <c r="E50" s="28">
        <v>2</v>
      </c>
      <c r="F50" s="28">
        <v>4</v>
      </c>
      <c r="G50" s="28">
        <v>5</v>
      </c>
      <c r="H50" s="28">
        <v>3</v>
      </c>
      <c r="I50">
        <v>5</v>
      </c>
      <c r="J50" s="51">
        <v>1</v>
      </c>
      <c r="K50" s="50">
        <v>3</v>
      </c>
      <c r="L50">
        <v>3</v>
      </c>
      <c r="M50" s="49">
        <v>1</v>
      </c>
      <c r="N50" s="65">
        <v>5</v>
      </c>
      <c r="O50" s="66">
        <v>4</v>
      </c>
      <c r="P50" s="66">
        <v>5</v>
      </c>
      <c r="Q50" s="66">
        <v>1</v>
      </c>
      <c r="S50" s="39" t="str">
        <f>RIGHT(Таблица1[[#This Row],[Классификация дискр ф-ции]])</f>
        <v>6</v>
      </c>
      <c r="T50" s="90">
        <v>6</v>
      </c>
      <c r="U50" s="90">
        <f>IF(Таблица1[[#This Row],[Обучающая выборка]]=Таблица1[[#This Row],[Номер класса по классификации дискр функции (Python)]],1,0)</f>
        <v>0</v>
      </c>
      <c r="V50" s="90">
        <f>MATCH(MIN(Таблица1[[#This Row],[Махаланобис 1]:[Махаланобис 6]]),Таблица1[[#This Row],[Махаланобис 1]:[Махаланобис 6]],0)</f>
        <v>6</v>
      </c>
      <c r="W50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50" s="40" t="str">
        <f>RIGHT(Таблица1[[#This Row],[Forward Классификация дискр ф-ции]])</f>
        <v>6</v>
      </c>
      <c r="Y50" s="40">
        <f>MATCH(MIN(Таблица1[[#This Row],[Forward Махаланобис 1]:[Forward Махаланобис 6]]),Таблица1[[#This Row],[Forward Махаланобис 1]:[Forward Махаланобис 6]],0)</f>
        <v>6</v>
      </c>
      <c r="Z50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50" s="90">
        <v>6</v>
      </c>
      <c r="AB50" s="90">
        <f>IF(Таблица1[[#This Row],[Обучающая выборка]]=Таблица1[[#This Row],[Номер класса (пошаговый дискр анализ с включением) Python]],1,0)</f>
        <v>0</v>
      </c>
      <c r="AC50" s="40" t="s">
        <v>129</v>
      </c>
      <c r="AD50" s="41">
        <v>66.372890955007762</v>
      </c>
      <c r="AE50" s="41">
        <v>55.549373263263284</v>
      </c>
      <c r="AF50" s="41">
        <v>60.762758891737199</v>
      </c>
      <c r="AG50" s="42">
        <v>184.40197939184023</v>
      </c>
      <c r="AH50" s="41">
        <v>1198.6060129844875</v>
      </c>
      <c r="AI50" s="41">
        <v>27.822413093401529</v>
      </c>
      <c r="AJ50" s="43">
        <v>4.2547080127582653E-9</v>
      </c>
      <c r="AK50" s="43">
        <v>6.3544139985137137E-7</v>
      </c>
      <c r="AL50" s="43">
        <v>1.2892463034558839E-7</v>
      </c>
      <c r="AM50" s="43">
        <v>0</v>
      </c>
      <c r="AN50" s="43">
        <v>0</v>
      </c>
      <c r="AO50" s="43">
        <v>0.99999923137926172</v>
      </c>
      <c r="AP50" s="40" t="s">
        <v>129</v>
      </c>
      <c r="AQ50" s="42">
        <v>36.4348009322796</v>
      </c>
      <c r="AR50" s="42">
        <v>17.040373456627108</v>
      </c>
      <c r="AS50" s="41">
        <v>29.876232561806173</v>
      </c>
      <c r="AT50" s="42">
        <v>119.15121377955225</v>
      </c>
      <c r="AU50" s="41">
        <v>988.69087772700425</v>
      </c>
      <c r="AV50" s="41">
        <v>8.5324199262752742</v>
      </c>
      <c r="AW50" s="43">
        <v>8.6489247008080289E-7</v>
      </c>
      <c r="AX50" s="43">
        <v>9.3824719171494604E-3</v>
      </c>
      <c r="AY50" s="43">
        <v>4.2109353819017012E-5</v>
      </c>
      <c r="AZ50" s="43">
        <v>6.2983969165012964E-25</v>
      </c>
      <c r="BA50" s="43">
        <v>0</v>
      </c>
      <c r="BB50" s="43">
        <v>0.99057455383656146</v>
      </c>
      <c r="BC50" s="40">
        <v>3</v>
      </c>
      <c r="BD50" s="40">
        <v>3</v>
      </c>
      <c r="BE50" s="40">
        <f>IF(Таблица1[[#This Row],[Neuron id (Кохонен)]]=Таблица1[[#This Row],[Кохонен 2020]],1,0)</f>
        <v>1</v>
      </c>
      <c r="BF50" s="28">
        <v>6</v>
      </c>
      <c r="BG50" s="40">
        <f>IF(Таблица1[[#This Row],[Персептрон]]=Таблица1[[#This Row],[Обучающая выборка]],1,0)</f>
        <v>0</v>
      </c>
      <c r="BH50" s="40">
        <f>IF(Таблица1[[#This Row],[Номер класса по классификации дискр функции (Python)]]=Таблица1[[#This Row],[Персептрон]],1,0)</f>
        <v>1</v>
      </c>
      <c r="BI50" s="36">
        <v>-0.39074331718801347</v>
      </c>
      <c r="BJ50" s="36">
        <v>-0.271082688781349</v>
      </c>
      <c r="BK50" s="36">
        <v>-1.1224611463454695</v>
      </c>
      <c r="BL50" s="36">
        <v>-1.1978056075608563</v>
      </c>
      <c r="BM50" s="36">
        <v>4.6366262628629119E-2</v>
      </c>
      <c r="BN50" s="36">
        <v>1.4944100446560804</v>
      </c>
      <c r="BO50" s="36">
        <v>0.16376515272476255</v>
      </c>
      <c r="BP50" s="36">
        <v>-0.45537298404945675</v>
      </c>
      <c r="BQ50" s="36">
        <v>-5.8648446348293932E-3</v>
      </c>
      <c r="BR50" s="36">
        <v>-0.28000376894482926</v>
      </c>
      <c r="BS50" s="36">
        <v>-1.0472386064120633</v>
      </c>
      <c r="BT50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6.5655634601574251</v>
      </c>
      <c r="BU50" s="50">
        <v>-0.61976000000000009</v>
      </c>
      <c r="BV50" s="50">
        <v>-6.2239999999999997E-2</v>
      </c>
      <c r="BW50" s="50">
        <v>-1.2434499999999999</v>
      </c>
      <c r="BX50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1.9341441639800827</v>
      </c>
      <c r="BY50" s="63">
        <v>-0.45390385660803501</v>
      </c>
      <c r="BZ50" s="64">
        <v>-0.71419758197951011</v>
      </c>
      <c r="CA50" s="64">
        <v>0.88558110818335356</v>
      </c>
      <c r="CB50" s="64">
        <v>-0.62716062466305611</v>
      </c>
      <c r="CC50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1.8936912454480379</v>
      </c>
    </row>
    <row r="51" spans="1:81" x14ac:dyDescent="0.3">
      <c r="A51" s="22" t="s">
        <v>71</v>
      </c>
      <c r="B51">
        <v>2</v>
      </c>
      <c r="C51">
        <v>6</v>
      </c>
      <c r="D51" s="28">
        <v>2</v>
      </c>
      <c r="E51" s="28">
        <v>4</v>
      </c>
      <c r="F51" s="28">
        <v>6</v>
      </c>
      <c r="G51" s="28">
        <v>1</v>
      </c>
      <c r="H51" s="28">
        <v>4</v>
      </c>
      <c r="I51">
        <v>1</v>
      </c>
      <c r="J51" s="51">
        <v>6</v>
      </c>
      <c r="K51" s="50">
        <v>5</v>
      </c>
      <c r="L51">
        <v>4</v>
      </c>
      <c r="M51" s="49">
        <v>4</v>
      </c>
      <c r="N51" s="65">
        <v>1</v>
      </c>
      <c r="O51" s="66">
        <v>2</v>
      </c>
      <c r="P51" s="66">
        <v>1</v>
      </c>
      <c r="Q51" s="66">
        <v>3</v>
      </c>
      <c r="S51" s="39" t="str">
        <f>RIGHT(Таблица1[[#This Row],[Классификация дискр ф-ции]])</f>
        <v>2</v>
      </c>
      <c r="T51" s="90">
        <v>2</v>
      </c>
      <c r="U51" s="90">
        <f>IF(Таблица1[[#This Row],[Обучающая выборка]]=Таблица1[[#This Row],[Номер класса по классификации дискр функции (Python)]],1,0)</f>
        <v>0</v>
      </c>
      <c r="V51" s="90">
        <f>MATCH(MIN(Таблица1[[#This Row],[Махаланобис 1]:[Махаланобис 6]]),Таблица1[[#This Row],[Махаланобис 1]:[Махаланобис 6]],0)</f>
        <v>2</v>
      </c>
      <c r="W51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51" s="40" t="str">
        <f>RIGHT(Таблица1[[#This Row],[Forward Классификация дискр ф-ции]])</f>
        <v>2</v>
      </c>
      <c r="Y51" s="40">
        <f>MATCH(MIN(Таблица1[[#This Row],[Forward Махаланобис 1]:[Forward Махаланобис 6]]),Таблица1[[#This Row],[Forward Махаланобис 1]:[Forward Махаланобис 6]],0)</f>
        <v>2</v>
      </c>
      <c r="Z51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51" s="90">
        <v>2</v>
      </c>
      <c r="AB51" s="90">
        <f>IF(Таблица1[[#This Row],[Обучающая выборка]]=Таблица1[[#This Row],[Номер класса (пошаговый дискр анализ с включением) Python]],1,0)</f>
        <v>0</v>
      </c>
      <c r="AC51" s="40" t="s">
        <v>131</v>
      </c>
      <c r="AD51" s="41">
        <v>126.34136825881498</v>
      </c>
      <c r="AE51" s="41">
        <v>32.549522737580745</v>
      </c>
      <c r="AF51" s="41">
        <v>135.87971718709545</v>
      </c>
      <c r="AG51" s="42">
        <v>129.49140591682203</v>
      </c>
      <c r="AH51" s="41">
        <v>947.22333680005477</v>
      </c>
      <c r="AI51" s="41">
        <v>103.95776536227301</v>
      </c>
      <c r="AJ51" s="43">
        <v>6.4483823465380372E-21</v>
      </c>
      <c r="AK51" s="43">
        <v>0.99999999999999956</v>
      </c>
      <c r="AL51" s="43">
        <v>1.0033814369928816E-22</v>
      </c>
      <c r="AM51" s="43">
        <v>8.8989247625980374E-22</v>
      </c>
      <c r="AN51" s="43">
        <v>0</v>
      </c>
      <c r="AO51" s="43">
        <v>4.6772263953042153E-16</v>
      </c>
      <c r="AP51" s="40" t="s">
        <v>131</v>
      </c>
      <c r="AQ51" s="42">
        <v>99.649507430002828</v>
      </c>
      <c r="AR51" s="42">
        <v>20.148410560379105</v>
      </c>
      <c r="AS51" s="41">
        <v>118.44933716291538</v>
      </c>
      <c r="AT51" s="42">
        <v>94.660734404831928</v>
      </c>
      <c r="AU51" s="41">
        <v>755.92522521630951</v>
      </c>
      <c r="AV51" s="41">
        <v>70.862921856150876</v>
      </c>
      <c r="AW51" s="43">
        <v>8.1780059309502709E-18</v>
      </c>
      <c r="AX51" s="43">
        <v>0.99999999998542599</v>
      </c>
      <c r="AY51" s="43">
        <v>1.2403884085491169E-21</v>
      </c>
      <c r="AZ51" s="43">
        <v>6.6047207510178049E-17</v>
      </c>
      <c r="BA51" s="43">
        <v>0</v>
      </c>
      <c r="BB51" s="43">
        <v>1.457387549321992E-11</v>
      </c>
      <c r="BC51" s="40">
        <v>2</v>
      </c>
      <c r="BD51" s="40">
        <v>2</v>
      </c>
      <c r="BE51" s="40">
        <f>IF(Таблица1[[#This Row],[Neuron id (Кохонен)]]=Таблица1[[#This Row],[Кохонен 2020]],1,0)</f>
        <v>1</v>
      </c>
      <c r="BF51" s="28">
        <v>2</v>
      </c>
      <c r="BG51" s="40">
        <f>IF(Таблица1[[#This Row],[Персептрон]]=Таблица1[[#This Row],[Обучающая выборка]],1,0)</f>
        <v>0</v>
      </c>
      <c r="BH51" s="40">
        <f>IF(Таблица1[[#This Row],[Номер класса по классификации дискр функции (Python)]]=Таблица1[[#This Row],[Персептрон]],1,0)</f>
        <v>1</v>
      </c>
      <c r="BI51" s="36">
        <v>-0.4466837953554299</v>
      </c>
      <c r="BJ51" s="36">
        <v>-0.42866036922090894</v>
      </c>
      <c r="BK51" s="36">
        <v>-1.1637167864816393</v>
      </c>
      <c r="BL51" s="36">
        <v>-1.217180198739291</v>
      </c>
      <c r="BM51" s="36">
        <v>-0.51743715382167776</v>
      </c>
      <c r="BN51" s="36">
        <v>-2.3199418195554862</v>
      </c>
      <c r="BO51" s="36">
        <v>-0.94537276599229436</v>
      </c>
      <c r="BP51" s="36">
        <v>-2.7427497460337986</v>
      </c>
      <c r="BQ51" s="36">
        <v>-1.2100242131403365</v>
      </c>
      <c r="BR51" s="36">
        <v>-0.67780166272325504</v>
      </c>
      <c r="BS51" s="36">
        <v>-2.6128204041475001</v>
      </c>
      <c r="BT51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26.035721765547613</v>
      </c>
      <c r="BU51" s="50">
        <v>-0.70701000000000003</v>
      </c>
      <c r="BV51" s="50">
        <v>-2.9022000000000001</v>
      </c>
      <c r="BW51" s="50">
        <v>-1.1869700000000001</v>
      </c>
      <c r="BX51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10.331525024705966</v>
      </c>
      <c r="BY51" s="63">
        <v>-0.66620519198016026</v>
      </c>
      <c r="BZ51" s="64">
        <v>-2.8128684018734589</v>
      </c>
      <c r="CA51" s="64">
        <v>-1.0222601082762837</v>
      </c>
      <c r="CB51" s="64">
        <v>-0.70841174637206439</v>
      </c>
      <c r="CC51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9.9029209354504264</v>
      </c>
    </row>
    <row r="52" spans="1:81" x14ac:dyDescent="0.3">
      <c r="A52" s="22" t="s">
        <v>72</v>
      </c>
      <c r="B52">
        <v>2</v>
      </c>
      <c r="C52">
        <v>6</v>
      </c>
      <c r="D52" s="28">
        <v>2</v>
      </c>
      <c r="E52" s="28">
        <v>4</v>
      </c>
      <c r="F52" s="28">
        <v>6</v>
      </c>
      <c r="G52" s="28">
        <v>1</v>
      </c>
      <c r="H52" s="28">
        <v>4</v>
      </c>
      <c r="I52">
        <v>1</v>
      </c>
      <c r="J52" s="51">
        <v>6</v>
      </c>
      <c r="K52" s="50">
        <v>5</v>
      </c>
      <c r="L52">
        <v>4</v>
      </c>
      <c r="M52" s="49">
        <v>4</v>
      </c>
      <c r="N52" s="65">
        <v>1</v>
      </c>
      <c r="O52" s="66">
        <v>2</v>
      </c>
      <c r="P52" s="66">
        <v>1</v>
      </c>
      <c r="Q52" s="66">
        <v>3</v>
      </c>
      <c r="S52" s="39" t="str">
        <f>RIGHT(Таблица1[[#This Row],[Классификация дискр ф-ции]])</f>
        <v>2</v>
      </c>
      <c r="T52" s="90">
        <v>2</v>
      </c>
      <c r="U52" s="90">
        <f>IF(Таблица1[[#This Row],[Обучающая выборка]]=Таблица1[[#This Row],[Номер класса по классификации дискр функции (Python)]],1,0)</f>
        <v>0</v>
      </c>
      <c r="V52" s="90">
        <f>MATCH(MIN(Таблица1[[#This Row],[Махаланобис 1]:[Махаланобис 6]]),Таблица1[[#This Row],[Махаланобис 1]:[Махаланобис 6]],0)</f>
        <v>2</v>
      </c>
      <c r="W52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52" s="40" t="str">
        <f>RIGHT(Таблица1[[#This Row],[Forward Классификация дискр ф-ции]])</f>
        <v>2</v>
      </c>
      <c r="Y52" s="40">
        <f>MATCH(MIN(Таблица1[[#This Row],[Forward Махаланобис 1]:[Forward Махаланобис 6]]),Таблица1[[#This Row],[Forward Махаланобис 1]:[Forward Махаланобис 6]],0)</f>
        <v>2</v>
      </c>
      <c r="Z52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52" s="90">
        <v>2</v>
      </c>
      <c r="AB52" s="90">
        <f>IF(Таблица1[[#This Row],[Обучающая выборка]]=Таблица1[[#This Row],[Номер класса (пошаговый дискр анализ с включением) Python]],1,0)</f>
        <v>0</v>
      </c>
      <c r="AC52" s="40" t="s">
        <v>131</v>
      </c>
      <c r="AD52" s="41">
        <v>173.56087390212346</v>
      </c>
      <c r="AE52" s="41">
        <v>68.903543074822622</v>
      </c>
      <c r="AF52" s="41">
        <v>200.1574408252782</v>
      </c>
      <c r="AG52" s="42">
        <v>137.68926215446999</v>
      </c>
      <c r="AH52" s="41">
        <v>869.77624713304772</v>
      </c>
      <c r="AI52" s="41">
        <v>158.67674052761123</v>
      </c>
      <c r="AJ52" s="43">
        <v>2.8186465792874772E-23</v>
      </c>
      <c r="AK52" s="43">
        <v>0.99999999999999889</v>
      </c>
      <c r="AL52" s="43">
        <v>8.6678409402260894E-29</v>
      </c>
      <c r="AM52" s="43">
        <v>1.1570999770742009E-15</v>
      </c>
      <c r="AN52" s="43">
        <v>0</v>
      </c>
      <c r="AO52" s="43">
        <v>4.809380307387103E-20</v>
      </c>
      <c r="AP52" s="40" t="s">
        <v>131</v>
      </c>
      <c r="AQ52" s="42">
        <v>158.254873490139</v>
      </c>
      <c r="AR52" s="42">
        <v>50.542529592374635</v>
      </c>
      <c r="AS52" s="41">
        <v>180.94909976849539</v>
      </c>
      <c r="AT52" s="42">
        <v>102.9312183563255</v>
      </c>
      <c r="AU52" s="41">
        <v>673.68208216294931</v>
      </c>
      <c r="AV52" s="41">
        <v>123.03795328156991</v>
      </c>
      <c r="AW52" s="43">
        <v>6.1186127199322759E-24</v>
      </c>
      <c r="AX52" s="43">
        <v>0.99999999999579314</v>
      </c>
      <c r="AY52" s="43">
        <v>1.324054245301659E-28</v>
      </c>
      <c r="AZ52" s="43">
        <v>4.206692602966573E-12</v>
      </c>
      <c r="BA52" s="43">
        <v>0</v>
      </c>
      <c r="BB52" s="43">
        <v>2.7158765381030582E-16</v>
      </c>
      <c r="BC52" s="40">
        <v>2</v>
      </c>
      <c r="BD52" s="40">
        <v>2</v>
      </c>
      <c r="BE52" s="40">
        <f>IF(Таблица1[[#This Row],[Neuron id (Кохонен)]]=Таблица1[[#This Row],[Кохонен 2020]],1,0)</f>
        <v>1</v>
      </c>
      <c r="BF52" s="28">
        <v>2</v>
      </c>
      <c r="BG52" s="40">
        <f>IF(Таблица1[[#This Row],[Персептрон]]=Таблица1[[#This Row],[Обучающая выборка]],1,0)</f>
        <v>0</v>
      </c>
      <c r="BH52" s="40">
        <f>IF(Таблица1[[#This Row],[Номер класса по классификации дискр функции (Python)]]=Таблица1[[#This Row],[Персептрон]],1,0)</f>
        <v>1</v>
      </c>
      <c r="BI52" s="36">
        <v>-0.52949007571450024</v>
      </c>
      <c r="BJ52" s="36">
        <v>-0.35489482902806352</v>
      </c>
      <c r="BK52" s="36">
        <v>-1.1686030854272014</v>
      </c>
      <c r="BL52" s="36">
        <v>-0.8878121487059063</v>
      </c>
      <c r="BM52" s="36">
        <v>0.92685146818901087</v>
      </c>
      <c r="BN52" s="36">
        <v>-2.3232170060884889</v>
      </c>
      <c r="BO52" s="36">
        <v>-1.2783066249121857</v>
      </c>
      <c r="BP52" s="36">
        <v>-3.3860744603418946</v>
      </c>
      <c r="BQ52" s="36">
        <v>-1.4946799881855162</v>
      </c>
      <c r="BR52" s="36">
        <v>-0.28122108615289876</v>
      </c>
      <c r="BS52" s="36">
        <v>-2.5158972988188353</v>
      </c>
      <c r="BT52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30.559005426930899</v>
      </c>
      <c r="BU52" s="50">
        <v>-0.43141000000000007</v>
      </c>
      <c r="BV52" s="50">
        <v>-3.3881100000000002</v>
      </c>
      <c r="BW52" s="50">
        <v>-0.88695000000000002</v>
      </c>
      <c r="BX52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12.452083471175378</v>
      </c>
      <c r="BY52" s="63">
        <v>-0.70779514646681529</v>
      </c>
      <c r="BZ52" s="64">
        <v>-3.1696011303963672</v>
      </c>
      <c r="CA52" s="64">
        <v>-1.3563949876367241</v>
      </c>
      <c r="CB52" s="64">
        <v>-0.41955815510628269</v>
      </c>
      <c r="CC52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12.563181703174127</v>
      </c>
    </row>
    <row r="53" spans="1:81" x14ac:dyDescent="0.3">
      <c r="A53" s="22" t="s">
        <v>73</v>
      </c>
      <c r="B53">
        <v>2</v>
      </c>
      <c r="C53">
        <v>6</v>
      </c>
      <c r="D53" s="28">
        <v>5</v>
      </c>
      <c r="E53" s="28">
        <v>2</v>
      </c>
      <c r="F53" s="28">
        <v>4</v>
      </c>
      <c r="G53" s="28">
        <v>5</v>
      </c>
      <c r="H53" s="28">
        <v>4</v>
      </c>
      <c r="I53">
        <v>1</v>
      </c>
      <c r="J53" s="51">
        <v>6</v>
      </c>
      <c r="K53" s="50">
        <v>5</v>
      </c>
      <c r="L53">
        <v>3</v>
      </c>
      <c r="M53" s="49">
        <v>1</v>
      </c>
      <c r="N53" s="65">
        <v>5</v>
      </c>
      <c r="O53" s="66">
        <v>2</v>
      </c>
      <c r="P53" s="66">
        <v>1</v>
      </c>
      <c r="Q53" s="66">
        <v>1</v>
      </c>
      <c r="R53">
        <v>2</v>
      </c>
      <c r="S53" s="39" t="str">
        <f>RIGHT(Таблица1[[#This Row],[Классификация дискр ф-ции]])</f>
        <v>2</v>
      </c>
      <c r="T53" s="90">
        <v>2</v>
      </c>
      <c r="U53" s="90">
        <f>IF(Таблица1[[#This Row],[Обучающая выборка]]=Таблица1[[#This Row],[Номер класса по классификации дискр функции (Python)]],1,0)</f>
        <v>1</v>
      </c>
      <c r="V53" s="90">
        <f>MATCH(MIN(Таблица1[[#This Row],[Махаланобис 1]:[Махаланобис 6]]),Таблица1[[#This Row],[Махаланобис 1]:[Махаланобис 6]],0)</f>
        <v>2</v>
      </c>
      <c r="W53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53" s="40" t="str">
        <f>RIGHT(Таблица1[[#This Row],[Forward Классификация дискр ф-ции]])</f>
        <v>2</v>
      </c>
      <c r="Y53" s="40">
        <f>MATCH(MIN(Таблица1[[#This Row],[Forward Махаланобис 1]:[Forward Махаланобис 6]]),Таблица1[[#This Row],[Forward Махаланобис 1]:[Forward Махаланобис 6]],0)</f>
        <v>2</v>
      </c>
      <c r="Z53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53" s="90">
        <v>2</v>
      </c>
      <c r="AB53" s="90">
        <f>IF(Таблица1[[#This Row],[Обучающая выборка]]=Таблица1[[#This Row],[Номер класса (пошаговый дискр анализ с включением) Python]],1,0)</f>
        <v>1</v>
      </c>
      <c r="AC53" s="40" t="s">
        <v>131</v>
      </c>
      <c r="AD53" s="41">
        <v>85.879696390870365</v>
      </c>
      <c r="AE53" s="41">
        <v>10.817152672156805</v>
      </c>
      <c r="AF53" s="41">
        <v>71.922659909466844</v>
      </c>
      <c r="AG53" s="42">
        <v>74.073180342859814</v>
      </c>
      <c r="AH53" s="41">
        <v>923.28266070470943</v>
      </c>
      <c r="AI53" s="41">
        <v>43.120067733681218</v>
      </c>
      <c r="AJ53" s="43">
        <v>7.5243143076170747E-17</v>
      </c>
      <c r="AK53" s="43">
        <v>0.99999985492158106</v>
      </c>
      <c r="AL53" s="43">
        <v>1.480608803438009E-13</v>
      </c>
      <c r="AM53" s="43">
        <v>1.8370799392603573E-14</v>
      </c>
      <c r="AN53" s="43">
        <v>0</v>
      </c>
      <c r="AO53" s="43">
        <v>1.4507825249279777E-7</v>
      </c>
      <c r="AP53" s="40" t="s">
        <v>131</v>
      </c>
      <c r="AQ53" s="42">
        <v>53.425838581015363</v>
      </c>
      <c r="AR53" s="42">
        <v>4.2327089474058646</v>
      </c>
      <c r="AS53" s="41">
        <v>51.978926936418389</v>
      </c>
      <c r="AT53" s="42">
        <v>59.644707317696174</v>
      </c>
      <c r="AU53" s="41">
        <v>802.31817324447081</v>
      </c>
      <c r="AV53" s="41">
        <v>26.030562281857538</v>
      </c>
      <c r="AW53" s="43">
        <v>3.1183642870908861E-11</v>
      </c>
      <c r="AX53" s="43">
        <v>0.99997228353356071</v>
      </c>
      <c r="AY53" s="43">
        <v>1.1785856645873393E-10</v>
      </c>
      <c r="AZ53" s="43">
        <v>9.2773811835797068E-13</v>
      </c>
      <c r="BA53" s="43">
        <v>0</v>
      </c>
      <c r="BB53" s="43">
        <v>2.7716316469494914E-5</v>
      </c>
      <c r="BC53" s="40">
        <v>2</v>
      </c>
      <c r="BD53" s="40">
        <v>2</v>
      </c>
      <c r="BE53" s="40">
        <f>IF(Таблица1[[#This Row],[Neuron id (Кохонен)]]=Таблица1[[#This Row],[Кохонен 2020]],1,0)</f>
        <v>1</v>
      </c>
      <c r="BF53" s="28">
        <v>2</v>
      </c>
      <c r="BG53" s="40">
        <f>IF(Таблица1[[#This Row],[Персептрон]]=Таблица1[[#This Row],[Обучающая выборка]],1,0)</f>
        <v>1</v>
      </c>
      <c r="BH53" s="40">
        <f>IF(Таблица1[[#This Row],[Номер класса по классификации дискр функции (Python)]]=Таблица1[[#This Row],[Персептрон]],1,0)</f>
        <v>1</v>
      </c>
      <c r="BI53" s="36">
        <v>-0.35638649512382692</v>
      </c>
      <c r="BJ53" s="36">
        <v>-0.30892809134290261</v>
      </c>
      <c r="BK53" s="36">
        <v>0.15773153256086359</v>
      </c>
      <c r="BL53" s="36">
        <v>-0.59719328102939073</v>
      </c>
      <c r="BM53" s="36">
        <v>-1.3338537893308884</v>
      </c>
      <c r="BN53" s="36">
        <v>-1.0585610935764502</v>
      </c>
      <c r="BO53" s="36">
        <v>-0.26556274523063844</v>
      </c>
      <c r="BP53" s="36">
        <v>-1.0629574364515473</v>
      </c>
      <c r="BQ53" s="36">
        <v>-1.4825527922863821</v>
      </c>
      <c r="BR53" s="36">
        <v>0.24174251316455961</v>
      </c>
      <c r="BS53" s="36">
        <v>-0.71149917525529438</v>
      </c>
      <c r="BT53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7.4667198552825127</v>
      </c>
      <c r="BU53" s="50">
        <v>-0.26137000000000005</v>
      </c>
      <c r="BV53" s="50">
        <v>-1.10351</v>
      </c>
      <c r="BW53" s="50">
        <v>-0.62229000000000012</v>
      </c>
      <c r="BX53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1.6732932048742011</v>
      </c>
      <c r="BY53" s="63">
        <v>-0.37799342349605825</v>
      </c>
      <c r="BZ53" s="64">
        <v>-1.0717941727159046</v>
      </c>
      <c r="CA53" s="64">
        <v>-0.40878349445019729</v>
      </c>
      <c r="CB53" s="64">
        <v>-0.24132257040188082</v>
      </c>
      <c r="CC53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1.5169623051943262</v>
      </c>
    </row>
    <row r="54" spans="1:81" x14ac:dyDescent="0.3">
      <c r="A54" s="22" t="s">
        <v>74</v>
      </c>
      <c r="B54">
        <v>3</v>
      </c>
      <c r="C54">
        <v>1</v>
      </c>
      <c r="D54" s="28">
        <v>5</v>
      </c>
      <c r="E54" s="28">
        <v>2</v>
      </c>
      <c r="F54" s="28">
        <v>4</v>
      </c>
      <c r="G54" s="28">
        <v>5</v>
      </c>
      <c r="H54" s="28">
        <v>1</v>
      </c>
      <c r="I54">
        <v>4</v>
      </c>
      <c r="J54" s="51">
        <v>2</v>
      </c>
      <c r="K54" s="50">
        <v>1</v>
      </c>
      <c r="L54">
        <v>2</v>
      </c>
      <c r="M54" s="49">
        <v>3</v>
      </c>
      <c r="N54" s="65">
        <v>3</v>
      </c>
      <c r="O54" s="66">
        <v>3</v>
      </c>
      <c r="P54" s="66">
        <v>2</v>
      </c>
      <c r="Q54" s="66">
        <v>5</v>
      </c>
      <c r="S54" s="39" t="str">
        <f>RIGHT(Таблица1[[#This Row],[Классификация дискр ф-ции]])</f>
        <v>6</v>
      </c>
      <c r="T54" s="90">
        <v>6</v>
      </c>
      <c r="U54" s="90">
        <f>IF(Таблица1[[#This Row],[Обучающая выборка]]=Таблица1[[#This Row],[Номер класса по классификации дискр функции (Python)]],1,0)</f>
        <v>0</v>
      </c>
      <c r="V54" s="90">
        <f>MATCH(MIN(Таблица1[[#This Row],[Махаланобис 1]:[Махаланобис 6]]),Таблица1[[#This Row],[Махаланобис 1]:[Махаланобис 6]],0)</f>
        <v>6</v>
      </c>
      <c r="W54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54" s="40" t="str">
        <f>RIGHT(Таблица1[[#This Row],[Forward Классификация дискр ф-ции]])</f>
        <v>6</v>
      </c>
      <c r="Y54" s="40">
        <f>MATCH(MIN(Таблица1[[#This Row],[Forward Махаланобис 1]:[Forward Махаланобис 6]]),Таблица1[[#This Row],[Forward Махаланобис 1]:[Forward Махаланобис 6]],0)</f>
        <v>6</v>
      </c>
      <c r="Z54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54" s="90">
        <v>6</v>
      </c>
      <c r="AB54" s="90">
        <f>IF(Таблица1[[#This Row],[Обучающая выборка]]=Таблица1[[#This Row],[Номер класса (пошаговый дискр анализ с включением) Python]],1,0)</f>
        <v>0</v>
      </c>
      <c r="AC54" s="40" t="s">
        <v>129</v>
      </c>
      <c r="AD54" s="41">
        <v>117.00524654392498</v>
      </c>
      <c r="AE54" s="41">
        <v>70.05459803523388</v>
      </c>
      <c r="AF54" s="41">
        <v>67.762945026246484</v>
      </c>
      <c r="AG54" s="42">
        <v>148.82133417399024</v>
      </c>
      <c r="AH54" s="41">
        <v>1092.9081458487449</v>
      </c>
      <c r="AI54" s="41">
        <v>50.543371435146412</v>
      </c>
      <c r="AJ54" s="43">
        <v>3.6967942470163386E-15</v>
      </c>
      <c r="AK54" s="43">
        <v>3.8631164981670161E-5</v>
      </c>
      <c r="AL54" s="43">
        <v>3.3411550275562078E-4</v>
      </c>
      <c r="AM54" s="43">
        <v>3.0405935777100888E-22</v>
      </c>
      <c r="AN54" s="43">
        <v>0</v>
      </c>
      <c r="AO54" s="43">
        <v>0.9996272533322591</v>
      </c>
      <c r="AP54" s="40" t="s">
        <v>129</v>
      </c>
      <c r="AQ54" s="42">
        <v>79.472646897815707</v>
      </c>
      <c r="AR54" s="42">
        <v>43.159770048412931</v>
      </c>
      <c r="AS54" s="41">
        <v>41.91876226464283</v>
      </c>
      <c r="AT54" s="42">
        <v>92.259380951844577</v>
      </c>
      <c r="AU54" s="41">
        <v>899.63839988949599</v>
      </c>
      <c r="AV54" s="41">
        <v>36.799711852305968</v>
      </c>
      <c r="AW54" s="43">
        <v>4.6310968352567335E-10</v>
      </c>
      <c r="AX54" s="43">
        <v>2.3704654070406381E-2</v>
      </c>
      <c r="AY54" s="43">
        <v>0.12124050369442779</v>
      </c>
      <c r="AZ54" s="43">
        <v>5.1640279289558806E-13</v>
      </c>
      <c r="BA54" s="43">
        <v>0</v>
      </c>
      <c r="BB54" s="43">
        <v>0.85505484177153968</v>
      </c>
      <c r="BC54" s="40">
        <v>5</v>
      </c>
      <c r="BD54" s="40">
        <v>5</v>
      </c>
      <c r="BE54" s="40">
        <f>IF(Таблица1[[#This Row],[Neuron id (Кохонен)]]=Таблица1[[#This Row],[Кохонен 2020]],1,0)</f>
        <v>1</v>
      </c>
      <c r="BF54" s="28">
        <v>3</v>
      </c>
      <c r="BG54" s="40">
        <f>IF(Таблица1[[#This Row],[Персептрон]]=Таблица1[[#This Row],[Обучающая выборка]],1,0)</f>
        <v>0</v>
      </c>
      <c r="BH54" s="40">
        <f>IF(Таблица1[[#This Row],[Номер класса по классификации дискр функции (Python)]]=Таблица1[[#This Row],[Персептрон]],1,0)</f>
        <v>0</v>
      </c>
      <c r="BI54" s="36">
        <v>-0.16318324560476591</v>
      </c>
      <c r="BJ54" s="36">
        <v>-0.28201066764105143</v>
      </c>
      <c r="BK54" s="36">
        <v>-0.14848321222139821</v>
      </c>
      <c r="BL54" s="36">
        <v>-0.63594246338626004</v>
      </c>
      <c r="BM54" s="36">
        <v>-0.35635046340730436</v>
      </c>
      <c r="BN54" s="36">
        <v>0.5272253513661983</v>
      </c>
      <c r="BO54" s="36">
        <v>-0.43042712105981379</v>
      </c>
      <c r="BP54" s="36">
        <v>0.68831539694271471</v>
      </c>
      <c r="BQ54" s="36">
        <v>-0.40050340196851453</v>
      </c>
      <c r="BR54" s="36">
        <v>0.40226139546603218</v>
      </c>
      <c r="BS54" s="36">
        <v>2.0218814039214572</v>
      </c>
      <c r="BT54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6.0068483022589003</v>
      </c>
      <c r="BU54" s="50">
        <v>-0.31517000000000006</v>
      </c>
      <c r="BV54" s="50">
        <v>0.83363000000000009</v>
      </c>
      <c r="BW54" s="50">
        <v>0.59315999999999991</v>
      </c>
      <c r="BX54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1.1461097996659655</v>
      </c>
      <c r="BY54" s="63">
        <v>-0.18646747354294799</v>
      </c>
      <c r="BZ54" s="64">
        <v>1.1333183098806623</v>
      </c>
      <c r="CA54" s="64">
        <v>0.12505152935119382</v>
      </c>
      <c r="CB54" s="64">
        <v>-0.10939625104213842</v>
      </c>
      <c r="CC54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1.3467859349353981</v>
      </c>
    </row>
    <row r="55" spans="1:81" x14ac:dyDescent="0.3">
      <c r="A55" s="22" t="s">
        <v>75</v>
      </c>
      <c r="B55">
        <v>6</v>
      </c>
      <c r="C55">
        <v>4</v>
      </c>
      <c r="D55" s="28">
        <v>5</v>
      </c>
      <c r="E55" s="28">
        <v>2</v>
      </c>
      <c r="F55" s="28">
        <v>5</v>
      </c>
      <c r="G55" s="28">
        <v>2</v>
      </c>
      <c r="H55" s="28">
        <v>5</v>
      </c>
      <c r="I55">
        <v>2</v>
      </c>
      <c r="J55" s="51">
        <v>1</v>
      </c>
      <c r="K55" s="50">
        <v>6</v>
      </c>
      <c r="L55">
        <v>2</v>
      </c>
      <c r="M55" s="49">
        <v>3</v>
      </c>
      <c r="N55" s="65">
        <v>6</v>
      </c>
      <c r="O55" s="66">
        <v>4</v>
      </c>
      <c r="P55" s="66">
        <v>2</v>
      </c>
      <c r="Q55" s="66">
        <v>5</v>
      </c>
      <c r="S55" s="39" t="str">
        <f>RIGHT(Таблица1[[#This Row],[Классификация дискр ф-ции]])</f>
        <v>6</v>
      </c>
      <c r="T55" s="90">
        <v>6</v>
      </c>
      <c r="U55" s="90">
        <f>IF(Таблица1[[#This Row],[Обучающая выборка]]=Таблица1[[#This Row],[Номер класса по классификации дискр функции (Python)]],1,0)</f>
        <v>0</v>
      </c>
      <c r="V55" s="90">
        <f>MATCH(MIN(Таблица1[[#This Row],[Махаланобис 1]:[Махаланобис 6]]),Таблица1[[#This Row],[Махаланобис 1]:[Махаланобис 6]],0)</f>
        <v>6</v>
      </c>
      <c r="W55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55" s="40" t="str">
        <f>RIGHT(Таблица1[[#This Row],[Forward Классификация дискр ф-ции]])</f>
        <v>2</v>
      </c>
      <c r="Y55" s="40">
        <f>MATCH(MIN(Таблица1[[#This Row],[Forward Махаланобис 1]:[Forward Махаланобис 6]]),Таблица1[[#This Row],[Forward Махаланобис 1]:[Forward Махаланобис 6]],0)</f>
        <v>2</v>
      </c>
      <c r="Z55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55" s="90">
        <v>2</v>
      </c>
      <c r="AB55" s="90">
        <f>IF(Таблица1[[#This Row],[Обучающая выборка]]=Таблица1[[#This Row],[Номер класса (пошаговый дискр анализ с включением) Python]],1,0)</f>
        <v>0</v>
      </c>
      <c r="AC55" s="40" t="s">
        <v>129</v>
      </c>
      <c r="AD55" s="41">
        <v>192.65026063734163</v>
      </c>
      <c r="AE55" s="41">
        <v>124.69252917922621</v>
      </c>
      <c r="AF55" s="41">
        <v>172.93771367312044</v>
      </c>
      <c r="AG55" s="42">
        <v>161.80209890241699</v>
      </c>
      <c r="AH55" s="41">
        <v>895.04495066765128</v>
      </c>
      <c r="AI55" s="41">
        <v>101.96092539831223</v>
      </c>
      <c r="AJ55" s="43">
        <v>2.0279522033469993E-20</v>
      </c>
      <c r="AK55" s="43">
        <v>7.7232544502246204E-6</v>
      </c>
      <c r="AL55" s="43">
        <v>7.0929081360781096E-16</v>
      </c>
      <c r="AM55" s="43">
        <v>6.7539783636522325E-14</v>
      </c>
      <c r="AN55" s="43">
        <v>0</v>
      </c>
      <c r="AO55" s="43">
        <v>0.99999227674548152</v>
      </c>
      <c r="AP55" s="40" t="s">
        <v>131</v>
      </c>
      <c r="AQ55" s="42">
        <v>84.494285097121903</v>
      </c>
      <c r="AR55" s="42">
        <v>37.432722299716652</v>
      </c>
      <c r="AS55" s="41">
        <v>86.586242338973932</v>
      </c>
      <c r="AT55" s="42">
        <v>46.858124610731259</v>
      </c>
      <c r="AU55" s="41">
        <v>686.79252547200247</v>
      </c>
      <c r="AV55" s="41">
        <v>45.119881524453348</v>
      </c>
      <c r="AW55" s="43">
        <v>8.695767586223699E-11</v>
      </c>
      <c r="AX55" s="43">
        <v>0.96051727703389223</v>
      </c>
      <c r="AY55" s="43">
        <v>5.601271388260597E-11</v>
      </c>
      <c r="AZ55" s="43">
        <v>8.6259130146096406E-3</v>
      </c>
      <c r="BA55" s="43">
        <v>0</v>
      </c>
      <c r="BB55" s="43">
        <v>3.0856809808527709E-2</v>
      </c>
      <c r="BC55" s="40">
        <v>3</v>
      </c>
      <c r="BD55" s="40">
        <v>3</v>
      </c>
      <c r="BE55" s="40">
        <f>IF(Таблица1[[#This Row],[Neuron id (Кохонен)]]=Таблица1[[#This Row],[Кохонен 2020]],1,0)</f>
        <v>1</v>
      </c>
      <c r="BF55" s="28">
        <v>4</v>
      </c>
      <c r="BG55" s="40">
        <f>IF(Таблица1[[#This Row],[Персептрон]]=Таблица1[[#This Row],[Обучающая выборка]],1,0)</f>
        <v>0</v>
      </c>
      <c r="BH55" s="40">
        <f>IF(Таблица1[[#This Row],[Номер класса по классификации дискр функции (Python)]]=Таблица1[[#This Row],[Персептрон]],1,0)</f>
        <v>0</v>
      </c>
      <c r="BI55" s="36">
        <v>0.16724955316120294</v>
      </c>
      <c r="BJ55" s="36">
        <v>-1.4842526493769735E-2</v>
      </c>
      <c r="BK55" s="36">
        <v>-0.42597263182946482</v>
      </c>
      <c r="BL55" s="36">
        <v>8.0917410215812113E-2</v>
      </c>
      <c r="BM55" s="36">
        <v>-1.8738603083336174</v>
      </c>
      <c r="BN55" s="36">
        <v>1.318952178797878</v>
      </c>
      <c r="BO55" s="36">
        <v>0.67292155123448771</v>
      </c>
      <c r="BP55" s="36">
        <v>-0.16945088880141373</v>
      </c>
      <c r="BQ55" s="36">
        <v>0.4308084355292171</v>
      </c>
      <c r="BR55" s="36">
        <v>0.33996890612869746</v>
      </c>
      <c r="BS55" s="36">
        <v>1.2353923500703605</v>
      </c>
      <c r="BT55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7.7760863707741752</v>
      </c>
      <c r="BU55" s="50">
        <v>8.6510000000000004E-2</v>
      </c>
      <c r="BV55" s="50">
        <v>1.35903</v>
      </c>
      <c r="BW55" s="50">
        <v>-0.8137700000000001</v>
      </c>
      <c r="BX55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2.5166686858577303</v>
      </c>
      <c r="BY55" s="63">
        <v>-4.5145227051949455E-2</v>
      </c>
      <c r="BZ55" s="64">
        <v>0.41154290021220158</v>
      </c>
      <c r="CA55" s="64">
        <v>1.2051994076590491</v>
      </c>
      <c r="CB55" s="64">
        <v>0.31925408737069128</v>
      </c>
      <c r="CC55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1.7258344347652581</v>
      </c>
    </row>
    <row r="56" spans="1:81" x14ac:dyDescent="0.3">
      <c r="A56" s="22" t="s">
        <v>76</v>
      </c>
      <c r="B56">
        <v>3</v>
      </c>
      <c r="C56">
        <v>1</v>
      </c>
      <c r="D56" s="28">
        <v>5</v>
      </c>
      <c r="E56" s="28">
        <v>2</v>
      </c>
      <c r="F56" s="28">
        <v>4</v>
      </c>
      <c r="G56" s="28">
        <v>5</v>
      </c>
      <c r="H56" s="28">
        <v>1</v>
      </c>
      <c r="I56">
        <v>4</v>
      </c>
      <c r="J56" s="51">
        <v>3</v>
      </c>
      <c r="K56" s="50">
        <v>4</v>
      </c>
      <c r="L56">
        <v>1</v>
      </c>
      <c r="M56" s="49">
        <v>2</v>
      </c>
      <c r="N56" s="65">
        <v>4</v>
      </c>
      <c r="O56" s="66">
        <v>5</v>
      </c>
      <c r="P56" s="66">
        <v>5</v>
      </c>
      <c r="Q56" s="66">
        <v>1</v>
      </c>
      <c r="S56" s="39" t="str">
        <f>RIGHT(Таблица1[[#This Row],[Классификация дискр ф-ции]])</f>
        <v>3</v>
      </c>
      <c r="T56" s="90">
        <v>3</v>
      </c>
      <c r="U56" s="90">
        <f>IF(Таблица1[[#This Row],[Обучающая выборка]]=Таблица1[[#This Row],[Номер класса по классификации дискр функции (Python)]],1,0)</f>
        <v>0</v>
      </c>
      <c r="V56" s="90">
        <f>MATCH(MIN(Таблица1[[#This Row],[Махаланобис 1]:[Махаланобис 6]]),Таблица1[[#This Row],[Махаланобис 1]:[Махаланобис 6]],0)</f>
        <v>3</v>
      </c>
      <c r="W56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56" s="40" t="str">
        <f>RIGHT(Таблица1[[#This Row],[Forward Классификация дискр ф-ции]])</f>
        <v>3</v>
      </c>
      <c r="Y56" s="40">
        <f>MATCH(MIN(Таблица1[[#This Row],[Forward Махаланобис 1]:[Forward Махаланобис 6]]),Таблица1[[#This Row],[Forward Махаланобис 1]:[Forward Махаланобис 6]],0)</f>
        <v>3</v>
      </c>
      <c r="Z56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56" s="90">
        <v>3</v>
      </c>
      <c r="AB56" s="90">
        <f>IF(Таблица1[[#This Row],[Обучающая выборка]]=Таблица1[[#This Row],[Номер класса (пошаговый дискр анализ с включением) Python]],1,0)</f>
        <v>0</v>
      </c>
      <c r="AC56" s="40" t="s">
        <v>128</v>
      </c>
      <c r="AD56" s="41">
        <v>63.23773757814461</v>
      </c>
      <c r="AE56" s="41">
        <v>58.893228843315377</v>
      </c>
      <c r="AF56" s="41">
        <v>29.855979261469759</v>
      </c>
      <c r="AG56" s="42">
        <v>154.04999193781964</v>
      </c>
      <c r="AH56" s="41">
        <v>1197.1144669048338</v>
      </c>
      <c r="AI56" s="41">
        <v>52.708308459090048</v>
      </c>
      <c r="AJ56" s="43">
        <v>3.0760909608837297E-8</v>
      </c>
      <c r="AK56" s="43">
        <v>1.800138828148452E-7</v>
      </c>
      <c r="AL56" s="43">
        <v>0.99999384033908401</v>
      </c>
      <c r="AM56" s="43">
        <v>3.9109065224546337E-28</v>
      </c>
      <c r="AN56" s="43">
        <v>0</v>
      </c>
      <c r="AO56" s="43">
        <v>5.9488861235362782E-6</v>
      </c>
      <c r="AP56" s="40" t="s">
        <v>128</v>
      </c>
      <c r="AQ56" s="42">
        <v>46.723798596140504</v>
      </c>
      <c r="AR56" s="42">
        <v>38.785043266012792</v>
      </c>
      <c r="AS56" s="41">
        <v>9.0094044527534045</v>
      </c>
      <c r="AT56" s="42">
        <v>137.02699208310295</v>
      </c>
      <c r="AU56" s="41">
        <v>1075.4415863736165</v>
      </c>
      <c r="AV56" s="41">
        <v>15.952114698014608</v>
      </c>
      <c r="AW56" s="43">
        <v>3.4664289472466033E-9</v>
      </c>
      <c r="AX56" s="43">
        <v>1.2236856303912131E-7</v>
      </c>
      <c r="AY56" s="43">
        <v>0.98333244720505064</v>
      </c>
      <c r="AZ56" s="43">
        <v>5.6846237979505122E-29</v>
      </c>
      <c r="BA56" s="43">
        <v>0</v>
      </c>
      <c r="BB56" s="43">
        <v>1.6667426959957352E-2</v>
      </c>
      <c r="BC56" s="40">
        <v>5</v>
      </c>
      <c r="BD56" s="40">
        <v>5</v>
      </c>
      <c r="BE56" s="40">
        <f>IF(Таблица1[[#This Row],[Neuron id (Кохонен)]]=Таблица1[[#This Row],[Кохонен 2020]],1,0)</f>
        <v>1</v>
      </c>
      <c r="BF56" s="28">
        <v>3</v>
      </c>
      <c r="BG56" s="40">
        <f>IF(Таблица1[[#This Row],[Персептрон]]=Таблица1[[#This Row],[Обучающая выборка]],1,0)</f>
        <v>0</v>
      </c>
      <c r="BH56" s="40">
        <f>IF(Таблица1[[#This Row],[Номер класса по классификации дискр функции (Python)]]=Таблица1[[#This Row],[Персептрон]],1,0)</f>
        <v>1</v>
      </c>
      <c r="BI56" s="36">
        <v>-0.43445955006194031</v>
      </c>
      <c r="BJ56" s="36">
        <v>-0.21297817254480786</v>
      </c>
      <c r="BK56" s="36">
        <v>-0.45580687347361021</v>
      </c>
      <c r="BL56" s="36">
        <v>-0.69406623692156255</v>
      </c>
      <c r="BM56" s="36">
        <v>0.66691612683854473</v>
      </c>
      <c r="BN56" s="36">
        <v>-1.2745769729128533</v>
      </c>
      <c r="BO56" s="36">
        <v>-0.55963414802127021</v>
      </c>
      <c r="BP56" s="36">
        <v>0.61683487313070362</v>
      </c>
      <c r="BQ56" s="36">
        <v>-1.2800741787707419</v>
      </c>
      <c r="BR56" s="36">
        <v>-0.37934554444769636</v>
      </c>
      <c r="BS56" s="36">
        <v>-7.3546512803568845E-2</v>
      </c>
      <c r="BT56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5.4745039050129485</v>
      </c>
      <c r="BU56" s="50">
        <v>-0.68588000000000005</v>
      </c>
      <c r="BV56" s="50">
        <v>-0.93345999999999996</v>
      </c>
      <c r="BW56" s="50">
        <v>0.57917000000000007</v>
      </c>
      <c r="BX56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1.6772161562200827</v>
      </c>
      <c r="BY56" s="63">
        <v>-0.150473659871601</v>
      </c>
      <c r="BZ56" s="64">
        <v>0.15909090451359026</v>
      </c>
      <c r="CA56" s="64">
        <v>-0.8830134595376119</v>
      </c>
      <c r="CB56" s="64">
        <v>-0.98982134151675039</v>
      </c>
      <c r="CC56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1.8074112960607076</v>
      </c>
    </row>
    <row r="57" spans="1:81" x14ac:dyDescent="0.3">
      <c r="A57" s="22" t="s">
        <v>77</v>
      </c>
      <c r="B57">
        <v>3</v>
      </c>
      <c r="C57">
        <v>1</v>
      </c>
      <c r="D57" s="28">
        <v>5</v>
      </c>
      <c r="E57" s="28">
        <v>2</v>
      </c>
      <c r="F57" s="28">
        <v>4</v>
      </c>
      <c r="G57" s="28">
        <v>5</v>
      </c>
      <c r="H57" s="28">
        <v>1</v>
      </c>
      <c r="I57">
        <v>4</v>
      </c>
      <c r="J57" s="51">
        <v>3</v>
      </c>
      <c r="K57" s="50">
        <v>4</v>
      </c>
      <c r="L57">
        <v>1</v>
      </c>
      <c r="M57" s="49">
        <v>2</v>
      </c>
      <c r="N57" s="65">
        <v>4</v>
      </c>
      <c r="O57" s="66">
        <v>5</v>
      </c>
      <c r="P57" s="66">
        <v>5</v>
      </c>
      <c r="Q57" s="66">
        <v>1</v>
      </c>
      <c r="S57" s="39" t="str">
        <f>RIGHT(Таблица1[[#This Row],[Классификация дискр ф-ции]])</f>
        <v>3</v>
      </c>
      <c r="T57" s="90">
        <v>3</v>
      </c>
      <c r="U57" s="90">
        <f>IF(Таблица1[[#This Row],[Обучающая выборка]]=Таблица1[[#This Row],[Номер класса по классификации дискр функции (Python)]],1,0)</f>
        <v>0</v>
      </c>
      <c r="V57" s="90">
        <f>MATCH(MIN(Таблица1[[#This Row],[Махаланобис 1]:[Махаланобис 6]]),Таблица1[[#This Row],[Махаланобис 1]:[Махаланобис 6]],0)</f>
        <v>3</v>
      </c>
      <c r="W57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57" s="40" t="str">
        <f>RIGHT(Таблица1[[#This Row],[Forward Классификация дискр ф-ции]])</f>
        <v>3</v>
      </c>
      <c r="Y57" s="40">
        <f>MATCH(MIN(Таблица1[[#This Row],[Forward Махаланобис 1]:[Forward Махаланобис 6]]),Таблица1[[#This Row],[Forward Махаланобис 1]:[Forward Махаланобис 6]],0)</f>
        <v>3</v>
      </c>
      <c r="Z57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57" s="90">
        <v>3</v>
      </c>
      <c r="AB57" s="90">
        <f>IF(Таблица1[[#This Row],[Обучающая выборка]]=Таблица1[[#This Row],[Номер класса (пошаговый дискр анализ с включением) Python]],1,0)</f>
        <v>0</v>
      </c>
      <c r="AC57" s="40" t="s">
        <v>128</v>
      </c>
      <c r="AD57" s="41">
        <v>31.66914140379123</v>
      </c>
      <c r="AE57" s="41">
        <v>63.207312528628577</v>
      </c>
      <c r="AF57" s="41">
        <v>18.260879976710623</v>
      </c>
      <c r="AG57" s="42">
        <v>131.98092395298414</v>
      </c>
      <c r="AH57" s="41">
        <v>1123.8414991736827</v>
      </c>
      <c r="AI57" s="41">
        <v>46.242771813563522</v>
      </c>
      <c r="AJ57" s="43">
        <v>6.681917398309046E-4</v>
      </c>
      <c r="AK57" s="43">
        <v>6.3151402366511843E-11</v>
      </c>
      <c r="AL57" s="43">
        <v>0.99933135081670343</v>
      </c>
      <c r="AM57" s="43">
        <v>7.3516196184464418E-26</v>
      </c>
      <c r="AN57" s="43">
        <v>0</v>
      </c>
      <c r="AO57" s="43">
        <v>4.5738031417102147E-7</v>
      </c>
      <c r="AP57" s="40" t="s">
        <v>128</v>
      </c>
      <c r="AQ57" s="42">
        <v>19.154926103893729</v>
      </c>
      <c r="AR57" s="42">
        <v>34.205404743070609</v>
      </c>
      <c r="AS57" s="41">
        <v>7.9864271651554581</v>
      </c>
      <c r="AT57" s="42">
        <v>73.217673934579537</v>
      </c>
      <c r="AU57" s="41">
        <v>920.23913647305403</v>
      </c>
      <c r="AV57" s="41">
        <v>24.346555884113375</v>
      </c>
      <c r="AW57" s="43">
        <v>2.04453386935661E-3</v>
      </c>
      <c r="AX57" s="43">
        <v>7.3507751558724553E-7</v>
      </c>
      <c r="AY57" s="43">
        <v>0.99780223934591195</v>
      </c>
      <c r="AZ57" s="43">
        <v>2.4827130133694733E-15</v>
      </c>
      <c r="BA57" s="43">
        <v>0</v>
      </c>
      <c r="BB57" s="43">
        <v>1.5249170721344009E-4</v>
      </c>
      <c r="BC57" s="40">
        <v>5</v>
      </c>
      <c r="BD57" s="40">
        <v>5</v>
      </c>
      <c r="BE57" s="40">
        <f>IF(Таблица1[[#This Row],[Neuron id (Кохонен)]]=Таблица1[[#This Row],[Кохонен 2020]],1,0)</f>
        <v>1</v>
      </c>
      <c r="BF57" s="28">
        <v>3</v>
      </c>
      <c r="BG57" s="40">
        <f>IF(Таблица1[[#This Row],[Персептрон]]=Таблица1[[#This Row],[Обучающая выборка]],1,0)</f>
        <v>0</v>
      </c>
      <c r="BH57" s="40">
        <f>IF(Таблица1[[#This Row],[Номер класса по классификации дискр функции (Python)]]=Таблица1[[#This Row],[Персептрон]],1,0)</f>
        <v>1</v>
      </c>
      <c r="BI57" s="36">
        <v>-0.38179683299703687</v>
      </c>
      <c r="BJ57" s="36">
        <v>-0.38718784315364485</v>
      </c>
      <c r="BK57" s="36">
        <v>-0.31227012235551993</v>
      </c>
      <c r="BL57" s="36">
        <v>-0.17095227510383548</v>
      </c>
      <c r="BM57" s="36">
        <v>-3.0580628394172638E-3</v>
      </c>
      <c r="BN57" s="36">
        <v>-0.48474515493338244</v>
      </c>
      <c r="BO57" s="36">
        <v>-0.99551823909141235</v>
      </c>
      <c r="BP57" s="36">
        <v>-9.79703649894033E-2</v>
      </c>
      <c r="BQ57" s="36">
        <v>-0.10912119572536991</v>
      </c>
      <c r="BR57" s="36">
        <v>-1.2890916638372876</v>
      </c>
      <c r="BS57" s="36">
        <v>0.10345762108085031</v>
      </c>
      <c r="BT57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3.3424307635022155</v>
      </c>
      <c r="BU57" s="50">
        <v>-0.55884000000000011</v>
      </c>
      <c r="BV57" s="50">
        <v>-0.53789000000000009</v>
      </c>
      <c r="BW57" s="50">
        <v>0.58284000000000002</v>
      </c>
      <c r="BX57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0.94132973661537722</v>
      </c>
      <c r="BY57" s="63">
        <v>-0.44447996185923871</v>
      </c>
      <c r="BZ57" s="64">
        <v>-1.2949870794165305E-2</v>
      </c>
      <c r="CA57" s="64">
        <v>-0.68908513860273857</v>
      </c>
      <c r="CB57" s="64">
        <v>-0.32656124977468654</v>
      </c>
      <c r="CC57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0.77921071374553652</v>
      </c>
    </row>
    <row r="58" spans="1:81" x14ac:dyDescent="0.3">
      <c r="A58" s="22" t="s">
        <v>78</v>
      </c>
      <c r="B58">
        <v>3</v>
      </c>
      <c r="C58">
        <v>1</v>
      </c>
      <c r="D58" s="28">
        <v>5</v>
      </c>
      <c r="E58" s="28">
        <v>2</v>
      </c>
      <c r="F58" s="28">
        <v>4</v>
      </c>
      <c r="G58" s="28">
        <v>5</v>
      </c>
      <c r="H58" s="28">
        <v>1</v>
      </c>
      <c r="I58">
        <v>4</v>
      </c>
      <c r="J58" s="51">
        <v>3</v>
      </c>
      <c r="K58" s="50">
        <v>4</v>
      </c>
      <c r="L58">
        <v>1</v>
      </c>
      <c r="M58" s="49">
        <v>2</v>
      </c>
      <c r="N58" s="65">
        <v>4</v>
      </c>
      <c r="O58" s="66">
        <v>5</v>
      </c>
      <c r="P58" s="66">
        <v>5</v>
      </c>
      <c r="Q58" s="66">
        <v>1</v>
      </c>
      <c r="S58" s="39" t="str">
        <f>RIGHT(Таблица1[[#This Row],[Классификация дискр ф-ции]])</f>
        <v>3</v>
      </c>
      <c r="T58" s="90">
        <v>3</v>
      </c>
      <c r="U58" s="90">
        <f>IF(Таблица1[[#This Row],[Обучающая выборка]]=Таблица1[[#This Row],[Номер класса по классификации дискр функции (Python)]],1,0)</f>
        <v>0</v>
      </c>
      <c r="V58" s="90">
        <f>MATCH(MIN(Таблица1[[#This Row],[Махаланобис 1]:[Махаланобис 6]]),Таблица1[[#This Row],[Махаланобис 1]:[Махаланобис 6]],0)</f>
        <v>3</v>
      </c>
      <c r="W58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58" s="40" t="str">
        <f>RIGHT(Таблица1[[#This Row],[Forward Классификация дискр ф-ции]])</f>
        <v>3</v>
      </c>
      <c r="Y58" s="40">
        <f>MATCH(MIN(Таблица1[[#This Row],[Forward Махаланобис 1]:[Forward Махаланобис 6]]),Таблица1[[#This Row],[Forward Махаланобис 1]:[Forward Махаланобис 6]],0)</f>
        <v>3</v>
      </c>
      <c r="Z58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58" s="90">
        <v>3</v>
      </c>
      <c r="AB58" s="90">
        <f>IF(Таблица1[[#This Row],[Обучающая выборка]]=Таблица1[[#This Row],[Номер класса (пошаговый дискр анализ с включением) Python]],1,0)</f>
        <v>0</v>
      </c>
      <c r="AC58" s="40" t="s">
        <v>128</v>
      </c>
      <c r="AD58" s="41">
        <v>42.777177066405216</v>
      </c>
      <c r="AE58" s="41">
        <v>77.042204219416675</v>
      </c>
      <c r="AF58" s="41">
        <v>37.609893244396225</v>
      </c>
      <c r="AG58" s="42">
        <v>82.792961781028595</v>
      </c>
      <c r="AH58" s="41">
        <v>1031.0225899713746</v>
      </c>
      <c r="AI58" s="41">
        <v>77.757126715686226</v>
      </c>
      <c r="AJ58" s="43">
        <v>3.9552222751280536E-2</v>
      </c>
      <c r="AK58" s="43">
        <v>9.5614449402773484E-10</v>
      </c>
      <c r="AL58" s="43">
        <v>0.96044777523549085</v>
      </c>
      <c r="AM58" s="43">
        <v>5.392155284290974E-11</v>
      </c>
      <c r="AN58" s="43">
        <v>0</v>
      </c>
      <c r="AO58" s="43">
        <v>1.0031626175574982E-9</v>
      </c>
      <c r="AP58" s="40" t="s">
        <v>128</v>
      </c>
      <c r="AQ58" s="42">
        <v>18.284001600141455</v>
      </c>
      <c r="AR58" s="42">
        <v>56.85861659170989</v>
      </c>
      <c r="AS58" s="41">
        <v>11.685038113724435</v>
      </c>
      <c r="AT58" s="42">
        <v>71.324130391164005</v>
      </c>
      <c r="AU58" s="41">
        <v>931.33778841443416</v>
      </c>
      <c r="AV58" s="41">
        <v>39.39197526216828</v>
      </c>
      <c r="AW58" s="43">
        <v>1.9731347163741988E-2</v>
      </c>
      <c r="AX58" s="43">
        <v>5.5296069537121515E-11</v>
      </c>
      <c r="AY58" s="43">
        <v>0.98026813800467993</v>
      </c>
      <c r="AZ58" s="43">
        <v>3.9952858036020221E-14</v>
      </c>
      <c r="BA58" s="43">
        <v>0</v>
      </c>
      <c r="BB58" s="43">
        <v>5.1477624196148672E-7</v>
      </c>
      <c r="BC58" s="40">
        <v>5</v>
      </c>
      <c r="BD58" s="40">
        <v>5</v>
      </c>
      <c r="BE58" s="40">
        <f>IF(Таблица1[[#This Row],[Neuron id (Кохонен)]]=Таблица1[[#This Row],[Кохонен 2020]],1,0)</f>
        <v>1</v>
      </c>
      <c r="BF58" s="28">
        <v>3</v>
      </c>
      <c r="BG58" s="40">
        <f>IF(Таблица1[[#This Row],[Персептрон]]=Таблица1[[#This Row],[Обучающая выборка]],1,0)</f>
        <v>0</v>
      </c>
      <c r="BH58" s="40">
        <f>IF(Таблица1[[#This Row],[Номер класса по классификации дискр функции (Python)]]=Таблица1[[#This Row],[Персептрон]],1,0)</f>
        <v>1</v>
      </c>
      <c r="BI58" s="36">
        <v>-0.35174256124456216</v>
      </c>
      <c r="BJ58" s="36">
        <v>-0.29217066234457423</v>
      </c>
      <c r="BK58" s="36">
        <v>0.84009776644040768</v>
      </c>
      <c r="BL58" s="36">
        <v>0.48778382496293271</v>
      </c>
      <c r="BM58" s="36">
        <v>-0.32340091309527341</v>
      </c>
      <c r="BN58" s="36">
        <v>-1.3013157687062542</v>
      </c>
      <c r="BO58" s="36">
        <v>-0.63846133347570466</v>
      </c>
      <c r="BP58" s="36">
        <v>0.29517251597665539</v>
      </c>
      <c r="BQ58" s="36">
        <v>-0.72431423743639434</v>
      </c>
      <c r="BR58" s="36">
        <v>0.58735638268514168</v>
      </c>
      <c r="BS58" s="36">
        <v>0.29129623555598438</v>
      </c>
      <c r="BT58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4.4000265430884822</v>
      </c>
      <c r="BU58" s="50">
        <v>8.4330000000000002E-2</v>
      </c>
      <c r="BV58" s="50">
        <v>-0.39680000000000004</v>
      </c>
      <c r="BW58" s="50">
        <v>0.86340000000000006</v>
      </c>
      <c r="BX58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0.91002109206714188</v>
      </c>
      <c r="BY58" s="63">
        <v>-0.2163054048224122</v>
      </c>
      <c r="BZ58" s="64">
        <v>0.19957158416687718</v>
      </c>
      <c r="CA58" s="64">
        <v>-0.94815174363317922</v>
      </c>
      <c r="CB58" s="64">
        <v>0.37193152673405278</v>
      </c>
      <c r="CC58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1.1239416348956259</v>
      </c>
    </row>
    <row r="59" spans="1:81" x14ac:dyDescent="0.3">
      <c r="A59" s="22" t="s">
        <v>79</v>
      </c>
      <c r="B59">
        <v>4</v>
      </c>
      <c r="C59">
        <v>6</v>
      </c>
      <c r="D59" s="28">
        <v>5</v>
      </c>
      <c r="E59" s="28">
        <v>2</v>
      </c>
      <c r="F59" s="28">
        <v>5</v>
      </c>
      <c r="G59" s="28">
        <v>2</v>
      </c>
      <c r="H59" s="28">
        <v>4</v>
      </c>
      <c r="I59">
        <v>2</v>
      </c>
      <c r="J59" s="51">
        <v>6</v>
      </c>
      <c r="K59" s="50">
        <v>5</v>
      </c>
      <c r="L59">
        <v>3</v>
      </c>
      <c r="M59" s="49">
        <v>1</v>
      </c>
      <c r="N59" s="65">
        <v>6</v>
      </c>
      <c r="O59" s="66">
        <v>2</v>
      </c>
      <c r="P59" s="66">
        <v>5</v>
      </c>
      <c r="Q59" s="66">
        <v>6</v>
      </c>
      <c r="R59">
        <v>4</v>
      </c>
      <c r="S59" s="39" t="str">
        <f>RIGHT(Таблица1[[#This Row],[Классификация дискр ф-ции]])</f>
        <v>4</v>
      </c>
      <c r="T59" s="90">
        <v>4</v>
      </c>
      <c r="U59" s="90">
        <f>IF(Таблица1[[#This Row],[Обучающая выборка]]=Таблица1[[#This Row],[Номер класса по классификации дискр функции (Python)]],1,0)</f>
        <v>1</v>
      </c>
      <c r="V59" s="90">
        <f>MATCH(MIN(Таблица1[[#This Row],[Махаланобис 1]:[Махаланобис 6]]),Таблица1[[#This Row],[Махаланобис 1]:[Махаланобис 6]],0)</f>
        <v>4</v>
      </c>
      <c r="W59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4</v>
      </c>
      <c r="X59" s="40" t="str">
        <f>RIGHT(Таблица1[[#This Row],[Forward Классификация дискр ф-ции]])</f>
        <v>4</v>
      </c>
      <c r="Y59" s="40">
        <f>MATCH(MIN(Таблица1[[#This Row],[Forward Махаланобис 1]:[Forward Махаланобис 6]]),Таблица1[[#This Row],[Forward Махаланобис 1]:[Forward Махаланобис 6]],0)</f>
        <v>4</v>
      </c>
      <c r="Z59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4</v>
      </c>
      <c r="AA59" s="90">
        <v>4</v>
      </c>
      <c r="AB59" s="90">
        <f>IF(Таблица1[[#This Row],[Обучающая выборка]]=Таблица1[[#This Row],[Номер класса (пошаговый дискр анализ с включением) Python]],1,0)</f>
        <v>1</v>
      </c>
      <c r="AC59" s="40" t="s">
        <v>132</v>
      </c>
      <c r="AD59" s="41">
        <v>116.28831119145659</v>
      </c>
      <c r="AE59" s="41">
        <v>97.858492880592024</v>
      </c>
      <c r="AF59" s="41">
        <v>158.02946387909</v>
      </c>
      <c r="AG59" s="42">
        <v>17.888655321927953</v>
      </c>
      <c r="AH59" s="41">
        <v>549.04431561860963</v>
      </c>
      <c r="AI59" s="41">
        <v>132.55295657490541</v>
      </c>
      <c r="AJ59" s="43">
        <v>6.4398755745840639E-22</v>
      </c>
      <c r="AK59" s="43">
        <v>4.3129101908835453E-18</v>
      </c>
      <c r="AL59" s="43">
        <v>1.0189262970486742E-30</v>
      </c>
      <c r="AM59" s="43">
        <v>1</v>
      </c>
      <c r="AN59" s="43">
        <v>0</v>
      </c>
      <c r="AO59" s="43">
        <v>1.8925815687748573E-25</v>
      </c>
      <c r="AP59" s="40" t="s">
        <v>132</v>
      </c>
      <c r="AQ59" s="42">
        <v>87.332618584068683</v>
      </c>
      <c r="AR59" s="42">
        <v>73.249795196567007</v>
      </c>
      <c r="AS59" s="41">
        <v>125.13145459959054</v>
      </c>
      <c r="AT59" s="42">
        <v>14.298228715797144</v>
      </c>
      <c r="AU59" s="41">
        <v>499.40001254406849</v>
      </c>
      <c r="AV59" s="41">
        <v>106.77798093201672</v>
      </c>
      <c r="AW59" s="43">
        <v>2.0743164171268396E-16</v>
      </c>
      <c r="AX59" s="43">
        <v>1.5806291572000271E-13</v>
      </c>
      <c r="AY59" s="43">
        <v>2.3561529938284683E-24</v>
      </c>
      <c r="AZ59" s="43">
        <v>0.99999999999984179</v>
      </c>
      <c r="BA59" s="43">
        <v>0</v>
      </c>
      <c r="BB59" s="43">
        <v>1.2427055027490793E-20</v>
      </c>
      <c r="BC59" s="40">
        <v>2</v>
      </c>
      <c r="BD59" s="40">
        <v>2</v>
      </c>
      <c r="BE59" s="40">
        <f>IF(Таблица1[[#This Row],[Neuron id (Кохонен)]]=Таблица1[[#This Row],[Кохонен 2020]],1,0)</f>
        <v>1</v>
      </c>
      <c r="BF59" s="28">
        <v>4</v>
      </c>
      <c r="BG59" s="40">
        <f>IF(Таблица1[[#This Row],[Персептрон]]=Таблица1[[#This Row],[Обучающая выборка]],1,0)</f>
        <v>1</v>
      </c>
      <c r="BH59" s="40">
        <f>IF(Таблица1[[#This Row],[Номер класса по классификации дискр функции (Python)]]=Таблица1[[#This Row],[Персептрон]],1,0)</f>
        <v>1</v>
      </c>
      <c r="BI59" s="36">
        <v>0.54798180888002046</v>
      </c>
      <c r="BJ59" s="36">
        <v>0.90769326508020032</v>
      </c>
      <c r="BK59" s="36">
        <v>-9.4521325116507515E-2</v>
      </c>
      <c r="BL59" s="36">
        <v>0.97214860442379192</v>
      </c>
      <c r="BM59" s="36">
        <v>-0.18977218127425913</v>
      </c>
      <c r="BN59" s="36">
        <v>-0.67380492384385338</v>
      </c>
      <c r="BO59" s="36">
        <v>-1.3126465775883751</v>
      </c>
      <c r="BP59" s="36">
        <v>-1.6348016269476331</v>
      </c>
      <c r="BQ59" s="36">
        <v>-0.58531434914316705</v>
      </c>
      <c r="BR59" s="36">
        <v>1.5669659927009902</v>
      </c>
      <c r="BS59" s="36">
        <v>-0.86799284375413721</v>
      </c>
      <c r="BT59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10.515229156029889</v>
      </c>
      <c r="BU59" s="50">
        <v>1.1212299999999999</v>
      </c>
      <c r="BV59" s="50">
        <v>-1.17252</v>
      </c>
      <c r="BW59" s="50">
        <v>-0.27531000000000005</v>
      </c>
      <c r="BX59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2.707755775929495</v>
      </c>
      <c r="BY59" s="63">
        <v>0.64128775949397099</v>
      </c>
      <c r="BZ59" s="64">
        <v>-1.2204209043791268</v>
      </c>
      <c r="CA59" s="64">
        <v>-0.6845627084398046</v>
      </c>
      <c r="CB59" s="64">
        <v>0.38338933003363634</v>
      </c>
      <c r="CC59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2.5162906544924444</v>
      </c>
    </row>
    <row r="60" spans="1:81" ht="14.4" customHeight="1" x14ac:dyDescent="0.3">
      <c r="A60" s="22" t="s">
        <v>80</v>
      </c>
      <c r="B60">
        <v>6</v>
      </c>
      <c r="C60">
        <v>3</v>
      </c>
      <c r="D60" s="28">
        <v>3</v>
      </c>
      <c r="E60" s="28">
        <v>3</v>
      </c>
      <c r="F60" s="28">
        <v>2</v>
      </c>
      <c r="G60" s="28">
        <v>3</v>
      </c>
      <c r="H60" s="28">
        <v>3</v>
      </c>
      <c r="I60">
        <v>5</v>
      </c>
      <c r="J60" s="51">
        <v>1</v>
      </c>
      <c r="K60" s="50">
        <v>6</v>
      </c>
      <c r="L60">
        <v>1</v>
      </c>
      <c r="M60" s="49">
        <v>1</v>
      </c>
      <c r="N60" s="65">
        <v>5</v>
      </c>
      <c r="O60" s="66">
        <v>4</v>
      </c>
      <c r="P60" s="66">
        <v>2</v>
      </c>
      <c r="Q60" s="66">
        <v>5</v>
      </c>
      <c r="S60" s="39" t="str">
        <f>RIGHT(Таблица1[[#This Row],[Классификация дискр ф-ции]])</f>
        <v>2</v>
      </c>
      <c r="T60" s="90">
        <v>2</v>
      </c>
      <c r="U60" s="90">
        <f>IF(Таблица1[[#This Row],[Обучающая выборка]]=Таблица1[[#This Row],[Номер класса по классификации дискр функции (Python)]],1,0)</f>
        <v>0</v>
      </c>
      <c r="V60" s="90">
        <f>MATCH(MIN(Таблица1[[#This Row],[Махаланобис 1]:[Махаланобис 6]]),Таблица1[[#This Row],[Махаланобис 1]:[Махаланобис 6]],0)</f>
        <v>2</v>
      </c>
      <c r="W60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60" s="40" t="str">
        <f>RIGHT(Таблица1[[#This Row],[Forward Классификация дискр ф-ции]])</f>
        <v>2</v>
      </c>
      <c r="Y60" s="40">
        <f>MATCH(MIN(Таблица1[[#This Row],[Forward Махаланобис 1]:[Forward Махаланобис 6]]),Таблица1[[#This Row],[Forward Махаланобис 1]:[Forward Махаланобис 6]],0)</f>
        <v>2</v>
      </c>
      <c r="Z60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60" s="90">
        <v>2</v>
      </c>
      <c r="AB60" s="90">
        <f>IF(Таблица1[[#This Row],[Обучающая выборка]]=Таблица1[[#This Row],[Номер класса (пошаговый дискр анализ с включением) Python]],1,0)</f>
        <v>0</v>
      </c>
      <c r="AC60" s="40" t="s">
        <v>131</v>
      </c>
      <c r="AD60" s="41">
        <v>454.24944317745695</v>
      </c>
      <c r="AE60" s="41">
        <v>222.02376147389182</v>
      </c>
      <c r="AF60" s="41">
        <v>422.84843576249835</v>
      </c>
      <c r="AG60" s="42">
        <v>365.36793456313546</v>
      </c>
      <c r="AH60" s="41">
        <v>1121.6301110250345</v>
      </c>
      <c r="AI60" s="41">
        <v>248.60003012315039</v>
      </c>
      <c r="AJ60" s="43">
        <v>0</v>
      </c>
      <c r="AK60" s="43">
        <v>0.99999745828563624</v>
      </c>
      <c r="AL60" s="43">
        <v>0</v>
      </c>
      <c r="AM60" s="43">
        <v>7.4680497653538049E-32</v>
      </c>
      <c r="AN60" s="43">
        <v>0</v>
      </c>
      <c r="AO60" s="43">
        <v>2.541714363777203E-6</v>
      </c>
      <c r="AP60" s="40" t="s">
        <v>131</v>
      </c>
      <c r="AQ60" s="42">
        <v>310.11666178811549</v>
      </c>
      <c r="AR60" s="42">
        <v>132.75523494826274</v>
      </c>
      <c r="AS60" s="41">
        <v>293.44686011945259</v>
      </c>
      <c r="AT60" s="42">
        <v>297.37672609197335</v>
      </c>
      <c r="AU60" s="41">
        <v>1016.7623354804856</v>
      </c>
      <c r="AV60" s="41">
        <v>157.97733012541343</v>
      </c>
      <c r="AW60" s="43">
        <v>0</v>
      </c>
      <c r="AX60" s="43">
        <v>0.99999499757359833</v>
      </c>
      <c r="AY60" s="43">
        <v>0</v>
      </c>
      <c r="AZ60" s="43">
        <v>0</v>
      </c>
      <c r="BA60" s="43">
        <v>0</v>
      </c>
      <c r="BB60" s="43">
        <v>5.0024264016724985E-6</v>
      </c>
      <c r="BC60" s="40">
        <v>2</v>
      </c>
      <c r="BD60" s="40">
        <v>2</v>
      </c>
      <c r="BE60" s="40">
        <f>IF(Таблица1[[#This Row],[Neuron id (Кохонен)]]=Таблица1[[#This Row],[Кохонен 2020]],1,0)</f>
        <v>1</v>
      </c>
      <c r="BF60" s="28">
        <v>2</v>
      </c>
      <c r="BG60" s="40">
        <f>IF(Таблица1[[#This Row],[Персептрон]]=Таблица1[[#This Row],[Обучающая выборка]],1,0)</f>
        <v>0</v>
      </c>
      <c r="BH60" s="40">
        <f>IF(Таблица1[[#This Row],[Номер класса по классификации дискр функции (Python)]]=Таблица1[[#This Row],[Персептрон]],1,0)</f>
        <v>1</v>
      </c>
      <c r="BI60" s="36">
        <v>-0.4322557657642988</v>
      </c>
      <c r="BJ60" s="36">
        <v>-0.36637773365684717</v>
      </c>
      <c r="BK60" s="36">
        <v>-1.1244054324819033</v>
      </c>
      <c r="BL60" s="36">
        <v>-1.8759162988060594</v>
      </c>
      <c r="BM60" s="36">
        <v>-1.1379870180315934</v>
      </c>
      <c r="BN60" s="36">
        <v>0.57724199680123722</v>
      </c>
      <c r="BO60" s="36">
        <v>3.629060174961289</v>
      </c>
      <c r="BP60" s="36">
        <v>-0.74129507929749916</v>
      </c>
      <c r="BQ60" s="36">
        <v>-1.200441921925929</v>
      </c>
      <c r="BR60" s="36">
        <v>2.2385603166440564</v>
      </c>
      <c r="BS60" s="36">
        <v>-0.27754745559365385</v>
      </c>
      <c r="BT60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26.981491840914575</v>
      </c>
      <c r="BU60" s="50">
        <v>-0.53300000000000003</v>
      </c>
      <c r="BV60" s="50">
        <v>0.6780400000000002</v>
      </c>
      <c r="BW60" s="50">
        <v>-2.9961099999999998</v>
      </c>
      <c r="BX60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9.7205029873824351</v>
      </c>
      <c r="BY60" s="63">
        <v>-0.33288202860527621</v>
      </c>
      <c r="BZ60" s="64">
        <v>-1.0011364466363786</v>
      </c>
      <c r="CA60" s="64">
        <v>2.3626464208034621</v>
      </c>
      <c r="CB60" s="64">
        <v>-0.53375024317546038</v>
      </c>
      <c r="CC60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6.9800720615773519</v>
      </c>
    </row>
    <row r="61" spans="1:81" ht="28.8" x14ac:dyDescent="0.3">
      <c r="A61" s="22" t="s">
        <v>81</v>
      </c>
      <c r="B61">
        <v>1</v>
      </c>
      <c r="C61">
        <v>4</v>
      </c>
      <c r="D61" s="28">
        <v>5</v>
      </c>
      <c r="E61" s="28">
        <v>2</v>
      </c>
      <c r="F61" s="28">
        <v>4</v>
      </c>
      <c r="G61" s="28">
        <v>5</v>
      </c>
      <c r="H61" s="28">
        <v>5</v>
      </c>
      <c r="I61">
        <v>2</v>
      </c>
      <c r="J61" s="51">
        <v>2</v>
      </c>
      <c r="K61" s="50">
        <v>4</v>
      </c>
      <c r="L61">
        <v>1</v>
      </c>
      <c r="M61" s="49">
        <v>1</v>
      </c>
      <c r="N61" s="65">
        <v>6</v>
      </c>
      <c r="O61" s="66">
        <v>5</v>
      </c>
      <c r="P61" s="66">
        <v>5</v>
      </c>
      <c r="Q61" s="66">
        <v>1</v>
      </c>
      <c r="R61">
        <v>1</v>
      </c>
      <c r="S61" s="39" t="str">
        <f>RIGHT(Таблица1[[#This Row],[Классификация дискр ф-ции]])</f>
        <v>1</v>
      </c>
      <c r="T61" s="90">
        <v>1</v>
      </c>
      <c r="U61" s="90">
        <f>IF(Таблица1[[#This Row],[Обучающая выборка]]=Таблица1[[#This Row],[Номер класса по классификации дискр функции (Python)]],1,0)</f>
        <v>1</v>
      </c>
      <c r="V61" s="90">
        <f>MATCH(MIN(Таблица1[[#This Row],[Махаланобис 1]:[Махаланобис 6]]),Таблица1[[#This Row],[Махаланобис 1]:[Махаланобис 6]],0)</f>
        <v>1</v>
      </c>
      <c r="W61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61" s="40" t="str">
        <f>RIGHT(Таблица1[[#This Row],[Forward Классификация дискр ф-ции]])</f>
        <v>1</v>
      </c>
      <c r="Y61" s="40">
        <f>MATCH(MIN(Таблица1[[#This Row],[Forward Махаланобис 1]:[Forward Махаланобис 6]]),Таблица1[[#This Row],[Forward Махаланобис 1]:[Forward Махаланобис 6]],0)</f>
        <v>1</v>
      </c>
      <c r="Z61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61" s="90">
        <v>1</v>
      </c>
      <c r="AB61" s="90">
        <f>IF(Таблица1[[#This Row],[Обучающая выборка]]=Таблица1[[#This Row],[Номер класса (пошаговый дискр анализ с включением) Python]],1,0)</f>
        <v>1</v>
      </c>
      <c r="AC61" s="40" t="s">
        <v>130</v>
      </c>
      <c r="AD61" s="41">
        <v>10.169908940744333</v>
      </c>
      <c r="AE61" s="41">
        <v>91.200908035148942</v>
      </c>
      <c r="AF61" s="41">
        <v>46.920025291751692</v>
      </c>
      <c r="AG61" s="42">
        <v>87.255075344810336</v>
      </c>
      <c r="AH61" s="41">
        <v>972.97902968811047</v>
      </c>
      <c r="AI61" s="41">
        <v>79.520212901789407</v>
      </c>
      <c r="AJ61" s="43">
        <v>0.99999998081087926</v>
      </c>
      <c r="AK61" s="43">
        <v>1.691417609303154E-18</v>
      </c>
      <c r="AL61" s="43">
        <v>1.9189119886267886E-8</v>
      </c>
      <c r="AM61" s="43">
        <v>1.2164031319267915E-17</v>
      </c>
      <c r="AN61" s="43">
        <v>0</v>
      </c>
      <c r="AO61" s="43">
        <v>8.7251485016762443E-16</v>
      </c>
      <c r="AP61" s="40" t="s">
        <v>130</v>
      </c>
      <c r="AQ61" s="42">
        <v>5.5319564261360048</v>
      </c>
      <c r="AR61" s="42">
        <v>66.639102176655712</v>
      </c>
      <c r="AS61" s="41">
        <v>37.664612667037915</v>
      </c>
      <c r="AT61" s="42">
        <v>45.249814173568573</v>
      </c>
      <c r="AU61" s="41">
        <v>796.36601315395171</v>
      </c>
      <c r="AV61" s="41">
        <v>54.339732337492691</v>
      </c>
      <c r="AW61" s="43">
        <v>0.99999980531850974</v>
      </c>
      <c r="AX61" s="43">
        <v>3.5864150988045471E-14</v>
      </c>
      <c r="AY61" s="43">
        <v>1.9307395950790783E-7</v>
      </c>
      <c r="AZ61" s="43">
        <v>1.5822876196548306E-9</v>
      </c>
      <c r="BA61" s="43">
        <v>0</v>
      </c>
      <c r="BB61" s="43">
        <v>2.5207283122748367E-11</v>
      </c>
      <c r="BC61" s="40">
        <v>4</v>
      </c>
      <c r="BD61" s="40">
        <v>4</v>
      </c>
      <c r="BE61" s="40">
        <f>IF(Таблица1[[#This Row],[Neuron id (Кохонен)]]=Таблица1[[#This Row],[Кохонен 2020]],1,0)</f>
        <v>1</v>
      </c>
      <c r="BF61" s="28">
        <v>1</v>
      </c>
      <c r="BG61" s="40">
        <f>IF(Таблица1[[#This Row],[Персептрон]]=Таблица1[[#This Row],[Обучающая выборка]],1,0)</f>
        <v>1</v>
      </c>
      <c r="BH61" s="40">
        <f>IF(Таблица1[[#This Row],[Номер класса по классификации дискр функции (Python)]]=Таблица1[[#This Row],[Персептрон]],1,0)</f>
        <v>1</v>
      </c>
      <c r="BI61" s="36">
        <v>2.1415071340291345E-2</v>
      </c>
      <c r="BJ61" s="36">
        <v>-0.15898140978623843</v>
      </c>
      <c r="BK61" s="36">
        <v>0.22906371236689746</v>
      </c>
      <c r="BL61" s="36">
        <v>0.700904327925711</v>
      </c>
      <c r="BM61" s="36">
        <v>6.2841037784644588E-2</v>
      </c>
      <c r="BN61" s="36">
        <v>-0.30311995712578621</v>
      </c>
      <c r="BO61" s="36">
        <v>-0.40222055998430084</v>
      </c>
      <c r="BP61" s="36">
        <v>-0.49111324595546196</v>
      </c>
      <c r="BQ61" s="36">
        <v>0.80818202883824453</v>
      </c>
      <c r="BR61" s="36">
        <v>-0.54211393601194857</v>
      </c>
      <c r="BS61" s="36">
        <v>-0.58860504234907762</v>
      </c>
      <c r="BT61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2.3617766660654462</v>
      </c>
      <c r="BU61" s="50">
        <v>0.16890000000000002</v>
      </c>
      <c r="BV61" s="50">
        <v>-0.27545000000000003</v>
      </c>
      <c r="BW61" s="50">
        <v>0.23143000000000002</v>
      </c>
      <c r="BX61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0.1579597176165537</v>
      </c>
      <c r="BY61" s="63">
        <v>-0.18934348522764002</v>
      </c>
      <c r="BZ61" s="64">
        <v>-0.40814445497794682</v>
      </c>
      <c r="CA61" s="64">
        <v>-0.34247792641969138</v>
      </c>
      <c r="CB61" s="64">
        <v>0.62360875723254827</v>
      </c>
      <c r="CC61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0.70861186370924956</v>
      </c>
    </row>
    <row r="62" spans="1:81" x14ac:dyDescent="0.3">
      <c r="A62" s="22" t="s">
        <v>82</v>
      </c>
      <c r="B62">
        <v>6</v>
      </c>
      <c r="C62">
        <v>3</v>
      </c>
      <c r="D62" s="28">
        <v>3</v>
      </c>
      <c r="E62" s="28">
        <v>3</v>
      </c>
      <c r="F62" s="28">
        <v>2</v>
      </c>
      <c r="G62" s="28">
        <v>3</v>
      </c>
      <c r="H62" s="28">
        <v>3</v>
      </c>
      <c r="I62">
        <v>5</v>
      </c>
      <c r="J62" s="51">
        <v>1</v>
      </c>
      <c r="K62" s="50">
        <v>6</v>
      </c>
      <c r="L62">
        <v>3</v>
      </c>
      <c r="M62" s="49">
        <v>1</v>
      </c>
      <c r="N62" s="65">
        <v>5</v>
      </c>
      <c r="O62" s="66">
        <v>4</v>
      </c>
      <c r="P62" s="66">
        <v>5</v>
      </c>
      <c r="Q62" s="66">
        <v>1</v>
      </c>
      <c r="S62" s="39" t="str">
        <f>RIGHT(Таблица1[[#This Row],[Классификация дискр ф-ции]])</f>
        <v>2</v>
      </c>
      <c r="T62" s="90">
        <v>2</v>
      </c>
      <c r="U62" s="90">
        <f>IF(Таблица1[[#This Row],[Обучающая выборка]]=Таблица1[[#This Row],[Номер класса по классификации дискр функции (Python)]],1,0)</f>
        <v>0</v>
      </c>
      <c r="V62" s="90">
        <f>MATCH(MIN(Таблица1[[#This Row],[Махаланобис 1]:[Махаланобис 6]]),Таблица1[[#This Row],[Махаланобис 1]:[Махаланобис 6]],0)</f>
        <v>2</v>
      </c>
      <c r="W62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62" s="40" t="str">
        <f>RIGHT(Таблица1[[#This Row],[Forward Классификация дискр ф-ции]])</f>
        <v>2</v>
      </c>
      <c r="Y62" s="40">
        <f>MATCH(MIN(Таблица1[[#This Row],[Forward Махаланобис 1]:[Forward Махаланобис 6]]),Таблица1[[#This Row],[Forward Махаланобис 1]:[Forward Махаланобис 6]],0)</f>
        <v>2</v>
      </c>
      <c r="Z62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62" s="90">
        <v>2</v>
      </c>
      <c r="AB62" s="90">
        <f>IF(Таблица1[[#This Row],[Обучающая выборка]]=Таблица1[[#This Row],[Номер класса (пошаговый дискр анализ с включением) Python]],1,0)</f>
        <v>0</v>
      </c>
      <c r="AC62" s="40" t="s">
        <v>131</v>
      </c>
      <c r="AD62" s="41">
        <v>301.34344970948837</v>
      </c>
      <c r="AE62" s="41">
        <v>141.34805341318796</v>
      </c>
      <c r="AF62" s="41">
        <v>300.65341444376372</v>
      </c>
      <c r="AG62" s="42">
        <v>308.76342653953367</v>
      </c>
      <c r="AH62" s="41">
        <v>1155.2569595368739</v>
      </c>
      <c r="AI62" s="41">
        <v>148.59626034041918</v>
      </c>
      <c r="AJ62" s="43">
        <v>0</v>
      </c>
      <c r="AK62" s="43">
        <v>0.96152967842494719</v>
      </c>
      <c r="AL62" s="43">
        <v>0</v>
      </c>
      <c r="AM62" s="43">
        <v>0</v>
      </c>
      <c r="AN62" s="43">
        <v>0</v>
      </c>
      <c r="AO62" s="43">
        <v>3.8470321575052799E-2</v>
      </c>
      <c r="AP62" s="40" t="s">
        <v>131</v>
      </c>
      <c r="AQ62" s="42">
        <v>217.36694042279152</v>
      </c>
      <c r="AR62" s="42">
        <v>73.011952962780441</v>
      </c>
      <c r="AS62" s="41">
        <v>219.70308315478437</v>
      </c>
      <c r="AT62" s="42">
        <v>225.86287274378464</v>
      </c>
      <c r="AU62" s="41">
        <v>955.60908050779881</v>
      </c>
      <c r="AV62" s="41">
        <v>105.02755349153954</v>
      </c>
      <c r="AW62" s="43">
        <v>6.7577783285902519E-32</v>
      </c>
      <c r="AX62" s="43">
        <v>0.99999983250885016</v>
      </c>
      <c r="AY62" s="43">
        <v>3.8526399861460188E-32</v>
      </c>
      <c r="AZ62" s="43">
        <v>0</v>
      </c>
      <c r="BA62" s="43">
        <v>0</v>
      </c>
      <c r="BB62" s="43">
        <v>1.6749114985520392E-7</v>
      </c>
      <c r="BC62" s="40">
        <v>2</v>
      </c>
      <c r="BD62" s="40">
        <v>2</v>
      </c>
      <c r="BE62" s="40">
        <f>IF(Таблица1[[#This Row],[Neuron id (Кохонен)]]=Таблица1[[#This Row],[Кохонен 2020]],1,0)</f>
        <v>1</v>
      </c>
      <c r="BF62" s="28">
        <v>6</v>
      </c>
      <c r="BG62" s="40">
        <f>IF(Таблица1[[#This Row],[Персептрон]]=Таблица1[[#This Row],[Обучающая выборка]],1,0)</f>
        <v>0</v>
      </c>
      <c r="BH62" s="40">
        <f>IF(Таблица1[[#This Row],[Номер класса по классификации дискр функции (Python)]]=Таблица1[[#This Row],[Персептрон]],1,0)</f>
        <v>0</v>
      </c>
      <c r="BI62" s="36">
        <v>-0.43571812558580181</v>
      </c>
      <c r="BJ62" s="36">
        <v>-0.31505372738607046</v>
      </c>
      <c r="BK62" s="36">
        <v>-0.68321806273256913</v>
      </c>
      <c r="BL62" s="36">
        <v>-2.0890368017688377</v>
      </c>
      <c r="BM62" s="36">
        <v>-0.36001152455308555</v>
      </c>
      <c r="BN62" s="36">
        <v>2.4201902129713315</v>
      </c>
      <c r="BO62" s="36">
        <v>2.8121077551152101</v>
      </c>
      <c r="BP62" s="36">
        <v>-1.4561003174176059</v>
      </c>
      <c r="BQ62" s="36">
        <v>-1.3873000376778357</v>
      </c>
      <c r="BR62" s="36">
        <v>0.26686595012061087</v>
      </c>
      <c r="BS62" s="36">
        <v>-1.4769613872425844</v>
      </c>
      <c r="BT62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25.312311711308737</v>
      </c>
      <c r="BU62" s="50">
        <v>-0.62122000000000011</v>
      </c>
      <c r="BV62" s="50">
        <v>6.6030000000000005E-2</v>
      </c>
      <c r="BW62" s="50">
        <v>-3.2224599999999999</v>
      </c>
      <c r="BX62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10.774523182323613</v>
      </c>
      <c r="BY62" s="63">
        <v>-0.51973729734378693</v>
      </c>
      <c r="BZ62" s="64">
        <v>-1.7003304098735432</v>
      </c>
      <c r="CA62" s="64">
        <v>2.3806259779923162</v>
      </c>
      <c r="CB62" s="64">
        <v>-0.78554185594327208</v>
      </c>
      <c r="CC62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9.445706415521629</v>
      </c>
    </row>
    <row r="63" spans="1:81" ht="45.6" customHeight="1" x14ac:dyDescent="0.3">
      <c r="A63" s="22" t="s">
        <v>83</v>
      </c>
      <c r="B63">
        <v>6</v>
      </c>
      <c r="C63">
        <v>3</v>
      </c>
      <c r="D63" s="28">
        <v>5</v>
      </c>
      <c r="E63" s="28">
        <v>2</v>
      </c>
      <c r="F63" s="28">
        <v>4</v>
      </c>
      <c r="G63" s="28">
        <v>5</v>
      </c>
      <c r="H63" s="28">
        <v>3</v>
      </c>
      <c r="I63">
        <v>5</v>
      </c>
      <c r="J63" s="51">
        <v>1</v>
      </c>
      <c r="K63" s="50">
        <v>3</v>
      </c>
      <c r="L63">
        <v>1</v>
      </c>
      <c r="M63" s="49">
        <v>1</v>
      </c>
      <c r="N63" s="65">
        <v>5</v>
      </c>
      <c r="O63" s="66">
        <v>4</v>
      </c>
      <c r="P63" s="66">
        <v>5</v>
      </c>
      <c r="Q63" s="66">
        <v>1</v>
      </c>
      <c r="R63">
        <v>6</v>
      </c>
      <c r="S63" s="39" t="str">
        <f>RIGHT(Таблица1[[#This Row],[Классификация дискр ф-ции]])</f>
        <v>6</v>
      </c>
      <c r="T63" s="90">
        <v>6</v>
      </c>
      <c r="U63" s="90">
        <f>IF(Таблица1[[#This Row],[Обучающая выборка]]=Таблица1[[#This Row],[Номер класса по классификации дискр функции (Python)]],1,0)</f>
        <v>1</v>
      </c>
      <c r="V63" s="90">
        <f>MATCH(MIN(Таблица1[[#This Row],[Махаланобис 1]:[Махаланобис 6]]),Таблица1[[#This Row],[Махаланобис 1]:[Махаланобис 6]],0)</f>
        <v>6</v>
      </c>
      <c r="W63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63" s="40" t="str">
        <f>RIGHT(Таблица1[[#This Row],[Forward Классификация дискр ф-ции]])</f>
        <v>6</v>
      </c>
      <c r="Y63" s="40">
        <f>MATCH(MIN(Таблица1[[#This Row],[Forward Махаланобис 1]:[Forward Махаланобис 6]]),Таблица1[[#This Row],[Forward Махаланобис 1]:[Forward Махаланобис 6]],0)</f>
        <v>6</v>
      </c>
      <c r="Z63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63" s="90">
        <v>6</v>
      </c>
      <c r="AB63" s="90">
        <f>IF(Таблица1[[#This Row],[Обучающая выборка]]=Таблица1[[#This Row],[Номер класса (пошаговый дискр анализ с включением) Python]],1,0)</f>
        <v>1</v>
      </c>
      <c r="AC63" s="40" t="s">
        <v>129</v>
      </c>
      <c r="AD63" s="41">
        <v>61.176478015165706</v>
      </c>
      <c r="AE63" s="41">
        <v>21.378595908174521</v>
      </c>
      <c r="AF63" s="41">
        <v>50.121148259403412</v>
      </c>
      <c r="AG63" s="42">
        <v>130.55073306226723</v>
      </c>
      <c r="AH63" s="41">
        <v>1075.9013109818279</v>
      </c>
      <c r="AI63" s="41">
        <v>5.5963321612193822</v>
      </c>
      <c r="AJ63" s="43">
        <v>8.5273952262836392E-13</v>
      </c>
      <c r="AK63" s="43">
        <v>2.493018080712288E-4</v>
      </c>
      <c r="AL63" s="43">
        <v>3.932712341798878E-10</v>
      </c>
      <c r="AM63" s="43">
        <v>4.9011394157829569E-28</v>
      </c>
      <c r="AN63" s="43">
        <v>0</v>
      </c>
      <c r="AO63" s="43">
        <v>0.99975069779780479</v>
      </c>
      <c r="AP63" s="40" t="s">
        <v>129</v>
      </c>
      <c r="AQ63" s="42">
        <v>52.512059768633158</v>
      </c>
      <c r="AR63" s="42">
        <v>18.401317342347525</v>
      </c>
      <c r="AS63" s="41">
        <v>46.835639672868048</v>
      </c>
      <c r="AT63" s="42">
        <v>115.5334031408449</v>
      </c>
      <c r="AU63" s="41">
        <v>950.04239196009348</v>
      </c>
      <c r="AV63" s="41">
        <v>4.1510567270659795</v>
      </c>
      <c r="AW63" s="43">
        <v>3.1499866860709592E-11</v>
      </c>
      <c r="AX63" s="43">
        <v>5.3613117802477365E-4</v>
      </c>
      <c r="AY63" s="43">
        <v>9.8666361982634147E-10</v>
      </c>
      <c r="AZ63" s="43">
        <v>4.3381705799443253E-25</v>
      </c>
      <c r="BA63" s="43">
        <v>0</v>
      </c>
      <c r="BB63" s="43">
        <v>0.9994638678038118</v>
      </c>
      <c r="BC63" s="40">
        <v>3</v>
      </c>
      <c r="BD63" s="40">
        <v>3</v>
      </c>
      <c r="BE63" s="40">
        <f>IF(Таблица1[[#This Row],[Neuron id (Кохонен)]]=Таблица1[[#This Row],[Кохонен 2020]],1,0)</f>
        <v>1</v>
      </c>
      <c r="BF63" s="28">
        <v>6</v>
      </c>
      <c r="BG63" s="40">
        <f>IF(Таблица1[[#This Row],[Персептрон]]=Таблица1[[#This Row],[Обучающая выборка]],1,0)</f>
        <v>1</v>
      </c>
      <c r="BH63" s="40">
        <f>IF(Таблица1[[#This Row],[Номер класса по классификации дискр функции (Python)]]=Таблица1[[#This Row],[Персептрон]],1,0)</f>
        <v>1</v>
      </c>
      <c r="BI63" s="36">
        <v>-0.2097787108895163</v>
      </c>
      <c r="BJ63" s="36">
        <v>-0.30560259883107438</v>
      </c>
      <c r="BK63" s="36">
        <v>-0.6753432202455546</v>
      </c>
      <c r="BL63" s="36">
        <v>-0.77156460163530116</v>
      </c>
      <c r="BM63" s="36">
        <v>-0.41126638059402254</v>
      </c>
      <c r="BN63" s="36">
        <v>0.252569234575174</v>
      </c>
      <c r="BO63" s="36">
        <v>1.4097242596464985</v>
      </c>
      <c r="BP63" s="36">
        <v>4.4990682634618209E-2</v>
      </c>
      <c r="BQ63" s="36">
        <v>-0.28904400800266999</v>
      </c>
      <c r="BR63" s="36">
        <v>-0.62722804007407573</v>
      </c>
      <c r="BS63" s="36">
        <v>-0.57867463903089877</v>
      </c>
      <c r="BT63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4.2229041500786009</v>
      </c>
      <c r="BU63" s="50">
        <v>-0.6396900000000002</v>
      </c>
      <c r="BV63" s="50">
        <v>9.6009999999999998E-2</v>
      </c>
      <c r="BW63" s="50">
        <v>-1.10562</v>
      </c>
      <c r="BX63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1.6408167823059656</v>
      </c>
      <c r="BY63" s="63">
        <v>-0.25337476848637808</v>
      </c>
      <c r="BZ63" s="64">
        <v>-0.33231270843934846</v>
      </c>
      <c r="CA63" s="64">
        <v>0.83809359232805936</v>
      </c>
      <c r="CB63" s="64">
        <v>-0.58006556090649586</v>
      </c>
      <c r="CC63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1.2135074339469401</v>
      </c>
    </row>
    <row r="64" spans="1:81" ht="28.8" customHeight="1" x14ac:dyDescent="0.3">
      <c r="A64" s="22" t="s">
        <v>84</v>
      </c>
      <c r="B64">
        <v>3</v>
      </c>
      <c r="C64">
        <v>1</v>
      </c>
      <c r="D64" s="28">
        <v>5</v>
      </c>
      <c r="E64" s="28">
        <v>2</v>
      </c>
      <c r="F64" s="28">
        <v>4</v>
      </c>
      <c r="G64" s="28">
        <v>5</v>
      </c>
      <c r="H64" s="28">
        <v>1</v>
      </c>
      <c r="I64">
        <v>4</v>
      </c>
      <c r="J64" s="51">
        <v>3</v>
      </c>
      <c r="K64" s="50">
        <v>4</v>
      </c>
      <c r="L64">
        <v>1</v>
      </c>
      <c r="M64" s="49">
        <v>2</v>
      </c>
      <c r="N64" s="65">
        <v>4</v>
      </c>
      <c r="O64" s="66">
        <v>5</v>
      </c>
      <c r="P64" s="66">
        <v>5</v>
      </c>
      <c r="Q64" s="66">
        <v>1</v>
      </c>
      <c r="S64" s="39" t="str">
        <f>RIGHT(Таблица1[[#This Row],[Классификация дискр ф-ции]])</f>
        <v>3</v>
      </c>
      <c r="T64" s="90">
        <v>3</v>
      </c>
      <c r="U64" s="90">
        <f>IF(Таблица1[[#This Row],[Обучающая выборка]]=Таблица1[[#This Row],[Номер класса по классификации дискр функции (Python)]],1,0)</f>
        <v>0</v>
      </c>
      <c r="V64" s="90">
        <f>MATCH(MIN(Таблица1[[#This Row],[Махаланобис 1]:[Махаланобис 6]]),Таблица1[[#This Row],[Махаланобис 1]:[Махаланобис 6]],0)</f>
        <v>3</v>
      </c>
      <c r="W64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64" s="40" t="str">
        <f>RIGHT(Таблица1[[#This Row],[Forward Классификация дискр ф-ции]])</f>
        <v>3</v>
      </c>
      <c r="Y64" s="40">
        <f>MATCH(MIN(Таблица1[[#This Row],[Forward Махаланобис 1]:[Forward Махаланобис 6]]),Таблица1[[#This Row],[Forward Махаланобис 1]:[Forward Махаланобис 6]],0)</f>
        <v>3</v>
      </c>
      <c r="Z64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64" s="90">
        <v>3</v>
      </c>
      <c r="AB64" s="90">
        <f>IF(Таблица1[[#This Row],[Обучающая выборка]]=Таблица1[[#This Row],[Номер класса (пошаговый дискр анализ с включением) Python]],1,0)</f>
        <v>0</v>
      </c>
      <c r="AC64" s="40" t="s">
        <v>128</v>
      </c>
      <c r="AD64" s="41">
        <v>24.596934176600456</v>
      </c>
      <c r="AE64" s="41">
        <v>44.683214236851661</v>
      </c>
      <c r="AF64" s="41">
        <v>12.30961312927664</v>
      </c>
      <c r="AG64" s="42">
        <v>125.93791540567292</v>
      </c>
      <c r="AH64" s="41">
        <v>1142.8327853480241</v>
      </c>
      <c r="AI64" s="41">
        <v>28.789135670052843</v>
      </c>
      <c r="AJ64" s="43">
        <v>1.1695799794892781E-3</v>
      </c>
      <c r="AK64" s="43">
        <v>3.3904580125176789E-8</v>
      </c>
      <c r="AL64" s="43">
        <v>0.99868660397773823</v>
      </c>
      <c r="AM64" s="43">
        <v>7.6917329457746208E-26</v>
      </c>
      <c r="AN64" s="43">
        <v>0</v>
      </c>
      <c r="AO64" s="43">
        <v>1.4378213819234219E-4</v>
      </c>
      <c r="AP64" s="40" t="s">
        <v>128</v>
      </c>
      <c r="AQ64" s="42">
        <v>21.185202534622828</v>
      </c>
      <c r="AR64" s="42">
        <v>26.893298299748558</v>
      </c>
      <c r="AS64" s="41">
        <v>6.0090720777229363</v>
      </c>
      <c r="AT64" s="42">
        <v>89.386830051128143</v>
      </c>
      <c r="AU64" s="41">
        <v>966.5400616908089</v>
      </c>
      <c r="AV64" s="41">
        <v>9.0378856282563245</v>
      </c>
      <c r="AW64" s="43">
        <v>2.4659680481083052E-4</v>
      </c>
      <c r="AX64" s="43">
        <v>9.4710676682619694E-6</v>
      </c>
      <c r="AY64" s="43">
        <v>0.8926551951970243</v>
      </c>
      <c r="AZ64" s="43">
        <v>2.5474222772710458E-19</v>
      </c>
      <c r="BA64" s="43">
        <v>0</v>
      </c>
      <c r="BB64" s="43">
        <v>0.10708873693049654</v>
      </c>
      <c r="BC64" s="40">
        <v>5</v>
      </c>
      <c r="BD64" s="40">
        <v>5</v>
      </c>
      <c r="BE64" s="40">
        <f>IF(Таблица1[[#This Row],[Neuron id (Кохонен)]]=Таблица1[[#This Row],[Кохонен 2020]],1,0)</f>
        <v>1</v>
      </c>
      <c r="BF64" s="28">
        <v>3</v>
      </c>
      <c r="BG64" s="40">
        <f>IF(Таблица1[[#This Row],[Персептрон]]=Таблица1[[#This Row],[Обучающая выборка]],1,0)</f>
        <v>0</v>
      </c>
      <c r="BH64" s="40">
        <f>IF(Таблица1[[#This Row],[Номер класса по классификации дискр функции (Python)]]=Таблица1[[#This Row],[Персептрон]],1,0)</f>
        <v>1</v>
      </c>
      <c r="BI64" s="36">
        <v>-0.29503031459841284</v>
      </c>
      <c r="BJ64" s="36">
        <v>-0.3333519651911665</v>
      </c>
      <c r="BK64" s="36">
        <v>9.5896137226887071E-2</v>
      </c>
      <c r="BL64" s="36">
        <v>-0.38407277806661383</v>
      </c>
      <c r="BM64" s="36">
        <v>0.44359139694589078</v>
      </c>
      <c r="BN64" s="36">
        <v>-0.32049134270687674</v>
      </c>
      <c r="BO64" s="36">
        <v>-7.0367596935267687E-2</v>
      </c>
      <c r="BP64" s="36">
        <v>0.33091277788266121</v>
      </c>
      <c r="BQ64" s="36">
        <v>-0.6791342903102412</v>
      </c>
      <c r="BR64" s="36">
        <v>-1.1838251851071691</v>
      </c>
      <c r="BS64" s="36">
        <v>3.6328331490855043E-2</v>
      </c>
      <c r="BT64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2.6328024815127482</v>
      </c>
      <c r="BU64" s="50">
        <v>-0.55091000000000001</v>
      </c>
      <c r="BV64" s="50">
        <v>-0.42895000000000005</v>
      </c>
      <c r="BW64" s="50">
        <v>0.37895000000000006</v>
      </c>
      <c r="BX64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0.6311025837542007</v>
      </c>
      <c r="BY64" s="63">
        <v>-0.27491190881269362</v>
      </c>
      <c r="BZ64" s="64">
        <v>0.14166965212518415</v>
      </c>
      <c r="CA64" s="64">
        <v>-0.39041510292532794</v>
      </c>
      <c r="CB64" s="64">
        <v>-0.47708363924996516</v>
      </c>
      <c r="CC64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0.47567959937249482</v>
      </c>
    </row>
    <row r="65" spans="1:81" x14ac:dyDescent="0.3">
      <c r="A65" s="22" t="s">
        <v>16</v>
      </c>
      <c r="B65">
        <v>3</v>
      </c>
      <c r="C65">
        <v>1</v>
      </c>
      <c r="D65" s="28">
        <v>5</v>
      </c>
      <c r="E65" s="28">
        <v>2</v>
      </c>
      <c r="F65" s="28">
        <v>4</v>
      </c>
      <c r="G65" s="28">
        <v>5</v>
      </c>
      <c r="H65" s="28">
        <v>1</v>
      </c>
      <c r="I65">
        <v>4</v>
      </c>
      <c r="J65" s="51">
        <v>3</v>
      </c>
      <c r="K65" s="50">
        <v>1</v>
      </c>
      <c r="L65">
        <v>2</v>
      </c>
      <c r="M65" s="49">
        <v>3</v>
      </c>
      <c r="N65" s="65">
        <v>4</v>
      </c>
      <c r="O65" s="66">
        <v>5</v>
      </c>
      <c r="P65" s="66">
        <v>2</v>
      </c>
      <c r="Q65" s="66">
        <v>5</v>
      </c>
      <c r="S65" s="39" t="str">
        <f>RIGHT(Таблица1[[#This Row],[Классификация дискр ф-ции]])</f>
        <v>3</v>
      </c>
      <c r="T65" s="90">
        <v>3</v>
      </c>
      <c r="U65" s="90">
        <f>IF(Таблица1[[#This Row],[Обучающая выборка]]=Таблица1[[#This Row],[Номер класса по классификации дискр функции (Python)]],1,0)</f>
        <v>0</v>
      </c>
      <c r="V65" s="90">
        <f>MATCH(MIN(Таблица1[[#This Row],[Махаланобис 1]:[Махаланобис 6]]),Таблица1[[#This Row],[Махаланобис 1]:[Махаланобис 6]],0)</f>
        <v>3</v>
      </c>
      <c r="W65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65" s="40" t="str">
        <f>RIGHT(Таблица1[[#This Row],[Forward Классификация дискр ф-ции]])</f>
        <v>3</v>
      </c>
      <c r="Y65" s="40">
        <f>MATCH(MIN(Таблица1[[#This Row],[Forward Махаланобис 1]:[Forward Махаланобис 6]]),Таблица1[[#This Row],[Forward Махаланобис 1]:[Forward Махаланобис 6]],0)</f>
        <v>3</v>
      </c>
      <c r="Z65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65" s="90">
        <v>3</v>
      </c>
      <c r="AB65" s="90">
        <f>IF(Таблица1[[#This Row],[Обучающая выборка]]=Таблица1[[#This Row],[Номер класса (пошаговый дискр анализ с включением) Python]],1,0)</f>
        <v>0</v>
      </c>
      <c r="AC65" s="40" t="s">
        <v>128</v>
      </c>
      <c r="AD65" s="41">
        <v>37.257562143845469</v>
      </c>
      <c r="AE65" s="41">
        <v>73.977284920188453</v>
      </c>
      <c r="AF65" s="41">
        <v>12.751097234652113</v>
      </c>
      <c r="AG65" s="42">
        <v>141.61282755053384</v>
      </c>
      <c r="AH65" s="41">
        <v>1212.0818203228455</v>
      </c>
      <c r="AI65" s="41">
        <v>52.060463462232264</v>
      </c>
      <c r="AJ65" s="43">
        <v>2.6016339672332274E-6</v>
      </c>
      <c r="AK65" s="43">
        <v>1.8431829555019532E-14</v>
      </c>
      <c r="AL65" s="43">
        <v>0.99999739677806365</v>
      </c>
      <c r="AM65" s="43">
        <v>3.7905041220513678E-29</v>
      </c>
      <c r="AN65" s="43">
        <v>0</v>
      </c>
      <c r="AO65" s="43">
        <v>1.5879506989800897E-9</v>
      </c>
      <c r="AP65" s="40" t="s">
        <v>128</v>
      </c>
      <c r="AQ65" s="42">
        <v>27.983190865072409</v>
      </c>
      <c r="AR65" s="42">
        <v>63.563774067417761</v>
      </c>
      <c r="AS65" s="41">
        <v>2.347910168052266</v>
      </c>
      <c r="AT65" s="42">
        <v>128.96845625383241</v>
      </c>
      <c r="AU65" s="41">
        <v>1090.856187371078</v>
      </c>
      <c r="AV65" s="41">
        <v>29.15260734856318</v>
      </c>
      <c r="AW65" s="43">
        <v>1.4795412919123349E-6</v>
      </c>
      <c r="AX65" s="43">
        <v>1.8527224213924445E-14</v>
      </c>
      <c r="AY65" s="43">
        <v>0.99999769595704291</v>
      </c>
      <c r="AZ65" s="43">
        <v>1.1624226809063482E-28</v>
      </c>
      <c r="BA65" s="43">
        <v>0</v>
      </c>
      <c r="BB65" s="43">
        <v>8.245016465902899E-7</v>
      </c>
      <c r="BC65" s="40">
        <v>5</v>
      </c>
      <c r="BD65" s="40">
        <v>5</v>
      </c>
      <c r="BE65" s="40">
        <f>IF(Таблица1[[#This Row],[Neuron id (Кохонен)]]=Таблица1[[#This Row],[Кохонен 2020]],1,0)</f>
        <v>1</v>
      </c>
      <c r="BF65" s="28">
        <v>3</v>
      </c>
      <c r="BG65" s="40">
        <f>IF(Таблица1[[#This Row],[Персептрон]]=Таблица1[[#This Row],[Обучающая выборка]],1,0)</f>
        <v>0</v>
      </c>
      <c r="BH65" s="40">
        <f>IF(Таблица1[[#This Row],[Номер класса по классификации дискр функции (Python)]]=Таблица1[[#This Row],[Персептрон]],1,0)</f>
        <v>1</v>
      </c>
      <c r="BI65" s="36">
        <v>-0.29343725177343355</v>
      </c>
      <c r="BJ65" s="36">
        <v>-0.30926422118070934</v>
      </c>
      <c r="BK65" s="36">
        <v>0.15641443304376745</v>
      </c>
      <c r="BL65" s="36">
        <v>-0.84906296634903833</v>
      </c>
      <c r="BM65" s="36">
        <v>0.23674144220925217</v>
      </c>
      <c r="BN65" s="36">
        <v>-0.86262202210439376</v>
      </c>
      <c r="BO65" s="36">
        <v>-0.34234559385925473</v>
      </c>
      <c r="BP65" s="36">
        <v>1.0099777540967623</v>
      </c>
      <c r="BQ65" s="36">
        <v>0.21936854939982067</v>
      </c>
      <c r="BR65" s="36">
        <v>0.51166917621858654</v>
      </c>
      <c r="BS65" s="36">
        <v>1.0330450421054778</v>
      </c>
      <c r="BT65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4.241651973181348</v>
      </c>
      <c r="BU65" s="50">
        <v>-0.41752000000000006</v>
      </c>
      <c r="BV65" s="50">
        <v>0.31249000000000005</v>
      </c>
      <c r="BW65" s="50">
        <v>0.94412000000000007</v>
      </c>
      <c r="BX65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1.1633351798012597</v>
      </c>
      <c r="BY65" s="63">
        <v>-0.14186278915832581</v>
      </c>
      <c r="BZ65" s="64">
        <v>0.91322372358109161</v>
      </c>
      <c r="CA65" s="64">
        <v>-0.46075877786762404</v>
      </c>
      <c r="CB65" s="64">
        <v>-0.27527096945245511</v>
      </c>
      <c r="CC65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1.1421753782644546</v>
      </c>
    </row>
    <row r="66" spans="1:81" x14ac:dyDescent="0.3">
      <c r="A66" s="22" t="s">
        <v>85</v>
      </c>
      <c r="B66">
        <v>3</v>
      </c>
      <c r="C66">
        <v>1</v>
      </c>
      <c r="D66" s="28">
        <v>5</v>
      </c>
      <c r="E66" s="28">
        <v>2</v>
      </c>
      <c r="F66" s="28">
        <v>4</v>
      </c>
      <c r="G66" s="28">
        <v>5</v>
      </c>
      <c r="H66" s="28">
        <v>1</v>
      </c>
      <c r="I66">
        <v>4</v>
      </c>
      <c r="J66" s="51">
        <v>2</v>
      </c>
      <c r="K66" s="50">
        <v>1</v>
      </c>
      <c r="L66">
        <v>1</v>
      </c>
      <c r="M66" s="49">
        <v>2</v>
      </c>
      <c r="N66" s="65">
        <v>3</v>
      </c>
      <c r="O66" s="66">
        <v>3</v>
      </c>
      <c r="P66" s="66">
        <v>5</v>
      </c>
      <c r="Q66" s="66">
        <v>1</v>
      </c>
      <c r="S66" s="39" t="str">
        <f>RIGHT(Таблица1[[#This Row],[Классификация дискр ф-ции]])</f>
        <v>3</v>
      </c>
      <c r="T66" s="90">
        <v>3</v>
      </c>
      <c r="U66" s="90">
        <f>IF(Таблица1[[#This Row],[Обучающая выборка]]=Таблица1[[#This Row],[Номер класса по классификации дискр функции (Python)]],1,0)</f>
        <v>0</v>
      </c>
      <c r="V66" s="90">
        <f>MATCH(MIN(Таблица1[[#This Row],[Махаланобис 1]:[Махаланобис 6]]),Таблица1[[#This Row],[Махаланобис 1]:[Махаланобис 6]],0)</f>
        <v>3</v>
      </c>
      <c r="W66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66" s="40" t="str">
        <f>RIGHT(Таблица1[[#This Row],[Forward Классификация дискр ф-ции]])</f>
        <v>6</v>
      </c>
      <c r="Y66" s="40">
        <f>MATCH(MIN(Таблица1[[#This Row],[Forward Махаланобис 1]:[Forward Махаланобис 6]]),Таблица1[[#This Row],[Forward Махаланобис 1]:[Forward Махаланобис 6]],0)</f>
        <v>6</v>
      </c>
      <c r="Z66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66" s="90">
        <v>6</v>
      </c>
      <c r="AB66" s="90">
        <f>IF(Таблица1[[#This Row],[Обучающая выборка]]=Таблица1[[#This Row],[Номер класса (пошаговый дискр анализ с включением) Python]],1,0)</f>
        <v>0</v>
      </c>
      <c r="AC66" s="40" t="s">
        <v>128</v>
      </c>
      <c r="AD66" s="41">
        <v>25.871927238930766</v>
      </c>
      <c r="AE66" s="41">
        <v>34.169954858581839</v>
      </c>
      <c r="AF66" s="41">
        <v>19.871004987176875</v>
      </c>
      <c r="AG66" s="42">
        <v>78.768922609594497</v>
      </c>
      <c r="AH66" s="41">
        <v>1003.1995503735853</v>
      </c>
      <c r="AI66" s="41">
        <v>21.190520117621425</v>
      </c>
      <c r="AJ66" s="43">
        <v>2.0729886243441156E-2</v>
      </c>
      <c r="AK66" s="43">
        <v>2.1807800065169392E-4</v>
      </c>
      <c r="AL66" s="43">
        <v>0.76369872191289434</v>
      </c>
      <c r="AM66" s="43">
        <v>4.5088839802115183E-14</v>
      </c>
      <c r="AN66" s="43">
        <v>0</v>
      </c>
      <c r="AO66" s="43">
        <v>0.21535331384296755</v>
      </c>
      <c r="AP66" s="40" t="s">
        <v>129</v>
      </c>
      <c r="AQ66" s="42">
        <v>22.584541419165568</v>
      </c>
      <c r="AR66" s="42">
        <v>27.849640990200029</v>
      </c>
      <c r="AS66" s="41">
        <v>14.013861403526249</v>
      </c>
      <c r="AT66" s="42">
        <v>67.276428896863465</v>
      </c>
      <c r="AU66" s="41">
        <v>876.71865518693073</v>
      </c>
      <c r="AV66" s="41">
        <v>8.2053427647117267</v>
      </c>
      <c r="AW66" s="43">
        <v>6.8503949823997946E-4</v>
      </c>
      <c r="AX66" s="43">
        <v>3.2833902836665687E-5</v>
      </c>
      <c r="AY66" s="43">
        <v>9.1212963504807856E-2</v>
      </c>
      <c r="AZ66" s="43">
        <v>9.013724815712159E-14</v>
      </c>
      <c r="BA66" s="43">
        <v>0</v>
      </c>
      <c r="BB66" s="43">
        <v>0.9080691630940253</v>
      </c>
      <c r="BC66" s="40">
        <v>5</v>
      </c>
      <c r="BD66" s="40">
        <v>5</v>
      </c>
      <c r="BE66" s="40">
        <f>IF(Таблица1[[#This Row],[Neuron id (Кохонен)]]=Таблица1[[#This Row],[Кохонен 2020]],1,0)</f>
        <v>1</v>
      </c>
      <c r="BF66" s="28">
        <v>3</v>
      </c>
      <c r="BG66" s="40">
        <f>IF(Таблица1[[#This Row],[Персептрон]]=Таблица1[[#This Row],[Обучающая выборка]],1,0)</f>
        <v>0</v>
      </c>
      <c r="BH66" s="40">
        <f>IF(Таблица1[[#This Row],[Номер класса по классификации дискр функции (Python)]]=Таблица1[[#This Row],[Персептрон]],1,0)</f>
        <v>1</v>
      </c>
      <c r="BI66" s="36">
        <v>-0.15917611806060408</v>
      </c>
      <c r="BJ66" s="36">
        <v>-0.21417904100366603</v>
      </c>
      <c r="BK66" s="36">
        <v>-0.4567046265682273</v>
      </c>
      <c r="BL66" s="36">
        <v>0.44903464260606479</v>
      </c>
      <c r="BM66" s="36">
        <v>0.36853964345737589</v>
      </c>
      <c r="BN66" s="36">
        <v>-0.23480415926123582</v>
      </c>
      <c r="BO66" s="36">
        <v>7.8150333468811867E-2</v>
      </c>
      <c r="BP66" s="36">
        <v>0.33091277788266121</v>
      </c>
      <c r="BQ66" s="36">
        <v>-0.31704682883777696</v>
      </c>
      <c r="BR66" s="36">
        <v>0.10464209544245165</v>
      </c>
      <c r="BS66" s="36">
        <v>-2.1257977404077963E-2</v>
      </c>
      <c r="BT66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0.89990668896663761</v>
      </c>
      <c r="BU66" s="50">
        <v>-0.12430000000000001</v>
      </c>
      <c r="BV66" s="50">
        <v>-7.3870000000000005E-2</v>
      </c>
      <c r="BW66" s="50">
        <v>0.10832000000000001</v>
      </c>
      <c r="BX66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3.2640387937730095E-2</v>
      </c>
      <c r="BY66" s="63">
        <v>-0.1491216585766077</v>
      </c>
      <c r="BZ66" s="64">
        <v>0.12248515472305399</v>
      </c>
      <c r="CA66" s="64">
        <v>-8.3609976427282934E-2</v>
      </c>
      <c r="CB66" s="64">
        <v>0.12972130338207705</v>
      </c>
      <c r="CC66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6.1058126893484513E-2</v>
      </c>
    </row>
    <row r="67" spans="1:81" x14ac:dyDescent="0.3">
      <c r="A67" s="22" t="s">
        <v>86</v>
      </c>
      <c r="B67">
        <v>3</v>
      </c>
      <c r="C67">
        <v>1</v>
      </c>
      <c r="D67" s="28">
        <v>5</v>
      </c>
      <c r="E67" s="28">
        <v>2</v>
      </c>
      <c r="F67" s="28">
        <v>4</v>
      </c>
      <c r="G67" s="28">
        <v>5</v>
      </c>
      <c r="H67" s="28">
        <v>1</v>
      </c>
      <c r="I67">
        <v>4</v>
      </c>
      <c r="J67" s="51">
        <v>2</v>
      </c>
      <c r="K67" s="50">
        <v>1</v>
      </c>
      <c r="L67">
        <v>1</v>
      </c>
      <c r="M67" s="49">
        <v>2</v>
      </c>
      <c r="N67" s="65">
        <v>4</v>
      </c>
      <c r="O67" s="66">
        <v>5</v>
      </c>
      <c r="P67" s="66">
        <v>5</v>
      </c>
      <c r="Q67" s="66">
        <v>1</v>
      </c>
      <c r="R67">
        <v>3</v>
      </c>
      <c r="S67" s="39" t="str">
        <f>RIGHT(Таблица1[[#This Row],[Классификация дискр ф-ции]])</f>
        <v>3</v>
      </c>
      <c r="T67" s="90">
        <v>3</v>
      </c>
      <c r="U67" s="90">
        <f>IF(Таблица1[[#This Row],[Обучающая выборка]]=Таблица1[[#This Row],[Номер класса по классификации дискр функции (Python)]],1,0)</f>
        <v>1</v>
      </c>
      <c r="V67" s="90">
        <f>MATCH(MIN(Таблица1[[#This Row],[Махаланобис 1]:[Махаланобис 6]]),Таблица1[[#This Row],[Махаланобис 1]:[Махаланобис 6]],0)</f>
        <v>3</v>
      </c>
      <c r="W67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67" s="40" t="str">
        <f>RIGHT(Таблица1[[#This Row],[Forward Классификация дискр ф-ции]])</f>
        <v>3</v>
      </c>
      <c r="Y67" s="40">
        <f>MATCH(MIN(Таблица1[[#This Row],[Forward Махаланобис 1]:[Forward Махаланобис 6]]),Таблица1[[#This Row],[Forward Махаланобис 1]:[Forward Махаланобис 6]],0)</f>
        <v>3</v>
      </c>
      <c r="Z67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67" s="90">
        <v>3</v>
      </c>
      <c r="AB67" s="90">
        <f>IF(Таблица1[[#This Row],[Обучающая выборка]]=Таблица1[[#This Row],[Номер класса (пошаговый дискр анализ с включением) Python]],1,0)</f>
        <v>1</v>
      </c>
      <c r="AC67" s="40" t="s">
        <v>128</v>
      </c>
      <c r="AD67" s="41">
        <v>24.302331734331929</v>
      </c>
      <c r="AE67" s="41">
        <v>64.532245834223389</v>
      </c>
      <c r="AF67" s="41">
        <v>7.1880049521218545</v>
      </c>
      <c r="AG67" s="42">
        <v>132.98068735624804</v>
      </c>
      <c r="AH67" s="41">
        <v>1179.516372412716</v>
      </c>
      <c r="AI67" s="41">
        <v>40.642331524645975</v>
      </c>
      <c r="AJ67" s="43">
        <v>1.048055284208477E-4</v>
      </c>
      <c r="AK67" s="43">
        <v>1.2837429820746596E-13</v>
      </c>
      <c r="AL67" s="43">
        <v>0.99989516480959495</v>
      </c>
      <c r="AM67" s="43">
        <v>1.7582792807322156E-28</v>
      </c>
      <c r="AN67" s="43">
        <v>0</v>
      </c>
      <c r="AO67" s="43">
        <v>2.9661855875903504E-8</v>
      </c>
      <c r="AP67" s="40" t="s">
        <v>128</v>
      </c>
      <c r="AQ67" s="42">
        <v>16.827303320097119</v>
      </c>
      <c r="AR67" s="42">
        <v>60.379386991600178</v>
      </c>
      <c r="AS67" s="41">
        <v>3.537927484104296</v>
      </c>
      <c r="AT67" s="42">
        <v>122.09254940800743</v>
      </c>
      <c r="AU67" s="41">
        <v>1063.3169003694752</v>
      </c>
      <c r="AV67" s="41">
        <v>29.463661235536481</v>
      </c>
      <c r="AW67" s="43">
        <v>7.0908557665718503E-4</v>
      </c>
      <c r="AX67" s="43">
        <v>1.6496529407534013E-13</v>
      </c>
      <c r="AY67" s="43">
        <v>0.99928963578285945</v>
      </c>
      <c r="AZ67" s="43">
        <v>6.5546519606872282E-27</v>
      </c>
      <c r="BA67" s="43">
        <v>0</v>
      </c>
      <c r="BB67" s="43">
        <v>1.278640318322907E-6</v>
      </c>
      <c r="BC67" s="40">
        <v>5</v>
      </c>
      <c r="BD67" s="40">
        <v>5</v>
      </c>
      <c r="BE67" s="40">
        <f>IF(Таблица1[[#This Row],[Neuron id (Кохонен)]]=Таблица1[[#This Row],[Кохонен 2020]],1,0)</f>
        <v>1</v>
      </c>
      <c r="BF67" s="28">
        <v>3</v>
      </c>
      <c r="BG67" s="40">
        <f>IF(Таблица1[[#This Row],[Персептрон]]=Таблица1[[#This Row],[Обучающая выборка]],1,0)</f>
        <v>1</v>
      </c>
      <c r="BH67" s="40">
        <f>IF(Таблица1[[#This Row],[Номер класса по классификации дискр функции (Python)]]=Таблица1[[#This Row],[Персептрон]],1,0)</f>
        <v>1</v>
      </c>
      <c r="BI67" s="36">
        <v>-0.35025858591176151</v>
      </c>
      <c r="BJ67" s="36">
        <v>-0.31340541100409219</v>
      </c>
      <c r="BK67" s="36">
        <v>-0.32749667478661176</v>
      </c>
      <c r="BL67" s="36">
        <v>-0.53906950749408822</v>
      </c>
      <c r="BM67" s="36">
        <v>-0.57418360158128656</v>
      </c>
      <c r="BN67" s="36">
        <v>-0.61703471058222747</v>
      </c>
      <c r="BO67" s="36">
        <v>-0.59306474137534981</v>
      </c>
      <c r="BP67" s="36">
        <v>0.47387382550668211</v>
      </c>
      <c r="BQ67" s="36">
        <v>0.3398663660041184</v>
      </c>
      <c r="BR67" s="36">
        <v>0.29349530439689336</v>
      </c>
      <c r="BS67" s="36">
        <v>1.0356367304157591E-2</v>
      </c>
      <c r="BT67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2.1072107616964622</v>
      </c>
      <c r="BU67" s="50">
        <v>-0.41912000000000005</v>
      </c>
      <c r="BV67" s="50">
        <v>3.3730000000000003E-2</v>
      </c>
      <c r="BW67" s="50">
        <v>0.28088000000000007</v>
      </c>
      <c r="BX67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0.25569260631420071</v>
      </c>
      <c r="BY67" s="63">
        <v>-0.27757403885481802</v>
      </c>
      <c r="BZ67" s="64">
        <v>0.24156928761857535</v>
      </c>
      <c r="CA67" s="64">
        <v>-0.30083135770282893</v>
      </c>
      <c r="CB67" s="64">
        <v>-0.24267035394285336</v>
      </c>
      <c r="CC67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0.28479147422679918</v>
      </c>
    </row>
    <row r="68" spans="1:81" x14ac:dyDescent="0.3">
      <c r="A68" s="22" t="s">
        <v>87</v>
      </c>
      <c r="B68">
        <v>4</v>
      </c>
      <c r="C68">
        <v>4</v>
      </c>
      <c r="D68" s="28">
        <v>5</v>
      </c>
      <c r="E68" s="28">
        <v>2</v>
      </c>
      <c r="F68" s="28">
        <v>5</v>
      </c>
      <c r="G68" s="28">
        <v>2</v>
      </c>
      <c r="H68" s="28">
        <v>5</v>
      </c>
      <c r="I68">
        <v>2</v>
      </c>
      <c r="J68" s="51">
        <v>4</v>
      </c>
      <c r="K68" s="50">
        <v>6</v>
      </c>
      <c r="L68">
        <v>2</v>
      </c>
      <c r="M68" s="49">
        <v>3</v>
      </c>
      <c r="N68" s="65">
        <v>6</v>
      </c>
      <c r="O68" s="66">
        <v>1</v>
      </c>
      <c r="P68" s="66">
        <v>3</v>
      </c>
      <c r="Q68" s="66">
        <v>4</v>
      </c>
      <c r="R68">
        <v>4</v>
      </c>
      <c r="S68" s="39" t="str">
        <f>RIGHT(Таблица1[[#This Row],[Классификация дискр ф-ции]])</f>
        <v>4</v>
      </c>
      <c r="T68" s="90">
        <v>4</v>
      </c>
      <c r="U68" s="90">
        <f>IF(Таблица1[[#This Row],[Обучающая выборка]]=Таблица1[[#This Row],[Номер класса по классификации дискр функции (Python)]],1,0)</f>
        <v>1</v>
      </c>
      <c r="V68" s="90">
        <f>MATCH(MIN(Таблица1[[#This Row],[Махаланобис 1]:[Махаланобис 6]]),Таблица1[[#This Row],[Махаланобис 1]:[Махаланобис 6]],0)</f>
        <v>4</v>
      </c>
      <c r="W68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4</v>
      </c>
      <c r="X68" s="40" t="str">
        <f>RIGHT(Таблица1[[#This Row],[Forward Классификация дискр ф-ции]])</f>
        <v>4</v>
      </c>
      <c r="Y68" s="40">
        <f>MATCH(MIN(Таблица1[[#This Row],[Forward Махаланобис 1]:[Forward Махаланобис 6]]),Таблица1[[#This Row],[Forward Махаланобис 1]:[Forward Махаланобис 6]],0)</f>
        <v>4</v>
      </c>
      <c r="Z68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4</v>
      </c>
      <c r="AA68" s="90">
        <v>4</v>
      </c>
      <c r="AB68" s="90">
        <f>IF(Таблица1[[#This Row],[Обучающая выборка]]=Таблица1[[#This Row],[Номер класса (пошаговый дискр анализ с включением) Python]],1,0)</f>
        <v>1</v>
      </c>
      <c r="AC68" s="40" t="s">
        <v>132</v>
      </c>
      <c r="AD68" s="41">
        <v>103.68600180234812</v>
      </c>
      <c r="AE68" s="41">
        <v>131.0236236121109</v>
      </c>
      <c r="AF68" s="41">
        <v>162.6201502824909</v>
      </c>
      <c r="AG68" s="42">
        <v>16.730572628297047</v>
      </c>
      <c r="AH68" s="41">
        <v>528.34588474139161</v>
      </c>
      <c r="AI68" s="41">
        <v>131.01038493084116</v>
      </c>
      <c r="AJ68" s="43">
        <v>1.9677038173099025E-19</v>
      </c>
      <c r="AK68" s="43">
        <v>1.5190753584423739E-25</v>
      </c>
      <c r="AL68" s="43">
        <v>5.7519277551741815E-32</v>
      </c>
      <c r="AM68" s="43">
        <v>1</v>
      </c>
      <c r="AN68" s="43">
        <v>0</v>
      </c>
      <c r="AO68" s="43">
        <v>2.2937459833410633E-25</v>
      </c>
      <c r="AP68" s="40" t="s">
        <v>132</v>
      </c>
      <c r="AQ68" s="42">
        <v>85.326378059155601</v>
      </c>
      <c r="AR68" s="42">
        <v>126.318376593685</v>
      </c>
      <c r="AS68" s="41">
        <v>148.32585721376677</v>
      </c>
      <c r="AT68" s="42">
        <v>14.462094763458055</v>
      </c>
      <c r="AU68" s="41">
        <v>439.10255022927521</v>
      </c>
      <c r="AV68" s="41">
        <v>121.22794558584508</v>
      </c>
      <c r="AW68" s="43">
        <v>6.139141724863385E-16</v>
      </c>
      <c r="AX68" s="43">
        <v>5.1370881426994675E-25</v>
      </c>
      <c r="AY68" s="43">
        <v>2.3506394166835151E-29</v>
      </c>
      <c r="AZ68" s="43">
        <v>0.99999999999999944</v>
      </c>
      <c r="BA68" s="43">
        <v>0</v>
      </c>
      <c r="BB68" s="43">
        <v>9.8215792458737985E-24</v>
      </c>
      <c r="BC68" s="40">
        <v>4</v>
      </c>
      <c r="BD68" s="40">
        <v>5</v>
      </c>
      <c r="BE68" s="40">
        <f>IF(Таблица1[[#This Row],[Neuron id (Кохонен)]]=Таблица1[[#This Row],[Кохонен 2020]],1,0)</f>
        <v>0</v>
      </c>
      <c r="BF68" s="28">
        <v>4</v>
      </c>
      <c r="BG68" s="40">
        <f>IF(Таблица1[[#This Row],[Персептрон]]=Таблица1[[#This Row],[Обучающая выборка]],1,0)</f>
        <v>1</v>
      </c>
      <c r="BH68" s="40">
        <f>IF(Таблица1[[#This Row],[Номер класса по классификации дискр функции (Python)]]=Таблица1[[#This Row],[Персептрон]],1,0)</f>
        <v>1</v>
      </c>
      <c r="BI68" s="36">
        <v>1.6454685066111252</v>
      </c>
      <c r="BJ68" s="36">
        <v>1.1048730142103793</v>
      </c>
      <c r="BK68" s="36">
        <v>0.77006049496153428</v>
      </c>
      <c r="BL68" s="36">
        <v>1.3402658368140461</v>
      </c>
      <c r="BM68" s="36">
        <v>-0.54123405126925561</v>
      </c>
      <c r="BN68" s="36">
        <v>0.69943299640518974</v>
      </c>
      <c r="BO68" s="36">
        <v>0.87044084294139912</v>
      </c>
      <c r="BP68" s="36">
        <v>9.2504207286129882E-3</v>
      </c>
      <c r="BQ68" s="36">
        <v>1.3227716106626168</v>
      </c>
      <c r="BR68" s="36">
        <v>1.731120983294002</v>
      </c>
      <c r="BS68" s="36">
        <v>0.75827375785123274</v>
      </c>
      <c r="BT68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13.178993993690096</v>
      </c>
      <c r="BU68" s="50">
        <v>1.64533</v>
      </c>
      <c r="BV68" s="50">
        <v>1.33396</v>
      </c>
      <c r="BW68" s="50">
        <v>-0.25012999999999996</v>
      </c>
      <c r="BX68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4.5491262544000826</v>
      </c>
      <c r="BY68" s="63">
        <v>1.3380518227119345</v>
      </c>
      <c r="BZ68" s="64">
        <v>0.56220402087958066</v>
      </c>
      <c r="CA68" s="64">
        <v>0.8772442707414313</v>
      </c>
      <c r="CB68" s="64">
        <v>1.3699623669822776</v>
      </c>
      <c r="CC68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4.7528104388522481</v>
      </c>
    </row>
    <row r="69" spans="1:81" x14ac:dyDescent="0.3">
      <c r="A69" s="22" t="s">
        <v>88</v>
      </c>
      <c r="B69">
        <v>1</v>
      </c>
      <c r="C69">
        <v>4</v>
      </c>
      <c r="D69" s="28">
        <v>5</v>
      </c>
      <c r="E69" s="28">
        <v>2</v>
      </c>
      <c r="F69" s="28">
        <v>4</v>
      </c>
      <c r="G69" s="28">
        <v>5</v>
      </c>
      <c r="H69" s="28">
        <v>5</v>
      </c>
      <c r="I69">
        <v>2</v>
      </c>
      <c r="J69" s="51">
        <v>2</v>
      </c>
      <c r="K69" s="50">
        <v>1</v>
      </c>
      <c r="L69">
        <v>1</v>
      </c>
      <c r="M69" s="49">
        <v>2</v>
      </c>
      <c r="N69" s="65">
        <v>3</v>
      </c>
      <c r="O69" s="66">
        <v>3</v>
      </c>
      <c r="P69" s="66">
        <v>2</v>
      </c>
      <c r="Q69" s="66">
        <v>5</v>
      </c>
      <c r="R69">
        <v>1</v>
      </c>
      <c r="S69" s="39" t="str">
        <f>RIGHT(Таблица1[[#This Row],[Классификация дискр ф-ции]])</f>
        <v>1</v>
      </c>
      <c r="T69" s="90">
        <v>1</v>
      </c>
      <c r="U69" s="90">
        <f>IF(Таблица1[[#This Row],[Обучающая выборка]]=Таблица1[[#This Row],[Номер класса по классификации дискр функции (Python)]],1,0)</f>
        <v>1</v>
      </c>
      <c r="V69" s="90">
        <f>MATCH(MIN(Таблица1[[#This Row],[Махаланобис 1]:[Махаланобис 6]]),Таблица1[[#This Row],[Махаланобис 1]:[Махаланобис 6]],0)</f>
        <v>1</v>
      </c>
      <c r="W69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69" s="40" t="str">
        <f>RIGHT(Таблица1[[#This Row],[Forward Классификация дискр ф-ции]])</f>
        <v>1</v>
      </c>
      <c r="Y69" s="40">
        <f>MATCH(MIN(Таблица1[[#This Row],[Forward Махаланобис 1]:[Forward Махаланобис 6]]),Таблица1[[#This Row],[Forward Махаланобис 1]:[Forward Махаланобис 6]],0)</f>
        <v>1</v>
      </c>
      <c r="Z69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69" s="90">
        <v>1</v>
      </c>
      <c r="AB69" s="90">
        <f>IF(Таблица1[[#This Row],[Обучающая выборка]]=Таблица1[[#This Row],[Номер класса (пошаговый дискр анализ с включением) Python]],1,0)</f>
        <v>1</v>
      </c>
      <c r="AC69" s="40" t="s">
        <v>130</v>
      </c>
      <c r="AD69" s="41">
        <v>9.6058834632851511</v>
      </c>
      <c r="AE69" s="41">
        <v>98.287577129678709</v>
      </c>
      <c r="AF69" s="41">
        <v>25.168185268175836</v>
      </c>
      <c r="AG69" s="42">
        <v>136.22567034902758</v>
      </c>
      <c r="AH69" s="41">
        <v>1130.2879955028443</v>
      </c>
      <c r="AI69" s="41">
        <v>62.457894260729852</v>
      </c>
      <c r="AJ69" s="43">
        <v>0.9992351113389597</v>
      </c>
      <c r="AK69" s="43">
        <v>3.6863055009332501E-20</v>
      </c>
      <c r="AL69" s="43">
        <v>7.6488865770616094E-4</v>
      </c>
      <c r="AM69" s="43">
        <v>2.1302915994815591E-28</v>
      </c>
      <c r="AN69" s="43">
        <v>0</v>
      </c>
      <c r="AO69" s="43">
        <v>3.3342592337120451E-12</v>
      </c>
      <c r="AP69" s="40" t="s">
        <v>130</v>
      </c>
      <c r="AQ69" s="42">
        <v>5.0353716437710316</v>
      </c>
      <c r="AR69" s="42">
        <v>73.691928276888248</v>
      </c>
      <c r="AS69" s="41">
        <v>17.311781601327855</v>
      </c>
      <c r="AT69" s="42">
        <v>100.54458907482483</v>
      </c>
      <c r="AU69" s="41">
        <v>983.87870834017849</v>
      </c>
      <c r="AV69" s="41">
        <v>38.096689832887037</v>
      </c>
      <c r="AW69" s="43">
        <v>0.99605774543932857</v>
      </c>
      <c r="AX69" s="43">
        <v>8.1961785692780278E-16</v>
      </c>
      <c r="AY69" s="43">
        <v>3.9421886265088753E-3</v>
      </c>
      <c r="AZ69" s="43">
        <v>1.2095677731379499E-21</v>
      </c>
      <c r="BA69" s="43">
        <v>0</v>
      </c>
      <c r="BB69" s="43">
        <v>6.5934161865935376E-8</v>
      </c>
      <c r="BC69" s="40">
        <v>4</v>
      </c>
      <c r="BD69" s="40">
        <v>4</v>
      </c>
      <c r="BE69" s="40">
        <f>IF(Таблица1[[#This Row],[Neuron id (Кохонен)]]=Таблица1[[#This Row],[Кохонен 2020]],1,0)</f>
        <v>1</v>
      </c>
      <c r="BF69" s="28">
        <v>1</v>
      </c>
      <c r="BG69" s="40">
        <f>IF(Таблица1[[#This Row],[Персептрон]]=Таблица1[[#This Row],[Обучающая выборка]],1,0)</f>
        <v>1</v>
      </c>
      <c r="BH69" s="40">
        <f>IF(Таблица1[[#This Row],[Номер класса по классификации дискр функции (Python)]]=Таблица1[[#This Row],[Персептрон]],1,0)</f>
        <v>1</v>
      </c>
      <c r="BI69" s="36">
        <v>-0.1052063495388858</v>
      </c>
      <c r="BJ69" s="36">
        <v>-0.23058521649304775</v>
      </c>
      <c r="BK69" s="36">
        <v>-0.33602776789597311</v>
      </c>
      <c r="BL69" s="36">
        <v>-0.11282850156853155</v>
      </c>
      <c r="BM69" s="36">
        <v>0.12324854669003459</v>
      </c>
      <c r="BN69" s="36">
        <v>-0.44659845687579047</v>
      </c>
      <c r="BO69" s="36">
        <v>5.4264534771468809E-2</v>
      </c>
      <c r="BP69" s="36">
        <v>0.36665303978866642</v>
      </c>
      <c r="BQ69" s="36">
        <v>1.6013644376247456</v>
      </c>
      <c r="BR69" s="36">
        <v>-0.45852071804551348</v>
      </c>
      <c r="BS69" s="36">
        <v>2.8107941580506283E-2</v>
      </c>
      <c r="BT69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3.3173016942231528</v>
      </c>
      <c r="BU69" s="50">
        <v>-0.29218000000000005</v>
      </c>
      <c r="BV69" s="50">
        <v>0.39384000000000002</v>
      </c>
      <c r="BW69" s="50">
        <v>0.35066000000000003</v>
      </c>
      <c r="BX69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0.36344140626361249</v>
      </c>
      <c r="BY69" s="63">
        <v>-0.17671548699715928</v>
      </c>
      <c r="BZ69" s="64">
        <v>0.2923288403027719</v>
      </c>
      <c r="CA69" s="64">
        <v>-2.7339894198269064E-2</v>
      </c>
      <c r="CB69" s="64">
        <v>7.2031973702052096E-2</v>
      </c>
      <c r="CC69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0.12262058926759238</v>
      </c>
    </row>
    <row r="70" spans="1:81" x14ac:dyDescent="0.3">
      <c r="A70" s="22" t="s">
        <v>17</v>
      </c>
      <c r="B70">
        <v>3</v>
      </c>
      <c r="C70">
        <v>1</v>
      </c>
      <c r="D70" s="28">
        <v>5</v>
      </c>
      <c r="E70" s="28">
        <v>2</v>
      </c>
      <c r="F70" s="28">
        <v>4</v>
      </c>
      <c r="G70" s="28">
        <v>5</v>
      </c>
      <c r="H70" s="28">
        <v>1</v>
      </c>
      <c r="I70">
        <v>4</v>
      </c>
      <c r="J70" s="51">
        <v>2</v>
      </c>
      <c r="K70" s="50">
        <v>1</v>
      </c>
      <c r="L70">
        <v>2</v>
      </c>
      <c r="M70" s="49">
        <v>2</v>
      </c>
      <c r="N70" s="65">
        <v>3</v>
      </c>
      <c r="O70" s="66">
        <v>3</v>
      </c>
      <c r="P70" s="66">
        <v>2</v>
      </c>
      <c r="Q70" s="66">
        <v>5</v>
      </c>
      <c r="S70" s="39" t="str">
        <f>RIGHT(Таблица1[[#This Row],[Классификация дискр ф-ции]])</f>
        <v>3</v>
      </c>
      <c r="T70" s="90">
        <v>3</v>
      </c>
      <c r="U70" s="90">
        <f>IF(Таблица1[[#This Row],[Обучающая выборка]]=Таблица1[[#This Row],[Номер класса по классификации дискр функции (Python)]],1,0)</f>
        <v>0</v>
      </c>
      <c r="V70" s="90">
        <f>MATCH(MIN(Таблица1[[#This Row],[Махаланобис 1]:[Махаланобис 6]]),Таблица1[[#This Row],[Махаланобис 1]:[Махаланобис 6]],0)</f>
        <v>3</v>
      </c>
      <c r="W70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70" s="40" t="str">
        <f>RIGHT(Таблица1[[#This Row],[Forward Классификация дискр ф-ции]])</f>
        <v>3</v>
      </c>
      <c r="Y70" s="40">
        <f>MATCH(MIN(Таблица1[[#This Row],[Forward Махаланобис 1]:[Forward Махаланобис 6]]),Таблица1[[#This Row],[Forward Махаланобис 1]:[Forward Махаланобис 6]],0)</f>
        <v>3</v>
      </c>
      <c r="Z70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70" s="90">
        <v>3</v>
      </c>
      <c r="AB70" s="90">
        <f>IF(Таблица1[[#This Row],[Обучающая выборка]]=Таблица1[[#This Row],[Номер класса (пошаговый дискр анализ с включением) Python]],1,0)</f>
        <v>0</v>
      </c>
      <c r="AC70" s="40" t="s">
        <v>128</v>
      </c>
      <c r="AD70" s="41">
        <v>30.234663065640355</v>
      </c>
      <c r="AE70" s="41">
        <v>54.909266427105528</v>
      </c>
      <c r="AF70" s="41">
        <v>8.3575138949088199</v>
      </c>
      <c r="AG70" s="42">
        <v>125.27755128389781</v>
      </c>
      <c r="AH70" s="41">
        <v>1178.6106648349521</v>
      </c>
      <c r="AI70" s="41">
        <v>23.595157711350343</v>
      </c>
      <c r="AJ70" s="43">
        <v>9.6844609462580772E-6</v>
      </c>
      <c r="AK70" s="43">
        <v>2.8311452529625521E-11</v>
      </c>
      <c r="AL70" s="43">
        <v>0.99972250616956071</v>
      </c>
      <c r="AM70" s="43">
        <v>1.4848522603613298E-26</v>
      </c>
      <c r="AN70" s="43">
        <v>0</v>
      </c>
      <c r="AO70" s="43">
        <v>2.6780934118147243E-4</v>
      </c>
      <c r="AP70" s="40" t="s">
        <v>128</v>
      </c>
      <c r="AQ70" s="42">
        <v>25.107468445589685</v>
      </c>
      <c r="AR70" s="42">
        <v>52.34006721418438</v>
      </c>
      <c r="AS70" s="41">
        <v>2.9267773716850014</v>
      </c>
      <c r="AT70" s="42">
        <v>116.90201820858854</v>
      </c>
      <c r="AU70" s="41">
        <v>1058.8875679451917</v>
      </c>
      <c r="AV70" s="41">
        <v>18.895960148194931</v>
      </c>
      <c r="AW70" s="43">
        <v>8.3214381321155559E-6</v>
      </c>
      <c r="AX70" s="43">
        <v>6.7705421020221415E-12</v>
      </c>
      <c r="AY70" s="43">
        <v>0.99980589371304063</v>
      </c>
      <c r="AZ70" s="43">
        <v>6.4740181730799649E-26</v>
      </c>
      <c r="BA70" s="43">
        <v>0</v>
      </c>
      <c r="BB70" s="43">
        <v>1.8578484205682475E-4</v>
      </c>
      <c r="BC70" s="40">
        <v>5</v>
      </c>
      <c r="BD70" s="40">
        <v>5</v>
      </c>
      <c r="BE70" s="40">
        <f>IF(Таблица1[[#This Row],[Neuron id (Кохонен)]]=Таблица1[[#This Row],[Кохонен 2020]],1,0)</f>
        <v>1</v>
      </c>
      <c r="BF70" s="28">
        <v>3</v>
      </c>
      <c r="BG70" s="40">
        <f>IF(Таблица1[[#This Row],[Персептрон]]=Таблица1[[#This Row],[Обучающая выборка]],1,0)</f>
        <v>0</v>
      </c>
      <c r="BH70" s="40">
        <f>IF(Таблица1[[#This Row],[Номер класса по классификации дискр функции (Python)]]=Таблица1[[#This Row],[Персептрон]],1,0)</f>
        <v>1</v>
      </c>
      <c r="BI70" s="36">
        <v>-0.31472289497132139</v>
      </c>
      <c r="BJ70" s="36">
        <v>-0.31044517289367313</v>
      </c>
      <c r="BK70" s="36">
        <v>0.41499706815693826</v>
      </c>
      <c r="BL70" s="36">
        <v>-0.34532359570974452</v>
      </c>
      <c r="BM70" s="36">
        <v>-0.21539960929472762</v>
      </c>
      <c r="BN70" s="36">
        <v>0.40629325378487768</v>
      </c>
      <c r="BO70" s="36">
        <v>0.13713230308727742</v>
      </c>
      <c r="BP70" s="36">
        <v>0.97423749219075706</v>
      </c>
      <c r="BQ70" s="36">
        <v>-0.48747363905623881</v>
      </c>
      <c r="BR70" s="36">
        <v>0.37516710978197509</v>
      </c>
      <c r="BS70" s="36">
        <v>0.57087046096590621</v>
      </c>
      <c r="BT70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2.3705868100607685</v>
      </c>
      <c r="BU70" s="50">
        <v>-0.24506000000000003</v>
      </c>
      <c r="BV70" s="50">
        <v>0.54222999999999999</v>
      </c>
      <c r="BW70" s="50">
        <v>0.25849</v>
      </c>
      <c r="BX70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0.42088480804008305</v>
      </c>
      <c r="BY70" s="63">
        <v>-0.20038239257698973</v>
      </c>
      <c r="BZ70" s="64">
        <v>0.71866054793306744</v>
      </c>
      <c r="CA70" s="64">
        <v>0.14307359056261282</v>
      </c>
      <c r="CB70" s="64">
        <v>-6.8588443801368221E-2</v>
      </c>
      <c r="CC70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0.58180051334990723</v>
      </c>
    </row>
    <row r="71" spans="1:81" x14ac:dyDescent="0.3">
      <c r="A71" s="22" t="s">
        <v>89</v>
      </c>
      <c r="B71">
        <v>6</v>
      </c>
      <c r="C71">
        <v>3</v>
      </c>
      <c r="D71" s="28">
        <v>5</v>
      </c>
      <c r="E71" s="28">
        <v>2</v>
      </c>
      <c r="F71" s="28">
        <v>4</v>
      </c>
      <c r="G71" s="28">
        <v>5</v>
      </c>
      <c r="H71" s="28">
        <v>3</v>
      </c>
      <c r="I71">
        <v>5</v>
      </c>
      <c r="J71" s="51">
        <v>1</v>
      </c>
      <c r="K71" s="50">
        <v>3</v>
      </c>
      <c r="L71">
        <v>3</v>
      </c>
      <c r="M71" s="49">
        <v>1</v>
      </c>
      <c r="N71" s="65">
        <v>5</v>
      </c>
      <c r="O71" s="66">
        <v>4</v>
      </c>
      <c r="P71" s="66">
        <v>5</v>
      </c>
      <c r="Q71" s="66">
        <v>1</v>
      </c>
      <c r="S71" s="39" t="str">
        <f>RIGHT(Таблица1[[#This Row],[Классификация дискр ф-ции]])</f>
        <v>2</v>
      </c>
      <c r="T71" s="90">
        <v>2</v>
      </c>
      <c r="U71" s="90">
        <f>IF(Таблица1[[#This Row],[Обучающая выборка]]=Таблица1[[#This Row],[Номер класса по классификации дискр функции (Python)]],1,0)</f>
        <v>0</v>
      </c>
      <c r="V71" s="90">
        <f>MATCH(MIN(Таблица1[[#This Row],[Махаланобис 1]:[Махаланобис 6]]),Таблица1[[#This Row],[Махаланобис 1]:[Махаланобис 6]],0)</f>
        <v>2</v>
      </c>
      <c r="W71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71" s="40" t="str">
        <f>RIGHT(Таблица1[[#This Row],[Forward Классификация дискр ф-ции]])</f>
        <v>6</v>
      </c>
      <c r="Y71" s="40">
        <f>MATCH(MIN(Таблица1[[#This Row],[Forward Махаланобис 1]:[Forward Махаланобис 6]]),Таблица1[[#This Row],[Forward Махаланобис 1]:[Forward Махаланобис 6]],0)</f>
        <v>6</v>
      </c>
      <c r="Z71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71" s="90">
        <v>6</v>
      </c>
      <c r="AB71" s="90">
        <f>IF(Таблица1[[#This Row],[Обучающая выборка]]=Таблица1[[#This Row],[Номер класса (пошаговый дискр анализ с включением) Python]],1,0)</f>
        <v>0</v>
      </c>
      <c r="AC71" s="40" t="s">
        <v>131</v>
      </c>
      <c r="AD71" s="41">
        <v>90.225897299131788</v>
      </c>
      <c r="AE71" s="41">
        <v>68.100183002623424</v>
      </c>
      <c r="AF71" s="41">
        <v>120.20675456497789</v>
      </c>
      <c r="AG71" s="42">
        <v>129.30040600434049</v>
      </c>
      <c r="AH71" s="41">
        <v>1012.982598025668</v>
      </c>
      <c r="AI71" s="41">
        <v>70.520924446194698</v>
      </c>
      <c r="AJ71" s="43">
        <v>1.6256939892944996E-5</v>
      </c>
      <c r="AK71" s="43">
        <v>0.69101162640668046</v>
      </c>
      <c r="AL71" s="43">
        <v>9.2049153315911779E-12</v>
      </c>
      <c r="AM71" s="43">
        <v>3.5483445514237954E-14</v>
      </c>
      <c r="AN71" s="43">
        <v>0</v>
      </c>
      <c r="AO71" s="43">
        <v>0.30897211664418633</v>
      </c>
      <c r="AP71" s="40" t="s">
        <v>129</v>
      </c>
      <c r="AQ71" s="42">
        <v>64.830200388497943</v>
      </c>
      <c r="AR71" s="42">
        <v>32.810821004293615</v>
      </c>
      <c r="AS71" s="41">
        <v>81.958408446069313</v>
      </c>
      <c r="AT71" s="42">
        <v>113.63023250536421</v>
      </c>
      <c r="AU71" s="41">
        <v>925.4478663844792</v>
      </c>
      <c r="AV71" s="41">
        <v>25.715270686461256</v>
      </c>
      <c r="AW71" s="43">
        <v>3.1480726916403964E-9</v>
      </c>
      <c r="AX71" s="43">
        <v>1.8830999994109733E-2</v>
      </c>
      <c r="AY71" s="43">
        <v>1.1013949088800351E-12</v>
      </c>
      <c r="AZ71" s="43">
        <v>5.3108148437841648E-20</v>
      </c>
      <c r="BA71" s="43">
        <v>0</v>
      </c>
      <c r="BB71" s="43">
        <v>0.98116899685671621</v>
      </c>
      <c r="BC71" s="40">
        <v>2</v>
      </c>
      <c r="BD71" s="40">
        <v>5</v>
      </c>
      <c r="BE71" s="40">
        <f>IF(Таблица1[[#This Row],[Neuron id (Кохонен)]]=Таблица1[[#This Row],[Кохонен 2020]],1,0)</f>
        <v>0</v>
      </c>
      <c r="BF71" s="28">
        <v>2</v>
      </c>
      <c r="BG71" s="40">
        <f>IF(Таблица1[[#This Row],[Персептрон]]=Таблица1[[#This Row],[Обучающая выборка]],1,0)</f>
        <v>0</v>
      </c>
      <c r="BH71" s="40">
        <f>IF(Таблица1[[#This Row],[Номер класса по классификации дискр функции (Python)]]=Таблица1[[#This Row],[Персептрон]],1,0)</f>
        <v>1</v>
      </c>
      <c r="BI71" s="36">
        <v>-0.38573581505414212</v>
      </c>
      <c r="BJ71" s="36">
        <v>-0.33715800824438247</v>
      </c>
      <c r="BK71" s="36">
        <v>0.47410462767503297</v>
      </c>
      <c r="BL71" s="36">
        <v>-0.2097014574607034</v>
      </c>
      <c r="BM71" s="36">
        <v>0.63945816824518564</v>
      </c>
      <c r="BN71" s="36">
        <v>-0.21067574983983692</v>
      </c>
      <c r="BO71" s="36">
        <v>2.5676990407913638</v>
      </c>
      <c r="BP71" s="36">
        <v>-0.38389246023744567</v>
      </c>
      <c r="BQ71" s="36">
        <v>-0.77336527408709788</v>
      </c>
      <c r="BR71" s="36">
        <v>-0.38332225479989024</v>
      </c>
      <c r="BS71" s="36">
        <v>-1.1726391437031503</v>
      </c>
      <c r="BT71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9.8450727059304963</v>
      </c>
      <c r="BU71" s="50">
        <v>-0.27363999999999999</v>
      </c>
      <c r="BV71" s="50">
        <v>-0.32472000000000006</v>
      </c>
      <c r="BW71" s="50">
        <v>-1.1925399999999999</v>
      </c>
      <c r="BX71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1.6024736550212593</v>
      </c>
      <c r="BY71" s="63">
        <v>-0.29645628680402175</v>
      </c>
      <c r="BZ71" s="64">
        <v>-0.90822187484699035</v>
      </c>
      <c r="CA71" s="64">
        <v>0.74493198374458613</v>
      </c>
      <c r="CB71" s="64">
        <v>-0.11226304548620084</v>
      </c>
      <c r="CC71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1.4802799557236916</v>
      </c>
    </row>
    <row r="72" spans="1:81" x14ac:dyDescent="0.3">
      <c r="A72" s="22" t="s">
        <v>18</v>
      </c>
      <c r="B72">
        <v>3</v>
      </c>
      <c r="C72">
        <v>1</v>
      </c>
      <c r="D72" s="28">
        <v>5</v>
      </c>
      <c r="E72" s="28">
        <v>2</v>
      </c>
      <c r="F72" s="28">
        <v>4</v>
      </c>
      <c r="G72" s="28">
        <v>5</v>
      </c>
      <c r="H72" s="28">
        <v>1</v>
      </c>
      <c r="I72">
        <v>4</v>
      </c>
      <c r="J72" s="51">
        <v>3</v>
      </c>
      <c r="K72" s="50">
        <v>1</v>
      </c>
      <c r="L72">
        <v>2</v>
      </c>
      <c r="M72" s="49">
        <v>3</v>
      </c>
      <c r="N72" s="65">
        <v>4</v>
      </c>
      <c r="O72" s="66">
        <v>5</v>
      </c>
      <c r="P72" s="66">
        <v>2</v>
      </c>
      <c r="Q72" s="66">
        <v>5</v>
      </c>
      <c r="R72">
        <v>3</v>
      </c>
      <c r="S72" s="39" t="str">
        <f>RIGHT(Таблица1[[#This Row],[Классификация дискр ф-ции]])</f>
        <v>3</v>
      </c>
      <c r="T72" s="90">
        <v>3</v>
      </c>
      <c r="U72" s="90">
        <f>IF(Таблица1[[#This Row],[Обучающая выборка]]=Таблица1[[#This Row],[Номер класса по классификации дискр функции (Python)]],1,0)</f>
        <v>1</v>
      </c>
      <c r="V72" s="90">
        <f>MATCH(MIN(Таблица1[[#This Row],[Махаланобис 1]:[Махаланобис 6]]),Таблица1[[#This Row],[Махаланобис 1]:[Махаланобис 6]],0)</f>
        <v>3</v>
      </c>
      <c r="W72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72" s="40" t="str">
        <f>RIGHT(Таблица1[[#This Row],[Forward Классификация дискр ф-ции]])</f>
        <v>3</v>
      </c>
      <c r="Y72" s="40">
        <f>MATCH(MIN(Таблица1[[#This Row],[Forward Махаланобис 1]:[Forward Махаланобис 6]]),Таблица1[[#This Row],[Forward Махаланобис 1]:[Forward Махаланобис 6]],0)</f>
        <v>3</v>
      </c>
      <c r="Z72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72" s="90">
        <v>3</v>
      </c>
      <c r="AB72" s="90">
        <f>IF(Таблица1[[#This Row],[Обучающая выборка]]=Таблица1[[#This Row],[Номер класса (пошаговый дискр анализ с включением) Python]],1,0)</f>
        <v>1</v>
      </c>
      <c r="AC72" s="40" t="s">
        <v>128</v>
      </c>
      <c r="AD72" s="41">
        <v>42.455961001137652</v>
      </c>
      <c r="AE72" s="41">
        <v>54.556736543205822</v>
      </c>
      <c r="AF72" s="41">
        <v>7.455300448715195</v>
      </c>
      <c r="AG72" s="42">
        <v>135.13832463798036</v>
      </c>
      <c r="AH72" s="41">
        <v>1162.6526731180084</v>
      </c>
      <c r="AI72" s="41">
        <v>26.736506181319125</v>
      </c>
      <c r="AJ72" s="43">
        <v>1.3691350335649472E-8</v>
      </c>
      <c r="AK72" s="43">
        <v>2.1513199369444162E-11</v>
      </c>
      <c r="AL72" s="43">
        <v>0.99996451454433832</v>
      </c>
      <c r="AM72" s="43">
        <v>6.8333784810064153E-29</v>
      </c>
      <c r="AN72" s="43">
        <v>0</v>
      </c>
      <c r="AO72" s="43">
        <v>3.5471742798169483E-5</v>
      </c>
      <c r="AP72" s="40" t="s">
        <v>128</v>
      </c>
      <c r="AQ72" s="42">
        <v>34.069737259525709</v>
      </c>
      <c r="AR72" s="42">
        <v>43.514648143636911</v>
      </c>
      <c r="AS72" s="41">
        <v>4.8336291500146489</v>
      </c>
      <c r="AT72" s="42">
        <v>115.1245657790725</v>
      </c>
      <c r="AU72" s="41">
        <v>1050.4292256693557</v>
      </c>
      <c r="AV72" s="41">
        <v>16.652795118528932</v>
      </c>
      <c r="AW72" s="43">
        <v>2.4410460329611599E-7</v>
      </c>
      <c r="AX72" s="43">
        <v>1.4472660375281594E-9</v>
      </c>
      <c r="AY72" s="43">
        <v>0.99852195023252033</v>
      </c>
      <c r="AZ72" s="43">
        <v>4.0799264262971541E-25</v>
      </c>
      <c r="BA72" s="43">
        <v>0</v>
      </c>
      <c r="BB72" s="43">
        <v>1.4778042156103708E-3</v>
      </c>
      <c r="BC72" s="40">
        <v>5</v>
      </c>
      <c r="BD72" s="40">
        <v>5</v>
      </c>
      <c r="BE72" s="40">
        <f>IF(Таблица1[[#This Row],[Neuron id (Кохонен)]]=Таблица1[[#This Row],[Кохонен 2020]],1,0)</f>
        <v>1</v>
      </c>
      <c r="BF72" s="28">
        <v>3</v>
      </c>
      <c r="BG72" s="40">
        <f>IF(Таблица1[[#This Row],[Персептрон]]=Таблица1[[#This Row],[Обучающая выборка]],1,0)</f>
        <v>1</v>
      </c>
      <c r="BH72" s="40">
        <f>IF(Таблица1[[#This Row],[Номер класса по классификации дискр функции (Python)]]=Таблица1[[#This Row],[Персептрон]],1,0)</f>
        <v>1</v>
      </c>
      <c r="BI72" s="36">
        <v>-0.3346481238090554</v>
      </c>
      <c r="BJ72" s="36">
        <v>-0.28509785785091019</v>
      </c>
      <c r="BK72" s="36">
        <v>0.32745115359378868</v>
      </c>
      <c r="BL72" s="36">
        <v>-0.81031378399216902</v>
      </c>
      <c r="BM72" s="36">
        <v>-0.46801282835363139</v>
      </c>
      <c r="BN72" s="36">
        <v>-0.75170470051462301</v>
      </c>
      <c r="BO72" s="36">
        <v>2.9074444138369793E-2</v>
      </c>
      <c r="BP72" s="36">
        <v>0.93849723028475185</v>
      </c>
      <c r="BQ72" s="36">
        <v>-0.33336871803274715</v>
      </c>
      <c r="BR72" s="36">
        <v>-0.86460689633133114</v>
      </c>
      <c r="BS72" s="36">
        <v>1.1128897889560401</v>
      </c>
      <c r="BT72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4.7200246503802612</v>
      </c>
      <c r="BU72" s="50">
        <v>-0.67116000000000009</v>
      </c>
      <c r="BV72" s="50">
        <v>0.22528000000000001</v>
      </c>
      <c r="BW72" s="50">
        <v>0.73462000000000016</v>
      </c>
      <c r="BX72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1.0408729327153772</v>
      </c>
      <c r="BY72" s="63">
        <v>-0.16549629064595822</v>
      </c>
      <c r="BZ72" s="64">
        <v>0.89136518932570818</v>
      </c>
      <c r="CA72" s="64">
        <v>-0.38267485847576971</v>
      </c>
      <c r="CB72" s="64">
        <v>-0.74855297014423361</v>
      </c>
      <c r="CC72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1.5286925193804313</v>
      </c>
    </row>
    <row r="73" spans="1:81" x14ac:dyDescent="0.3">
      <c r="A73" s="22" t="s">
        <v>19</v>
      </c>
      <c r="B73">
        <v>3</v>
      </c>
      <c r="C73">
        <v>1</v>
      </c>
      <c r="D73" s="28">
        <v>5</v>
      </c>
      <c r="E73" s="28">
        <v>2</v>
      </c>
      <c r="F73" s="28">
        <v>4</v>
      </c>
      <c r="G73" s="28">
        <v>5</v>
      </c>
      <c r="H73" s="28">
        <v>1</v>
      </c>
      <c r="I73">
        <v>4</v>
      </c>
      <c r="J73" s="51">
        <v>2</v>
      </c>
      <c r="K73" s="50">
        <v>1</v>
      </c>
      <c r="L73">
        <v>2</v>
      </c>
      <c r="M73" s="49">
        <v>3</v>
      </c>
      <c r="N73" s="65">
        <v>3</v>
      </c>
      <c r="O73" s="66">
        <v>3</v>
      </c>
      <c r="P73" s="66">
        <v>2</v>
      </c>
      <c r="Q73" s="66">
        <v>5</v>
      </c>
      <c r="R73">
        <v>3</v>
      </c>
      <c r="S73" s="39" t="str">
        <f>RIGHT(Таблица1[[#This Row],[Классификация дискр ф-ции]])</f>
        <v>3</v>
      </c>
      <c r="T73" s="90">
        <v>3</v>
      </c>
      <c r="U73" s="90">
        <f>IF(Таблица1[[#This Row],[Обучающая выборка]]=Таблица1[[#This Row],[Номер класса по классификации дискр функции (Python)]],1,0)</f>
        <v>1</v>
      </c>
      <c r="V73" s="90">
        <f>MATCH(MIN(Таблица1[[#This Row],[Махаланобис 1]:[Махаланобис 6]]),Таблица1[[#This Row],[Махаланобис 1]:[Махаланобис 6]],0)</f>
        <v>3</v>
      </c>
      <c r="W73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73" s="40" t="str">
        <f>RIGHT(Таблица1[[#This Row],[Forward Классификация дискр ф-ции]])</f>
        <v>3</v>
      </c>
      <c r="Y73" s="40">
        <f>MATCH(MIN(Таблица1[[#This Row],[Forward Махаланобис 1]:[Forward Махаланобис 6]]),Таблица1[[#This Row],[Forward Махаланобис 1]:[Forward Махаланобис 6]],0)</f>
        <v>3</v>
      </c>
      <c r="Z73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73" s="90">
        <v>3</v>
      </c>
      <c r="AB73" s="90">
        <f>IF(Таблица1[[#This Row],[Обучающая выборка]]=Таблица1[[#This Row],[Номер класса (пошаговый дискр анализ с включением) Python]],1,0)</f>
        <v>1</v>
      </c>
      <c r="AC73" s="40" t="s">
        <v>128</v>
      </c>
      <c r="AD73" s="41">
        <v>34.752764946827796</v>
      </c>
      <c r="AE73" s="41">
        <v>91.111637678191414</v>
      </c>
      <c r="AF73" s="41">
        <v>6.2792120545408308</v>
      </c>
      <c r="AG73" s="42">
        <v>149.53964729802723</v>
      </c>
      <c r="AH73" s="41">
        <v>1211.8665334169075</v>
      </c>
      <c r="AI73" s="41">
        <v>44.015454358509871</v>
      </c>
      <c r="AJ73" s="43">
        <v>3.5793565149237008E-7</v>
      </c>
      <c r="AK73" s="43">
        <v>1.3789228928187457E-19</v>
      </c>
      <c r="AL73" s="43">
        <v>0.99999963857746454</v>
      </c>
      <c r="AM73" s="43">
        <v>2.8317760121969223E-32</v>
      </c>
      <c r="AN73" s="43">
        <v>0</v>
      </c>
      <c r="AO73" s="43">
        <v>3.4868840671117905E-9</v>
      </c>
      <c r="AP73" s="40" t="s">
        <v>128</v>
      </c>
      <c r="AQ73" s="42">
        <v>33.691316946509204</v>
      </c>
      <c r="AR73" s="42">
        <v>82.629757753308965</v>
      </c>
      <c r="AS73" s="41">
        <v>5.0015988250316381</v>
      </c>
      <c r="AT73" s="42">
        <v>132.43493846311205</v>
      </c>
      <c r="AU73" s="41">
        <v>1088.2141490968922</v>
      </c>
      <c r="AV73" s="41">
        <v>35.920301232631275</v>
      </c>
      <c r="AW73" s="43">
        <v>3.2126635517664346E-7</v>
      </c>
      <c r="AX73" s="43">
        <v>5.0573916763266071E-18</v>
      </c>
      <c r="AY73" s="43">
        <v>0.99999957333198297</v>
      </c>
      <c r="AZ73" s="43">
        <v>7.7422824897146567E-29</v>
      </c>
      <c r="BA73" s="43">
        <v>0</v>
      </c>
      <c r="BB73" s="43">
        <v>1.0540166183391657E-7</v>
      </c>
      <c r="BC73" s="40">
        <v>5</v>
      </c>
      <c r="BD73" s="40">
        <v>5</v>
      </c>
      <c r="BE73" s="40">
        <f>IF(Таблица1[[#This Row],[Neuron id (Кохонен)]]=Таблица1[[#This Row],[Кохонен 2020]],1,0)</f>
        <v>1</v>
      </c>
      <c r="BF73" s="28">
        <v>3</v>
      </c>
      <c r="BG73" s="40">
        <f>IF(Таблица1[[#This Row],[Персептрон]]=Таблица1[[#This Row],[Обучающая выборка]],1,0)</f>
        <v>1</v>
      </c>
      <c r="BH73" s="40">
        <f>IF(Таблица1[[#This Row],[Номер класса по классификации дискр функции (Python)]]=Таблица1[[#This Row],[Персептрон]],1,0)</f>
        <v>1</v>
      </c>
      <c r="BI73" s="36">
        <v>-0.30237022862502888</v>
      </c>
      <c r="BJ73" s="36">
        <v>-0.29234976861616596</v>
      </c>
      <c r="BK73" s="36">
        <v>-0.10792162871949765</v>
      </c>
      <c r="BL73" s="36">
        <v>0.35216168671389297</v>
      </c>
      <c r="BM73" s="36">
        <v>-5.0651857734573029E-2</v>
      </c>
      <c r="BN73" s="36">
        <v>6.3811211410576107E-2</v>
      </c>
      <c r="BO73" s="36">
        <v>-0.31331576450439691</v>
      </c>
      <c r="BP73" s="36">
        <v>1.4031206350628216</v>
      </c>
      <c r="BQ73" s="36">
        <v>-0.11592026383841188</v>
      </c>
      <c r="BR73" s="36">
        <v>-0.30331169648865036</v>
      </c>
      <c r="BS73" s="36">
        <v>0.8037058112450326</v>
      </c>
      <c r="BT73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3.1374913639472615</v>
      </c>
      <c r="BU73" s="50">
        <v>-0.34032000000000007</v>
      </c>
      <c r="BV73" s="50">
        <v>0.56952999999999998</v>
      </c>
      <c r="BW73" s="50">
        <v>0.79700000000000004</v>
      </c>
      <c r="BX73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1.0753909096271419</v>
      </c>
      <c r="BY73" s="63">
        <v>-0.17103763736924052</v>
      </c>
      <c r="BZ73" s="64">
        <v>1.1159358708581468</v>
      </c>
      <c r="CA73" s="64">
        <v>-0.20878845483966724</v>
      </c>
      <c r="CB73" s="64">
        <v>-0.10967429172896032</v>
      </c>
      <c r="CC73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1.3301878104053673</v>
      </c>
    </row>
    <row r="74" spans="1:81" x14ac:dyDescent="0.3">
      <c r="A74" s="22" t="s">
        <v>90</v>
      </c>
      <c r="B74">
        <v>1</v>
      </c>
      <c r="C74">
        <v>4</v>
      </c>
      <c r="D74" s="28">
        <v>5</v>
      </c>
      <c r="E74" s="28">
        <v>2</v>
      </c>
      <c r="F74" s="28">
        <v>4</v>
      </c>
      <c r="G74" s="28">
        <v>5</v>
      </c>
      <c r="H74" s="28">
        <v>2</v>
      </c>
      <c r="I74">
        <v>2</v>
      </c>
      <c r="J74" s="51">
        <v>2</v>
      </c>
      <c r="K74" s="50">
        <v>3</v>
      </c>
      <c r="L74">
        <v>1</v>
      </c>
      <c r="M74" s="49">
        <v>1</v>
      </c>
      <c r="N74" s="65">
        <v>6</v>
      </c>
      <c r="O74" s="66">
        <v>4</v>
      </c>
      <c r="P74" s="66">
        <v>5</v>
      </c>
      <c r="Q74" s="66">
        <v>1</v>
      </c>
      <c r="R74">
        <v>1</v>
      </c>
      <c r="S74" s="39" t="str">
        <f>RIGHT(Таблица1[[#This Row],[Классификация дискр ф-ции]])</f>
        <v>1</v>
      </c>
      <c r="T74" s="90">
        <v>1</v>
      </c>
      <c r="U74" s="90">
        <f>IF(Таблица1[[#This Row],[Обучающая выборка]]=Таблица1[[#This Row],[Номер класса по классификации дискр функции (Python)]],1,0)</f>
        <v>1</v>
      </c>
      <c r="V74" s="90">
        <f>MATCH(MIN(Таблица1[[#This Row],[Махаланобис 1]:[Махаланобис 6]]),Таблица1[[#This Row],[Махаланобис 1]:[Махаланобис 6]],0)</f>
        <v>1</v>
      </c>
      <c r="W74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74" s="40" t="str">
        <f>RIGHT(Таблица1[[#This Row],[Forward Классификация дискр ф-ции]])</f>
        <v>1</v>
      </c>
      <c r="Y74" s="40">
        <f>MATCH(MIN(Таблица1[[#This Row],[Forward Махаланобис 1]:[Forward Махаланобис 6]]),Таблица1[[#This Row],[Forward Махаланобис 1]:[Forward Махаланобис 6]],0)</f>
        <v>1</v>
      </c>
      <c r="Z74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74" s="90">
        <v>1</v>
      </c>
      <c r="AB74" s="90">
        <f>IF(Таблица1[[#This Row],[Обучающая выборка]]=Таблица1[[#This Row],[Номер класса (пошаговый дискр анализ с включением) Python]],1,0)</f>
        <v>1</v>
      </c>
      <c r="AC74" s="40" t="s">
        <v>130</v>
      </c>
      <c r="AD74" s="41">
        <v>10.721597706311808</v>
      </c>
      <c r="AE74" s="41">
        <v>82.308584744215622</v>
      </c>
      <c r="AF74" s="41">
        <v>57.018188201026653</v>
      </c>
      <c r="AG74" s="42">
        <v>102.79561379583991</v>
      </c>
      <c r="AH74" s="41">
        <v>1038.0899211444416</v>
      </c>
      <c r="AI74" s="41">
        <v>63.9606138348556</v>
      </c>
      <c r="AJ74" s="43">
        <v>0.99999999983504506</v>
      </c>
      <c r="AK74" s="43">
        <v>1.9010433379206493E-16</v>
      </c>
      <c r="AL74" s="43">
        <v>1.6220511429450405E-10</v>
      </c>
      <c r="AM74" s="43">
        <v>6.7653486650094429E-21</v>
      </c>
      <c r="AN74" s="43">
        <v>0</v>
      </c>
      <c r="AO74" s="43">
        <v>2.7497583951002236E-12</v>
      </c>
      <c r="AP74" s="40" t="s">
        <v>130</v>
      </c>
      <c r="AQ74" s="42">
        <v>4.8343050691136442</v>
      </c>
      <c r="AR74" s="42">
        <v>61.900897701367441</v>
      </c>
      <c r="AS74" s="41">
        <v>40.044968442972973</v>
      </c>
      <c r="AT74" s="42">
        <v>82.290500435650159</v>
      </c>
      <c r="AU74" s="41">
        <v>904.73927627778482</v>
      </c>
      <c r="AV74" s="41">
        <v>40.944401784736286</v>
      </c>
      <c r="AW74" s="43">
        <v>0.99999994415279958</v>
      </c>
      <c r="AX74" s="43">
        <v>2.7043044081969874E-13</v>
      </c>
      <c r="AY74" s="43">
        <v>4.1432678190142725E-8</v>
      </c>
      <c r="AZ74" s="43">
        <v>1.0104378317221009E-17</v>
      </c>
      <c r="BA74" s="43">
        <v>0</v>
      </c>
      <c r="BB74" s="43">
        <v>1.4414251768447009E-8</v>
      </c>
      <c r="BC74" s="40">
        <v>3</v>
      </c>
      <c r="BD74" s="40">
        <v>5</v>
      </c>
      <c r="BE74" s="40">
        <f>IF(Таблица1[[#This Row],[Neuron id (Кохонен)]]=Таблица1[[#This Row],[Кохонен 2020]],1,0)</f>
        <v>0</v>
      </c>
      <c r="BF74" s="28">
        <v>1</v>
      </c>
      <c r="BG74" s="40">
        <f>IF(Таблица1[[#This Row],[Персептрон]]=Таблица1[[#This Row],[Обучающая выборка]],1,0)</f>
        <v>1</v>
      </c>
      <c r="BH74" s="40">
        <f>IF(Таблица1[[#This Row],[Номер класса по классификации дискр функции (Python)]]=Таблица1[[#This Row],[Персептрон]],1,0)</f>
        <v>1</v>
      </c>
      <c r="BI74" s="36">
        <v>-0.11302215988771458</v>
      </c>
      <c r="BJ74" s="36">
        <v>-0.22143971392974518</v>
      </c>
      <c r="BK74" s="36">
        <v>-2.6101310753597725E-2</v>
      </c>
      <c r="BL74" s="36">
        <v>-7.407931921166365E-2</v>
      </c>
      <c r="BM74" s="36">
        <v>0.40881131606096921</v>
      </c>
      <c r="BN74" s="36">
        <v>0.40377884214201992</v>
      </c>
      <c r="BO74" s="36">
        <v>0.68337506395231629</v>
      </c>
      <c r="BP74" s="36">
        <v>-0.41963272214345154</v>
      </c>
      <c r="BQ74" s="36">
        <v>1.475887131147779</v>
      </c>
      <c r="BR74" s="36">
        <v>0.96141601823669809</v>
      </c>
      <c r="BS74" s="36">
        <v>-0.85708899539204686</v>
      </c>
      <c r="BT74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4.8784008545471824</v>
      </c>
      <c r="BU74" s="50">
        <v>0.18692</v>
      </c>
      <c r="BV74" s="50">
        <v>0.39508000000000004</v>
      </c>
      <c r="BW74" s="50">
        <v>-0.59104000000000001</v>
      </c>
      <c r="BX74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0.54035589439067144</v>
      </c>
      <c r="BY74" s="63">
        <v>-0.24934428069971565</v>
      </c>
      <c r="BZ74" s="64">
        <v>-0.5447504785677324</v>
      </c>
      <c r="CA74" s="64">
        <v>0.62550180771915398</v>
      </c>
      <c r="CB74" s="64">
        <v>0.72942346174074113</v>
      </c>
      <c r="CC74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1.2822367522152081</v>
      </c>
    </row>
    <row r="75" spans="1:81" x14ac:dyDescent="0.3">
      <c r="A75" s="22" t="s">
        <v>20</v>
      </c>
      <c r="B75">
        <v>3</v>
      </c>
      <c r="C75">
        <v>1</v>
      </c>
      <c r="D75" s="28">
        <v>5</v>
      </c>
      <c r="E75" s="28">
        <v>2</v>
      </c>
      <c r="F75" s="28">
        <v>4</v>
      </c>
      <c r="G75" s="28">
        <v>5</v>
      </c>
      <c r="H75" s="28">
        <v>1</v>
      </c>
      <c r="I75">
        <v>4</v>
      </c>
      <c r="J75" s="51">
        <v>3</v>
      </c>
      <c r="K75" s="50">
        <v>4</v>
      </c>
      <c r="L75">
        <v>2</v>
      </c>
      <c r="M75" s="49">
        <v>3</v>
      </c>
      <c r="N75" s="65">
        <v>4</v>
      </c>
      <c r="O75" s="66">
        <v>5</v>
      </c>
      <c r="P75" s="66">
        <v>2</v>
      </c>
      <c r="Q75" s="66">
        <v>5</v>
      </c>
      <c r="S75" s="39" t="str">
        <f>RIGHT(Таблица1[[#This Row],[Классификация дискр ф-ции]])</f>
        <v>3</v>
      </c>
      <c r="T75" s="90">
        <v>3</v>
      </c>
      <c r="U75" s="90">
        <f>IF(Таблица1[[#This Row],[Обучающая выборка]]=Таблица1[[#This Row],[Номер класса по классификации дискр функции (Python)]],1,0)</f>
        <v>0</v>
      </c>
      <c r="V75" s="90">
        <f>MATCH(MIN(Таблица1[[#This Row],[Махаланобис 1]:[Махаланобис 6]]),Таблица1[[#This Row],[Махаланобис 1]:[Махаланобис 6]],0)</f>
        <v>3</v>
      </c>
      <c r="W75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75" s="40" t="str">
        <f>RIGHT(Таблица1[[#This Row],[Forward Классификация дискр ф-ции]])</f>
        <v>3</v>
      </c>
      <c r="Y75" s="40">
        <f>MATCH(MIN(Таблица1[[#This Row],[Forward Махаланобис 1]:[Forward Махаланобис 6]]),Таблица1[[#This Row],[Forward Махаланобис 1]:[Forward Махаланобис 6]],0)</f>
        <v>3</v>
      </c>
      <c r="Z75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75" s="90">
        <v>3</v>
      </c>
      <c r="AB75" s="90">
        <f>IF(Таблица1[[#This Row],[Обучающая выборка]]=Таблица1[[#This Row],[Номер класса (пошаговый дискр анализ с включением) Python]],1,0)</f>
        <v>0</v>
      </c>
      <c r="AC75" s="40" t="s">
        <v>128</v>
      </c>
      <c r="AD75" s="41">
        <v>52.30635021529293</v>
      </c>
      <c r="AE75" s="41">
        <v>112.64585550423725</v>
      </c>
      <c r="AF75" s="41">
        <v>15.91934398792138</v>
      </c>
      <c r="AG75" s="42">
        <v>155.06559693548664</v>
      </c>
      <c r="AH75" s="41">
        <v>1162.8427690460544</v>
      </c>
      <c r="AI75" s="41">
        <v>71.57397930373736</v>
      </c>
      <c r="AJ75" s="43">
        <v>6.845742408597848E-9</v>
      </c>
      <c r="AK75" s="43">
        <v>3.603895591615267E-22</v>
      </c>
      <c r="AL75" s="43">
        <v>0.99999999315380927</v>
      </c>
      <c r="AM75" s="43">
        <v>2.2153501904089673E-31</v>
      </c>
      <c r="AN75" s="43">
        <v>0</v>
      </c>
      <c r="AO75" s="43">
        <v>4.482373658488026E-13</v>
      </c>
      <c r="AP75" s="40" t="s">
        <v>128</v>
      </c>
      <c r="AQ75" s="42">
        <v>39.217571216714127</v>
      </c>
      <c r="AR75" s="42">
        <v>86.591562555801332</v>
      </c>
      <c r="AS75" s="41">
        <v>7.5862956329922184</v>
      </c>
      <c r="AT75" s="42">
        <v>118.01966474092085</v>
      </c>
      <c r="AU75" s="41">
        <v>1036.132504634124</v>
      </c>
      <c r="AV75" s="41">
        <v>47.494483249733648</v>
      </c>
      <c r="AW75" s="43">
        <v>7.3809848154256917E-8</v>
      </c>
      <c r="AX75" s="43">
        <v>2.5403382102876925E-18</v>
      </c>
      <c r="AY75" s="43">
        <v>0.99999992501307267</v>
      </c>
      <c r="AZ75" s="43">
        <v>3.8050981432797573E-25</v>
      </c>
      <c r="BA75" s="43">
        <v>0</v>
      </c>
      <c r="BB75" s="43">
        <v>1.1770792403556157E-9</v>
      </c>
      <c r="BC75" s="40">
        <v>5</v>
      </c>
      <c r="BD75" s="40">
        <v>5</v>
      </c>
      <c r="BE75" s="40">
        <f>IF(Таблица1[[#This Row],[Neuron id (Кохонен)]]=Таблица1[[#This Row],[Кохонен 2020]],1,0)</f>
        <v>1</v>
      </c>
      <c r="BF75" s="28">
        <v>3</v>
      </c>
      <c r="BG75" s="40">
        <f>IF(Таблица1[[#This Row],[Персептрон]]=Таблица1[[#This Row],[Обучающая выборка]],1,0)</f>
        <v>0</v>
      </c>
      <c r="BH75" s="40">
        <f>IF(Таблица1[[#This Row],[Номер класса по классификации дискр функции (Python)]]=Таблица1[[#This Row],[Персептрон]],1,0)</f>
        <v>1</v>
      </c>
      <c r="BI75" s="36">
        <v>-0.22622271478552539</v>
      </c>
      <c r="BJ75" s="36">
        <v>-0.15132240608946215</v>
      </c>
      <c r="BK75" s="36">
        <v>-0.33451564323462951</v>
      </c>
      <c r="BL75" s="36">
        <v>0.25528873082172115</v>
      </c>
      <c r="BM75" s="36">
        <v>-0.21723013986761822</v>
      </c>
      <c r="BN75" s="36">
        <v>-1.1770449731987622</v>
      </c>
      <c r="BO75" s="36">
        <v>-1.1046104812340605</v>
      </c>
      <c r="BP75" s="36">
        <v>1.2601595874388001</v>
      </c>
      <c r="BQ75" s="36">
        <v>0.25685179465776342</v>
      </c>
      <c r="BR75" s="36">
        <v>-1.0602810153729503</v>
      </c>
      <c r="BS75" s="36">
        <v>1.3452919484947072</v>
      </c>
      <c r="BT75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7.4919176452522125</v>
      </c>
      <c r="BU75" s="50">
        <v>-0.51319999999999999</v>
      </c>
      <c r="BV75" s="50">
        <v>0.1686</v>
      </c>
      <c r="BW75" s="50">
        <v>1.52966</v>
      </c>
      <c r="BX75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2.631659353844789</v>
      </c>
      <c r="BY75" s="63">
        <v>-5.4713110727113094E-2</v>
      </c>
      <c r="BZ75" s="64">
        <v>1.2801565770937464</v>
      </c>
      <c r="CA75" s="64">
        <v>-0.99781658655630001</v>
      </c>
      <c r="CB75" s="64">
        <v>-0.51664692144049829</v>
      </c>
      <c r="CC75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2.9043563682026248</v>
      </c>
    </row>
    <row r="76" spans="1:81" ht="28.8" customHeight="1" x14ac:dyDescent="0.3">
      <c r="A76" s="22" t="s">
        <v>32</v>
      </c>
      <c r="B76">
        <v>1</v>
      </c>
      <c r="C76">
        <v>4</v>
      </c>
      <c r="D76" s="28">
        <v>5</v>
      </c>
      <c r="E76" s="28">
        <v>2</v>
      </c>
      <c r="F76" s="28">
        <v>4</v>
      </c>
      <c r="G76" s="28">
        <v>5</v>
      </c>
      <c r="H76" s="28">
        <v>2</v>
      </c>
      <c r="I76">
        <v>2</v>
      </c>
      <c r="J76" s="51">
        <v>2</v>
      </c>
      <c r="K76" s="50">
        <v>3</v>
      </c>
      <c r="L76">
        <v>3</v>
      </c>
      <c r="M76" s="49">
        <v>1</v>
      </c>
      <c r="N76" s="65">
        <v>6</v>
      </c>
      <c r="O76" s="66">
        <v>4</v>
      </c>
      <c r="P76" s="66">
        <v>5</v>
      </c>
      <c r="Q76" s="66">
        <v>1</v>
      </c>
      <c r="S76" s="39" t="str">
        <f>RIGHT(Таблица1[[#This Row],[Классификация дискр ф-ции]])</f>
        <v>1</v>
      </c>
      <c r="T76" s="90">
        <v>1</v>
      </c>
      <c r="U76" s="90">
        <f>IF(Таблица1[[#This Row],[Обучающая выборка]]=Таблица1[[#This Row],[Номер класса по классификации дискр функции (Python)]],1,0)</f>
        <v>0</v>
      </c>
      <c r="V76" s="90">
        <f>MATCH(MIN(Таблица1[[#This Row],[Махаланобис 1]:[Махаланобис 6]]),Таблица1[[#This Row],[Махаланобис 1]:[Махаланобис 6]],0)</f>
        <v>1</v>
      </c>
      <c r="W76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76" s="40" t="str">
        <f>RIGHT(Таблица1[[#This Row],[Forward Классификация дискр ф-ции]])</f>
        <v>1</v>
      </c>
      <c r="Y76" s="40">
        <f>MATCH(MIN(Таблица1[[#This Row],[Forward Махаланобис 1]:[Forward Махаланобис 6]]),Таблица1[[#This Row],[Forward Махаланобис 1]:[Forward Махаланобис 6]],0)</f>
        <v>1</v>
      </c>
      <c r="Z76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76" s="90">
        <v>1</v>
      </c>
      <c r="AB76" s="90">
        <f>IF(Таблица1[[#This Row],[Обучающая выборка]]=Таблица1[[#This Row],[Номер класса (пошаговый дискр анализ с включением) Python]],1,0)</f>
        <v>0</v>
      </c>
      <c r="AC76" s="40" t="s">
        <v>130</v>
      </c>
      <c r="AD76" s="41">
        <v>48.464527383290807</v>
      </c>
      <c r="AE76" s="41">
        <v>158.69344433650727</v>
      </c>
      <c r="AF76" s="41">
        <v>123.46629328215357</v>
      </c>
      <c r="AG76" s="42">
        <v>155.23925601023475</v>
      </c>
      <c r="AH76" s="41">
        <v>1057.9591767454574</v>
      </c>
      <c r="AI76" s="41">
        <v>140.62129038195974</v>
      </c>
      <c r="AJ76" s="43">
        <v>0.99999999999999989</v>
      </c>
      <c r="AK76" s="43">
        <v>7.7268690376031619E-25</v>
      </c>
      <c r="AL76" s="43">
        <v>9.4801433270304144E-17</v>
      </c>
      <c r="AM76" s="43">
        <v>4.3458128150432502E-24</v>
      </c>
      <c r="AN76" s="43">
        <v>0</v>
      </c>
      <c r="AO76" s="43">
        <v>9.7367311801735376E-21</v>
      </c>
      <c r="AP76" s="40" t="s">
        <v>130</v>
      </c>
      <c r="AQ76" s="42">
        <v>10.28918436208175</v>
      </c>
      <c r="AR76" s="42">
        <v>82.976216572827667</v>
      </c>
      <c r="AS76" s="41">
        <v>59.397020565608102</v>
      </c>
      <c r="AT76" s="42">
        <v>84.765141212655266</v>
      </c>
      <c r="AU76" s="41">
        <v>866.28658661890438</v>
      </c>
      <c r="AV76" s="41">
        <v>63.366196138001222</v>
      </c>
      <c r="AW76" s="43">
        <v>0.99999999995724298</v>
      </c>
      <c r="AX76" s="43">
        <v>1.0967818208166664E-16</v>
      </c>
      <c r="AY76" s="43">
        <v>3.9775009683983801E-11</v>
      </c>
      <c r="AZ76" s="43">
        <v>4.4839441398022674E-17</v>
      </c>
      <c r="BA76" s="43">
        <v>0</v>
      </c>
      <c r="BB76" s="43">
        <v>2.9817644658443778E-12</v>
      </c>
      <c r="BC76" s="40">
        <v>3</v>
      </c>
      <c r="BD76" s="40">
        <v>2</v>
      </c>
      <c r="BE76" s="40">
        <f>IF(Таблица1[[#This Row],[Neuron id (Кохонен)]]=Таблица1[[#This Row],[Кохонен 2020]],1,0)</f>
        <v>0</v>
      </c>
      <c r="BF76" s="28">
        <v>1</v>
      </c>
      <c r="BG76" s="40">
        <f>IF(Таблица1[[#This Row],[Персептрон]]=Таблица1[[#This Row],[Обучающая выборка]],1,0)</f>
        <v>0</v>
      </c>
      <c r="BH76" s="40">
        <f>IF(Таблица1[[#This Row],[Номер класса по классификации дискр функции (Python)]]=Таблица1[[#This Row],[Персептрон]],1,0)</f>
        <v>1</v>
      </c>
      <c r="BI76" s="36">
        <v>0.12728329347693193</v>
      </c>
      <c r="BJ76" s="36">
        <v>0.1161426902522187</v>
      </c>
      <c r="BK76" s="36">
        <v>9.5660174763538816E-2</v>
      </c>
      <c r="BL76" s="36">
        <v>4.2168227858942829E-2</v>
      </c>
      <c r="BM76" s="36">
        <v>1.7286238591150966</v>
      </c>
      <c r="BN76" s="36">
        <v>0.7052745968827947</v>
      </c>
      <c r="BO76" s="36">
        <v>0.52746483127525323</v>
      </c>
      <c r="BP76" s="36">
        <v>-0.63407429357948353</v>
      </c>
      <c r="BQ76" s="36">
        <v>1.5711924173215175</v>
      </c>
      <c r="BR76" s="36">
        <v>0.78350100520230481</v>
      </c>
      <c r="BS76" s="36">
        <v>-1.3052291269002607</v>
      </c>
      <c r="BT76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8.9925837622051059</v>
      </c>
      <c r="BU76" s="50">
        <v>0.45984000000000003</v>
      </c>
      <c r="BV76" s="50">
        <v>3.032E-2</v>
      </c>
      <c r="BW76" s="50">
        <v>-0.44534000000000001</v>
      </c>
      <c r="BX76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0.41070017191537722</v>
      </c>
      <c r="BY76" s="63">
        <v>2.9417536701888247E-2</v>
      </c>
      <c r="BZ76" s="64">
        <v>-0.77272595242131381</v>
      </c>
      <c r="CA76" s="64">
        <v>0.4748656889402959</v>
      </c>
      <c r="CB76" s="64">
        <v>0.68844956174116956</v>
      </c>
      <c r="CC76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1.2974310106053837</v>
      </c>
    </row>
    <row r="77" spans="1:81" ht="43.2" customHeight="1" x14ac:dyDescent="0.3">
      <c r="A77" s="22" t="s">
        <v>91</v>
      </c>
      <c r="B77">
        <v>1</v>
      </c>
      <c r="C77">
        <v>4</v>
      </c>
      <c r="D77" s="28">
        <v>5</v>
      </c>
      <c r="E77" s="28">
        <v>2</v>
      </c>
      <c r="F77" s="28">
        <v>4</v>
      </c>
      <c r="G77" s="28">
        <v>5</v>
      </c>
      <c r="H77" s="28">
        <v>5</v>
      </c>
      <c r="I77">
        <v>2</v>
      </c>
      <c r="J77" s="51">
        <v>2</v>
      </c>
      <c r="K77" s="50">
        <v>3</v>
      </c>
      <c r="L77">
        <v>1</v>
      </c>
      <c r="M77" s="49">
        <v>2</v>
      </c>
      <c r="N77" s="65">
        <v>6</v>
      </c>
      <c r="O77" s="66">
        <v>4</v>
      </c>
      <c r="P77" s="66">
        <v>2</v>
      </c>
      <c r="Q77" s="66">
        <v>5</v>
      </c>
      <c r="R77">
        <v>1</v>
      </c>
      <c r="S77" s="39" t="str">
        <f>RIGHT(Таблица1[[#This Row],[Классификация дискр ф-ции]])</f>
        <v>1</v>
      </c>
      <c r="T77" s="90">
        <v>1</v>
      </c>
      <c r="U77" s="90">
        <f>IF(Таблица1[[#This Row],[Обучающая выборка]]=Таблица1[[#This Row],[Номер класса по классификации дискр функции (Python)]],1,0)</f>
        <v>1</v>
      </c>
      <c r="V77" s="90">
        <f>MATCH(MIN(Таблица1[[#This Row],[Махаланобис 1]:[Махаланобис 6]]),Таблица1[[#This Row],[Махаланобис 1]:[Махаланобис 6]],0)</f>
        <v>1</v>
      </c>
      <c r="W77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77" s="40" t="str">
        <f>RIGHT(Таблица1[[#This Row],[Forward Классификация дискр ф-ции]])</f>
        <v>1</v>
      </c>
      <c r="Y77" s="40">
        <f>MATCH(MIN(Таблица1[[#This Row],[Forward Махаланобис 1]:[Forward Махаланобис 6]]),Таблица1[[#This Row],[Forward Махаланобис 1]:[Forward Махаланобис 6]],0)</f>
        <v>1</v>
      </c>
      <c r="Z77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77" s="90">
        <v>1</v>
      </c>
      <c r="AB77" s="90">
        <f>IF(Таблица1[[#This Row],[Обучающая выборка]]=Таблица1[[#This Row],[Номер класса (пошаговый дискр анализ с включением) Python]],1,0)</f>
        <v>1</v>
      </c>
      <c r="AC77" s="40" t="s">
        <v>130</v>
      </c>
      <c r="AD77" s="41">
        <v>8.4182317204995059</v>
      </c>
      <c r="AE77" s="41">
        <v>59.757807602634038</v>
      </c>
      <c r="AF77" s="41">
        <v>33.710107472258095</v>
      </c>
      <c r="AG77" s="42">
        <v>83.12455697010661</v>
      </c>
      <c r="AH77" s="41">
        <v>1006.0874696275845</v>
      </c>
      <c r="AI77" s="41">
        <v>31.618588865504197</v>
      </c>
      <c r="AJ77" s="43">
        <v>0.99998493130837707</v>
      </c>
      <c r="AK77" s="43">
        <v>4.738653378344314E-12</v>
      </c>
      <c r="AL77" s="43">
        <v>5.9043739095144487E-6</v>
      </c>
      <c r="AM77" s="43">
        <v>3.9960396341053545E-17</v>
      </c>
      <c r="AN77" s="43">
        <v>0</v>
      </c>
      <c r="AO77" s="43">
        <v>9.1643129748727882E-6</v>
      </c>
      <c r="AP77" s="40" t="s">
        <v>130</v>
      </c>
      <c r="AQ77" s="42">
        <v>3.1744216855309562</v>
      </c>
      <c r="AR77" s="42">
        <v>45.973504709113364</v>
      </c>
      <c r="AS77" s="41">
        <v>26.851617970454704</v>
      </c>
      <c r="AT77" s="42">
        <v>57.725337481867832</v>
      </c>
      <c r="AU77" s="41">
        <v>870.39981216013143</v>
      </c>
      <c r="AV77" s="41">
        <v>28.13352160073903</v>
      </c>
      <c r="AW77" s="43">
        <v>0.99998295887516919</v>
      </c>
      <c r="AX77" s="43">
        <v>3.3899910076257154E-10</v>
      </c>
      <c r="AY77" s="43">
        <v>1.3237201721120492E-5</v>
      </c>
      <c r="AZ77" s="43">
        <v>9.5130654225685149E-13</v>
      </c>
      <c r="BA77" s="43">
        <v>0</v>
      </c>
      <c r="BB77" s="43">
        <v>3.8035831592447458E-6</v>
      </c>
      <c r="BC77" s="40">
        <v>3</v>
      </c>
      <c r="BD77" s="40">
        <v>3</v>
      </c>
      <c r="BE77" s="40">
        <f>IF(Таблица1[[#This Row],[Neuron id (Кохонен)]]=Таблица1[[#This Row],[Кохонен 2020]],1,0)</f>
        <v>1</v>
      </c>
      <c r="BF77" s="28">
        <v>1</v>
      </c>
      <c r="BG77" s="40">
        <f>IF(Таблица1[[#This Row],[Персептрон]]=Таблица1[[#This Row],[Обучающая выборка]],1,0)</f>
        <v>1</v>
      </c>
      <c r="BH77" s="40">
        <f>IF(Таблица1[[#This Row],[Номер класса по классификации дискр функции (Python)]]=Таблица1[[#This Row],[Персептрон]],1,0)</f>
        <v>1</v>
      </c>
      <c r="BI77" s="36">
        <v>-0.20919086081255778</v>
      </c>
      <c r="BJ77" s="36">
        <v>-0.32748349818690592</v>
      </c>
      <c r="BK77" s="36">
        <v>0.40217328155410081</v>
      </c>
      <c r="BL77" s="36">
        <v>0.33278709553545832</v>
      </c>
      <c r="BM77" s="36">
        <v>-0.530250867831912</v>
      </c>
      <c r="BN77" s="36">
        <v>0.84231410595415357</v>
      </c>
      <c r="BO77" s="36">
        <v>0.65953388048642125</v>
      </c>
      <c r="BP77" s="36">
        <v>-0.16945088880141373</v>
      </c>
      <c r="BQ77" s="36">
        <v>0.77832498041511022</v>
      </c>
      <c r="BR77" s="36">
        <v>0.18430657113916663</v>
      </c>
      <c r="BS77" s="36">
        <v>-0.25291256863426814</v>
      </c>
      <c r="BT77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2.5815778910105056</v>
      </c>
      <c r="BU77" s="50">
        <v>0.11079000000000001</v>
      </c>
      <c r="BV77" s="50">
        <v>0.67219000000000018</v>
      </c>
      <c r="BW77" s="50">
        <v>-0.47535000000000005</v>
      </c>
      <c r="BX77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0.69007176484596577</v>
      </c>
      <c r="BY77" s="63">
        <v>-0.36082999267794907</v>
      </c>
      <c r="BZ77" s="64">
        <v>-0.16066659713505652</v>
      </c>
      <c r="CA77" s="64">
        <v>0.66150435364042592</v>
      </c>
      <c r="CB77" s="64">
        <v>0.70961896174645955</v>
      </c>
      <c r="CC77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1.0971591198062882</v>
      </c>
    </row>
    <row r="78" spans="1:81" x14ac:dyDescent="0.3">
      <c r="A78" s="22" t="s">
        <v>92</v>
      </c>
      <c r="B78">
        <v>3</v>
      </c>
      <c r="C78">
        <v>1</v>
      </c>
      <c r="D78" s="28">
        <v>5</v>
      </c>
      <c r="E78" s="28">
        <v>2</v>
      </c>
      <c r="F78" s="28">
        <v>4</v>
      </c>
      <c r="G78" s="28">
        <v>5</v>
      </c>
      <c r="H78" s="28">
        <v>1</v>
      </c>
      <c r="I78">
        <v>4</v>
      </c>
      <c r="J78" s="51">
        <v>3</v>
      </c>
      <c r="K78" s="50">
        <v>1</v>
      </c>
      <c r="L78">
        <v>2</v>
      </c>
      <c r="M78" s="49">
        <v>3</v>
      </c>
      <c r="N78" s="65">
        <v>4</v>
      </c>
      <c r="O78" s="66">
        <v>5</v>
      </c>
      <c r="P78" s="66">
        <v>5</v>
      </c>
      <c r="Q78" s="66">
        <v>1</v>
      </c>
      <c r="S78" s="39" t="str">
        <f>RIGHT(Таблица1[[#This Row],[Классификация дискр ф-ции]])</f>
        <v>3</v>
      </c>
      <c r="T78" s="90">
        <v>3</v>
      </c>
      <c r="U78" s="90">
        <f>IF(Таблица1[[#This Row],[Обучающая выборка]]=Таблица1[[#This Row],[Номер класса по классификации дискр функции (Python)]],1,0)</f>
        <v>0</v>
      </c>
      <c r="V78" s="90">
        <f>MATCH(MIN(Таблица1[[#This Row],[Махаланобис 1]:[Махаланобис 6]]),Таблица1[[#This Row],[Махаланобис 1]:[Махаланобис 6]],0)</f>
        <v>3</v>
      </c>
      <c r="W78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78" s="40" t="str">
        <f>RIGHT(Таблица1[[#This Row],[Forward Классификация дискр ф-ции]])</f>
        <v>3</v>
      </c>
      <c r="Y78" s="40">
        <f>MATCH(MIN(Таблица1[[#This Row],[Forward Махаланобис 1]:[Forward Махаланобис 6]]),Таблица1[[#This Row],[Forward Махаланобис 1]:[Forward Махаланобис 6]],0)</f>
        <v>3</v>
      </c>
      <c r="Z78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78" s="90">
        <v>3</v>
      </c>
      <c r="AB78" s="90">
        <f>IF(Таблица1[[#This Row],[Обучающая выборка]]=Таблица1[[#This Row],[Номер класса (пошаговый дискр анализ с включением) Python]],1,0)</f>
        <v>0</v>
      </c>
      <c r="AC78" s="40" t="s">
        <v>128</v>
      </c>
      <c r="AD78" s="41">
        <v>36.738615795030988</v>
      </c>
      <c r="AE78" s="41">
        <v>61.851614925480753</v>
      </c>
      <c r="AF78" s="41">
        <v>7.6692854453006314</v>
      </c>
      <c r="AG78" s="42">
        <v>133.34183760685158</v>
      </c>
      <c r="AH78" s="41">
        <v>1140.2556801432331</v>
      </c>
      <c r="AI78" s="41">
        <v>37.531217502629815</v>
      </c>
      <c r="AJ78" s="43">
        <v>2.6572565755952467E-7</v>
      </c>
      <c r="AK78" s="43">
        <v>6.2391260260635816E-13</v>
      </c>
      <c r="AL78" s="43">
        <v>0.99999955549236685</v>
      </c>
      <c r="AM78" s="43">
        <v>1.867321716131934E-28</v>
      </c>
      <c r="AN78" s="43">
        <v>0</v>
      </c>
      <c r="AO78" s="43">
        <v>1.7878135167917764E-7</v>
      </c>
      <c r="AP78" s="40" t="s">
        <v>128</v>
      </c>
      <c r="AQ78" s="42">
        <v>24.916577135170773</v>
      </c>
      <c r="AR78" s="42">
        <v>47.120304190633028</v>
      </c>
      <c r="AS78" s="41">
        <v>4.1381485160322606</v>
      </c>
      <c r="AT78" s="42">
        <v>102.10294202384966</v>
      </c>
      <c r="AU78" s="41">
        <v>1002.2538260293835</v>
      </c>
      <c r="AV78" s="41">
        <v>22.369062145744319</v>
      </c>
      <c r="AW78" s="43">
        <v>1.6778254846778738E-5</v>
      </c>
      <c r="AX78" s="43">
        <v>1.6872423148403909E-10</v>
      </c>
      <c r="AY78" s="43">
        <v>0.99992325177126007</v>
      </c>
      <c r="AZ78" s="43">
        <v>1.9402127443672859E-22</v>
      </c>
      <c r="BA78" s="43">
        <v>0</v>
      </c>
      <c r="BB78" s="43">
        <v>5.9969805168789458E-5</v>
      </c>
      <c r="BC78" s="40">
        <v>5</v>
      </c>
      <c r="BD78" s="40">
        <v>5</v>
      </c>
      <c r="BE78" s="40">
        <f>IF(Таблица1[[#This Row],[Neuron id (Кохонен)]]=Таблица1[[#This Row],[Кохонен 2020]],1,0)</f>
        <v>1</v>
      </c>
      <c r="BF78" s="28">
        <v>3</v>
      </c>
      <c r="BG78" s="40">
        <f>IF(Таблица1[[#This Row],[Персептрон]]=Таблица1[[#This Row],[Обучающая выборка]],1,0)</f>
        <v>0</v>
      </c>
      <c r="BH78" s="40">
        <f>IF(Таблица1[[#This Row],[Номер класса по классификации дискр функции (Python)]]=Таблица1[[#This Row],[Персептрон]],1,0)</f>
        <v>1</v>
      </c>
      <c r="BI78" s="36">
        <v>-0.34366939721026873</v>
      </c>
      <c r="BJ78" s="36">
        <v>-0.36089397425782566</v>
      </c>
      <c r="BK78" s="36">
        <v>-0.63868425808008156</v>
      </c>
      <c r="BL78" s="36">
        <v>-0.461571142780351</v>
      </c>
      <c r="BM78" s="36">
        <v>-0.50096237866566229</v>
      </c>
      <c r="BN78" s="36">
        <v>-1.1335983304771977</v>
      </c>
      <c r="BO78" s="36">
        <v>-0.67502183059510457</v>
      </c>
      <c r="BP78" s="36">
        <v>0.50961408741268799</v>
      </c>
      <c r="BQ78" s="36">
        <v>0.53841153657773611</v>
      </c>
      <c r="BR78" s="36">
        <v>-0.61956196168031163</v>
      </c>
      <c r="BS78" s="36">
        <v>0.70341945942292305</v>
      </c>
      <c r="BT78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4.289231029145804</v>
      </c>
      <c r="BU78" s="50">
        <v>-0.66852000000000011</v>
      </c>
      <c r="BV78" s="50">
        <v>1.8550000000000004E-2</v>
      </c>
      <c r="BW78" s="50">
        <v>0.71391000000000004</v>
      </c>
      <c r="BX78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0.95693010278831836</v>
      </c>
      <c r="BY78" s="63">
        <v>-0.30713389614631048</v>
      </c>
      <c r="BZ78" s="64">
        <v>0.53757056721813889</v>
      </c>
      <c r="CA78" s="64">
        <v>-0.56508699770217463</v>
      </c>
      <c r="CB78" s="64">
        <v>-0.46716580597689739</v>
      </c>
      <c r="CC78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0.92088055014734582</v>
      </c>
    </row>
    <row r="79" spans="1:81" ht="28.8" customHeight="1" x14ac:dyDescent="0.3">
      <c r="A79" s="22" t="s">
        <v>93</v>
      </c>
      <c r="B79">
        <v>1</v>
      </c>
      <c r="C79">
        <v>4</v>
      </c>
      <c r="D79" s="28">
        <v>5</v>
      </c>
      <c r="E79" s="28">
        <v>2</v>
      </c>
      <c r="F79" s="28">
        <v>4</v>
      </c>
      <c r="G79" s="28">
        <v>5</v>
      </c>
      <c r="H79" s="28">
        <v>5</v>
      </c>
      <c r="I79">
        <v>2</v>
      </c>
      <c r="J79" s="51">
        <v>2</v>
      </c>
      <c r="K79" s="50">
        <v>3</v>
      </c>
      <c r="L79">
        <v>1</v>
      </c>
      <c r="M79" s="49">
        <v>2</v>
      </c>
      <c r="N79" s="65">
        <v>6</v>
      </c>
      <c r="O79" s="66">
        <v>3</v>
      </c>
      <c r="P79" s="66">
        <v>2</v>
      </c>
      <c r="Q79" s="66">
        <v>5</v>
      </c>
      <c r="R79">
        <v>1</v>
      </c>
      <c r="S79" s="39" t="str">
        <f>RIGHT(Таблица1[[#This Row],[Классификация дискр ф-ции]])</f>
        <v>1</v>
      </c>
      <c r="T79" s="90">
        <v>1</v>
      </c>
      <c r="U79" s="90">
        <f>IF(Таблица1[[#This Row],[Обучающая выборка]]=Таблица1[[#This Row],[Номер класса по классификации дискр функции (Python)]],1,0)</f>
        <v>1</v>
      </c>
      <c r="V79" s="90">
        <f>MATCH(MIN(Таблица1[[#This Row],[Махаланобис 1]:[Махаланобис 6]]),Таблица1[[#This Row],[Махаланобис 1]:[Махаланобис 6]],0)</f>
        <v>1</v>
      </c>
      <c r="W79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1</v>
      </c>
      <c r="X79" s="40" t="str">
        <f>RIGHT(Таблица1[[#This Row],[Forward Классификация дискр ф-ции]])</f>
        <v>1</v>
      </c>
      <c r="Y79" s="40">
        <f>MATCH(MIN(Таблица1[[#This Row],[Forward Махаланобис 1]:[Forward Махаланобис 6]]),Таблица1[[#This Row],[Forward Махаланобис 1]:[Forward Махаланобис 6]],0)</f>
        <v>1</v>
      </c>
      <c r="Z79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1</v>
      </c>
      <c r="AA79" s="90">
        <v>1</v>
      </c>
      <c r="AB79" s="90">
        <f>IF(Таблица1[[#This Row],[Обучающая выборка]]=Таблица1[[#This Row],[Номер класса (пошаговый дискр анализ с включением) Python]],1,0)</f>
        <v>1</v>
      </c>
      <c r="AC79" s="40" t="s">
        <v>130</v>
      </c>
      <c r="AD79" s="41">
        <v>9.1017430050539421</v>
      </c>
      <c r="AE79" s="41">
        <v>88.660473748066792</v>
      </c>
      <c r="AF79" s="41">
        <v>26.213692777773538</v>
      </c>
      <c r="AG79" s="42">
        <v>92.33735425912424</v>
      </c>
      <c r="AH79" s="41">
        <v>1024.8508390853058</v>
      </c>
      <c r="AI79" s="41">
        <v>49.744050006049598</v>
      </c>
      <c r="AJ79" s="43">
        <v>0.99964740395423768</v>
      </c>
      <c r="AK79" s="43">
        <v>3.5301788523714009E-18</v>
      </c>
      <c r="AL79" s="43">
        <v>3.5259455131029989E-4</v>
      </c>
      <c r="AM79" s="43">
        <v>5.6152907821614284E-19</v>
      </c>
      <c r="AN79" s="43">
        <v>0</v>
      </c>
      <c r="AO79" s="43">
        <v>1.4944521401277291E-9</v>
      </c>
      <c r="AP79" s="40" t="s">
        <v>130</v>
      </c>
      <c r="AQ79" s="42">
        <v>3.757108455167729</v>
      </c>
      <c r="AR79" s="42">
        <v>78.749424576914237</v>
      </c>
      <c r="AS79" s="41">
        <v>18.625939138137525</v>
      </c>
      <c r="AT79" s="42">
        <v>84.930560672244169</v>
      </c>
      <c r="AU79" s="41">
        <v>935.8264178043637</v>
      </c>
      <c r="AV79" s="41">
        <v>42.737253319521031</v>
      </c>
      <c r="AW79" s="43">
        <v>0.99891844829484133</v>
      </c>
      <c r="AX79" s="43">
        <v>3.4599054943090503E-17</v>
      </c>
      <c r="AY79" s="43">
        <v>1.0815482766984492E-3</v>
      </c>
      <c r="AZ79" s="43">
        <v>1.5734305829909367E-18</v>
      </c>
      <c r="BA79" s="43">
        <v>0</v>
      </c>
      <c r="BB79" s="43">
        <v>3.4284602982794706E-9</v>
      </c>
      <c r="BC79" s="40">
        <v>4</v>
      </c>
      <c r="BD79" s="40">
        <v>4</v>
      </c>
      <c r="BE79" s="40">
        <f>IF(Таблица1[[#This Row],[Neuron id (Кохонен)]]=Таблица1[[#This Row],[Кохонен 2020]],1,0)</f>
        <v>1</v>
      </c>
      <c r="BF79" s="28">
        <v>1</v>
      </c>
      <c r="BG79" s="40">
        <f>IF(Таблица1[[#This Row],[Персептрон]]=Таблица1[[#This Row],[Обучающая выборка]],1,0)</f>
        <v>1</v>
      </c>
      <c r="BH79" s="40">
        <f>IF(Таблица1[[#This Row],[Номер класса по классификации дискр функции (Python)]]=Таблица1[[#This Row],[Персептрон]],1,0)</f>
        <v>1</v>
      </c>
      <c r="BI79" s="36">
        <v>-8.4419887287171688E-2</v>
      </c>
      <c r="BJ79" s="36">
        <v>-6.5920369232022297E-2</v>
      </c>
      <c r="BK79" s="36">
        <v>-0.25835305640128825</v>
      </c>
      <c r="BL79" s="36">
        <v>0.700904327925711</v>
      </c>
      <c r="BM79" s="36">
        <v>-0.52292874554034963</v>
      </c>
      <c r="BN79" s="36">
        <v>0.41091883054219797</v>
      </c>
      <c r="BO79" s="36">
        <v>-0.11854910715468939</v>
      </c>
      <c r="BP79" s="36">
        <v>0.36665303978866642</v>
      </c>
      <c r="BQ79" s="36">
        <v>1.1542115495923759</v>
      </c>
      <c r="BR79" s="36">
        <v>0.92575794006766754</v>
      </c>
      <c r="BS79" s="36">
        <v>-0.22931858829586479</v>
      </c>
      <c r="BT79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3.4021015714549381</v>
      </c>
      <c r="BU79" s="50">
        <v>0.26006000000000001</v>
      </c>
      <c r="BV79" s="50">
        <v>0.72563000000000011</v>
      </c>
      <c r="BW79" s="50">
        <v>-9.2539999999999997E-2</v>
      </c>
      <c r="BX79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0.60273406699184795</v>
      </c>
      <c r="BY79" s="63">
        <v>-8.9743142965848816E-2</v>
      </c>
      <c r="BZ79" s="64">
        <v>0.20265314476348506</v>
      </c>
      <c r="CA79" s="64">
        <v>0.33334474666500546</v>
      </c>
      <c r="CB79" s="64">
        <v>0.6345252296070828</v>
      </c>
      <c r="CC79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0.56286311592899663</v>
      </c>
    </row>
    <row r="80" spans="1:81" ht="14.4" customHeight="1" x14ac:dyDescent="0.3">
      <c r="A80" s="22" t="s">
        <v>33</v>
      </c>
      <c r="B80">
        <v>4</v>
      </c>
      <c r="C80">
        <v>6</v>
      </c>
      <c r="D80" s="28">
        <v>5</v>
      </c>
      <c r="E80" s="28">
        <v>2</v>
      </c>
      <c r="F80" s="28">
        <v>5</v>
      </c>
      <c r="G80" s="28">
        <v>2</v>
      </c>
      <c r="H80" s="28">
        <v>4</v>
      </c>
      <c r="I80">
        <v>2</v>
      </c>
      <c r="J80" s="51">
        <v>6</v>
      </c>
      <c r="K80" s="50">
        <v>5</v>
      </c>
      <c r="L80">
        <v>3</v>
      </c>
      <c r="M80" s="49">
        <v>1</v>
      </c>
      <c r="N80" s="65">
        <v>6</v>
      </c>
      <c r="O80" s="66">
        <v>1</v>
      </c>
      <c r="P80" s="66">
        <v>6</v>
      </c>
      <c r="Q80" s="66">
        <v>6</v>
      </c>
      <c r="S80" s="39" t="str">
        <f>RIGHT(Таблица1[[#This Row],[Классификация дискр ф-ции]])</f>
        <v>4</v>
      </c>
      <c r="T80" s="90">
        <v>4</v>
      </c>
      <c r="U80" s="90">
        <f>IF(Таблица1[[#This Row],[Обучающая выборка]]=Таблица1[[#This Row],[Номер класса по классификации дискр функции (Python)]],1,0)</f>
        <v>0</v>
      </c>
      <c r="V80" s="90">
        <f>MATCH(MIN(Таблица1[[#This Row],[Махаланобис 1]:[Махаланобис 6]]),Таблица1[[#This Row],[Махаланобис 1]:[Махаланобис 6]],0)</f>
        <v>4</v>
      </c>
      <c r="W80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4</v>
      </c>
      <c r="X80" s="40" t="str">
        <f>RIGHT(Таблица1[[#This Row],[Forward Классификация дискр ф-ции]])</f>
        <v>4</v>
      </c>
      <c r="Y80" s="40">
        <f>MATCH(MIN(Таблица1[[#This Row],[Forward Махаланобис 1]:[Forward Махаланобис 6]]),Таблица1[[#This Row],[Forward Махаланобис 1]:[Forward Махаланобис 6]],0)</f>
        <v>4</v>
      </c>
      <c r="Z80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4</v>
      </c>
      <c r="AA80" s="90">
        <v>4</v>
      </c>
      <c r="AB80" s="90">
        <f>IF(Таблица1[[#This Row],[Обучающая выборка]]=Таблица1[[#This Row],[Номер класса (пошаговый дискр анализ с включением) Python]],1,0)</f>
        <v>0</v>
      </c>
      <c r="AC80" s="40" t="s">
        <v>132</v>
      </c>
      <c r="AD80" s="41">
        <v>405.98599900482543</v>
      </c>
      <c r="AE80" s="41">
        <v>283.64219069273753</v>
      </c>
      <c r="AF80" s="41">
        <v>475.13438303818964</v>
      </c>
      <c r="AG80" s="42">
        <v>170.79867294346445</v>
      </c>
      <c r="AH80" s="41">
        <v>368.86451416850468</v>
      </c>
      <c r="AI80" s="41">
        <v>361.19989649567532</v>
      </c>
      <c r="AJ80" s="43">
        <v>0</v>
      </c>
      <c r="AK80" s="43">
        <v>3.1357502204180125E-25</v>
      </c>
      <c r="AL80" s="43">
        <v>0</v>
      </c>
      <c r="AM80" s="43">
        <v>1</v>
      </c>
      <c r="AN80" s="43">
        <v>0</v>
      </c>
      <c r="AO80" s="43">
        <v>0</v>
      </c>
      <c r="AP80" s="40" t="s">
        <v>132</v>
      </c>
      <c r="AQ80" s="42">
        <v>368.15007176629376</v>
      </c>
      <c r="AR80" s="42">
        <v>275.7865114809432</v>
      </c>
      <c r="AS80" s="41">
        <v>446.51928170519875</v>
      </c>
      <c r="AT80" s="42">
        <v>152.02329165728091</v>
      </c>
      <c r="AU80" s="41">
        <v>215.41072903583313</v>
      </c>
      <c r="AV80" s="41">
        <v>338.38053744305603</v>
      </c>
      <c r="AW80" s="43">
        <v>0</v>
      </c>
      <c r="AX80" s="43">
        <v>1.3340075391418394E-27</v>
      </c>
      <c r="AY80" s="43">
        <v>0</v>
      </c>
      <c r="AZ80" s="43">
        <v>0.99999999999999145</v>
      </c>
      <c r="BA80" s="43">
        <v>8.6012756622122941E-15</v>
      </c>
      <c r="BB80" s="43">
        <v>0</v>
      </c>
      <c r="BC80" s="40">
        <v>1</v>
      </c>
      <c r="BD80" s="40">
        <v>2</v>
      </c>
      <c r="BE80" s="40">
        <f>IF(Таблица1[[#This Row],[Neuron id (Кохонен)]]=Таблица1[[#This Row],[Кохонен 2020]],1,0)</f>
        <v>0</v>
      </c>
      <c r="BF80" s="28">
        <v>5</v>
      </c>
      <c r="BG80" s="40">
        <f>IF(Таблица1[[#This Row],[Персептрон]]=Таблица1[[#This Row],[Обучающая выборка]],1,0)</f>
        <v>0</v>
      </c>
      <c r="BH80" s="40">
        <f>IF(Таблица1[[#This Row],[Номер класса по классификации дискр функции (Python)]]=Таблица1[[#This Row],[Персептрон]],1,0)</f>
        <v>0</v>
      </c>
      <c r="BI80" s="36">
        <v>1.9789970712905882</v>
      </c>
      <c r="BJ80" s="36">
        <v>1.3813475815010419</v>
      </c>
      <c r="BK80" s="36">
        <v>-0.62186261108359986</v>
      </c>
      <c r="BL80" s="36">
        <v>2.0958748927729847</v>
      </c>
      <c r="BM80" s="36">
        <v>-0.1202120195044161</v>
      </c>
      <c r="BN80" s="36">
        <v>7.2820573197766483E-2</v>
      </c>
      <c r="BO80" s="36">
        <v>0.51138951753529116</v>
      </c>
      <c r="BP80" s="36">
        <v>-2.2423860793497239</v>
      </c>
      <c r="BQ80" s="36">
        <v>-0.97703328679645951</v>
      </c>
      <c r="BR80" s="36">
        <v>1.0920534930146661</v>
      </c>
      <c r="BS80" s="36">
        <v>-1.341389282216072</v>
      </c>
      <c r="BT80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19.860023636893967</v>
      </c>
      <c r="BU80" s="50">
        <v>1.8196400000000001</v>
      </c>
      <c r="BV80" s="50">
        <v>-1.0324199999999999</v>
      </c>
      <c r="BW80" s="50">
        <v>-1.60426</v>
      </c>
      <c r="BX80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6.950631924451848</v>
      </c>
      <c r="BY80" s="63">
        <v>1.4273149184845846</v>
      </c>
      <c r="BZ80" s="64">
        <v>-1.6723888065842798</v>
      </c>
      <c r="CA80" s="64">
        <v>0.48921172128620677</v>
      </c>
      <c r="CB80" s="64">
        <v>1.1710756028488112</v>
      </c>
      <c r="CC80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6.444858372748568</v>
      </c>
    </row>
    <row r="81" spans="1:81" ht="28.8" customHeight="1" x14ac:dyDescent="0.3">
      <c r="A81" s="22" t="s">
        <v>94</v>
      </c>
      <c r="B81">
        <v>6</v>
      </c>
      <c r="C81">
        <v>3</v>
      </c>
      <c r="D81" s="28">
        <v>5</v>
      </c>
      <c r="E81" s="28">
        <v>2</v>
      </c>
      <c r="F81" s="28">
        <v>4</v>
      </c>
      <c r="G81" s="28">
        <v>5</v>
      </c>
      <c r="H81" s="28">
        <v>3</v>
      </c>
      <c r="I81">
        <v>5</v>
      </c>
      <c r="J81" s="51">
        <v>1</v>
      </c>
      <c r="K81" s="50">
        <v>3</v>
      </c>
      <c r="L81">
        <v>1</v>
      </c>
      <c r="M81" s="49">
        <v>2</v>
      </c>
      <c r="N81" s="65">
        <v>6</v>
      </c>
      <c r="O81" s="66">
        <v>4</v>
      </c>
      <c r="P81" s="66">
        <v>2</v>
      </c>
      <c r="Q81" s="66">
        <v>5</v>
      </c>
      <c r="R81">
        <v>6</v>
      </c>
      <c r="S81" s="39" t="str">
        <f>RIGHT(Таблица1[[#This Row],[Классификация дискр ф-ции]])</f>
        <v>6</v>
      </c>
      <c r="T81" s="90">
        <v>6</v>
      </c>
      <c r="U81" s="90">
        <f>IF(Таблица1[[#This Row],[Обучающая выборка]]=Таблица1[[#This Row],[Номер класса по классификации дискр функции (Python)]],1,0)</f>
        <v>1</v>
      </c>
      <c r="V81" s="90">
        <f>MATCH(MIN(Таблица1[[#This Row],[Махаланобис 1]:[Махаланобис 6]]),Таблица1[[#This Row],[Махаланобис 1]:[Махаланобис 6]],0)</f>
        <v>6</v>
      </c>
      <c r="W81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6</v>
      </c>
      <c r="X81" s="40" t="str">
        <f>RIGHT(Таблица1[[#This Row],[Forward Классификация дискр ф-ции]])</f>
        <v>6</v>
      </c>
      <c r="Y81" s="40">
        <f>MATCH(MIN(Таблица1[[#This Row],[Forward Махаланобис 1]:[Forward Махаланобис 6]]),Таблица1[[#This Row],[Forward Махаланобис 1]:[Forward Махаланобис 6]],0)</f>
        <v>6</v>
      </c>
      <c r="Z81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6</v>
      </c>
      <c r="AA81" s="90">
        <v>6</v>
      </c>
      <c r="AB81" s="90">
        <f>IF(Таблица1[[#This Row],[Обучающая выборка]]=Таблица1[[#This Row],[Номер класса (пошаговый дискр анализ с включением) Python]],1,0)</f>
        <v>1</v>
      </c>
      <c r="AC81" s="40" t="s">
        <v>129</v>
      </c>
      <c r="AD81" s="41">
        <v>52.344919265258042</v>
      </c>
      <c r="AE81" s="41">
        <v>51.827231854499935</v>
      </c>
      <c r="AF81" s="41">
        <v>57.589238093325697</v>
      </c>
      <c r="AG81" s="42">
        <v>101.14791196542956</v>
      </c>
      <c r="AH81" s="41">
        <v>960.18659062019378</v>
      </c>
      <c r="AI81" s="41">
        <v>13.666736377509093</v>
      </c>
      <c r="AJ81" s="43">
        <v>3.9915290781751016E-9</v>
      </c>
      <c r="AK81" s="43">
        <v>3.4471678551926721E-9</v>
      </c>
      <c r="AL81" s="43">
        <v>5.3160782881451353E-10</v>
      </c>
      <c r="AM81" s="43">
        <v>6.7237696013526686E-20</v>
      </c>
      <c r="AN81" s="43">
        <v>0</v>
      </c>
      <c r="AO81" s="43">
        <v>0.99999999202969525</v>
      </c>
      <c r="AP81" s="40" t="s">
        <v>129</v>
      </c>
      <c r="AQ81" s="42">
        <v>41.047294526276566</v>
      </c>
      <c r="AR81" s="42">
        <v>28.980117347768395</v>
      </c>
      <c r="AS81" s="41">
        <v>44.601292515911204</v>
      </c>
      <c r="AT81" s="42">
        <v>75.402186012898483</v>
      </c>
      <c r="AU81" s="41">
        <v>857.8499794223585</v>
      </c>
      <c r="AV81" s="41">
        <v>7.2506702203994751</v>
      </c>
      <c r="AW81" s="43">
        <v>4.583009066078943E-8</v>
      </c>
      <c r="AX81" s="43">
        <v>1.2747167357475399E-5</v>
      </c>
      <c r="AY81" s="43">
        <v>1.4211872196475002E-8</v>
      </c>
      <c r="AZ81" s="43">
        <v>1.0592282567199907E-15</v>
      </c>
      <c r="BA81" s="43">
        <v>0</v>
      </c>
      <c r="BB81" s="43">
        <v>0.9999871927906786</v>
      </c>
      <c r="BC81" s="40">
        <v>3</v>
      </c>
      <c r="BD81" s="40">
        <v>3</v>
      </c>
      <c r="BE81" s="40">
        <f>IF(Таблица1[[#This Row],[Neuron id (Кохонен)]]=Таблица1[[#This Row],[Кохонен 2020]],1,0)</f>
        <v>1</v>
      </c>
      <c r="BF81" s="28">
        <v>6</v>
      </c>
      <c r="BG81" s="40">
        <f>IF(Таблица1[[#This Row],[Персептрон]]=Таблица1[[#This Row],[Обучающая выборка]],1,0)</f>
        <v>1</v>
      </c>
      <c r="BH81" s="40">
        <f>IF(Таблица1[[#This Row],[Номер класса по классификации дискр функции (Python)]]=Таблица1[[#This Row],[Персептрон]],1,0)</f>
        <v>1</v>
      </c>
      <c r="BI81" s="36">
        <v>-0.24192009124080316</v>
      </c>
      <c r="BJ81" s="36">
        <v>-0.24125319017200333</v>
      </c>
      <c r="BK81" s="36">
        <v>-0.73361473237868424</v>
      </c>
      <c r="BL81" s="36">
        <v>0.79777728381788293</v>
      </c>
      <c r="BM81" s="36">
        <v>-5.0651857734573029E-2</v>
      </c>
      <c r="BN81" s="36">
        <v>0.84860152464749306</v>
      </c>
      <c r="BO81" s="36">
        <v>1.6025184073407903</v>
      </c>
      <c r="BP81" s="36">
        <v>0.25943225407065013</v>
      </c>
      <c r="BQ81" s="36">
        <v>0.27014008328137218</v>
      </c>
      <c r="BR81" s="36">
        <v>-0.62075453124230839</v>
      </c>
      <c r="BS81" s="36">
        <v>-0.16922435799197585</v>
      </c>
      <c r="BT81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5.1363768370881964</v>
      </c>
      <c r="BU81" s="50">
        <v>-0.21990000000000004</v>
      </c>
      <c r="BV81" s="50">
        <v>0.71366000000000007</v>
      </c>
      <c r="BW81" s="50">
        <v>-0.83196000000000003</v>
      </c>
      <c r="BX81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1.2498243073930246</v>
      </c>
      <c r="BY81" s="63">
        <v>-0.26080641277727334</v>
      </c>
      <c r="BZ81" s="64">
        <v>2.9304617049063689E-2</v>
      </c>
      <c r="CA81" s="64">
        <v>1.0276929376988073</v>
      </c>
      <c r="CB81" s="64">
        <v>0.14041647600214729</v>
      </c>
      <c r="CC81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1.1447483064550079</v>
      </c>
    </row>
    <row r="82" spans="1:81" ht="28.8" customHeight="1" x14ac:dyDescent="0.3">
      <c r="A82" s="22" t="s">
        <v>95</v>
      </c>
      <c r="B82">
        <v>2</v>
      </c>
      <c r="C82">
        <v>6</v>
      </c>
      <c r="D82" s="28">
        <v>2</v>
      </c>
      <c r="E82" s="28">
        <v>4</v>
      </c>
      <c r="F82" s="28">
        <v>6</v>
      </c>
      <c r="G82" s="28">
        <v>1</v>
      </c>
      <c r="H82" s="28">
        <v>4</v>
      </c>
      <c r="I82">
        <v>1</v>
      </c>
      <c r="J82" s="51">
        <v>6</v>
      </c>
      <c r="K82" s="50">
        <v>5</v>
      </c>
      <c r="L82">
        <v>3</v>
      </c>
      <c r="M82" s="49">
        <v>1</v>
      </c>
      <c r="N82" s="65">
        <v>1</v>
      </c>
      <c r="O82" s="66">
        <v>2</v>
      </c>
      <c r="P82" s="66">
        <v>1</v>
      </c>
      <c r="Q82" s="66">
        <v>3</v>
      </c>
      <c r="S82" s="39" t="str">
        <f>RIGHT(Таблица1[[#This Row],[Классификация дискр ф-ции]])</f>
        <v>2</v>
      </c>
      <c r="T82" s="90">
        <v>2</v>
      </c>
      <c r="U82" s="90">
        <f>IF(Таблица1[[#This Row],[Обучающая выборка]]=Таблица1[[#This Row],[Номер класса по классификации дискр функции (Python)]],1,0)</f>
        <v>0</v>
      </c>
      <c r="V82" s="90">
        <f>MATCH(MIN(Таблица1[[#This Row],[Махаланобис 1]:[Махаланобис 6]]),Таблица1[[#This Row],[Махаланобис 1]:[Махаланобис 6]],0)</f>
        <v>2</v>
      </c>
      <c r="W82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2</v>
      </c>
      <c r="X82" s="40" t="str">
        <f>RIGHT(Таблица1[[#This Row],[Forward Классификация дискр ф-ции]])</f>
        <v>2</v>
      </c>
      <c r="Y82" s="40">
        <f>MATCH(MIN(Таблица1[[#This Row],[Forward Махаланобис 1]:[Forward Махаланобис 6]]),Таблица1[[#This Row],[Forward Махаланобис 1]:[Forward Махаланобис 6]],0)</f>
        <v>2</v>
      </c>
      <c r="Z82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2</v>
      </c>
      <c r="AA82" s="90">
        <v>2</v>
      </c>
      <c r="AB82" s="90">
        <f>IF(Таблица1[[#This Row],[Обучающая выборка]]=Таблица1[[#This Row],[Номер класса (пошаговый дискр анализ с включением) Python]],1,0)</f>
        <v>0</v>
      </c>
      <c r="AC82" s="40" t="s">
        <v>131</v>
      </c>
      <c r="AD82" s="41">
        <v>264.19488200412286</v>
      </c>
      <c r="AE82" s="41">
        <v>127.67995664311674</v>
      </c>
      <c r="AF82" s="41">
        <v>250.50039418663255</v>
      </c>
      <c r="AG82" s="42">
        <v>191.672240059101</v>
      </c>
      <c r="AH82" s="41">
        <v>837.15887096325889</v>
      </c>
      <c r="AI82" s="41">
        <v>198.44287450497026</v>
      </c>
      <c r="AJ82" s="43">
        <v>3.4060566599146434E-30</v>
      </c>
      <c r="AK82" s="43">
        <v>0.99999999999998657</v>
      </c>
      <c r="AL82" s="43">
        <v>5.8777830044867877E-27</v>
      </c>
      <c r="AM82" s="43">
        <v>1.271312198119162E-14</v>
      </c>
      <c r="AN82" s="43">
        <v>0</v>
      </c>
      <c r="AO82" s="43">
        <v>6.4583099446172244E-16</v>
      </c>
      <c r="AP82" s="40" t="s">
        <v>131</v>
      </c>
      <c r="AQ82" s="42">
        <v>234.03233221888792</v>
      </c>
      <c r="AR82" s="42">
        <v>96.589233090182191</v>
      </c>
      <c r="AS82" s="41">
        <v>234.99385731892949</v>
      </c>
      <c r="AT82" s="42">
        <v>126.80995901672721</v>
      </c>
      <c r="AU82" s="41">
        <v>639.90848940716398</v>
      </c>
      <c r="AV82" s="41">
        <v>173.6807731386599</v>
      </c>
      <c r="AW82" s="43">
        <v>2.1414176428453801E-30</v>
      </c>
      <c r="AX82" s="43">
        <v>0.99999972606178189</v>
      </c>
      <c r="AY82" s="43">
        <v>2.4274499746066233E-30</v>
      </c>
      <c r="AZ82" s="43">
        <v>2.73938218143608E-7</v>
      </c>
      <c r="BA82" s="43">
        <v>0</v>
      </c>
      <c r="BB82" s="43">
        <v>2.728198198714585E-17</v>
      </c>
      <c r="BC82" s="40">
        <v>2</v>
      </c>
      <c r="BD82" s="40">
        <v>2</v>
      </c>
      <c r="BE82" s="40">
        <f>IF(Таблица1[[#This Row],[Neuron id (Кохонен)]]=Таблица1[[#This Row],[Кохонен 2020]],1,0)</f>
        <v>1</v>
      </c>
      <c r="BF82" s="28">
        <v>2</v>
      </c>
      <c r="BG82" s="40">
        <f>IF(Таблица1[[#This Row],[Персептрон]]=Таблица1[[#This Row],[Обучающая выборка]],1,0)</f>
        <v>0</v>
      </c>
      <c r="BH82" s="40">
        <f>IF(Таблица1[[#This Row],[Номер класса по классификации дискр функции (Python)]]=Таблица1[[#This Row],[Персептрон]],1,0)</f>
        <v>1</v>
      </c>
      <c r="BI82" s="36">
        <v>-0.51140868385633431</v>
      </c>
      <c r="BJ82" s="36">
        <v>-0.34050024002638962</v>
      </c>
      <c r="BK82" s="36">
        <v>-1.3650207969342594</v>
      </c>
      <c r="BL82" s="36">
        <v>-0.36469818688817918</v>
      </c>
      <c r="BM82" s="36">
        <v>-0.35268940226152318</v>
      </c>
      <c r="BN82" s="36">
        <v>-2.6695234645158754</v>
      </c>
      <c r="BO82" s="36">
        <v>-1.556277459473475</v>
      </c>
      <c r="BP82" s="36">
        <v>-2.8857107936578199</v>
      </c>
      <c r="BQ82" s="36">
        <v>-1.5256777661426122</v>
      </c>
      <c r="BR82" s="36">
        <v>-1.983308092461308</v>
      </c>
      <c r="BS82" s="36">
        <v>-0.83945312207439626</v>
      </c>
      <c r="BT82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27.339722636416031</v>
      </c>
      <c r="BU82" s="50">
        <v>-0.76756999999999997</v>
      </c>
      <c r="BV82" s="50">
        <v>-2.8757100000000002</v>
      </c>
      <c r="BW82" s="50">
        <v>-0.17639000000000002</v>
      </c>
      <c r="BX82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8.8899841447565553</v>
      </c>
      <c r="BY82" s="63">
        <v>-0.68554978307534165</v>
      </c>
      <c r="BZ82" s="64">
        <v>-2.1827617256419747</v>
      </c>
      <c r="CA82" s="64">
        <v>-1.627225691797066</v>
      </c>
      <c r="CB82" s="64">
        <v>-0.84298110665407677</v>
      </c>
      <c r="CC82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8.5929078542223518</v>
      </c>
    </row>
    <row r="83" spans="1:81" x14ac:dyDescent="0.3">
      <c r="A83" s="22" t="s">
        <v>96</v>
      </c>
      <c r="B83">
        <v>3</v>
      </c>
      <c r="C83">
        <v>1</v>
      </c>
      <c r="D83" s="28">
        <v>5</v>
      </c>
      <c r="E83" s="28">
        <v>2</v>
      </c>
      <c r="F83" s="28">
        <v>4</v>
      </c>
      <c r="G83" s="28">
        <v>5</v>
      </c>
      <c r="H83" s="28">
        <v>1</v>
      </c>
      <c r="I83">
        <v>4</v>
      </c>
      <c r="J83" s="51">
        <v>3</v>
      </c>
      <c r="K83" s="50">
        <v>4</v>
      </c>
      <c r="L83">
        <v>1</v>
      </c>
      <c r="M83" s="49">
        <v>1</v>
      </c>
      <c r="N83" s="65">
        <v>4</v>
      </c>
      <c r="O83" s="66">
        <v>5</v>
      </c>
      <c r="P83" s="66">
        <v>5</v>
      </c>
      <c r="Q83" s="66">
        <v>1</v>
      </c>
      <c r="S83" s="39" t="str">
        <f>RIGHT(Таблица1[[#This Row],[Классификация дискр ф-ции]])</f>
        <v>3</v>
      </c>
      <c r="T83" s="90">
        <v>3</v>
      </c>
      <c r="U83" s="90">
        <f>IF(Таблица1[[#This Row],[Обучающая выборка]]=Таблица1[[#This Row],[Номер класса по классификации дискр функции (Python)]],1,0)</f>
        <v>0</v>
      </c>
      <c r="V83" s="90">
        <f>MATCH(MIN(Таблица1[[#This Row],[Махаланобис 1]:[Махаланобис 6]]),Таблица1[[#This Row],[Махаланобис 1]:[Махаланобис 6]],0)</f>
        <v>3</v>
      </c>
      <c r="W83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83" s="40" t="str">
        <f>RIGHT(Таблица1[[#This Row],[Forward Классификация дискр ф-ции]])</f>
        <v>3</v>
      </c>
      <c r="Y83" s="40">
        <f>MATCH(MIN(Таблица1[[#This Row],[Forward Махаланобис 1]:[Forward Махаланобис 6]]),Таблица1[[#This Row],[Forward Махаланобис 1]:[Forward Махаланобис 6]],0)</f>
        <v>3</v>
      </c>
      <c r="Z83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83" s="90">
        <v>3</v>
      </c>
      <c r="AB83" s="90">
        <f>IF(Таблица1[[#This Row],[Обучающая выборка]]=Таблица1[[#This Row],[Номер класса (пошаговый дискр анализ с включением) Python]],1,0)</f>
        <v>0</v>
      </c>
      <c r="AC83" s="40" t="s">
        <v>128</v>
      </c>
      <c r="AD83" s="41">
        <v>29.568592080748353</v>
      </c>
      <c r="AE83" s="41">
        <v>31.008651977759602</v>
      </c>
      <c r="AF83" s="41">
        <v>9.941298968992518</v>
      </c>
      <c r="AG83" s="42">
        <v>97.167014960754784</v>
      </c>
      <c r="AH83" s="41">
        <v>1087.2808121877811</v>
      </c>
      <c r="AI83" s="41">
        <v>26.026237475905351</v>
      </c>
      <c r="AJ83" s="43">
        <v>2.9829962227311618E-5</v>
      </c>
      <c r="AK83" s="43">
        <v>9.6795777130012676E-6</v>
      </c>
      <c r="AL83" s="43">
        <v>0.99978515682679869</v>
      </c>
      <c r="AM83" s="43">
        <v>4.1662988930062276E-20</v>
      </c>
      <c r="AN83" s="43">
        <v>0</v>
      </c>
      <c r="AO83" s="43">
        <v>1.7533363326100595E-4</v>
      </c>
      <c r="AP83" s="40" t="s">
        <v>128</v>
      </c>
      <c r="AQ83" s="42">
        <v>21.181155500229512</v>
      </c>
      <c r="AR83" s="42">
        <v>29.991234535719538</v>
      </c>
      <c r="AS83" s="41">
        <v>5.3715323927973158</v>
      </c>
      <c r="AT83" s="42">
        <v>85.900046466404447</v>
      </c>
      <c r="AU83" s="41">
        <v>954.88770099766123</v>
      </c>
      <c r="AV83" s="41">
        <v>16.570856843873376</v>
      </c>
      <c r="AW83" s="43">
        <v>2.0080716561791666E-4</v>
      </c>
      <c r="AX83" s="43">
        <v>1.635323177139783E-6</v>
      </c>
      <c r="AY83" s="43">
        <v>0.99778433007954748</v>
      </c>
      <c r="AZ83" s="43">
        <v>1.183475676117764E-18</v>
      </c>
      <c r="BA83" s="43">
        <v>0</v>
      </c>
      <c r="BB83" s="43">
        <v>2.0132274316573546E-3</v>
      </c>
      <c r="BC83" s="40">
        <v>5</v>
      </c>
      <c r="BD83" s="40">
        <v>5</v>
      </c>
      <c r="BE83" s="40">
        <f>IF(Таблица1[[#This Row],[Neuron id (Кохонен)]]=Таблица1[[#This Row],[Кохонен 2020]],1,0)</f>
        <v>1</v>
      </c>
      <c r="BF83" s="28">
        <v>3</v>
      </c>
      <c r="BG83" s="40">
        <f>IF(Таблица1[[#This Row],[Персептрон]]=Таблица1[[#This Row],[Обучающая выборка]],1,0)</f>
        <v>0</v>
      </c>
      <c r="BH83" s="40">
        <f>IF(Таблица1[[#This Row],[Номер класса по классификации дискр функции (Python)]]=Таблица1[[#This Row],[Персептрон]],1,0)</f>
        <v>1</v>
      </c>
      <c r="BI83" s="36">
        <v>-0.40327918799945689</v>
      </c>
      <c r="BJ83" s="36">
        <v>-0.35429554807212305</v>
      </c>
      <c r="BK83" s="36">
        <v>-0.23194529150717319</v>
      </c>
      <c r="BL83" s="36">
        <v>-0.13220309274696621</v>
      </c>
      <c r="BM83" s="36">
        <v>-0.44604646147894406</v>
      </c>
      <c r="BN83" s="36">
        <v>-0.55770951307441963</v>
      </c>
      <c r="BO83" s="36">
        <v>-0.74006421493987617</v>
      </c>
      <c r="BP83" s="36">
        <v>4.4990682634618209E-2</v>
      </c>
      <c r="BQ83" s="36">
        <v>-0.75941524890709189</v>
      </c>
      <c r="BR83" s="36">
        <v>0.16344446779229177</v>
      </c>
      <c r="BS83" s="36">
        <v>-0.28614608161307981</v>
      </c>
      <c r="BT83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2.1044574597185819</v>
      </c>
      <c r="BU83" s="50">
        <v>-0.32028000000000006</v>
      </c>
      <c r="BV83" s="50">
        <v>-0.52635999999999994</v>
      </c>
      <c r="BW83" s="50">
        <v>0.13003000000000001</v>
      </c>
      <c r="BX83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0.3965416237353771</v>
      </c>
      <c r="BY83" s="63">
        <v>-0.36096927160702535</v>
      </c>
      <c r="BZ83" s="64">
        <v>-0.17324800730389722</v>
      </c>
      <c r="CA83" s="64">
        <v>-0.48728802738707316</v>
      </c>
      <c r="CB83" s="64">
        <v>-0.13303134195763874</v>
      </c>
      <c r="CC83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0.41546064665711285</v>
      </c>
    </row>
    <row r="84" spans="1:81" ht="43.2" customHeight="1" x14ac:dyDescent="0.3">
      <c r="A84" s="22" t="s">
        <v>97</v>
      </c>
      <c r="B84">
        <v>4</v>
      </c>
      <c r="C84">
        <v>5</v>
      </c>
      <c r="D84" s="28">
        <v>1</v>
      </c>
      <c r="E84" s="28">
        <v>6</v>
      </c>
      <c r="F84" s="28">
        <v>1</v>
      </c>
      <c r="G84" s="28">
        <v>6</v>
      </c>
      <c r="H84" s="28">
        <v>6</v>
      </c>
      <c r="I84">
        <v>6</v>
      </c>
      <c r="J84" s="51">
        <v>5</v>
      </c>
      <c r="K84" s="50">
        <v>2</v>
      </c>
      <c r="L84">
        <v>5</v>
      </c>
      <c r="M84" s="49">
        <v>6</v>
      </c>
      <c r="N84" s="65">
        <v>6</v>
      </c>
      <c r="O84" s="66">
        <v>1</v>
      </c>
      <c r="P84" s="66">
        <v>6</v>
      </c>
      <c r="Q84" s="66">
        <v>6</v>
      </c>
      <c r="S84" s="39" t="str">
        <f>RIGHT(Таблица1[[#This Row],[Классификация дискр ф-ции]])</f>
        <v>4</v>
      </c>
      <c r="T84" s="90">
        <v>4</v>
      </c>
      <c r="U84" s="90">
        <f>IF(Таблица1[[#This Row],[Обучающая выборка]]=Таблица1[[#This Row],[Номер класса по классификации дискр функции (Python)]],1,0)</f>
        <v>0</v>
      </c>
      <c r="V84" s="90">
        <f>MATCH(MIN(Таблица1[[#This Row],[Махаланобис 1]:[Махаланобис 6]]),Таблица1[[#This Row],[Махаланобис 1]:[Махаланобис 6]],0)</f>
        <v>4</v>
      </c>
      <c r="W84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4</v>
      </c>
      <c r="X84" s="40" t="str">
        <f>RIGHT(Таблица1[[#This Row],[Forward Классификация дискр ф-ции]])</f>
        <v>4</v>
      </c>
      <c r="Y84" s="40">
        <f>MATCH(MIN(Таблица1[[#This Row],[Forward Махаланобис 1]:[Forward Махаланобис 6]]),Таблица1[[#This Row],[Forward Махаланобис 1]:[Forward Махаланобис 6]],0)</f>
        <v>4</v>
      </c>
      <c r="Z84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4</v>
      </c>
      <c r="AA84" s="90">
        <v>4</v>
      </c>
      <c r="AB84" s="90">
        <f>IF(Таблица1[[#This Row],[Обучающая выборка]]=Таблица1[[#This Row],[Номер класса (пошаговый дискр анализ с включением) Python]],1,0)</f>
        <v>0</v>
      </c>
      <c r="AC84" s="40" t="s">
        <v>132</v>
      </c>
      <c r="AD84" s="41">
        <v>693.39781536869623</v>
      </c>
      <c r="AE84" s="41">
        <v>953.96627337179632</v>
      </c>
      <c r="AF84" s="41">
        <v>869.74515970382845</v>
      </c>
      <c r="AG84" s="42">
        <v>606.90608086113116</v>
      </c>
      <c r="AH84" s="41">
        <v>1122.5345401356892</v>
      </c>
      <c r="AI84" s="41">
        <v>990.88303210020058</v>
      </c>
      <c r="AJ84" s="43">
        <v>2.4811312893171848E-19</v>
      </c>
      <c r="AK84" s="43">
        <v>0</v>
      </c>
      <c r="AL84" s="43">
        <v>0</v>
      </c>
      <c r="AM84" s="43">
        <v>1</v>
      </c>
      <c r="AN84" s="43">
        <v>0</v>
      </c>
      <c r="AO84" s="43">
        <v>0</v>
      </c>
      <c r="AP84" s="40" t="s">
        <v>132</v>
      </c>
      <c r="AQ84" s="42">
        <v>450.4333618600935</v>
      </c>
      <c r="AR84" s="42">
        <v>658.84711125854972</v>
      </c>
      <c r="AS84" s="41">
        <v>574.50937343938904</v>
      </c>
      <c r="AT84" s="42">
        <v>369.55385793899404</v>
      </c>
      <c r="AU84" s="41">
        <v>825.49892540126291</v>
      </c>
      <c r="AV84" s="41">
        <v>671.09383138518831</v>
      </c>
      <c r="AW84" s="43">
        <v>4.1051604205693708E-18</v>
      </c>
      <c r="AX84" s="43">
        <v>0</v>
      </c>
      <c r="AY84" s="43">
        <v>0</v>
      </c>
      <c r="AZ84" s="43">
        <v>1</v>
      </c>
      <c r="BA84" s="43">
        <v>0</v>
      </c>
      <c r="BB84" s="43">
        <v>0</v>
      </c>
      <c r="BC84" s="40">
        <v>1</v>
      </c>
      <c r="BD84" s="40">
        <v>1</v>
      </c>
      <c r="BE84" s="40">
        <f>IF(Таблица1[[#This Row],[Neuron id (Кохонен)]]=Таблица1[[#This Row],[Кохонен 2020]],1,0)</f>
        <v>1</v>
      </c>
      <c r="BF84" s="28">
        <v>4</v>
      </c>
      <c r="BG84" s="40">
        <f>IF(Таблица1[[#This Row],[Персептрон]]=Таблица1[[#This Row],[Обучающая выборка]],1,0)</f>
        <v>0</v>
      </c>
      <c r="BH84" s="40">
        <f>IF(Таблица1[[#This Row],[Номер класса по классификации дискр функции (Python)]]=Таблица1[[#This Row],[Персептрон]],1,0)</f>
        <v>1</v>
      </c>
      <c r="BI84" s="36">
        <v>1.1748659054027062</v>
      </c>
      <c r="BJ84" s="36">
        <v>1.3250541294586633</v>
      </c>
      <c r="BK84" s="36">
        <v>6.4902804864535319</v>
      </c>
      <c r="BL84" s="36">
        <v>3.7039659605830395</v>
      </c>
      <c r="BM84" s="36">
        <v>1.8842189578107982</v>
      </c>
      <c r="BN84" s="36">
        <v>2.9503246035669856E-2</v>
      </c>
      <c r="BO84" s="36">
        <v>-1.5243140099543966</v>
      </c>
      <c r="BP84" s="36">
        <v>-1.1344379602635584</v>
      </c>
      <c r="BQ84" s="36">
        <v>-0.83705571518161315</v>
      </c>
      <c r="BR84" s="36">
        <v>2.6721019969415645</v>
      </c>
      <c r="BS84" s="36">
        <v>-0.15587572530949298</v>
      </c>
      <c r="BT84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74.005905774919071</v>
      </c>
      <c r="BU84" s="50">
        <v>3.6351400000000003</v>
      </c>
      <c r="BV84" s="50">
        <v>-0.71449000000000007</v>
      </c>
      <c r="BW84" s="50">
        <v>2.4068000000000001</v>
      </c>
      <c r="BX84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19.517425995933024</v>
      </c>
      <c r="BY84" s="63">
        <v>1.2725410249837343</v>
      </c>
      <c r="BZ84" s="64">
        <v>-0.32870288008931531</v>
      </c>
      <c r="CA84" s="64">
        <v>-2.0247521726586934</v>
      </c>
      <c r="CB84" s="64">
        <v>3.4447022431461489</v>
      </c>
      <c r="CC84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17.693001148267875</v>
      </c>
    </row>
    <row r="85" spans="1:81" ht="14.4" customHeight="1" x14ac:dyDescent="0.3">
      <c r="A85" s="22" t="s">
        <v>34</v>
      </c>
      <c r="B85">
        <v>5</v>
      </c>
      <c r="C85">
        <v>2</v>
      </c>
      <c r="D85" s="28">
        <v>6</v>
      </c>
      <c r="E85" s="28">
        <v>1</v>
      </c>
      <c r="F85" s="28">
        <v>3</v>
      </c>
      <c r="G85" s="28">
        <v>4</v>
      </c>
      <c r="H85" s="28">
        <v>6</v>
      </c>
      <c r="I85">
        <v>3</v>
      </c>
      <c r="J85" s="51">
        <v>5</v>
      </c>
      <c r="K85" s="50">
        <v>2</v>
      </c>
      <c r="L85">
        <v>3</v>
      </c>
      <c r="M85" s="49">
        <v>1</v>
      </c>
      <c r="N85" s="65">
        <v>2</v>
      </c>
      <c r="O85" s="66">
        <v>6</v>
      </c>
      <c r="P85" s="66">
        <v>4</v>
      </c>
      <c r="Q85" s="66">
        <v>2</v>
      </c>
      <c r="R85">
        <v>5</v>
      </c>
      <c r="S85" s="39" t="str">
        <f>RIGHT(Таблица1[[#This Row],[Классификация дискр ф-ции]])</f>
        <v>5</v>
      </c>
      <c r="T85" s="90">
        <v>5</v>
      </c>
      <c r="U85" s="90">
        <f>IF(Таблица1[[#This Row],[Обучающая выборка]]=Таблица1[[#This Row],[Номер класса по классификации дискр функции (Python)]],1,0)</f>
        <v>1</v>
      </c>
      <c r="V85" s="90">
        <f>MATCH(MIN(Таблица1[[#This Row],[Махаланобис 1]:[Махаланобис 6]]),Таблица1[[#This Row],[Махаланобис 1]:[Махаланобис 6]],0)</f>
        <v>5</v>
      </c>
      <c r="W85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5</v>
      </c>
      <c r="X85" s="40" t="str">
        <f>RIGHT(Таблица1[[#This Row],[Forward Классификация дискр ф-ции]])</f>
        <v>5</v>
      </c>
      <c r="Y85" s="40">
        <f>MATCH(MIN(Таблица1[[#This Row],[Forward Махаланобис 1]:[Forward Махаланобис 6]]),Таблица1[[#This Row],[Forward Махаланобис 1]:[Forward Махаланобис 6]],0)</f>
        <v>5</v>
      </c>
      <c r="Z85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5</v>
      </c>
      <c r="AA85" s="90">
        <v>5</v>
      </c>
      <c r="AB85" s="90">
        <f>IF(Таблица1[[#This Row],[Обучающая выборка]]=Таблица1[[#This Row],[Номер класса (пошаговый дискр анализ с включением) Python]],1,0)</f>
        <v>1</v>
      </c>
      <c r="AC85" s="40" t="s">
        <v>133</v>
      </c>
      <c r="AD85" s="41">
        <v>954.63718778322709</v>
      </c>
      <c r="AE85" s="41">
        <v>931.19362727820373</v>
      </c>
      <c r="AF85" s="41">
        <v>1122.0101601484635</v>
      </c>
      <c r="AG85" s="42">
        <v>549.85035428613583</v>
      </c>
      <c r="AH85" s="41">
        <v>11.413427116643085</v>
      </c>
      <c r="AI85" s="41">
        <v>999.31640359053995</v>
      </c>
      <c r="AJ85" s="43">
        <v>0</v>
      </c>
      <c r="AK85" s="43">
        <v>0</v>
      </c>
      <c r="AL85" s="43">
        <v>0</v>
      </c>
      <c r="AM85" s="43">
        <v>0</v>
      </c>
      <c r="AN85" s="43">
        <v>1</v>
      </c>
      <c r="AO85" s="43">
        <v>0</v>
      </c>
      <c r="AP85" s="40" t="s">
        <v>133</v>
      </c>
      <c r="AQ85" s="42">
        <v>834.26323858168325</v>
      </c>
      <c r="AR85" s="42">
        <v>814.75695494084937</v>
      </c>
      <c r="AS85" s="41">
        <v>1002.4128040458534</v>
      </c>
      <c r="AT85" s="42">
        <v>483.19932548701144</v>
      </c>
      <c r="AU85" s="41">
        <v>9.9249461909432686</v>
      </c>
      <c r="AV85" s="41">
        <v>894.42192876301465</v>
      </c>
      <c r="AW85" s="43">
        <v>0</v>
      </c>
      <c r="AX85" s="43">
        <v>0</v>
      </c>
      <c r="AY85" s="43">
        <v>0</v>
      </c>
      <c r="AZ85" s="43">
        <v>0</v>
      </c>
      <c r="BA85" s="43">
        <v>1</v>
      </c>
      <c r="BB85" s="43">
        <v>0</v>
      </c>
      <c r="BC85" s="40">
        <v>1</v>
      </c>
      <c r="BD85" s="40">
        <v>1</v>
      </c>
      <c r="BE85" s="40">
        <f>IF(Таблица1[[#This Row],[Neuron id (Кохонен)]]=Таблица1[[#This Row],[Кохонен 2020]],1,0)</f>
        <v>1</v>
      </c>
      <c r="BF85" s="28">
        <v>5</v>
      </c>
      <c r="BG85" s="40">
        <f>IF(Таблица1[[#This Row],[Персептрон]]=Таблица1[[#This Row],[Обучающая выборка]],1,0)</f>
        <v>1</v>
      </c>
      <c r="BH85" s="40">
        <f>IF(Таблица1[[#This Row],[Номер класса по классификации дискр функции (Python)]]=Таблица1[[#This Row],[Персептрон]],1,0)</f>
        <v>1</v>
      </c>
      <c r="BI85" s="36">
        <v>4.8625955181421183</v>
      </c>
      <c r="BJ85" s="36">
        <v>4.9072030494028649</v>
      </c>
      <c r="BK85" s="36">
        <v>0.28170212623667551</v>
      </c>
      <c r="BL85" s="36">
        <v>3.1227282252300084</v>
      </c>
      <c r="BM85" s="36">
        <v>-0.59065837673730193</v>
      </c>
      <c r="BN85" s="36">
        <v>8.5295920290737501E-2</v>
      </c>
      <c r="BO85" s="36">
        <v>-0.47795049786390081</v>
      </c>
      <c r="BP85" s="36">
        <v>-2.7427497460337986</v>
      </c>
      <c r="BQ85" s="36">
        <v>0.59714901011412247</v>
      </c>
      <c r="BR85" s="36">
        <v>1.0277935800751101</v>
      </c>
      <c r="BS85" s="36">
        <v>-1.2793966187739099</v>
      </c>
      <c r="BT85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68.713332449158059</v>
      </c>
      <c r="BU85" s="50">
        <v>4.2003000000000004</v>
      </c>
      <c r="BV85" s="50">
        <v>-0.99387000000000003</v>
      </c>
      <c r="BW85" s="50">
        <v>-1.3012299999999999</v>
      </c>
      <c r="BX85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20.323499228731851</v>
      </c>
      <c r="BY85" s="63">
        <v>4.7195969102510622</v>
      </c>
      <c r="BZ85" s="64">
        <v>-1.3441493510926148</v>
      </c>
      <c r="CA85" s="64">
        <v>0.1214947022084308</v>
      </c>
      <c r="CB85" s="64">
        <v>0.1566765368895072</v>
      </c>
      <c r="CC85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24.120640973170477</v>
      </c>
    </row>
    <row r="86" spans="1:81" ht="28.8" customHeight="1" x14ac:dyDescent="0.3">
      <c r="A86" s="22" t="s">
        <v>21</v>
      </c>
      <c r="B86">
        <v>3</v>
      </c>
      <c r="C86">
        <v>1</v>
      </c>
      <c r="D86" s="28">
        <v>5</v>
      </c>
      <c r="E86" s="28">
        <v>2</v>
      </c>
      <c r="F86" s="28">
        <v>4</v>
      </c>
      <c r="G86" s="28">
        <v>5</v>
      </c>
      <c r="H86" s="28">
        <v>1</v>
      </c>
      <c r="I86">
        <v>4</v>
      </c>
      <c r="J86" s="51">
        <v>2</v>
      </c>
      <c r="K86" s="50">
        <v>1</v>
      </c>
      <c r="L86">
        <v>2</v>
      </c>
      <c r="M86" s="49">
        <v>2</v>
      </c>
      <c r="N86" s="65">
        <v>3</v>
      </c>
      <c r="O86" s="66">
        <v>3</v>
      </c>
      <c r="P86" s="66">
        <v>2</v>
      </c>
      <c r="Q86" s="66">
        <v>5</v>
      </c>
      <c r="R86">
        <v>3</v>
      </c>
      <c r="S86" s="39" t="str">
        <f>RIGHT(Таблица1[[#This Row],[Классификация дискр ф-ции]])</f>
        <v>3</v>
      </c>
      <c r="T86" s="90">
        <v>3</v>
      </c>
      <c r="U86" s="90">
        <f>IF(Таблица1[[#This Row],[Обучающая выборка]]=Таблица1[[#This Row],[Номер класса по классификации дискр функции (Python)]],1,0)</f>
        <v>1</v>
      </c>
      <c r="V86" s="90">
        <f>MATCH(MIN(Таблица1[[#This Row],[Махаланобис 1]:[Махаланобис 6]]),Таблица1[[#This Row],[Махаланобис 1]:[Махаланобис 6]],0)</f>
        <v>3</v>
      </c>
      <c r="W86" s="90">
        <f>MATCH(MAX(Таблица1[[#This Row],[Апостериорные вер-ти 1]:[Апостериорные вер-ти 6]]),Таблица1[[#This Row],[Апостериорные вер-ти 1]:[Апостериорные вер-ти 6]],0)</f>
        <v>3</v>
      </c>
      <c r="X86" s="40" t="str">
        <f>RIGHT(Таблица1[[#This Row],[Forward Классификация дискр ф-ции]])</f>
        <v>3</v>
      </c>
      <c r="Y86" s="40">
        <f>MATCH(MIN(Таблица1[[#This Row],[Forward Махаланобис 1]:[Forward Махаланобис 6]]),Таблица1[[#This Row],[Forward Махаланобис 1]:[Forward Махаланобис 6]],0)</f>
        <v>3</v>
      </c>
      <c r="Z86" s="40">
        <f>MATCH(MAX(Таблица1[[#This Row],[Forward Апостериорные вер-ти 1]:[Forward Апостериорные вер-ти 6]]),Таблица1[[#This Row],[Forward Апостериорные вер-ти 1]:[Forward Апостериорные вер-ти 6]],0)</f>
        <v>3</v>
      </c>
      <c r="AA86" s="90">
        <v>3</v>
      </c>
      <c r="AB86" s="90">
        <f>IF(Таблица1[[#This Row],[Обучающая выборка]]=Таблица1[[#This Row],[Номер класса (пошаговый дискр анализ с включением) Python]],1,0)</f>
        <v>1</v>
      </c>
      <c r="AC86" s="40" t="s">
        <v>128</v>
      </c>
      <c r="AD86" s="41">
        <v>26.859512144439226</v>
      </c>
      <c r="AE86" s="41">
        <v>64.841575378368944</v>
      </c>
      <c r="AF86" s="41">
        <v>4.6017231379950339</v>
      </c>
      <c r="AG86" s="42">
        <v>128.14731122245141</v>
      </c>
      <c r="AH86" s="41">
        <v>1176.7734558308719</v>
      </c>
      <c r="AI86" s="41">
        <v>38.168452518063525</v>
      </c>
      <c r="AJ86" s="43">
        <v>8.0082496359413674E-6</v>
      </c>
      <c r="AK86" s="43">
        <v>3.0181867396381276E-14</v>
      </c>
      <c r="AL86" s="43">
        <v>0.99999196370682175</v>
      </c>
      <c r="AM86" s="43">
        <v>5.4085423136352451E-28</v>
      </c>
      <c r="AN86" s="43">
        <v>0</v>
      </c>
      <c r="AO86" s="43">
        <v>2.804351208552443E-8</v>
      </c>
      <c r="AP86" s="40" t="s">
        <v>128</v>
      </c>
      <c r="AQ86" s="42">
        <v>22.170083305978139</v>
      </c>
      <c r="AR86" s="42">
        <v>60.241457475029932</v>
      </c>
      <c r="AS86" s="41">
        <v>0.80813640044927704</v>
      </c>
      <c r="AT86" s="42">
        <v>106.72461743355908</v>
      </c>
      <c r="AU86" s="41">
        <v>1015.4960478177146</v>
      </c>
      <c r="AV86" s="41">
        <v>28.062588225941667</v>
      </c>
      <c r="AW86" s="43">
        <v>1.2533287562631452E-5</v>
      </c>
      <c r="AX86" s="43">
        <v>4.5173098969270904E-14</v>
      </c>
      <c r="AY86" s="43">
        <v>0.99998680826085096</v>
      </c>
      <c r="AZ86" s="43">
        <v>3.640742381436418E-24</v>
      </c>
      <c r="BA86" s="43">
        <v>0</v>
      </c>
      <c r="BB86" s="43">
        <v>6.5845154120115762E-7</v>
      </c>
      <c r="BC86" s="40">
        <v>5</v>
      </c>
      <c r="BD86" s="40">
        <v>5</v>
      </c>
      <c r="BE86" s="40">
        <f>IF(Таблица1[[#This Row],[Neuron id (Кохонен)]]=Таблица1[[#This Row],[Кохонен 2020]],1,0)</f>
        <v>1</v>
      </c>
      <c r="BF86" s="28">
        <v>3</v>
      </c>
      <c r="BG86" s="40">
        <f>IF(Таблица1[[#This Row],[Персептрон]]=Таблица1[[#This Row],[Обучающая выборка]],1,0)</f>
        <v>1</v>
      </c>
      <c r="BH86" s="40">
        <f>IF(Таблица1[[#This Row],[Номер класса по классификации дискр функции (Python)]]=Таблица1[[#This Row],[Персептрон]],1,0)</f>
        <v>1</v>
      </c>
      <c r="BI86" s="36">
        <v>-0.20608548058148562</v>
      </c>
      <c r="BJ86" s="36">
        <v>-0.29095484151894713</v>
      </c>
      <c r="BK86" s="36">
        <v>-0.11191489745269564</v>
      </c>
      <c r="BL86" s="36">
        <v>-5.4704728033229011E-2</v>
      </c>
      <c r="BM86" s="36">
        <v>2.4335288792545528E-3</v>
      </c>
      <c r="BN86" s="36">
        <v>8.0855581992760939E-2</v>
      </c>
      <c r="BO86" s="36">
        <v>-0.72638633638804462</v>
      </c>
      <c r="BP86" s="36">
        <v>0.83127644456673555</v>
      </c>
      <c r="BQ86" s="36">
        <v>-0.2341214253545566</v>
      </c>
      <c r="BR86" s="36">
        <v>0.25550801140297691</v>
      </c>
      <c r="BS86" s="36">
        <v>0.44532506713379444</v>
      </c>
      <c r="BT86" s="24">
        <f>(Таблица1[[#This Row],[ВАЛОВОЙ РЕГИОНАЛЬНЫЙ ПРОДУКТ
(миллионов рублей на 1 000 человек населения)]]-Таблица1[[#Totals],[ВАЛОВОЙ РЕГИОНАЛЬНЫЙ ПРОДУКТ
(миллионов рублей на 1 000 человек населения)]])^2+(Таблица1[[#This Row],[ИНВЕСТИЦИИ В ОСНОВНОЙ КАПИТАЛ
(в фактически действовавших ценах; миллионов рублей, на 1 000 человек населения)]]-Таблица1[[#Totals],[ИНВЕСТИЦИИ В ОСНОВНОЙ КАПИТАЛ
(в фактически действовавших ценах; миллионов рублей, на 1 000 человек населения)]])^2+(Таблица1[[#This Row],[Количество крупных и средних организаций агропромыленного комплекса на начало года на 1 000 человек населения]]-Таблица1[[#Totals],[Количество крупных и средних организаций агропромыленного комплекса на начало года на 1 000 человек населения]])^2+(Таблица1[[#This Row],[Уровень занятости для людей в возрасте 15 лет и старше (процентов)]]-Таблица1[[#Totals],[Уровень занятости для людей в возрасте 15 лет и старше (процентов)]])^2+(Таблица1[[#This Row],[КОЭФФИЦИЕНТЫ МИГРАЦИОННОГО ПРИРОСТА на 10 000 человек населения]]-Таблица1[[#Totals],[КОЭФФИЦИЕНТЫ МИГРАЦИОННОГО ПРИРОСТА на 10 000 человек населения]])^2+(Таблица1[[#This Row],[Количество тяжких и особо тяжких преступлений на 1 000 человек населения]]-Таблица1[[#Totals],[Количество тяжких и особо тяжких преступлений на 1 000 человек населения]])^2+(Таблица1[[#This Row],[Количество преступлений, связанных с незаконным оборотом наркотических средств, на 1 000 человек населения]]-Таблица1[[#Totals],[Количество преступлений, связанных с незаконным оборотом наркотических средств, на 1 000 человек населения]])^2+(Таблица1[[#This Row],[Число зарегистрированных умерших в расчете на 1000 населения (оперативные данные) (промилле (0,1 процента))]]-Таблица1[[#Totals],[Число зарегистрированных умерших в расчете на 1000 населения (оперативные данные) (промилле (0,1 процента))]])^2+(Таблица1[[#This Row],[Число зарегистрированных заболеваний у пациентов с диагнозом, установленным впервые в жизни (на 1 000 человек населения)]]-Таблица1[[#Totals],[Число зарегистрированных заболеваний у пациентов с диагнозом, установленным впервые в жизни (на 1 000 человек населения)]])^2+(Таблица1[[#This Row],[Численность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населения)]]-Таблица1[[#Totals],[Численность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населения)]])^2+(Таблица1[[#This Row],[Общая численность пенсионеров (тысяча человек на 1 000 человек населения)]]-Таблица1[[#Totals],[Общая численность пенсионеров (тысяча человек на 1 000 человек населения)]])^2</f>
        <v>1.6862562819546747</v>
      </c>
      <c r="BU86" s="50">
        <v>-0.22393000000000002</v>
      </c>
      <c r="BV86" s="50">
        <v>0.20697000000000002</v>
      </c>
      <c r="BW86" s="50">
        <v>0.58429999999999993</v>
      </c>
      <c r="BX86" s="24">
        <f>(Таблица1[[#This Row],[Показатель экономической активности ]]-Таблица1[[#Totals],[Показатель экономической активности ]])^2+(Таблица1[[#This Row],[Влияние уровня медицины на возрастной состав населения]]-Таблица1[[#Totals],[Влияние уровня медицины на возрастной состав населения]])^2+(Таблица1[[#This Row],[Уровень преступности]]-Таблица1[[#Totals],[Уровень преступности]])^2</f>
        <v>0.43438752163772998</v>
      </c>
      <c r="BY86" s="63">
        <v>-0.19046031795779103</v>
      </c>
      <c r="BZ86" s="64">
        <v>0.64703169794031024</v>
      </c>
      <c r="CA86" s="64">
        <v>-0.27613822847849923</v>
      </c>
      <c r="CB86" s="64">
        <v>3.4958517562696703E-2</v>
      </c>
      <c r="CC86" s="69">
        <f>(Таблица1[[#This Row],[Показатель экономической активности]]-Таблица1[[#Totals],[Показатель экономической активности]])^2+(Таблица1[[#This Row],[Влияние возрастного состава населения на уровень смертности]]-Таблица1[[#Totals],[Влияние возрастного состава населения на уровень смертности]])^2+(Таблица1[[#This Row],[Преступность]]-Таблица1[[#Totals],[Преступность]])^2+(Таблица1[[#This Row],[Обеспеченность врачами]]-Таблица1[[#Totals],[Обеспеченность врачами]])^2</f>
        <v>0.53239957003352889</v>
      </c>
    </row>
    <row r="87" spans="1:81" x14ac:dyDescent="0.3">
      <c r="A87" s="20"/>
      <c r="B87" s="21">
        <f>SUBTOTAL(103,Таблица1[Метод К-средних])</f>
        <v>85</v>
      </c>
      <c r="C87" s="21">
        <f>SUBTOTAL(103,Таблица1[Метод К-средних (Python)])</f>
        <v>85</v>
      </c>
      <c r="D87" s="21">
        <f>SUBTOTAL(103,Таблица1[Метод взвешенной средней связи])</f>
        <v>85</v>
      </c>
      <c r="E87" s="21">
        <f>SUBTOTAL(103,Таблица1[Метод взвешенной средней связи (Python)])</f>
        <v>85</v>
      </c>
      <c r="F87" s="21">
        <f>SUBTOTAL(103,Таблица1[Метод полных связей])</f>
        <v>85</v>
      </c>
      <c r="G87" s="21">
        <f>SUBTOTAL(103,Таблица1[Метод полных связей (Python)])</f>
        <v>85</v>
      </c>
      <c r="H87">
        <f>SUBTOTAL(102,Таблица1[Метод Уорда])</f>
        <v>85</v>
      </c>
      <c r="I87">
        <f>SUBTOTAL(103,Таблица1[Метод Уорда (Python)])</f>
        <v>85</v>
      </c>
      <c r="J87">
        <f>SUBTOTAL(103,Таблица1[МГК Statistica (k-means)])</f>
        <v>85</v>
      </c>
      <c r="K87">
        <f>SUBTOTAL(103,Таблица1[МГК Statistica (Ward)])</f>
        <v>85</v>
      </c>
      <c r="L87">
        <f>SUBTOTAL(103,Таблица1[МГК Python (k-means)])</f>
        <v>85</v>
      </c>
      <c r="M87">
        <f>SUBTOTAL(103,Таблица1[МГК Python (Ward)])</f>
        <v>85</v>
      </c>
      <c r="R87" s="38">
        <f>SUBTOTAL(103,Таблица1[Обучающая выборка])</f>
        <v>33</v>
      </c>
      <c r="S87" s="38">
        <f>SUBTOTAL(103,Таблица1[Номер класса по классификации дискр функции])</f>
        <v>85</v>
      </c>
      <c r="T87" s="38">
        <f>SUBTOTAL(103,Таблица1[Номер класса по классификации дискр функции (Python)])</f>
        <v>85</v>
      </c>
      <c r="U87" s="38">
        <f>SUBTOTAL(103,Таблица1[Точность классификации дискр функции])</f>
        <v>85</v>
      </c>
      <c r="V87" s="38">
        <f>SUBTOTAL(103,Таблица1[Номер класса по классификации Махаланобиса])</f>
        <v>85</v>
      </c>
      <c r="W87" s="38">
        <f>SUBTOTAL(103,Таблица1[Номер класса по классификации через апостериорные вер-ти])</f>
        <v>85</v>
      </c>
      <c r="X87" s="38">
        <f>SUBTOTAL(103,Таблица1[Номер класса по классификации дискр функции (пошаговый дискр анализ с включением)])</f>
        <v>85</v>
      </c>
      <c r="Y87" s="38">
        <f>SUBTOTAL(103,Таблица1[Номер класса по классификации Махаланобиса (пошаговый дискр анализ с включением)])</f>
        <v>85</v>
      </c>
      <c r="Z87" s="38">
        <f>SUBTOTAL(103,Таблица1[Номер класса по классификации через апостериорные вер-ти (пошаговый дискр анализ с включением)])</f>
        <v>85</v>
      </c>
      <c r="AA87" s="38">
        <f>SUBTOTAL(103,Таблица1[Номер класса (пошаговый дискр анализ с включением) Python])</f>
        <v>85</v>
      </c>
      <c r="AB87" s="38">
        <f>SUBTOTAL(103,Таблица1[Точность  (пошаговый дискр анализ с включением) Python])</f>
        <v>85</v>
      </c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>
        <f>SUBTOTAL(103,Таблица1[Neuron id (Кохонен)])</f>
        <v>85</v>
      </c>
      <c r="BD87">
        <f>SUBTOTAL(103,Таблица1[Кохонен 2020])</f>
        <v>85</v>
      </c>
      <c r="BE87" s="88">
        <f>SUBTOTAL(109,Таблица1[Совпадения 2019 и 2020])</f>
        <v>67</v>
      </c>
      <c r="BF87" s="38">
        <f>SUBTOTAL(103,Таблица1[Персептрон])</f>
        <v>85</v>
      </c>
      <c r="BG87" s="87">
        <f>SUBTOTAL(109,Таблица1[Точность персептрон])</f>
        <v>33</v>
      </c>
      <c r="BH87" s="87">
        <f>SUBTOTAL(109,Таблица1[Совпадения дискр анализ и персептрон])</f>
        <v>67</v>
      </c>
      <c r="BI87">
        <f>SUBTOTAL(101,Таблица1[ВАЛОВОЙ РЕГИОНАЛЬНЫЙ ПРОДУКТ
(миллионов рублей на 1 000 человек населения)])</f>
        <v>-2.1551388125076569E-17</v>
      </c>
      <c r="BJ87">
        <f>SUBTOTAL(101,Таблица1[ИНВЕСТИЦИИ В ОСНОВНОЙ КАПИТАЛ
(в фактически действовавших ценах; миллионов рублей, на 1 000 человек населения)])</f>
        <v>6.2694947272950016E-17</v>
      </c>
      <c r="BK87">
        <f>SUBTOTAL(101,Таблица1[Количество крупных и средних организаций агропромыленного комплекса на начало года на 1 000 человек населения])</f>
        <v>-7.291552982317572E-16</v>
      </c>
      <c r="BL87">
        <f>SUBTOTAL(101,Таблица1[Уровень занятости для людей в возрасте 15 лет и старше (процентов)])</f>
        <v>-2.5195531935316789E-15</v>
      </c>
      <c r="BM87">
        <f>SUBTOTAL(101,Таблица1[КОЭФФИЦИЕНТЫ МИГРАЦИОННОГО ПРИРОСТА на 10 000 человек населения])</f>
        <v>-1.5296179355819024E-17</v>
      </c>
      <c r="BN87">
        <f>SUBTOTAL(101,Таблица1[Количество тяжких и особо тяжких преступлений на 1 000 человек населения])</f>
        <v>8.245038638760354E-17</v>
      </c>
      <c r="BO87">
        <f>SUBTOTAL(101,Таблица1[Количество преступлений, связанных с незаконным оборотом наркотических средств, на 1 000 человек населения])</f>
        <v>-4.0621101253932197E-16</v>
      </c>
      <c r="BP87">
        <f>SUBTOTAL(101,Таблица1[Число зарегистрированных умерших в расчете на 1000 населения (оперативные данные) (промилле (0,1 процента))])</f>
        <v>-4.0229257833476261E-16</v>
      </c>
      <c r="BQ87">
        <f>SUBTOTAL(101,Таблица1[Число зарегистрированных заболеваний у пациентов с диагнозом, установленным впервые в жизни (на 1 000 человек населения)])</f>
        <v>3.0433172322077821E-16</v>
      </c>
      <c r="BR87">
        <f>SUBTOTAL(101,Таблица1[Численность врачей всех специальностей (физических лиц) в организациях, оказывающих медицинские услуги населению, на конец отчетного года (человек на 1 000 человек населения)])</f>
        <v>-2.9453563770937975E-16</v>
      </c>
      <c r="BS87">
        <f>SUBTOTAL(101,Таблица1[Общая численность пенсионеров (тысяча человек на 1 000 человек населения)])</f>
        <v>4.4624434866257029E-15</v>
      </c>
      <c r="BT87">
        <f>SUBTOTAL(109,Таблица1[Расстояние])</f>
        <v>924.00000000000023</v>
      </c>
      <c r="BU87">
        <f>SUBTOTAL(101,Таблица1[[Показатель экономической активности ]])</f>
        <v>-2.3529411770411143E-7</v>
      </c>
      <c r="BV87">
        <f>SUBTOTAL(101,Таблица1[Влияние уровня медицины на возрастной состав населения])</f>
        <v>-1.1764705883311661E-7</v>
      </c>
      <c r="BW87">
        <f>SUBTOTAL(101,Таблица1[Уровень преступности])</f>
        <v>1.1764705882821858E-7</v>
      </c>
      <c r="BX87">
        <f>SUBTOTAL(109,Таблица1[Расстояние МГК])</f>
        <v>251.99989288199291</v>
      </c>
      <c r="BY87" s="62">
        <f>SUBTOTAL(101,Таблица1[Показатель экономической активности])</f>
        <v>-1.5347200634524224E-17</v>
      </c>
      <c r="BZ87" s="68">
        <f>SUBTOTAL(101,Таблица1[Влияние возрастного состава населения на уровень смертности])</f>
        <v>-4.8327355189565639E-17</v>
      </c>
      <c r="CA87" s="68">
        <f>SUBTOTAL(101,Таблица1[Преступность])</f>
        <v>-9.7960855113984407E-18</v>
      </c>
      <c r="CB87" s="68">
        <f>SUBTOTAL(101,Таблица1[Обеспеченность врачами])</f>
        <v>-9.9593536032550808E-18</v>
      </c>
      <c r="CC87" s="62">
        <f>SUBTOTAL(109,Таблица1[Расстояние факторный анализ])</f>
        <v>273.01924567711586</v>
      </c>
    </row>
    <row r="88" spans="1:81" x14ac:dyDescent="0.3">
      <c r="N88" s="46"/>
      <c r="O88" s="46"/>
      <c r="P88" s="46"/>
      <c r="Q88" s="46"/>
      <c r="R88" s="46"/>
      <c r="S88" s="46"/>
      <c r="T88" s="46"/>
      <c r="U88">
        <f>SUM(Таблица1[Точность классификации дискр функции])/Таблица1[[#Totals],[Обучающая выборка]]%</f>
        <v>100</v>
      </c>
      <c r="AB88">
        <f>SUM(Таблица1[Точность  (пошаговый дискр анализ с включением) Python])/Таблица1[[#Totals],[Обучающая выборка]]%</f>
        <v>100</v>
      </c>
      <c r="BD88" s="46" t="s">
        <v>244</v>
      </c>
      <c r="BE88">
        <f>Таблица1[[#Totals],[Точность персептрон]]/Таблица1[[#Totals],[Обучающая выборка]]%</f>
        <v>100</v>
      </c>
    </row>
    <row r="92" spans="1:81" x14ac:dyDescent="0.3">
      <c r="A92" s="83"/>
    </row>
    <row r="93" spans="1:81" x14ac:dyDescent="0.3">
      <c r="A93" s="83"/>
    </row>
    <row r="94" spans="1:81" x14ac:dyDescent="0.3">
      <c r="A94" s="83"/>
    </row>
    <row r="95" spans="1:81" x14ac:dyDescent="0.3">
      <c r="A95" s="83"/>
    </row>
    <row r="96" spans="1:81" x14ac:dyDescent="0.3">
      <c r="A96" s="83"/>
    </row>
    <row r="97" spans="1:1" x14ac:dyDescent="0.3">
      <c r="A97" s="83"/>
    </row>
    <row r="98" spans="1:1" x14ac:dyDescent="0.3">
      <c r="A98" s="83"/>
    </row>
    <row r="99" spans="1:1" x14ac:dyDescent="0.3">
      <c r="A99" s="83"/>
    </row>
    <row r="100" spans="1:1" x14ac:dyDescent="0.3">
      <c r="A100" s="83"/>
    </row>
    <row r="101" spans="1:1" x14ac:dyDescent="0.3">
      <c r="A101" s="83"/>
    </row>
    <row r="102" spans="1:1" x14ac:dyDescent="0.3">
      <c r="A102" s="83"/>
    </row>
    <row r="103" spans="1:1" x14ac:dyDescent="0.3">
      <c r="A103" s="83"/>
    </row>
    <row r="104" spans="1:1" x14ac:dyDescent="0.3">
      <c r="A104" s="83"/>
    </row>
    <row r="105" spans="1:1" x14ac:dyDescent="0.3">
      <c r="A105" s="83"/>
    </row>
    <row r="106" spans="1:1" x14ac:dyDescent="0.3">
      <c r="A106" s="83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9C2F-7070-4160-9A56-AD015E472112}">
  <dimension ref="A1:AD8"/>
  <sheetViews>
    <sheetView topLeftCell="F1" zoomScale="85" zoomScaleNormal="85" workbookViewId="0">
      <selection activeCell="AC1" sqref="AC1:AC8"/>
    </sheetView>
  </sheetViews>
  <sheetFormatPr defaultRowHeight="14.4" x14ac:dyDescent="0.3"/>
  <cols>
    <col min="1" max="1" width="9.44140625" customWidth="1"/>
    <col min="2" max="2" width="19.5546875" customWidth="1"/>
    <col min="3" max="3" width="13.77734375" customWidth="1"/>
    <col min="4" max="4" width="12" customWidth="1"/>
    <col min="5" max="5" width="12.6640625" customWidth="1"/>
    <col min="28" max="28" width="10.21875" customWidth="1"/>
    <col min="29" max="29" width="12.77734375" customWidth="1"/>
    <col min="30" max="30" width="15.21875" customWidth="1"/>
  </cols>
  <sheetData>
    <row r="1" spans="1:30" ht="86.4" x14ac:dyDescent="0.3">
      <c r="A1" s="44"/>
      <c r="B1" s="44" t="s">
        <v>166</v>
      </c>
      <c r="C1" s="44" t="s">
        <v>167</v>
      </c>
      <c r="D1" s="81" t="s">
        <v>172</v>
      </c>
      <c r="E1" s="81" t="s">
        <v>173</v>
      </c>
      <c r="F1" s="81" t="s">
        <v>174</v>
      </c>
      <c r="G1" s="81" t="s">
        <v>175</v>
      </c>
      <c r="H1" s="81" t="s">
        <v>176</v>
      </c>
      <c r="I1" s="81" t="s">
        <v>177</v>
      </c>
      <c r="J1" s="81" t="s">
        <v>180</v>
      </c>
      <c r="K1" s="81" t="s">
        <v>181</v>
      </c>
      <c r="L1" s="81" t="s">
        <v>204</v>
      </c>
      <c r="M1" s="81" t="s">
        <v>205</v>
      </c>
      <c r="N1" s="81" t="s">
        <v>212</v>
      </c>
      <c r="O1" s="81" t="s">
        <v>213</v>
      </c>
      <c r="P1" s="81" t="s">
        <v>207</v>
      </c>
      <c r="Q1" s="81" t="s">
        <v>208</v>
      </c>
      <c r="R1" s="81" t="s">
        <v>214</v>
      </c>
      <c r="S1" s="81" t="s">
        <v>215</v>
      </c>
      <c r="T1" s="81" t="s">
        <v>233</v>
      </c>
      <c r="U1" s="81" t="s">
        <v>234</v>
      </c>
      <c r="V1" s="81" t="s">
        <v>235</v>
      </c>
      <c r="W1" s="81" t="s">
        <v>236</v>
      </c>
      <c r="X1" s="81" t="s">
        <v>237</v>
      </c>
      <c r="Y1" s="81" t="s">
        <v>238</v>
      </c>
      <c r="Z1" s="81" t="s">
        <v>239</v>
      </c>
      <c r="AA1" s="81" t="s">
        <v>240</v>
      </c>
      <c r="AB1" s="82" t="s">
        <v>241</v>
      </c>
      <c r="AC1" s="81" t="s">
        <v>245</v>
      </c>
      <c r="AD1" s="81" t="s">
        <v>180</v>
      </c>
    </row>
    <row r="2" spans="1:30" x14ac:dyDescent="0.3">
      <c r="A2" s="44">
        <v>1</v>
      </c>
      <c r="B2" s="13">
        <v>79.536698639736485</v>
      </c>
      <c r="C2" s="26">
        <v>81.215485970066752</v>
      </c>
      <c r="D2" s="13">
        <v>63.510015753209615</v>
      </c>
      <c r="E2" s="26">
        <v>149.81981242954936</v>
      </c>
      <c r="F2" s="13">
        <v>0</v>
      </c>
      <c r="G2" s="26">
        <v>15.349019122064453</v>
      </c>
      <c r="H2" s="13">
        <v>0</v>
      </c>
      <c r="I2" s="26">
        <v>58.243420905657132</v>
      </c>
      <c r="J2" s="26">
        <v>114.41539297414431</v>
      </c>
      <c r="K2" s="26">
        <v>83.672085523554387</v>
      </c>
      <c r="L2" s="26">
        <v>87.339796387881137</v>
      </c>
      <c r="M2" s="26">
        <v>56.722125475272271</v>
      </c>
      <c r="N2" s="26">
        <v>17.26615004109231</v>
      </c>
      <c r="O2" s="26">
        <v>6.9310062978590912</v>
      </c>
      <c r="P2" s="26">
        <v>181.16067096662152</v>
      </c>
      <c r="Q2" s="26">
        <v>275.22965142073656</v>
      </c>
      <c r="R2" s="26">
        <v>46.162873070461764</v>
      </c>
      <c r="S2" s="26">
        <v>68.640813054925005</v>
      </c>
      <c r="T2" s="13">
        <v>91.009055042772616</v>
      </c>
      <c r="U2" s="13">
        <v>5.7854290754448163</v>
      </c>
      <c r="V2" s="13">
        <v>16.083374234841621</v>
      </c>
      <c r="W2" s="13">
        <v>0.77751817283176328</v>
      </c>
      <c r="X2" s="13">
        <v>188.83316679666169</v>
      </c>
      <c r="Y2" s="13">
        <v>49.173152825557239</v>
      </c>
      <c r="Z2" s="13">
        <v>39.673844846488024</v>
      </c>
      <c r="AA2" s="13">
        <v>10.486693893312729</v>
      </c>
      <c r="AB2" s="13">
        <v>160.32170225431295</v>
      </c>
      <c r="AC2" s="26">
        <v>45.961617646668643</v>
      </c>
      <c r="AD2" s="26">
        <v>114.41539297414431</v>
      </c>
    </row>
    <row r="3" spans="1:30" x14ac:dyDescent="0.3">
      <c r="A3" s="44">
        <v>2</v>
      </c>
      <c r="B3" s="13">
        <v>36.965603065532918</v>
      </c>
      <c r="C3" s="26">
        <v>175.66113467196763</v>
      </c>
      <c r="D3" s="13">
        <v>81.215485970066752</v>
      </c>
      <c r="E3" s="26">
        <v>15.349019122064453</v>
      </c>
      <c r="F3" s="13">
        <v>5.7854290754448163</v>
      </c>
      <c r="G3" s="26">
        <v>475.67165264524385</v>
      </c>
      <c r="H3" s="13">
        <v>5.3919314880374083</v>
      </c>
      <c r="I3" s="26">
        <v>93.793397817536231</v>
      </c>
      <c r="J3" s="26">
        <v>98.163995984976879</v>
      </c>
      <c r="K3" s="26">
        <v>99.676421866435959</v>
      </c>
      <c r="L3" s="26">
        <v>107.43857526308375</v>
      </c>
      <c r="M3" s="26">
        <v>67.962394768485893</v>
      </c>
      <c r="N3" s="26">
        <v>15.795320611838713</v>
      </c>
      <c r="O3" s="26">
        <v>8.2214938604666656</v>
      </c>
      <c r="P3" s="26">
        <v>115.96584974360039</v>
      </c>
      <c r="Q3" s="26">
        <v>137.17787926059739</v>
      </c>
      <c r="R3" s="26">
        <v>25.957793367521436</v>
      </c>
      <c r="S3" s="26">
        <v>32.774896473180647</v>
      </c>
      <c r="T3" s="13">
        <v>41.463537396083566</v>
      </c>
      <c r="U3" s="13">
        <v>15.349019122064453</v>
      </c>
      <c r="V3" s="13">
        <v>10.251239143013429</v>
      </c>
      <c r="W3" s="13">
        <v>6.0258903095338532</v>
      </c>
      <c r="X3" s="13">
        <v>15.349019122064453</v>
      </c>
      <c r="Y3" s="13">
        <v>183.88111895566652</v>
      </c>
      <c r="Z3" s="13">
        <v>6.0258903095338532</v>
      </c>
      <c r="AA3" s="13">
        <v>43.103137639627867</v>
      </c>
      <c r="AB3" s="13">
        <v>44.918204523290882</v>
      </c>
      <c r="AC3" s="26">
        <v>71.743221010666176</v>
      </c>
      <c r="AD3" s="26">
        <v>98.163995984976879</v>
      </c>
    </row>
    <row r="4" spans="1:30" x14ac:dyDescent="0.3">
      <c r="A4" s="44">
        <v>3</v>
      </c>
      <c r="B4" s="13">
        <v>81.612332342226907</v>
      </c>
      <c r="C4" s="26">
        <v>15.349019122064453</v>
      </c>
      <c r="D4" s="13">
        <v>82.447720107695858</v>
      </c>
      <c r="E4" s="26">
        <v>68.37388123706036</v>
      </c>
      <c r="F4" s="13">
        <v>5.3919314880374083</v>
      </c>
      <c r="G4" s="26">
        <v>5.3919314880374083</v>
      </c>
      <c r="H4" s="13">
        <v>15.349019122064453</v>
      </c>
      <c r="I4" s="26">
        <v>5.3919314880374083</v>
      </c>
      <c r="J4" s="26">
        <v>60.712053050613015</v>
      </c>
      <c r="K4" s="26">
        <v>101.51824867715374</v>
      </c>
      <c r="L4" s="26">
        <v>109.19343451248155</v>
      </c>
      <c r="M4" s="26">
        <v>65.465647054580074</v>
      </c>
      <c r="N4" s="26">
        <v>14.160964189445835</v>
      </c>
      <c r="O4" s="26">
        <v>7.8214287514500009</v>
      </c>
      <c r="P4" s="26">
        <v>216.91838694600085</v>
      </c>
      <c r="Q4" s="26">
        <v>104.79584960594778</v>
      </c>
      <c r="R4" s="26">
        <v>51.256757977512507</v>
      </c>
      <c r="S4" s="26">
        <v>24.75053752533044</v>
      </c>
      <c r="T4" s="13">
        <v>67.099195629540404</v>
      </c>
      <c r="U4" s="13">
        <v>56.038880920852577</v>
      </c>
      <c r="V4" s="13">
        <v>12.009747649629453</v>
      </c>
      <c r="W4" s="13">
        <v>9.5499459304792698</v>
      </c>
      <c r="X4" s="13">
        <v>38.440580861695757</v>
      </c>
      <c r="Y4" s="13">
        <v>28.270080987125873</v>
      </c>
      <c r="Z4" s="13">
        <v>8.150843354877809</v>
      </c>
      <c r="AA4" s="13">
        <v>4.3337512960889626</v>
      </c>
      <c r="AB4" s="13">
        <v>64.552703975605965</v>
      </c>
      <c r="AC4" s="26">
        <v>154.41975813167485</v>
      </c>
      <c r="AD4" s="26">
        <v>60.712053050613015</v>
      </c>
    </row>
    <row r="5" spans="1:30" x14ac:dyDescent="0.3">
      <c r="A5" s="44">
        <v>4</v>
      </c>
      <c r="B5" s="13">
        <v>68.22125883909321</v>
      </c>
      <c r="C5" s="26">
        <v>88.774344807116293</v>
      </c>
      <c r="D5" s="13">
        <v>100.36826858181591</v>
      </c>
      <c r="E5" s="26">
        <v>136.02309176996823</v>
      </c>
      <c r="F5" s="13">
        <v>5.6559336875507737</v>
      </c>
      <c r="G5" s="26">
        <v>5.7854290754448163</v>
      </c>
      <c r="H5" s="13">
        <v>303.57285338032653</v>
      </c>
      <c r="I5" s="26">
        <v>15.349019122064453</v>
      </c>
      <c r="J5" s="26">
        <v>124.20732857856802</v>
      </c>
      <c r="K5" s="26">
        <v>124.20732857856802</v>
      </c>
      <c r="L5" s="26">
        <v>32.709131223751264</v>
      </c>
      <c r="M5" s="26">
        <v>99.478311686226093</v>
      </c>
      <c r="N5" s="26">
        <v>4.1659854994399996</v>
      </c>
      <c r="O5" s="26">
        <v>13.074995482771431</v>
      </c>
      <c r="P5" s="26">
        <v>6.7075555087002368</v>
      </c>
      <c r="Q5" s="26">
        <v>6.7075555087002368</v>
      </c>
      <c r="R5" s="26">
        <v>1.7728471415333331</v>
      </c>
      <c r="S5" s="26">
        <v>1.7728471415333331</v>
      </c>
      <c r="T5" s="13">
        <v>113.01091375537297</v>
      </c>
      <c r="U5" s="13">
        <v>102.71474759608357</v>
      </c>
      <c r="V5" s="13">
        <v>21.496829132408056</v>
      </c>
      <c r="W5" s="13">
        <v>14.193018166007759</v>
      </c>
      <c r="X5" s="13">
        <v>28.270080987125873</v>
      </c>
      <c r="Y5" s="13">
        <v>15.349019122064453</v>
      </c>
      <c r="Z5" s="13">
        <v>4.3337512960889626</v>
      </c>
      <c r="AA5" s="13">
        <v>6.0258903095338532</v>
      </c>
      <c r="AB5" s="13">
        <v>89.083466204978251</v>
      </c>
      <c r="AC5" s="26">
        <v>140.43970244890681</v>
      </c>
      <c r="AD5" s="26">
        <v>124.20732857856802</v>
      </c>
    </row>
    <row r="6" spans="1:30" x14ac:dyDescent="0.3">
      <c r="A6" s="44">
        <v>5</v>
      </c>
      <c r="B6" s="13">
        <v>108.80140153830986</v>
      </c>
      <c r="C6" s="26">
        <v>81.612332342226907</v>
      </c>
      <c r="D6" s="13">
        <v>15.349019122064453</v>
      </c>
      <c r="E6" s="26">
        <v>0</v>
      </c>
      <c r="F6" s="13">
        <v>475.67165264524385</v>
      </c>
      <c r="G6" s="26">
        <v>5.6559336875507737</v>
      </c>
      <c r="H6" s="13">
        <v>93.793397817536231</v>
      </c>
      <c r="I6" s="26">
        <v>303.57285338032653</v>
      </c>
      <c r="J6" s="26">
        <v>15.349019122064453</v>
      </c>
      <c r="K6" s="26">
        <v>15.349019122064453</v>
      </c>
      <c r="L6" s="26">
        <v>67.962394768485893</v>
      </c>
      <c r="M6" s="26">
        <v>59.966145005912225</v>
      </c>
      <c r="N6" s="26">
        <v>8.2214938604666656</v>
      </c>
      <c r="O6" s="26">
        <v>15.903540660977779</v>
      </c>
      <c r="P6" s="26">
        <v>46.020528157456511</v>
      </c>
      <c r="Q6" s="26">
        <v>5.6559336875507737</v>
      </c>
      <c r="R6" s="26">
        <v>4.4688384402499999</v>
      </c>
      <c r="S6" s="26">
        <v>0.13473842564999994</v>
      </c>
      <c r="T6" s="13">
        <v>126.79366705506293</v>
      </c>
      <c r="U6" s="13">
        <v>90.435462242406416</v>
      </c>
      <c r="V6" s="13">
        <v>19.547046575482291</v>
      </c>
      <c r="W6" s="13">
        <v>19.983598843776747</v>
      </c>
      <c r="X6" s="13">
        <v>181.64069244936161</v>
      </c>
      <c r="Y6" s="13">
        <v>187.52693870235774</v>
      </c>
      <c r="Z6" s="13">
        <v>42.772195688369635</v>
      </c>
      <c r="AA6" s="13">
        <v>39.477985982128153</v>
      </c>
      <c r="AB6" s="13">
        <v>13.588653652141058</v>
      </c>
      <c r="AC6" s="26">
        <v>43.750786460284822</v>
      </c>
      <c r="AD6" s="26">
        <v>15.349019122064453</v>
      </c>
    </row>
    <row r="7" spans="1:30" x14ac:dyDescent="0.3">
      <c r="A7" s="44">
        <v>6</v>
      </c>
      <c r="B7" s="13">
        <v>67.962394768485893</v>
      </c>
      <c r="C7" s="26">
        <v>0</v>
      </c>
      <c r="D7" s="13">
        <v>95.927444357753487</v>
      </c>
      <c r="E7" s="26">
        <v>59.966145005912225</v>
      </c>
      <c r="F7" s="13">
        <v>15.349019122064453</v>
      </c>
      <c r="G7" s="26">
        <v>0</v>
      </c>
      <c r="H7" s="13">
        <v>58.243420905657132</v>
      </c>
      <c r="I7" s="26">
        <v>0</v>
      </c>
      <c r="J7" s="26">
        <v>57.57683182556346</v>
      </c>
      <c r="K7" s="26">
        <v>65.146623307853375</v>
      </c>
      <c r="L7" s="26">
        <v>59.966145005912225</v>
      </c>
      <c r="M7" s="26">
        <v>136.82512210964254</v>
      </c>
      <c r="N7" s="26">
        <v>15.903540660977779</v>
      </c>
      <c r="O7" s="26">
        <v>30.359768400050001</v>
      </c>
      <c r="P7" s="26">
        <v>5.6559336875507737</v>
      </c>
      <c r="Q7" s="26">
        <v>46.020528157456511</v>
      </c>
      <c r="R7" s="26">
        <v>0.13473842564999994</v>
      </c>
      <c r="S7" s="26">
        <v>4.4688384402499999</v>
      </c>
      <c r="T7" s="13">
        <v>15.349019122064453</v>
      </c>
      <c r="U7" s="13">
        <v>215.88990843159121</v>
      </c>
      <c r="V7" s="13">
        <v>6.0258903095338532</v>
      </c>
      <c r="W7" s="13">
        <v>42.713249130230466</v>
      </c>
      <c r="X7" s="13">
        <v>44.692833349360626</v>
      </c>
      <c r="Y7" s="13">
        <v>33.565589707955269</v>
      </c>
      <c r="Z7" s="13">
        <v>9.5001784714268727</v>
      </c>
      <c r="AA7" s="13">
        <v>6.6594196933492054</v>
      </c>
      <c r="AB7" s="13">
        <v>127.11512801589548</v>
      </c>
      <c r="AC7" s="26">
        <v>40.227836941970963</v>
      </c>
      <c r="AD7" s="26">
        <v>57.57683182556346</v>
      </c>
    </row>
    <row r="8" spans="1:30" x14ac:dyDescent="0.3">
      <c r="A8" s="45" t="s">
        <v>165</v>
      </c>
      <c r="B8" s="45">
        <f>SUM(B2:B7)</f>
        <v>443.0996891933853</v>
      </c>
      <c r="C8" s="45">
        <f t="shared" ref="C8:AA8" si="0">SUM(C2:C7)</f>
        <v>442.61231691344204</v>
      </c>
      <c r="D8" s="45">
        <f t="shared" si="0"/>
        <v>438.81795389260606</v>
      </c>
      <c r="E8" s="45">
        <f t="shared" si="0"/>
        <v>429.53194956455462</v>
      </c>
      <c r="F8" s="45">
        <f>SUM(F2:F7)</f>
        <v>507.85396601834134</v>
      </c>
      <c r="G8" s="45">
        <f t="shared" si="0"/>
        <v>507.85396601834134</v>
      </c>
      <c r="H8" s="45">
        <f t="shared" si="0"/>
        <v>476.35062271362176</v>
      </c>
      <c r="I8" s="45">
        <f t="shared" si="0"/>
        <v>476.35062271362176</v>
      </c>
      <c r="J8" s="45">
        <f t="shared" si="0"/>
        <v>470.42462153593021</v>
      </c>
      <c r="K8" s="45">
        <f t="shared" si="0"/>
        <v>489.56972707562994</v>
      </c>
      <c r="L8" s="45">
        <f t="shared" si="0"/>
        <v>464.60947716159586</v>
      </c>
      <c r="M8" s="45">
        <f t="shared" si="0"/>
        <v>486.41974610011903</v>
      </c>
      <c r="N8" s="45">
        <f t="shared" si="0"/>
        <v>75.513454863261302</v>
      </c>
      <c r="O8" s="45">
        <f t="shared" si="0"/>
        <v>82.312233453574976</v>
      </c>
      <c r="P8" s="45">
        <f t="shared" si="0"/>
        <v>572.42892500993037</v>
      </c>
      <c r="Q8" s="45">
        <f t="shared" si="0"/>
        <v>575.58739764098925</v>
      </c>
      <c r="R8" s="45">
        <f t="shared" si="0"/>
        <v>129.75384842292905</v>
      </c>
      <c r="S8" s="45">
        <f t="shared" si="0"/>
        <v>132.54267106086945</v>
      </c>
      <c r="T8" s="45">
        <f t="shared" si="0"/>
        <v>454.72538800089694</v>
      </c>
      <c r="U8" s="45">
        <f t="shared" si="0"/>
        <v>486.21344738844306</v>
      </c>
      <c r="V8" s="45">
        <f t="shared" si="0"/>
        <v>85.414127044908696</v>
      </c>
      <c r="W8" s="45">
        <f t="shared" si="0"/>
        <v>93.243220552859867</v>
      </c>
      <c r="X8" s="45">
        <f t="shared" si="0"/>
        <v>497.22637356627001</v>
      </c>
      <c r="Y8" s="45">
        <f t="shared" si="0"/>
        <v>497.76590030072714</v>
      </c>
      <c r="Z8" s="45">
        <f t="shared" si="0"/>
        <v>110.45670396678516</v>
      </c>
      <c r="AA8" s="45">
        <f t="shared" si="0"/>
        <v>110.08687881404077</v>
      </c>
      <c r="AB8" s="45">
        <f>SUM(AB2:AB7)</f>
        <v>499.57985862622462</v>
      </c>
      <c r="AC8" s="45">
        <f>SUM(AC2:AC7)</f>
        <v>496.54292264017226</v>
      </c>
      <c r="AD8" s="45">
        <f t="shared" ref="AD8" si="1">SUM(AD2:AD7)</f>
        <v>470.42462153593021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5710-1F24-4C03-832D-FF75DBB07086}">
  <dimension ref="A1:U109"/>
  <sheetViews>
    <sheetView topLeftCell="N3" zoomScale="80" zoomScaleNormal="80" workbookViewId="0">
      <selection activeCell="U47" sqref="U47:U59"/>
    </sheetView>
  </sheetViews>
  <sheetFormatPr defaultRowHeight="14.4" x14ac:dyDescent="0.3"/>
  <cols>
    <col min="1" max="1" width="18.77734375" customWidth="1"/>
    <col min="2" max="2" width="16.5546875" customWidth="1"/>
    <col min="3" max="3" width="15.77734375" customWidth="1"/>
    <col min="5" max="5" width="10.88671875" customWidth="1"/>
    <col min="6" max="6" width="12.88671875" customWidth="1"/>
    <col min="7" max="7" width="15.21875" customWidth="1"/>
    <col min="9" max="9" width="14.21875" customWidth="1"/>
    <col min="10" max="10" width="17" customWidth="1"/>
    <col min="11" max="11" width="13.6640625" customWidth="1"/>
    <col min="12" max="12" width="19.21875" customWidth="1"/>
    <col min="13" max="13" width="11.5546875" customWidth="1"/>
    <col min="14" max="14" width="15" customWidth="1"/>
    <col min="15" max="15" width="14.33203125" customWidth="1"/>
    <col min="21" max="21" width="11.77734375" customWidth="1"/>
  </cols>
  <sheetData>
    <row r="1" spans="1:13" x14ac:dyDescent="0.3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K1" t="s">
        <v>191</v>
      </c>
      <c r="L1" t="s">
        <v>192</v>
      </c>
      <c r="M1" t="s">
        <v>193</v>
      </c>
    </row>
    <row r="2" spans="1:13" x14ac:dyDescent="0.3">
      <c r="A2" s="47">
        <v>3.09900998008432</v>
      </c>
      <c r="B2">
        <f>-(G2 - 1 / 6 * (2 * F2 + 5)) * LN(H2)</f>
        <v>575.20011644858266</v>
      </c>
      <c r="C2">
        <f>CHIINV(1 - E2 / 2, F2 * (F2 - 1))</f>
        <v>82.867053942876964</v>
      </c>
      <c r="D2">
        <f>CHIINV(E2 / 2, F2 * (F2 - 1))</f>
        <v>140.91657278742142</v>
      </c>
      <c r="E2">
        <v>0.05</v>
      </c>
      <c r="F2">
        <v>11</v>
      </c>
      <c r="G2">
        <v>85</v>
      </c>
      <c r="H2">
        <f>PRODUCT(A2:A12)</f>
        <v>7.8852766901992195E-4</v>
      </c>
      <c r="K2">
        <f>L2 / (1 + NORMSINV((1 + 0.95) / 2) * SQRT(2 / ($G$2 - 1)))</f>
        <v>2.3794079827574652</v>
      </c>
      <c r="L2" s="47">
        <v>3.09900998008432</v>
      </c>
      <c r="M2">
        <f>L2 / (1 - NORMSINV((1 + 0.95) / 2) * SQRT(2 / ($G$2 - 1)))</f>
        <v>4.4425728970634282</v>
      </c>
    </row>
    <row r="3" spans="1:13" x14ac:dyDescent="0.3">
      <c r="A3" s="47">
        <v>2.2056302623755499</v>
      </c>
      <c r="K3">
        <f t="shared" ref="K3:K12" si="0">L3 / (1 + NORMSINV((1 + 0.95) / 2) * SQRT(2 / ($G$2 - 1)))</f>
        <v>1.6934744602419873</v>
      </c>
      <c r="L3" s="47">
        <v>2.2056302623755499</v>
      </c>
      <c r="M3">
        <f t="shared" ref="M3:M12" si="1">L3 / (1 - NORMSINV((1 + 0.95) / 2) * SQRT(2 / ($G$2 - 1)))</f>
        <v>3.1618721099781379</v>
      </c>
    </row>
    <row r="4" spans="1:13" x14ac:dyDescent="0.3">
      <c r="A4" s="47">
        <v>1.77538533981209</v>
      </c>
      <c r="K4">
        <f t="shared" si="0"/>
        <v>1.3631340580273066</v>
      </c>
      <c r="L4" s="47">
        <v>1.77538533981209</v>
      </c>
      <c r="M4">
        <f t="shared" si="1"/>
        <v>2.5450962866141955</v>
      </c>
    </row>
    <row r="5" spans="1:13" x14ac:dyDescent="0.3">
      <c r="A5" s="47">
        <v>1.0260547065916719</v>
      </c>
      <c r="K5">
        <f t="shared" si="0"/>
        <v>0.7878008703746302</v>
      </c>
      <c r="L5" s="47">
        <v>1.0260547065916719</v>
      </c>
      <c r="M5">
        <f t="shared" si="1"/>
        <v>1.4708964668401949</v>
      </c>
    </row>
    <row r="6" spans="1:13" x14ac:dyDescent="0.3">
      <c r="A6" s="47">
        <v>0.97727575953761003</v>
      </c>
      <c r="K6">
        <f t="shared" si="0"/>
        <v>0.75034858181898623</v>
      </c>
      <c r="L6" s="47">
        <v>0.97727575953761003</v>
      </c>
      <c r="M6">
        <f t="shared" si="1"/>
        <v>1.4009696097076565</v>
      </c>
    </row>
    <row r="7" spans="1:13" x14ac:dyDescent="0.3">
      <c r="A7" s="47">
        <v>0.74559989883865974</v>
      </c>
      <c r="K7">
        <f t="shared" si="0"/>
        <v>0.57246874409600801</v>
      </c>
      <c r="L7" s="47">
        <v>0.74559989883865974</v>
      </c>
      <c r="M7">
        <f t="shared" si="1"/>
        <v>1.0688516409823687</v>
      </c>
    </row>
    <row r="8" spans="1:13" x14ac:dyDescent="0.3">
      <c r="A8" s="47">
        <v>0.42714427288037948</v>
      </c>
      <c r="K8">
        <f t="shared" si="0"/>
        <v>0.3279597352742486</v>
      </c>
      <c r="L8" s="47">
        <v>0.42714427288037948</v>
      </c>
      <c r="M8">
        <f t="shared" si="1"/>
        <v>0.61233089987745282</v>
      </c>
    </row>
    <row r="9" spans="1:13" x14ac:dyDescent="0.3">
      <c r="A9" s="47">
        <v>0.292973043716652</v>
      </c>
      <c r="K9">
        <f t="shared" si="0"/>
        <v>0.22494357986326535</v>
      </c>
      <c r="L9" s="47">
        <v>0.292973043716652</v>
      </c>
      <c r="M9">
        <f t="shared" si="1"/>
        <v>0.41999029107688235</v>
      </c>
    </row>
    <row r="10" spans="1:13" x14ac:dyDescent="0.3">
      <c r="A10" s="47">
        <v>0.25809827349655257</v>
      </c>
      <c r="K10">
        <f t="shared" si="0"/>
        <v>0.19816686497954009</v>
      </c>
      <c r="L10" s="47">
        <v>0.25809827349655257</v>
      </c>
      <c r="M10">
        <f t="shared" si="1"/>
        <v>0.3699957089468458</v>
      </c>
    </row>
    <row r="11" spans="1:13" x14ac:dyDescent="0.3">
      <c r="A11" s="47">
        <v>0.17768454909448878</v>
      </c>
      <c r="K11">
        <f t="shared" si="0"/>
        <v>0.13642551564696281</v>
      </c>
      <c r="L11" s="47">
        <v>0.17768454909448878</v>
      </c>
      <c r="M11">
        <f t="shared" si="1"/>
        <v>0.25471894802114642</v>
      </c>
    </row>
    <row r="12" spans="1:13" x14ac:dyDescent="0.3">
      <c r="A12" s="47">
        <v>1.5143913572026935E-2</v>
      </c>
      <c r="K12">
        <f t="shared" si="0"/>
        <v>1.1627438786915292E-2</v>
      </c>
      <c r="L12" s="47">
        <v>1.5143913572026935E-2</v>
      </c>
      <c r="M12">
        <f t="shared" si="1"/>
        <v>2.1709494458848861E-2</v>
      </c>
    </row>
    <row r="14" spans="1:13" x14ac:dyDescent="0.3">
      <c r="A14" t="s">
        <v>194</v>
      </c>
      <c r="F14" t="s">
        <v>200</v>
      </c>
    </row>
    <row r="15" spans="1:13" x14ac:dyDescent="0.3">
      <c r="A15" t="s">
        <v>195</v>
      </c>
      <c r="B15">
        <f>L2 / F2</f>
        <v>0.28172818000766547</v>
      </c>
      <c r="E15" s="48" t="s">
        <v>201</v>
      </c>
      <c r="F15">
        <f>(G2-1)*(LN(L2)+LN(L3))+(G2-1)*2*LN(1/2*(SUM(L2:L3)))</f>
        <v>325.32910614603503</v>
      </c>
    </row>
    <row r="16" spans="1:13" x14ac:dyDescent="0.3">
      <c r="A16" t="s">
        <v>196</v>
      </c>
      <c r="B16">
        <f xml:space="preserve"> SUM(L2:L3) / F2</f>
        <v>0.48224002204180638</v>
      </c>
      <c r="E16" t="s">
        <v>202</v>
      </c>
      <c r="F16">
        <f>CHIINV(1-0.05/2,2)</f>
        <v>5.0635615968579795E-2</v>
      </c>
    </row>
    <row r="17" spans="1:15" x14ac:dyDescent="0.3">
      <c r="A17" t="s">
        <v>197</v>
      </c>
      <c r="B17">
        <f>SUM(L2:L4) / F2</f>
        <v>0.64363868929745083</v>
      </c>
      <c r="E17" t="s">
        <v>203</v>
      </c>
      <c r="F17">
        <f>CHIINV(E2 / 2, 2)</f>
        <v>7.3777589082278725</v>
      </c>
    </row>
    <row r="18" spans="1:15" x14ac:dyDescent="0.3">
      <c r="A18" t="s">
        <v>198</v>
      </c>
      <c r="B18">
        <f>SUM(L2:L5) / F2</f>
        <v>0.73691638989669384</v>
      </c>
    </row>
    <row r="21" spans="1:15" x14ac:dyDescent="0.3">
      <c r="A21" t="s">
        <v>199</v>
      </c>
      <c r="C21">
        <f>COUNTIF(L2:L12, "&gt;1")</f>
        <v>4</v>
      </c>
    </row>
    <row r="24" spans="1:15" ht="100.8" x14ac:dyDescent="0.3">
      <c r="A24" s="55" t="s">
        <v>217</v>
      </c>
      <c r="B24" s="56" t="s">
        <v>209</v>
      </c>
      <c r="C24" s="56" t="s">
        <v>210</v>
      </c>
      <c r="E24" s="58" t="s">
        <v>218</v>
      </c>
      <c r="F24" s="53" t="s">
        <v>209</v>
      </c>
      <c r="G24" s="53" t="s">
        <v>210</v>
      </c>
      <c r="I24" s="58" t="s">
        <v>216</v>
      </c>
      <c r="J24" s="60" t="s">
        <v>209</v>
      </c>
      <c r="K24" s="60" t="s">
        <v>210</v>
      </c>
      <c r="M24" s="58" t="s">
        <v>219</v>
      </c>
      <c r="N24" s="60" t="s">
        <v>209</v>
      </c>
      <c r="O24" s="60" t="s">
        <v>210</v>
      </c>
    </row>
    <row r="25" spans="1:15" x14ac:dyDescent="0.3">
      <c r="A25" s="52">
        <v>1</v>
      </c>
      <c r="B25" s="54">
        <v>-3.8210000000000001E-2</v>
      </c>
      <c r="C25" s="54">
        <v>-0.21905000000000002</v>
      </c>
      <c r="E25" s="57">
        <v>1</v>
      </c>
      <c r="F25" s="54">
        <v>-0.50237999999999994</v>
      </c>
      <c r="G25" s="54">
        <v>0.16116</v>
      </c>
      <c r="I25" s="59">
        <v>1</v>
      </c>
      <c r="J25">
        <v>-0.20358744852449989</v>
      </c>
      <c r="K25">
        <v>-1.0617351172693319</v>
      </c>
      <c r="M25">
        <v>1</v>
      </c>
      <c r="N25">
        <v>-0.36954184096567472</v>
      </c>
      <c r="O25">
        <v>1.1721645312051181</v>
      </c>
    </row>
    <row r="26" spans="1:15" x14ac:dyDescent="0.3">
      <c r="A26" s="52">
        <v>1</v>
      </c>
      <c r="B26" s="54">
        <v>0.24460000000000001</v>
      </c>
      <c r="C26" s="54">
        <v>-8.7790000000000021E-2</v>
      </c>
      <c r="E26" s="57">
        <v>1</v>
      </c>
      <c r="F26" s="54">
        <v>-0.20359000000000002</v>
      </c>
      <c r="G26" s="54">
        <v>1.0617399999999999</v>
      </c>
      <c r="I26" s="59">
        <v>1</v>
      </c>
      <c r="J26">
        <v>-0.6648509172153666</v>
      </c>
      <c r="K26">
        <v>-1.796419806012999</v>
      </c>
      <c r="M26">
        <v>1</v>
      </c>
      <c r="N26">
        <v>-0.38939534933886888</v>
      </c>
      <c r="O26">
        <v>1.6518154811154091</v>
      </c>
    </row>
    <row r="27" spans="1:15" x14ac:dyDescent="0.3">
      <c r="A27" s="52">
        <v>1</v>
      </c>
      <c r="B27" s="54">
        <v>-3.7069999999999999E-2</v>
      </c>
      <c r="C27" s="54">
        <v>0.90200999999999998</v>
      </c>
      <c r="E27" s="57">
        <v>1</v>
      </c>
      <c r="F27" s="54">
        <v>0.13326000000000002</v>
      </c>
      <c r="G27" s="54">
        <v>-0.60145999999999999</v>
      </c>
      <c r="I27" s="59">
        <v>1</v>
      </c>
      <c r="J27">
        <v>-3.7071935064339909E-2</v>
      </c>
      <c r="K27">
        <v>-0.90200958403461506</v>
      </c>
      <c r="M27">
        <v>1</v>
      </c>
      <c r="N27">
        <v>-0.92242027962921991</v>
      </c>
      <c r="O27">
        <v>1.395614150759894</v>
      </c>
    </row>
    <row r="28" spans="1:15" x14ac:dyDescent="0.3">
      <c r="A28" s="52">
        <v>1</v>
      </c>
      <c r="B28" s="54">
        <v>0.17839000000000002</v>
      </c>
      <c r="C28" s="54">
        <v>0.36261000000000004</v>
      </c>
      <c r="E28" s="57">
        <v>1</v>
      </c>
      <c r="F28" s="54">
        <v>-0.62839000000000012</v>
      </c>
      <c r="G28" s="54">
        <v>-0.25152000000000002</v>
      </c>
      <c r="I28" s="59">
        <v>1</v>
      </c>
      <c r="J28">
        <v>-0.5665560790059545</v>
      </c>
      <c r="K28">
        <v>-0.54502190246970417</v>
      </c>
      <c r="M28">
        <v>1</v>
      </c>
      <c r="N28">
        <v>0.15765351620655499</v>
      </c>
      <c r="O28">
        <v>1.1211276078498911</v>
      </c>
    </row>
    <row r="29" spans="1:15" x14ac:dyDescent="0.3">
      <c r="A29" s="52">
        <v>1</v>
      </c>
      <c r="B29" s="54">
        <v>0.3258700000000001</v>
      </c>
      <c r="C29" s="54">
        <v>-1.0186200000000001</v>
      </c>
      <c r="E29" s="57">
        <v>1</v>
      </c>
      <c r="F29" s="54">
        <v>-0.53186</v>
      </c>
      <c r="G29" s="54">
        <v>-8.6890000000000009E-2</v>
      </c>
      <c r="I29" s="59">
        <v>1</v>
      </c>
      <c r="J29">
        <v>-0.72846973281192684</v>
      </c>
      <c r="K29">
        <v>-0.55279689893376893</v>
      </c>
      <c r="M29">
        <v>1</v>
      </c>
      <c r="N29">
        <v>0.32586958656467713</v>
      </c>
      <c r="O29">
        <v>1.0186246715872449</v>
      </c>
    </row>
    <row r="30" spans="1:15" x14ac:dyDescent="0.3">
      <c r="A30" s="52">
        <v>1</v>
      </c>
      <c r="B30" s="54">
        <v>0.48089000000000004</v>
      </c>
      <c r="C30" s="54">
        <v>1.3622700000000001</v>
      </c>
      <c r="E30" s="57">
        <v>1</v>
      </c>
      <c r="F30" s="54">
        <v>-0.41872000000000004</v>
      </c>
      <c r="G30" s="54">
        <v>-0.16073000000000001</v>
      </c>
      <c r="I30" s="59">
        <v>1</v>
      </c>
      <c r="J30">
        <v>-1.3044339289824241</v>
      </c>
      <c r="K30">
        <v>-1.027174771022366</v>
      </c>
      <c r="M30">
        <v>1</v>
      </c>
      <c r="N30">
        <v>-0.78490744119068034</v>
      </c>
      <c r="O30">
        <v>2.0046384175698848</v>
      </c>
    </row>
    <row r="31" spans="1:15" x14ac:dyDescent="0.3">
      <c r="A31" s="52">
        <v>1</v>
      </c>
      <c r="B31" s="54">
        <v>3.1719999999999998E-2</v>
      </c>
      <c r="C31" s="54">
        <v>0.81829000000000007</v>
      </c>
      <c r="E31" s="57">
        <v>1</v>
      </c>
      <c r="F31" s="54">
        <v>-0.49722</v>
      </c>
      <c r="G31" s="54">
        <v>-0.32953000000000005</v>
      </c>
      <c r="I31" s="59">
        <v>1</v>
      </c>
      <c r="J31">
        <v>3.1720081622347678E-2</v>
      </c>
      <c r="K31">
        <v>-0.81829414329810202</v>
      </c>
      <c r="M31">
        <v>1</v>
      </c>
      <c r="N31">
        <v>-0.49544674921168991</v>
      </c>
      <c r="O31">
        <v>1.115353070475857</v>
      </c>
    </row>
    <row r="32" spans="1:15" x14ac:dyDescent="0.3">
      <c r="A32" s="52">
        <v>1</v>
      </c>
      <c r="B32" s="54">
        <v>-0.24419000000000002</v>
      </c>
      <c r="C32" s="54">
        <v>1.81498</v>
      </c>
      <c r="E32" s="57">
        <v>1</v>
      </c>
      <c r="F32" s="54">
        <v>8.6E-3</v>
      </c>
      <c r="G32" s="54">
        <v>0.15051000000000003</v>
      </c>
      <c r="I32" s="59">
        <v>1</v>
      </c>
      <c r="J32">
        <v>-0.24418559558900249</v>
      </c>
      <c r="K32">
        <v>-1.814981607050397</v>
      </c>
      <c r="M32">
        <v>1</v>
      </c>
      <c r="N32">
        <v>-0.26136751096930211</v>
      </c>
      <c r="O32">
        <v>1.1035108561914391</v>
      </c>
    </row>
    <row r="33" spans="1:21" x14ac:dyDescent="0.3">
      <c r="A33" s="52">
        <v>1</v>
      </c>
      <c r="B33" s="54">
        <v>0.17597000000000002</v>
      </c>
      <c r="C33" s="54">
        <v>-4.3450000000000003E-2</v>
      </c>
      <c r="E33" s="57">
        <v>1</v>
      </c>
      <c r="F33" s="54">
        <v>-0.64357000000000009</v>
      </c>
      <c r="G33" s="54">
        <v>2.8879999999999999E-2</v>
      </c>
      <c r="I33" s="59">
        <v>1</v>
      </c>
      <c r="J33">
        <v>-8.5016739583504225E-2</v>
      </c>
      <c r="K33">
        <v>-0.59415005529581244</v>
      </c>
      <c r="M33">
        <v>1</v>
      </c>
      <c r="N33">
        <v>-0.68588353693613324</v>
      </c>
      <c r="O33">
        <v>0.93345779702703258</v>
      </c>
    </row>
    <row r="34" spans="1:21" x14ac:dyDescent="0.3">
      <c r="A34" s="52">
        <v>1</v>
      </c>
      <c r="B34" s="54">
        <v>-8.5020000000000012E-2</v>
      </c>
      <c r="C34" s="54">
        <v>0.59414999999999996</v>
      </c>
      <c r="E34" s="57">
        <v>1</v>
      </c>
      <c r="F34" s="54">
        <v>-0.22613</v>
      </c>
      <c r="G34" s="54">
        <v>0.44308000000000003</v>
      </c>
      <c r="I34" s="59">
        <v>1</v>
      </c>
      <c r="J34">
        <v>1.021556620924061E-2</v>
      </c>
      <c r="K34">
        <v>-1.1229826982314379</v>
      </c>
      <c r="M34">
        <v>1</v>
      </c>
      <c r="N34">
        <v>1.121229902042258</v>
      </c>
      <c r="O34">
        <v>1.1725198224488911</v>
      </c>
    </row>
    <row r="35" spans="1:21" x14ac:dyDescent="0.3">
      <c r="A35" s="52">
        <v>1</v>
      </c>
      <c r="B35" s="54">
        <v>1.022E-2</v>
      </c>
      <c r="C35" s="54">
        <v>1.1229800000000001</v>
      </c>
      <c r="E35" s="57">
        <v>1</v>
      </c>
      <c r="F35" s="54">
        <v>-0.72847000000000006</v>
      </c>
      <c r="G35" s="54">
        <v>0.55280000000000007</v>
      </c>
      <c r="I35" s="59">
        <v>1</v>
      </c>
      <c r="J35">
        <v>-0.84649791588204726</v>
      </c>
      <c r="K35">
        <v>-0.81803900878934133</v>
      </c>
      <c r="M35">
        <v>1</v>
      </c>
      <c r="N35">
        <v>1.8196413197788011</v>
      </c>
      <c r="O35">
        <v>1.032419465872529</v>
      </c>
    </row>
    <row r="36" spans="1:21" x14ac:dyDescent="0.3">
      <c r="A36" s="52">
        <v>1</v>
      </c>
      <c r="B36" s="54">
        <v>0.16890000000000002</v>
      </c>
      <c r="C36" s="54">
        <v>-0.27545000000000003</v>
      </c>
      <c r="E36" s="57">
        <v>1</v>
      </c>
      <c r="F36" s="54">
        <v>-0.20915</v>
      </c>
      <c r="G36" s="54">
        <v>-0.7551000000000001</v>
      </c>
      <c r="I36" s="59">
        <v>1</v>
      </c>
      <c r="J36">
        <v>-0.31516961159511719</v>
      </c>
      <c r="K36">
        <v>-0.83362856247693917</v>
      </c>
      <c r="M36">
        <v>2</v>
      </c>
      <c r="N36">
        <v>-0.50237504782949305</v>
      </c>
      <c r="O36">
        <v>-0.16116346192215131</v>
      </c>
    </row>
    <row r="37" spans="1:21" x14ac:dyDescent="0.3">
      <c r="A37" s="52">
        <v>1</v>
      </c>
      <c r="B37" s="54">
        <v>-0.29218000000000005</v>
      </c>
      <c r="C37" s="54">
        <v>0.39384000000000002</v>
      </c>
      <c r="E37" s="57">
        <v>1</v>
      </c>
      <c r="F37" s="54">
        <v>2.5300000000000001E-3</v>
      </c>
      <c r="G37" s="54">
        <v>0.32923000000000002</v>
      </c>
      <c r="I37" s="59">
        <v>1</v>
      </c>
      <c r="J37">
        <v>8.6513407413434329E-2</v>
      </c>
      <c r="K37">
        <v>-1.359026800227596</v>
      </c>
      <c r="M37">
        <v>2</v>
      </c>
      <c r="N37">
        <v>-3.8212745948197527E-2</v>
      </c>
      <c r="O37">
        <v>0.21905190358718621</v>
      </c>
    </row>
    <row r="38" spans="1:21" x14ac:dyDescent="0.3">
      <c r="A38" s="52">
        <v>1</v>
      </c>
      <c r="B38" s="54">
        <v>0.18692</v>
      </c>
      <c r="C38" s="54">
        <v>0.39508000000000004</v>
      </c>
      <c r="E38" s="57">
        <v>1</v>
      </c>
      <c r="F38" s="54">
        <v>-3.5119999999999998E-2</v>
      </c>
      <c r="G38" s="54">
        <v>0.16599000000000003</v>
      </c>
      <c r="I38" s="59">
        <v>1</v>
      </c>
      <c r="J38">
        <v>-0.53299913848085567</v>
      </c>
      <c r="K38">
        <v>-0.6780388326989415</v>
      </c>
      <c r="M38">
        <v>2</v>
      </c>
      <c r="N38">
        <v>0.13326043326521089</v>
      </c>
      <c r="O38">
        <v>0.60145959237000013</v>
      </c>
    </row>
    <row r="39" spans="1:21" x14ac:dyDescent="0.3">
      <c r="A39" s="52">
        <v>1</v>
      </c>
      <c r="B39" s="54">
        <v>0.45984000000000003</v>
      </c>
      <c r="C39" s="54">
        <v>3.032E-2</v>
      </c>
      <c r="E39" s="57">
        <v>1</v>
      </c>
      <c r="F39" s="54">
        <v>0.17597000000000002</v>
      </c>
      <c r="G39" s="54">
        <v>-4.3450000000000003E-2</v>
      </c>
      <c r="I39" s="59">
        <v>1</v>
      </c>
      <c r="J39">
        <v>-0.24506025237174539</v>
      </c>
      <c r="K39">
        <v>-0.54222900004647601</v>
      </c>
      <c r="M39">
        <v>2</v>
      </c>
      <c r="N39">
        <v>-0.62839207837731759</v>
      </c>
      <c r="O39">
        <v>0.25152034473080243</v>
      </c>
    </row>
    <row r="40" spans="1:21" x14ac:dyDescent="0.3">
      <c r="A40" s="52">
        <v>1</v>
      </c>
      <c r="B40" s="54">
        <v>0.11079000000000001</v>
      </c>
      <c r="C40" s="54">
        <v>0.67219000000000018</v>
      </c>
      <c r="E40" s="57">
        <v>1</v>
      </c>
      <c r="F40" s="54">
        <v>-0.59077000000000002</v>
      </c>
      <c r="G40" s="54">
        <v>0.16976000000000002</v>
      </c>
      <c r="I40" s="59">
        <v>1</v>
      </c>
      <c r="J40">
        <v>-0.34031604079733468</v>
      </c>
      <c r="K40">
        <v>-0.56952514670434229</v>
      </c>
      <c r="M40">
        <v>2</v>
      </c>
      <c r="N40">
        <v>-0.5318566872201016</v>
      </c>
      <c r="O40">
        <v>8.6892631445448856E-2</v>
      </c>
    </row>
    <row r="41" spans="1:21" x14ac:dyDescent="0.3">
      <c r="A41" s="52">
        <v>1</v>
      </c>
      <c r="B41" s="54">
        <v>0.26006000000000001</v>
      </c>
      <c r="C41" s="54">
        <v>0.72563000000000011</v>
      </c>
      <c r="E41" s="57">
        <v>1</v>
      </c>
      <c r="F41" s="54">
        <v>-0.54372000000000009</v>
      </c>
      <c r="G41" s="54">
        <v>0.14867</v>
      </c>
      <c r="I41" s="59">
        <v>1</v>
      </c>
      <c r="J41">
        <v>0.11078902409726329</v>
      </c>
      <c r="K41">
        <v>-0.67218631621112024</v>
      </c>
      <c r="M41">
        <v>2</v>
      </c>
      <c r="N41">
        <v>-0.41871693897660012</v>
      </c>
      <c r="O41">
        <v>0.16073090400338791</v>
      </c>
    </row>
    <row r="42" spans="1:21" x14ac:dyDescent="0.3">
      <c r="A42" s="52">
        <v>2</v>
      </c>
      <c r="B42" s="54">
        <v>-0.36954000000000004</v>
      </c>
      <c r="C42" s="54">
        <v>-1.1721600000000001</v>
      </c>
      <c r="E42" s="57">
        <v>1</v>
      </c>
      <c r="F42" s="54">
        <v>-0.45980000000000004</v>
      </c>
      <c r="G42" s="54">
        <v>-0.31328000000000006</v>
      </c>
      <c r="I42" s="59">
        <v>1</v>
      </c>
      <c r="J42">
        <v>0.26006044206293422</v>
      </c>
      <c r="K42">
        <v>-0.7256298100087728</v>
      </c>
      <c r="M42">
        <v>2</v>
      </c>
      <c r="N42">
        <v>-0.49721749439533452</v>
      </c>
      <c r="O42">
        <v>0.32952881862386268</v>
      </c>
    </row>
    <row r="43" spans="1:21" x14ac:dyDescent="0.3">
      <c r="A43" s="52">
        <v>2</v>
      </c>
      <c r="B43" s="54">
        <v>-0.38940000000000008</v>
      </c>
      <c r="C43" s="54">
        <v>-1.6518200000000003</v>
      </c>
      <c r="E43" s="57">
        <v>1</v>
      </c>
      <c r="F43" s="54">
        <v>-0.31517000000000006</v>
      </c>
      <c r="G43" s="54">
        <v>0.83363000000000009</v>
      </c>
      <c r="I43" s="59">
        <v>1</v>
      </c>
      <c r="J43">
        <v>-0.2198954936920878</v>
      </c>
      <c r="K43">
        <v>-0.71366170339373525</v>
      </c>
      <c r="M43">
        <v>2</v>
      </c>
      <c r="N43">
        <v>-0.64357211356757515</v>
      </c>
      <c r="O43">
        <v>-2.8880430724861302E-2</v>
      </c>
    </row>
    <row r="44" spans="1:21" x14ac:dyDescent="0.3">
      <c r="A44" s="52">
        <v>2</v>
      </c>
      <c r="B44" s="54">
        <v>-0.92242000000000002</v>
      </c>
      <c r="C44" s="54">
        <v>-1.39561</v>
      </c>
      <c r="E44" s="57">
        <v>1</v>
      </c>
      <c r="F44" s="54">
        <v>-0.68588000000000005</v>
      </c>
      <c r="G44" s="54">
        <v>-0.93345999999999996</v>
      </c>
      <c r="I44" s="59">
        <v>2</v>
      </c>
      <c r="J44">
        <v>0.13326043326521089</v>
      </c>
      <c r="K44">
        <v>0.60145959237000013</v>
      </c>
      <c r="M44">
        <v>2</v>
      </c>
      <c r="N44">
        <v>0.24460451534785099</v>
      </c>
      <c r="O44">
        <v>8.7790956808891873E-2</v>
      </c>
    </row>
    <row r="45" spans="1:21" x14ac:dyDescent="0.3">
      <c r="A45" s="52">
        <v>2</v>
      </c>
      <c r="B45" s="54">
        <v>0.15765000000000001</v>
      </c>
      <c r="C45" s="54">
        <v>-1.12113</v>
      </c>
      <c r="E45" s="57">
        <v>1</v>
      </c>
      <c r="F45" s="54">
        <v>-0.55884000000000011</v>
      </c>
      <c r="G45" s="54">
        <v>-0.53789000000000009</v>
      </c>
      <c r="I45" s="59">
        <v>2</v>
      </c>
      <c r="J45">
        <v>-0.36954184096567472</v>
      </c>
      <c r="K45">
        <v>1.1721645312051181</v>
      </c>
      <c r="M45">
        <v>2</v>
      </c>
      <c r="N45">
        <v>0.94821359838146468</v>
      </c>
      <c r="O45">
        <v>-7.6697335812402206E-2</v>
      </c>
    </row>
    <row r="46" spans="1:21" x14ac:dyDescent="0.3">
      <c r="A46" s="52">
        <v>2</v>
      </c>
      <c r="B46" s="54">
        <v>-0.78491</v>
      </c>
      <c r="C46" s="54">
        <v>-2.0046400000000002</v>
      </c>
      <c r="E46" s="57">
        <v>1</v>
      </c>
      <c r="F46" s="54">
        <v>8.4330000000000002E-2</v>
      </c>
      <c r="G46" s="54">
        <v>-0.39680000000000004</v>
      </c>
      <c r="I46" s="59">
        <v>2</v>
      </c>
      <c r="J46">
        <v>0.94821359838146468</v>
      </c>
      <c r="K46">
        <v>-7.6697335812402206E-2</v>
      </c>
      <c r="M46">
        <v>2</v>
      </c>
      <c r="N46">
        <v>-0.2091517114189663</v>
      </c>
      <c r="O46">
        <v>0.75509757599440697</v>
      </c>
    </row>
    <row r="47" spans="1:21" x14ac:dyDescent="0.3">
      <c r="A47" s="52">
        <v>2</v>
      </c>
      <c r="B47" s="54">
        <v>-0.49545</v>
      </c>
      <c r="C47" s="54">
        <v>-1.1153500000000001</v>
      </c>
      <c r="E47" s="57">
        <v>1</v>
      </c>
      <c r="F47" s="54">
        <v>-0.55091000000000001</v>
      </c>
      <c r="G47" s="54">
        <v>-0.42895000000000005</v>
      </c>
      <c r="I47" s="59">
        <v>2</v>
      </c>
      <c r="J47">
        <v>-0.2091517114189663</v>
      </c>
      <c r="K47">
        <v>0.75509757599440697</v>
      </c>
      <c r="M47">
        <v>2</v>
      </c>
      <c r="N47">
        <v>0.17596595900598799</v>
      </c>
      <c r="O47">
        <v>4.3450521407391522E-2</v>
      </c>
      <c r="U47" s="61"/>
    </row>
    <row r="48" spans="1:21" x14ac:dyDescent="0.3">
      <c r="A48" s="52">
        <v>2</v>
      </c>
      <c r="B48" s="54">
        <v>-0.70701000000000003</v>
      </c>
      <c r="C48" s="54">
        <v>-2.9022000000000001</v>
      </c>
      <c r="E48" s="57">
        <v>1</v>
      </c>
      <c r="F48" s="54">
        <v>-0.41752000000000006</v>
      </c>
      <c r="G48" s="54">
        <v>0.31249000000000005</v>
      </c>
      <c r="I48" s="59">
        <v>2</v>
      </c>
      <c r="J48">
        <v>0.15765351620655499</v>
      </c>
      <c r="K48">
        <v>1.1211276078498911</v>
      </c>
      <c r="M48">
        <v>2</v>
      </c>
      <c r="N48">
        <v>-0.36064252165046218</v>
      </c>
      <c r="O48">
        <v>-3.9136253460996598E-2</v>
      </c>
      <c r="U48" s="61"/>
    </row>
    <row r="49" spans="1:21" x14ac:dyDescent="0.3">
      <c r="A49" s="52">
        <v>2</v>
      </c>
      <c r="B49" s="54">
        <v>-0.43141000000000007</v>
      </c>
      <c r="C49" s="54">
        <v>-3.3881100000000002</v>
      </c>
      <c r="E49" s="57">
        <v>1</v>
      </c>
      <c r="F49" s="54">
        <v>-0.12430000000000001</v>
      </c>
      <c r="G49" s="54">
        <v>-7.3870000000000005E-2</v>
      </c>
      <c r="I49" s="59">
        <v>2</v>
      </c>
      <c r="J49">
        <v>0.32586958656467713</v>
      </c>
      <c r="K49">
        <v>1.0186246715872449</v>
      </c>
      <c r="M49">
        <v>2</v>
      </c>
      <c r="N49">
        <v>-0.59077230029766203</v>
      </c>
      <c r="O49">
        <v>-0.1697642554712003</v>
      </c>
      <c r="U49" s="61"/>
    </row>
    <row r="50" spans="1:21" x14ac:dyDescent="0.3">
      <c r="A50" s="52">
        <v>2</v>
      </c>
      <c r="B50" s="54">
        <v>-0.26137000000000005</v>
      </c>
      <c r="C50" s="54">
        <v>-1.10351</v>
      </c>
      <c r="E50" s="57">
        <v>1</v>
      </c>
      <c r="F50" s="54">
        <v>-0.41912000000000005</v>
      </c>
      <c r="G50" s="54">
        <v>3.3730000000000003E-2</v>
      </c>
      <c r="I50" s="59">
        <v>2</v>
      </c>
      <c r="J50">
        <v>-0.49544674921168991</v>
      </c>
      <c r="K50">
        <v>1.115353070475857</v>
      </c>
      <c r="M50">
        <v>2</v>
      </c>
      <c r="N50">
        <v>-0.54371657298208187</v>
      </c>
      <c r="O50">
        <v>-0.14867230706768619</v>
      </c>
      <c r="U50" s="61"/>
    </row>
    <row r="51" spans="1:21" x14ac:dyDescent="0.3">
      <c r="A51" s="52">
        <v>2</v>
      </c>
      <c r="B51" s="54">
        <v>-0.76756999999999997</v>
      </c>
      <c r="C51" s="54">
        <v>-2.8757100000000002</v>
      </c>
      <c r="E51" s="57">
        <v>1</v>
      </c>
      <c r="F51" s="54">
        <v>-0.24506000000000003</v>
      </c>
      <c r="G51" s="54">
        <v>0.54222999999999999</v>
      </c>
      <c r="I51" s="59">
        <v>2</v>
      </c>
      <c r="J51">
        <v>-0.26136751096930211</v>
      </c>
      <c r="K51">
        <v>1.1035108561914391</v>
      </c>
      <c r="M51">
        <v>2</v>
      </c>
      <c r="N51">
        <v>-0.45980382713707668</v>
      </c>
      <c r="O51">
        <v>0.31327658127355301</v>
      </c>
      <c r="U51" s="61"/>
    </row>
    <row r="52" spans="1:21" x14ac:dyDescent="0.3">
      <c r="A52" s="52">
        <v>3</v>
      </c>
      <c r="B52" s="54">
        <v>-0.50237999999999994</v>
      </c>
      <c r="C52" s="54">
        <v>0.16116</v>
      </c>
      <c r="E52" s="57">
        <v>1</v>
      </c>
      <c r="F52" s="54">
        <v>-0.67116000000000009</v>
      </c>
      <c r="G52" s="54">
        <v>0.22528000000000001</v>
      </c>
      <c r="I52" s="59">
        <v>2</v>
      </c>
      <c r="J52">
        <v>-0.68588353693613324</v>
      </c>
      <c r="K52">
        <v>0.93345779702703258</v>
      </c>
      <c r="M52">
        <v>2</v>
      </c>
      <c r="N52">
        <v>-0.61976387824194501</v>
      </c>
      <c r="O52">
        <v>6.2236044476361822E-2</v>
      </c>
      <c r="U52" s="61"/>
    </row>
    <row r="53" spans="1:21" x14ac:dyDescent="0.3">
      <c r="A53" s="52">
        <v>3</v>
      </c>
      <c r="B53" s="54">
        <v>-0.20359000000000002</v>
      </c>
      <c r="C53" s="54">
        <v>1.0617399999999999</v>
      </c>
      <c r="E53" s="57">
        <v>1</v>
      </c>
      <c r="F53" s="54">
        <v>-0.34032000000000007</v>
      </c>
      <c r="G53" s="54">
        <v>0.56952999999999998</v>
      </c>
      <c r="I53" s="59">
        <v>2</v>
      </c>
      <c r="J53">
        <v>8.4325000070732972E-2</v>
      </c>
      <c r="K53">
        <v>0.39680165548718072</v>
      </c>
      <c r="M53">
        <v>2</v>
      </c>
      <c r="N53">
        <v>-0.55884460135654623</v>
      </c>
      <c r="O53">
        <v>0.53788996433742164</v>
      </c>
      <c r="U53" s="61"/>
    </row>
    <row r="54" spans="1:21" x14ac:dyDescent="0.3">
      <c r="A54" s="52">
        <v>3</v>
      </c>
      <c r="B54" s="54">
        <v>0.13326000000000002</v>
      </c>
      <c r="C54" s="54">
        <v>-0.60145999999999999</v>
      </c>
      <c r="E54" s="57">
        <v>1</v>
      </c>
      <c r="F54" s="54">
        <v>-0.51319999999999999</v>
      </c>
      <c r="G54" s="54">
        <v>0.1686</v>
      </c>
      <c r="I54" s="59">
        <v>2</v>
      </c>
      <c r="J54">
        <v>1.121229902042258</v>
      </c>
      <c r="K54">
        <v>1.1725198224488911</v>
      </c>
      <c r="M54">
        <v>2</v>
      </c>
      <c r="N54">
        <v>8.4325000070732972E-2</v>
      </c>
      <c r="O54">
        <v>0.39680165548718072</v>
      </c>
      <c r="U54" s="61"/>
    </row>
    <row r="55" spans="1:21" x14ac:dyDescent="0.3">
      <c r="A55" s="52">
        <v>3</v>
      </c>
      <c r="B55" s="54">
        <v>-0.62839000000000012</v>
      </c>
      <c r="C55" s="54">
        <v>-0.25152000000000002</v>
      </c>
      <c r="E55" s="57">
        <v>1</v>
      </c>
      <c r="F55" s="54">
        <v>-0.66852000000000011</v>
      </c>
      <c r="G55" s="54">
        <v>1.8550000000000004E-2</v>
      </c>
      <c r="I55" s="59">
        <v>2</v>
      </c>
      <c r="J55">
        <v>0.16889997583475061</v>
      </c>
      <c r="K55">
        <v>0.27544703319235853</v>
      </c>
      <c r="M55">
        <v>2</v>
      </c>
      <c r="N55">
        <v>0.16889997583475061</v>
      </c>
      <c r="O55">
        <v>0.27544703319235853</v>
      </c>
      <c r="U55" s="61"/>
    </row>
    <row r="56" spans="1:21" x14ac:dyDescent="0.3">
      <c r="A56" s="52">
        <v>3</v>
      </c>
      <c r="B56" s="54">
        <v>-0.53186</v>
      </c>
      <c r="C56" s="54">
        <v>-8.6890000000000009E-2</v>
      </c>
      <c r="E56" s="57">
        <v>1</v>
      </c>
      <c r="F56" s="54">
        <v>-0.32028000000000006</v>
      </c>
      <c r="G56" s="54">
        <v>-0.52635999999999994</v>
      </c>
      <c r="I56" s="59">
        <v>2</v>
      </c>
      <c r="J56">
        <v>1.8196413197788011</v>
      </c>
      <c r="K56">
        <v>1.032419465872529</v>
      </c>
      <c r="M56">
        <v>2</v>
      </c>
      <c r="N56">
        <v>-0.6212174548353967</v>
      </c>
      <c r="O56">
        <v>-6.602829279792416E-2</v>
      </c>
      <c r="U56" s="61"/>
    </row>
    <row r="57" spans="1:21" x14ac:dyDescent="0.3">
      <c r="A57" s="52">
        <v>3</v>
      </c>
      <c r="B57" s="54">
        <v>-0.41872000000000004</v>
      </c>
      <c r="C57" s="54">
        <v>-0.16073000000000001</v>
      </c>
      <c r="E57" s="57">
        <v>1</v>
      </c>
      <c r="F57" s="54">
        <v>-0.22393000000000002</v>
      </c>
      <c r="G57" s="54">
        <v>0.20697000000000002</v>
      </c>
      <c r="I57" s="59">
        <v>2</v>
      </c>
      <c r="J57">
        <v>-0.32027827125410657</v>
      </c>
      <c r="K57">
        <v>0.52635557242732678</v>
      </c>
      <c r="M57">
        <v>2</v>
      </c>
      <c r="N57">
        <v>-0.63968873005441784</v>
      </c>
      <c r="O57">
        <v>-9.6011254439684585E-2</v>
      </c>
      <c r="U57" s="61"/>
    </row>
    <row r="58" spans="1:21" x14ac:dyDescent="0.3">
      <c r="A58" s="52">
        <v>3</v>
      </c>
      <c r="B58" s="54">
        <v>-0.49722</v>
      </c>
      <c r="C58" s="54">
        <v>-0.32953000000000005</v>
      </c>
      <c r="E58" s="57">
        <v>2</v>
      </c>
      <c r="F58" s="54">
        <v>-0.36954000000000004</v>
      </c>
      <c r="G58" s="54">
        <v>-1.1721600000000001</v>
      </c>
      <c r="I58" s="59">
        <v>3</v>
      </c>
      <c r="J58">
        <v>4.9273383747189534</v>
      </c>
      <c r="K58">
        <v>0.97987216546339162</v>
      </c>
      <c r="M58">
        <v>2</v>
      </c>
      <c r="N58">
        <v>-0.55091131822310535</v>
      </c>
      <c r="O58">
        <v>0.42895246553102412</v>
      </c>
      <c r="U58" s="62"/>
    </row>
    <row r="59" spans="1:21" x14ac:dyDescent="0.3">
      <c r="A59" s="52">
        <v>3</v>
      </c>
      <c r="B59" s="54">
        <v>8.6E-3</v>
      </c>
      <c r="C59" s="54">
        <v>0.15051000000000003</v>
      </c>
      <c r="E59" s="57">
        <v>2</v>
      </c>
      <c r="F59" s="54">
        <v>0.24460000000000001</v>
      </c>
      <c r="G59" s="54">
        <v>-8.7790000000000021E-2</v>
      </c>
      <c r="I59" s="59">
        <v>3</v>
      </c>
      <c r="J59">
        <v>3.6351435977879998</v>
      </c>
      <c r="K59">
        <v>0.71448876319000676</v>
      </c>
      <c r="M59">
        <v>2</v>
      </c>
      <c r="N59">
        <v>-0.12430014231727909</v>
      </c>
      <c r="O59">
        <v>7.3867624675114402E-2</v>
      </c>
    </row>
    <row r="60" spans="1:21" x14ac:dyDescent="0.3">
      <c r="A60" s="52">
        <v>3</v>
      </c>
      <c r="B60" s="54">
        <v>-0.64357000000000009</v>
      </c>
      <c r="C60" s="54">
        <v>2.8879999999999999E-2</v>
      </c>
      <c r="E60" s="57">
        <v>2</v>
      </c>
      <c r="F60" s="54">
        <v>0.15765000000000001</v>
      </c>
      <c r="G60" s="54">
        <v>-1.12113</v>
      </c>
      <c r="I60" s="59">
        <v>3</v>
      </c>
      <c r="J60">
        <v>4.2002999629511084</v>
      </c>
      <c r="K60">
        <v>0.99386585785850912</v>
      </c>
      <c r="M60">
        <v>2</v>
      </c>
      <c r="N60">
        <v>-0.41912117283982497</v>
      </c>
      <c r="O60">
        <v>-3.3728576589710187E-2</v>
      </c>
    </row>
    <row r="61" spans="1:21" x14ac:dyDescent="0.3">
      <c r="A61" s="52">
        <v>3</v>
      </c>
      <c r="B61" s="54">
        <v>-0.22613</v>
      </c>
      <c r="C61" s="54">
        <v>0.44308000000000003</v>
      </c>
      <c r="E61" s="57">
        <v>2</v>
      </c>
      <c r="F61" s="54">
        <v>0.3258700000000001</v>
      </c>
      <c r="G61" s="54">
        <v>-1.0186200000000001</v>
      </c>
      <c r="I61" s="59">
        <v>4</v>
      </c>
      <c r="J61">
        <v>-0.38939534933886888</v>
      </c>
      <c r="K61">
        <v>1.6518154811154091</v>
      </c>
      <c r="M61">
        <v>2</v>
      </c>
      <c r="N61">
        <v>-0.27363935034735481</v>
      </c>
      <c r="O61">
        <v>0.32471919314082309</v>
      </c>
    </row>
    <row r="62" spans="1:21" x14ac:dyDescent="0.3">
      <c r="A62" s="52">
        <v>3</v>
      </c>
      <c r="B62" s="54">
        <v>-0.72847000000000006</v>
      </c>
      <c r="C62" s="54">
        <v>0.55280000000000007</v>
      </c>
      <c r="E62" s="57">
        <v>2</v>
      </c>
      <c r="F62" s="54">
        <v>-0.78491</v>
      </c>
      <c r="G62" s="54">
        <v>-2.0046400000000002</v>
      </c>
      <c r="I62" s="59">
        <v>4</v>
      </c>
      <c r="J62">
        <v>-0.92242027962921991</v>
      </c>
      <c r="K62">
        <v>1.395614150759894</v>
      </c>
      <c r="M62">
        <v>2</v>
      </c>
      <c r="N62">
        <v>-0.67115693799561926</v>
      </c>
      <c r="O62">
        <v>-0.22528053776934481</v>
      </c>
    </row>
    <row r="63" spans="1:21" x14ac:dyDescent="0.3">
      <c r="A63" s="52">
        <v>3</v>
      </c>
      <c r="B63" s="54">
        <v>-0.20915</v>
      </c>
      <c r="C63" s="54">
        <v>-0.7551000000000001</v>
      </c>
      <c r="E63" s="57">
        <v>2</v>
      </c>
      <c r="F63" s="54">
        <v>0.18692</v>
      </c>
      <c r="G63" s="54">
        <v>0.39508000000000004</v>
      </c>
      <c r="I63" s="59">
        <v>4</v>
      </c>
      <c r="J63">
        <v>-0.78490744119068034</v>
      </c>
      <c r="K63">
        <v>2.0046384175698848</v>
      </c>
      <c r="M63">
        <v>2</v>
      </c>
      <c r="N63">
        <v>-0.51320041213897072</v>
      </c>
      <c r="O63">
        <v>-0.1686003451277002</v>
      </c>
    </row>
    <row r="64" spans="1:21" x14ac:dyDescent="0.3">
      <c r="A64" s="52">
        <v>3</v>
      </c>
      <c r="B64" s="54">
        <v>2.5300000000000001E-3</v>
      </c>
      <c r="C64" s="54">
        <v>0.32923000000000002</v>
      </c>
      <c r="E64" s="57">
        <v>2</v>
      </c>
      <c r="F64" s="54">
        <v>0.45984000000000003</v>
      </c>
      <c r="G64" s="54">
        <v>3.032E-2</v>
      </c>
      <c r="I64" s="59">
        <v>4</v>
      </c>
      <c r="J64">
        <v>-0.70700965584710662</v>
      </c>
      <c r="K64">
        <v>2.9021994871095971</v>
      </c>
      <c r="M64">
        <v>2</v>
      </c>
      <c r="N64">
        <v>0.45983944747392991</v>
      </c>
      <c r="O64">
        <v>-3.0324175665240091E-2</v>
      </c>
    </row>
    <row r="65" spans="1:15" x14ac:dyDescent="0.3">
      <c r="A65" s="52">
        <v>3</v>
      </c>
      <c r="B65" s="54">
        <v>-3.5119999999999998E-2</v>
      </c>
      <c r="C65" s="54">
        <v>0.16599000000000003</v>
      </c>
      <c r="E65" s="57">
        <v>3</v>
      </c>
      <c r="F65" s="54">
        <v>-0.66485000000000016</v>
      </c>
      <c r="G65" s="54">
        <v>1.7964199999999999</v>
      </c>
      <c r="I65" s="59">
        <v>4</v>
      </c>
      <c r="J65">
        <v>-0.43140673599964918</v>
      </c>
      <c r="K65">
        <v>3.388114173027192</v>
      </c>
      <c r="M65">
        <v>2</v>
      </c>
      <c r="N65">
        <v>-0.66851841039636117</v>
      </c>
      <c r="O65">
        <v>-1.855117772373651E-2</v>
      </c>
    </row>
    <row r="66" spans="1:15" x14ac:dyDescent="0.3">
      <c r="A66" s="52">
        <v>3</v>
      </c>
      <c r="B66" s="54">
        <v>-0.59077000000000002</v>
      </c>
      <c r="C66" s="54">
        <v>0.16976000000000002</v>
      </c>
      <c r="E66" s="57">
        <v>3</v>
      </c>
      <c r="F66" s="54">
        <v>-0.34315000000000001</v>
      </c>
      <c r="G66" s="54">
        <v>0.27394000000000002</v>
      </c>
      <c r="I66" s="59">
        <v>4</v>
      </c>
      <c r="J66">
        <v>-0.76757470034949304</v>
      </c>
      <c r="K66">
        <v>2.8757050527121928</v>
      </c>
      <c r="M66">
        <v>2</v>
      </c>
      <c r="N66">
        <v>-0.32027827125410657</v>
      </c>
      <c r="O66">
        <v>0.52635557242732678</v>
      </c>
    </row>
    <row r="67" spans="1:15" x14ac:dyDescent="0.3">
      <c r="A67" s="52">
        <v>3</v>
      </c>
      <c r="B67" s="54">
        <v>-0.54372000000000009</v>
      </c>
      <c r="C67" s="54">
        <v>0.14867</v>
      </c>
      <c r="E67" s="57">
        <v>3</v>
      </c>
      <c r="F67" s="54">
        <v>-0.18803</v>
      </c>
      <c r="G67" s="54">
        <v>0.47038000000000008</v>
      </c>
      <c r="I67" s="59">
        <v>5</v>
      </c>
      <c r="J67">
        <v>-0.50237504782949305</v>
      </c>
      <c r="K67">
        <v>-0.16116346192215131</v>
      </c>
      <c r="M67">
        <v>3</v>
      </c>
      <c r="N67">
        <v>0.43930730948387348</v>
      </c>
      <c r="O67">
        <v>-1.6243701570924891</v>
      </c>
    </row>
    <row r="68" spans="1:15" x14ac:dyDescent="0.3">
      <c r="A68" s="52">
        <v>3</v>
      </c>
      <c r="B68" s="54">
        <v>-0.84650000000000003</v>
      </c>
      <c r="C68" s="54">
        <v>0.8180400000000001</v>
      </c>
      <c r="E68" s="57">
        <v>3</v>
      </c>
      <c r="F68" s="54">
        <v>-0.56655999999999995</v>
      </c>
      <c r="G68" s="54">
        <v>0.54502000000000006</v>
      </c>
      <c r="I68" s="59">
        <v>5</v>
      </c>
      <c r="J68">
        <v>-3.8212745948197527E-2</v>
      </c>
      <c r="K68">
        <v>0.21905190358718621</v>
      </c>
      <c r="M68">
        <v>3</v>
      </c>
      <c r="N68">
        <v>-0.20358744852449989</v>
      </c>
      <c r="O68">
        <v>-1.0617351172693319</v>
      </c>
    </row>
    <row r="69" spans="1:15" x14ac:dyDescent="0.3">
      <c r="A69" s="52">
        <v>3</v>
      </c>
      <c r="B69" s="54">
        <v>-0.45980000000000004</v>
      </c>
      <c r="C69" s="54">
        <v>-0.31328000000000006</v>
      </c>
      <c r="E69" s="57">
        <v>3</v>
      </c>
      <c r="F69" s="54">
        <v>-1.30443</v>
      </c>
      <c r="G69" s="54">
        <v>1.0271699999999999</v>
      </c>
      <c r="I69" s="59">
        <v>5</v>
      </c>
      <c r="J69">
        <v>-0.62839207837731759</v>
      </c>
      <c r="K69">
        <v>0.25152034473080243</v>
      </c>
      <c r="M69">
        <v>3</v>
      </c>
      <c r="N69">
        <v>8.5954187587156169E-3</v>
      </c>
      <c r="O69">
        <v>-0.15051297263562799</v>
      </c>
    </row>
    <row r="70" spans="1:15" x14ac:dyDescent="0.3">
      <c r="A70" s="52">
        <v>3</v>
      </c>
      <c r="B70" s="54">
        <v>-0.31517000000000006</v>
      </c>
      <c r="C70" s="54">
        <v>0.83363000000000009</v>
      </c>
      <c r="E70" s="57">
        <v>3</v>
      </c>
      <c r="F70" s="54">
        <v>-0.36064000000000002</v>
      </c>
      <c r="G70" s="54">
        <v>3.9140000000000001E-2</v>
      </c>
      <c r="I70" s="59">
        <v>5</v>
      </c>
      <c r="J70">
        <v>-0.5318566872201016</v>
      </c>
      <c r="K70">
        <v>8.6892631445448856E-2</v>
      </c>
      <c r="M70">
        <v>3</v>
      </c>
      <c r="N70">
        <v>-0.6648509172153666</v>
      </c>
      <c r="O70">
        <v>-1.796419806012999</v>
      </c>
    </row>
    <row r="71" spans="1:15" x14ac:dyDescent="0.3">
      <c r="A71" s="52">
        <v>3</v>
      </c>
      <c r="B71" s="54">
        <v>-0.68588000000000005</v>
      </c>
      <c r="C71" s="54">
        <v>-0.93345999999999996</v>
      </c>
      <c r="E71" s="57">
        <v>3</v>
      </c>
      <c r="F71" s="54">
        <v>-0.27862000000000003</v>
      </c>
      <c r="G71" s="54">
        <v>0.28314</v>
      </c>
      <c r="I71" s="59">
        <v>5</v>
      </c>
      <c r="J71">
        <v>-0.41871693897660012</v>
      </c>
      <c r="K71">
        <v>0.16073090400338791</v>
      </c>
      <c r="M71">
        <v>3</v>
      </c>
      <c r="N71">
        <v>-0.34315388149080278</v>
      </c>
      <c r="O71">
        <v>-0.27394319116909749</v>
      </c>
    </row>
    <row r="72" spans="1:15" x14ac:dyDescent="0.3">
      <c r="A72" s="52">
        <v>3</v>
      </c>
      <c r="B72" s="54">
        <v>-0.55884000000000011</v>
      </c>
      <c r="C72" s="54">
        <v>-0.53789000000000009</v>
      </c>
      <c r="E72" s="57">
        <v>3</v>
      </c>
      <c r="F72" s="54">
        <v>1.022E-2</v>
      </c>
      <c r="G72" s="54">
        <v>1.1229800000000001</v>
      </c>
      <c r="I72" s="59">
        <v>5</v>
      </c>
      <c r="J72">
        <v>-0.49721749439533452</v>
      </c>
      <c r="K72">
        <v>0.32952881862386268</v>
      </c>
      <c r="M72">
        <v>3</v>
      </c>
      <c r="N72">
        <v>-0.18802689119077171</v>
      </c>
      <c r="O72">
        <v>-0.47038412939546931</v>
      </c>
    </row>
    <row r="73" spans="1:15" x14ac:dyDescent="0.3">
      <c r="A73" s="52">
        <v>3</v>
      </c>
      <c r="B73" s="54">
        <v>8.4330000000000002E-2</v>
      </c>
      <c r="C73" s="54">
        <v>-0.39680000000000004</v>
      </c>
      <c r="E73" s="57">
        <v>3</v>
      </c>
      <c r="F73" s="54">
        <v>-0.84650000000000003</v>
      </c>
      <c r="G73" s="54">
        <v>0.8180400000000001</v>
      </c>
      <c r="I73" s="59">
        <v>5</v>
      </c>
      <c r="J73">
        <v>8.5954187587156169E-3</v>
      </c>
      <c r="K73">
        <v>-0.15051297263562799</v>
      </c>
      <c r="M73">
        <v>3</v>
      </c>
      <c r="N73">
        <v>-3.7071935064339909E-2</v>
      </c>
      <c r="O73">
        <v>-0.90200958403461506</v>
      </c>
    </row>
    <row r="74" spans="1:15" x14ac:dyDescent="0.3">
      <c r="A74" s="52">
        <v>3</v>
      </c>
      <c r="B74" s="54">
        <v>-0.55091000000000001</v>
      </c>
      <c r="C74" s="54">
        <v>-0.42895000000000005</v>
      </c>
      <c r="E74" s="57">
        <v>3</v>
      </c>
      <c r="F74" s="54">
        <v>-0.61976000000000009</v>
      </c>
      <c r="G74" s="54">
        <v>-6.2239999999999997E-2</v>
      </c>
      <c r="I74" s="59">
        <v>5</v>
      </c>
      <c r="J74">
        <v>-0.34315388149080278</v>
      </c>
      <c r="K74">
        <v>-0.27394319116909749</v>
      </c>
      <c r="M74">
        <v>3</v>
      </c>
      <c r="N74">
        <v>-0.5665560790059545</v>
      </c>
      <c r="O74">
        <v>-0.54502190246970417</v>
      </c>
    </row>
    <row r="75" spans="1:15" x14ac:dyDescent="0.3">
      <c r="A75" s="52">
        <v>3</v>
      </c>
      <c r="B75" s="54">
        <v>-0.41752000000000006</v>
      </c>
      <c r="C75" s="54">
        <v>0.31249000000000005</v>
      </c>
      <c r="E75" s="57">
        <v>3</v>
      </c>
      <c r="F75" s="54">
        <v>-0.53300000000000003</v>
      </c>
      <c r="G75" s="54">
        <v>0.6780400000000002</v>
      </c>
      <c r="I75" s="59">
        <v>5</v>
      </c>
      <c r="J75">
        <v>-0.64357211356757515</v>
      </c>
      <c r="K75">
        <v>-2.8880430724861302E-2</v>
      </c>
      <c r="M75">
        <v>3</v>
      </c>
      <c r="N75">
        <v>-0.22613340436470469</v>
      </c>
      <c r="O75">
        <v>-0.44307943598526428</v>
      </c>
    </row>
    <row r="76" spans="1:15" x14ac:dyDescent="0.3">
      <c r="A76" s="52">
        <v>3</v>
      </c>
      <c r="B76" s="54">
        <v>-0.12430000000000001</v>
      </c>
      <c r="C76" s="54">
        <v>-7.3870000000000005E-2</v>
      </c>
      <c r="E76" s="57">
        <v>3</v>
      </c>
      <c r="F76" s="54">
        <v>-0.62122000000000011</v>
      </c>
      <c r="G76" s="54">
        <v>6.6030000000000005E-2</v>
      </c>
      <c r="I76" s="59">
        <v>5</v>
      </c>
      <c r="J76">
        <v>-0.18802689119077171</v>
      </c>
      <c r="K76">
        <v>-0.47038412939546931</v>
      </c>
      <c r="M76">
        <v>3</v>
      </c>
      <c r="N76">
        <v>-0.72846973281192684</v>
      </c>
      <c r="O76">
        <v>-0.55279689893376893</v>
      </c>
    </row>
    <row r="77" spans="1:15" x14ac:dyDescent="0.3">
      <c r="A77" s="52">
        <v>3</v>
      </c>
      <c r="B77" s="54">
        <v>-0.41912000000000005</v>
      </c>
      <c r="C77" s="54">
        <v>3.3730000000000003E-2</v>
      </c>
      <c r="E77" s="57">
        <v>3</v>
      </c>
      <c r="F77" s="54">
        <v>-0.6396900000000002</v>
      </c>
      <c r="G77" s="54">
        <v>9.6009999999999998E-2</v>
      </c>
      <c r="I77" s="59">
        <v>5</v>
      </c>
      <c r="J77">
        <v>0.24460451534785099</v>
      </c>
      <c r="K77">
        <v>8.7790956808891873E-2</v>
      </c>
      <c r="M77">
        <v>3</v>
      </c>
      <c r="N77">
        <v>0.17838914956971641</v>
      </c>
      <c r="O77">
        <v>-0.36260768078392402</v>
      </c>
    </row>
    <row r="78" spans="1:15" x14ac:dyDescent="0.3">
      <c r="A78" s="52">
        <v>3</v>
      </c>
      <c r="B78" s="54">
        <v>-0.24506000000000003</v>
      </c>
      <c r="C78" s="54">
        <v>0.54222999999999999</v>
      </c>
      <c r="E78" s="57">
        <v>3</v>
      </c>
      <c r="F78" s="54">
        <v>-0.27363999999999999</v>
      </c>
      <c r="G78" s="54">
        <v>-0.32472000000000006</v>
      </c>
      <c r="I78" s="59">
        <v>5</v>
      </c>
      <c r="J78">
        <v>-0.22613340436470469</v>
      </c>
      <c r="K78">
        <v>-0.44307943598526428</v>
      </c>
      <c r="M78">
        <v>3</v>
      </c>
      <c r="N78">
        <v>-1.3044339289824241</v>
      </c>
      <c r="O78">
        <v>-1.027174771022366</v>
      </c>
    </row>
    <row r="79" spans="1:15" x14ac:dyDescent="0.3">
      <c r="A79" s="52">
        <v>3</v>
      </c>
      <c r="B79" s="54">
        <v>-0.67116000000000009</v>
      </c>
      <c r="C79" s="54">
        <v>0.22528000000000001</v>
      </c>
      <c r="E79" s="57">
        <v>3</v>
      </c>
      <c r="F79" s="54">
        <v>-0.21990000000000004</v>
      </c>
      <c r="G79" s="54">
        <v>0.71366000000000007</v>
      </c>
      <c r="I79" s="59">
        <v>5</v>
      </c>
      <c r="J79">
        <v>0.17838914956971641</v>
      </c>
      <c r="K79">
        <v>-0.36260768078392402</v>
      </c>
      <c r="M79">
        <v>3</v>
      </c>
      <c r="N79">
        <v>2.528258983073951E-3</v>
      </c>
      <c r="O79">
        <v>-0.3292263470351387</v>
      </c>
    </row>
    <row r="80" spans="1:15" x14ac:dyDescent="0.3">
      <c r="A80" s="52">
        <v>3</v>
      </c>
      <c r="B80" s="54">
        <v>-0.34032000000000007</v>
      </c>
      <c r="C80" s="54">
        <v>0.56952999999999998</v>
      </c>
      <c r="E80" s="57">
        <v>4</v>
      </c>
      <c r="F80" s="54">
        <v>-3.8210000000000001E-2</v>
      </c>
      <c r="G80" s="54">
        <v>-0.21905000000000002</v>
      </c>
      <c r="I80" s="59">
        <v>5</v>
      </c>
      <c r="J80">
        <v>2.528258983073951E-3</v>
      </c>
      <c r="K80">
        <v>-0.3292263470351387</v>
      </c>
      <c r="M80">
        <v>3</v>
      </c>
      <c r="N80">
        <v>-3.5123336270706518E-2</v>
      </c>
      <c r="O80">
        <v>-0.16599117592249671</v>
      </c>
    </row>
    <row r="81" spans="1:15" x14ac:dyDescent="0.3">
      <c r="A81" s="52">
        <v>3</v>
      </c>
      <c r="B81" s="54">
        <v>-0.51319999999999999</v>
      </c>
      <c r="C81" s="54">
        <v>0.1686</v>
      </c>
      <c r="E81" s="57">
        <v>4</v>
      </c>
      <c r="F81" s="54">
        <v>-0.38940000000000008</v>
      </c>
      <c r="G81" s="54">
        <v>-1.6518200000000003</v>
      </c>
      <c r="I81" s="59">
        <v>5</v>
      </c>
      <c r="J81">
        <v>-3.5123336270706518E-2</v>
      </c>
      <c r="K81">
        <v>-0.16599117592249671</v>
      </c>
      <c r="M81">
        <v>3</v>
      </c>
      <c r="N81">
        <v>0.48088868778164501</v>
      </c>
      <c r="O81">
        <v>-1.362272718916929</v>
      </c>
    </row>
    <row r="82" spans="1:15" x14ac:dyDescent="0.3">
      <c r="A82" s="52">
        <v>3</v>
      </c>
      <c r="B82" s="54">
        <v>-0.66852000000000011</v>
      </c>
      <c r="C82" s="54">
        <v>1.8550000000000004E-2</v>
      </c>
      <c r="E82" s="57">
        <v>4</v>
      </c>
      <c r="F82" s="54">
        <v>-0.92242000000000002</v>
      </c>
      <c r="G82" s="54">
        <v>-1.39561</v>
      </c>
      <c r="I82" s="59">
        <v>5</v>
      </c>
      <c r="J82">
        <v>0.17596595900598799</v>
      </c>
      <c r="K82">
        <v>4.3450521407391522E-2</v>
      </c>
      <c r="M82">
        <v>3</v>
      </c>
      <c r="N82">
        <v>3.1720081622347678E-2</v>
      </c>
      <c r="O82">
        <v>-0.81829414329810202</v>
      </c>
    </row>
    <row r="83" spans="1:15" x14ac:dyDescent="0.3">
      <c r="A83" s="52">
        <v>3</v>
      </c>
      <c r="B83" s="54">
        <v>-0.32028000000000006</v>
      </c>
      <c r="C83" s="54">
        <v>-0.52635999999999994</v>
      </c>
      <c r="E83" s="57">
        <v>4</v>
      </c>
      <c r="F83" s="54">
        <v>-0.49545</v>
      </c>
      <c r="G83" s="54">
        <v>-1.1153500000000001</v>
      </c>
      <c r="I83" s="59">
        <v>5</v>
      </c>
      <c r="J83">
        <v>-0.36064252165046218</v>
      </c>
      <c r="K83">
        <v>-3.9136253460996598E-2</v>
      </c>
      <c r="M83">
        <v>3</v>
      </c>
      <c r="N83">
        <v>-0.24418559558900249</v>
      </c>
      <c r="O83">
        <v>-1.814981607050397</v>
      </c>
    </row>
    <row r="84" spans="1:15" x14ac:dyDescent="0.3">
      <c r="A84" s="52">
        <v>3</v>
      </c>
      <c r="B84" s="54">
        <v>-0.22393000000000002</v>
      </c>
      <c r="C84" s="54">
        <v>0.20697000000000002</v>
      </c>
      <c r="E84" s="57">
        <v>4</v>
      </c>
      <c r="F84" s="54">
        <v>-0.70701000000000003</v>
      </c>
      <c r="G84" s="54">
        <v>-2.9022000000000001</v>
      </c>
      <c r="I84" s="59">
        <v>5</v>
      </c>
      <c r="J84">
        <v>-0.59077230029766203</v>
      </c>
      <c r="K84">
        <v>-0.1697642554712003</v>
      </c>
      <c r="M84">
        <v>3</v>
      </c>
      <c r="N84">
        <v>-8.5016739583504225E-2</v>
      </c>
      <c r="O84">
        <v>-0.59415005529581244</v>
      </c>
    </row>
    <row r="85" spans="1:15" x14ac:dyDescent="0.3">
      <c r="A85" s="52">
        <v>4</v>
      </c>
      <c r="B85" s="54">
        <v>1.1487400000000001</v>
      </c>
      <c r="C85" s="54">
        <v>1.4724900000000001</v>
      </c>
      <c r="E85" s="57">
        <v>4</v>
      </c>
      <c r="F85" s="54">
        <v>-0.43141000000000007</v>
      </c>
      <c r="G85" s="54">
        <v>-3.3881100000000002</v>
      </c>
      <c r="I85" s="59">
        <v>5</v>
      </c>
      <c r="J85">
        <v>-0.54371657298208187</v>
      </c>
      <c r="K85">
        <v>-0.14867230706768619</v>
      </c>
      <c r="M85">
        <v>3</v>
      </c>
      <c r="N85">
        <v>-0.27862104997515502</v>
      </c>
      <c r="O85">
        <v>-0.28313972205390597</v>
      </c>
    </row>
    <row r="86" spans="1:15" x14ac:dyDescent="0.3">
      <c r="A86" s="52">
        <v>4</v>
      </c>
      <c r="B86" s="54">
        <v>1.4438299999999999</v>
      </c>
      <c r="C86" s="54">
        <v>1.6760300000000001</v>
      </c>
      <c r="E86" s="57">
        <v>4</v>
      </c>
      <c r="F86" s="54">
        <v>-0.26137000000000005</v>
      </c>
      <c r="G86" s="54">
        <v>-1.10351</v>
      </c>
      <c r="I86" s="59">
        <v>5</v>
      </c>
      <c r="J86">
        <v>-0.27862104997515502</v>
      </c>
      <c r="K86">
        <v>-0.28313972205390597</v>
      </c>
      <c r="M86">
        <v>3</v>
      </c>
      <c r="N86">
        <v>1.021556620924061E-2</v>
      </c>
      <c r="O86">
        <v>-1.1229826982314379</v>
      </c>
    </row>
    <row r="87" spans="1:15" x14ac:dyDescent="0.3">
      <c r="A87" s="52">
        <v>4</v>
      </c>
      <c r="B87" s="54">
        <v>0.94821</v>
      </c>
      <c r="C87" s="54">
        <v>7.6700000000000018E-2</v>
      </c>
      <c r="E87" s="57">
        <v>4</v>
      </c>
      <c r="F87" s="54">
        <v>1.1212299999999999</v>
      </c>
      <c r="G87" s="54">
        <v>-1.17252</v>
      </c>
      <c r="I87" s="59">
        <v>5</v>
      </c>
      <c r="J87">
        <v>-0.45980382713707668</v>
      </c>
      <c r="K87">
        <v>0.31327658127355301</v>
      </c>
      <c r="M87">
        <v>3</v>
      </c>
      <c r="N87">
        <v>-0.84649791588204726</v>
      </c>
      <c r="O87">
        <v>-0.81803900878934133</v>
      </c>
    </row>
    <row r="88" spans="1:15" x14ac:dyDescent="0.3">
      <c r="A88" s="52">
        <v>4</v>
      </c>
      <c r="B88" s="54">
        <v>1.1212299999999999</v>
      </c>
      <c r="C88" s="54">
        <v>-1.17252</v>
      </c>
      <c r="E88" s="57">
        <v>4</v>
      </c>
      <c r="F88" s="54">
        <v>1.8196400000000001</v>
      </c>
      <c r="G88" s="54">
        <v>-1.0324199999999999</v>
      </c>
      <c r="I88" s="59">
        <v>5</v>
      </c>
      <c r="J88">
        <v>-0.61976387824194501</v>
      </c>
      <c r="K88">
        <v>6.2236044476361822E-2</v>
      </c>
      <c r="M88">
        <v>3</v>
      </c>
      <c r="N88">
        <v>-0.31516961159511719</v>
      </c>
      <c r="O88">
        <v>-0.83362856247693917</v>
      </c>
    </row>
    <row r="89" spans="1:15" x14ac:dyDescent="0.3">
      <c r="A89" s="52">
        <v>4</v>
      </c>
      <c r="B89" s="54">
        <v>1.64533</v>
      </c>
      <c r="C89" s="54">
        <v>1.33396</v>
      </c>
      <c r="E89" s="57">
        <v>4</v>
      </c>
      <c r="F89" s="54">
        <v>-0.76756999999999997</v>
      </c>
      <c r="G89" s="54">
        <v>-2.8757100000000002</v>
      </c>
      <c r="I89" s="59">
        <v>5</v>
      </c>
      <c r="J89">
        <v>-0.55884460135654623</v>
      </c>
      <c r="K89">
        <v>0.53788996433742164</v>
      </c>
      <c r="M89">
        <v>3</v>
      </c>
      <c r="N89">
        <v>8.6513407413434329E-2</v>
      </c>
      <c r="O89">
        <v>-1.359026800227596</v>
      </c>
    </row>
    <row r="90" spans="1:15" x14ac:dyDescent="0.3">
      <c r="A90" s="52">
        <v>4</v>
      </c>
      <c r="B90" s="54">
        <v>1.8196400000000001</v>
      </c>
      <c r="C90" s="54">
        <v>-1.0324199999999999</v>
      </c>
      <c r="E90" s="57">
        <v>5</v>
      </c>
      <c r="F90" s="54">
        <v>0.43931000000000009</v>
      </c>
      <c r="G90" s="54">
        <v>1.6243700000000001</v>
      </c>
      <c r="I90" s="59">
        <v>5</v>
      </c>
      <c r="J90">
        <v>-0.6212174548353967</v>
      </c>
      <c r="K90">
        <v>-6.602829279792416E-2</v>
      </c>
      <c r="M90">
        <v>3</v>
      </c>
      <c r="N90">
        <v>-0.53299913848085567</v>
      </c>
      <c r="O90">
        <v>-0.6780388326989415</v>
      </c>
    </row>
    <row r="91" spans="1:15" x14ac:dyDescent="0.3">
      <c r="A91" s="52">
        <v>4</v>
      </c>
      <c r="B91" s="54">
        <v>3.6351400000000003</v>
      </c>
      <c r="C91" s="54">
        <v>-0.71449000000000007</v>
      </c>
      <c r="E91" s="57">
        <v>5</v>
      </c>
      <c r="F91" s="54">
        <v>1.1487400000000001</v>
      </c>
      <c r="G91" s="54">
        <v>1.4724900000000001</v>
      </c>
      <c r="I91" s="59">
        <v>5</v>
      </c>
      <c r="J91">
        <v>-0.63968873005441784</v>
      </c>
      <c r="K91">
        <v>-9.6011254439684585E-2</v>
      </c>
      <c r="M91">
        <v>3</v>
      </c>
      <c r="N91">
        <v>-0.4175150727312596</v>
      </c>
      <c r="O91">
        <v>-0.31249377650187837</v>
      </c>
    </row>
    <row r="92" spans="1:15" x14ac:dyDescent="0.3">
      <c r="A92" s="52">
        <v>5</v>
      </c>
      <c r="B92" s="54">
        <v>4.9273400000000001</v>
      </c>
      <c r="C92" s="54">
        <v>-0.97987000000000002</v>
      </c>
      <c r="E92" s="57">
        <v>5</v>
      </c>
      <c r="F92" s="54">
        <v>1.4438299999999999</v>
      </c>
      <c r="G92" s="54">
        <v>1.6760300000000001</v>
      </c>
      <c r="I92" s="59">
        <v>5</v>
      </c>
      <c r="J92">
        <v>-0.55091131822310535</v>
      </c>
      <c r="K92">
        <v>0.42895246553102412</v>
      </c>
      <c r="M92">
        <v>3</v>
      </c>
      <c r="N92">
        <v>-0.29218144166185439</v>
      </c>
      <c r="O92">
        <v>-0.39383945115898922</v>
      </c>
    </row>
    <row r="93" spans="1:15" x14ac:dyDescent="0.3">
      <c r="A93" s="52">
        <v>5</v>
      </c>
      <c r="B93" s="54">
        <v>4.2003000000000004</v>
      </c>
      <c r="C93" s="54">
        <v>-0.99387000000000003</v>
      </c>
      <c r="E93" s="57">
        <v>5</v>
      </c>
      <c r="F93" s="54">
        <v>-3.7069999999999999E-2</v>
      </c>
      <c r="G93" s="54">
        <v>0.90200999999999998</v>
      </c>
      <c r="I93" s="59">
        <v>5</v>
      </c>
      <c r="J93">
        <v>-0.4175150727312596</v>
      </c>
      <c r="K93">
        <v>-0.31249377650187837</v>
      </c>
      <c r="M93">
        <v>3</v>
      </c>
      <c r="N93">
        <v>-0.24506025237174539</v>
      </c>
      <c r="O93">
        <v>-0.54222900004647601</v>
      </c>
    </row>
    <row r="94" spans="1:15" x14ac:dyDescent="0.3">
      <c r="A94" s="52">
        <v>6</v>
      </c>
      <c r="B94" s="54">
        <v>0.43931000000000009</v>
      </c>
      <c r="C94" s="54">
        <v>1.6243700000000001</v>
      </c>
      <c r="E94" s="57">
        <v>5</v>
      </c>
      <c r="F94" s="54">
        <v>0.94821</v>
      </c>
      <c r="G94" s="54">
        <v>7.6700000000000018E-2</v>
      </c>
      <c r="I94" s="59">
        <v>5</v>
      </c>
      <c r="J94">
        <v>-0.12430014231727909</v>
      </c>
      <c r="K94">
        <v>7.3867624675114402E-2</v>
      </c>
      <c r="M94">
        <v>3</v>
      </c>
      <c r="N94">
        <v>-0.34031604079733468</v>
      </c>
      <c r="O94">
        <v>-0.56952514670434229</v>
      </c>
    </row>
    <row r="95" spans="1:15" x14ac:dyDescent="0.3">
      <c r="A95" s="52">
        <v>6</v>
      </c>
      <c r="B95" s="54">
        <v>-0.66485000000000016</v>
      </c>
      <c r="C95" s="54">
        <v>1.7964199999999999</v>
      </c>
      <c r="E95" s="57">
        <v>5</v>
      </c>
      <c r="F95" s="54">
        <v>0.17839000000000002</v>
      </c>
      <c r="G95" s="54">
        <v>0.36261000000000004</v>
      </c>
      <c r="I95" s="59">
        <v>5</v>
      </c>
      <c r="J95">
        <v>-0.41912117283982497</v>
      </c>
      <c r="K95">
        <v>-3.3728576589710187E-2</v>
      </c>
      <c r="M95">
        <v>3</v>
      </c>
      <c r="N95">
        <v>0.18691987494831011</v>
      </c>
      <c r="O95">
        <v>-0.39507514385095721</v>
      </c>
    </row>
    <row r="96" spans="1:15" x14ac:dyDescent="0.3">
      <c r="A96" s="52">
        <v>6</v>
      </c>
      <c r="B96" s="54">
        <v>-0.34315000000000001</v>
      </c>
      <c r="C96" s="54">
        <v>0.27394000000000002</v>
      </c>
      <c r="E96" s="57">
        <v>5</v>
      </c>
      <c r="F96" s="54">
        <v>1.1227</v>
      </c>
      <c r="G96" s="54">
        <v>1.38381</v>
      </c>
      <c r="I96" s="59">
        <v>5</v>
      </c>
      <c r="J96">
        <v>-0.29218144166185439</v>
      </c>
      <c r="K96">
        <v>-0.39383945115898922</v>
      </c>
      <c r="M96">
        <v>3</v>
      </c>
      <c r="N96">
        <v>0.11078902409726329</v>
      </c>
      <c r="O96">
        <v>-0.67218631621112024</v>
      </c>
    </row>
    <row r="97" spans="1:15" x14ac:dyDescent="0.3">
      <c r="A97" s="52">
        <v>6</v>
      </c>
      <c r="B97" s="54">
        <v>-0.18803</v>
      </c>
      <c r="C97" s="54">
        <v>0.47038000000000008</v>
      </c>
      <c r="E97" s="57">
        <v>5</v>
      </c>
      <c r="F97" s="54">
        <v>0.48089000000000004</v>
      </c>
      <c r="G97" s="54">
        <v>1.3622700000000001</v>
      </c>
      <c r="I97" s="59">
        <v>5</v>
      </c>
      <c r="J97">
        <v>-0.27363935034735481</v>
      </c>
      <c r="K97">
        <v>0.32471919314082309</v>
      </c>
      <c r="M97">
        <v>3</v>
      </c>
      <c r="N97">
        <v>0.26006044206293422</v>
      </c>
      <c r="O97">
        <v>-0.7256298100087728</v>
      </c>
    </row>
    <row r="98" spans="1:15" x14ac:dyDescent="0.3">
      <c r="A98" s="52">
        <v>6</v>
      </c>
      <c r="B98" s="54">
        <v>-0.56655999999999995</v>
      </c>
      <c r="C98" s="54">
        <v>0.54502000000000006</v>
      </c>
      <c r="E98" s="57">
        <v>5</v>
      </c>
      <c r="F98" s="54">
        <v>3.1719999999999998E-2</v>
      </c>
      <c r="G98" s="54">
        <v>0.81829000000000007</v>
      </c>
      <c r="I98" s="59">
        <v>5</v>
      </c>
      <c r="J98">
        <v>-0.67115693799561926</v>
      </c>
      <c r="K98">
        <v>-0.22528053776934481</v>
      </c>
      <c r="M98">
        <v>3</v>
      </c>
      <c r="N98">
        <v>-0.2198954936920878</v>
      </c>
      <c r="O98">
        <v>-0.71366170339373525</v>
      </c>
    </row>
    <row r="99" spans="1:15" x14ac:dyDescent="0.3">
      <c r="A99" s="52">
        <v>6</v>
      </c>
      <c r="B99" s="54">
        <v>-1.30443</v>
      </c>
      <c r="C99" s="54">
        <v>1.0271699999999999</v>
      </c>
      <c r="E99" s="57">
        <v>5</v>
      </c>
      <c r="F99" s="54">
        <v>-0.24419000000000002</v>
      </c>
      <c r="G99" s="54">
        <v>1.81498</v>
      </c>
      <c r="I99" s="59">
        <v>5</v>
      </c>
      <c r="J99">
        <v>0.18691987494831011</v>
      </c>
      <c r="K99">
        <v>-0.39507514385095721</v>
      </c>
      <c r="M99">
        <v>3</v>
      </c>
      <c r="N99">
        <v>-0.22392924928003691</v>
      </c>
      <c r="O99">
        <v>-0.2069671997572696</v>
      </c>
    </row>
    <row r="100" spans="1:15" x14ac:dyDescent="0.3">
      <c r="A100" s="52">
        <v>6</v>
      </c>
      <c r="B100" s="54">
        <v>1.1227</v>
      </c>
      <c r="C100" s="54">
        <v>1.38381</v>
      </c>
      <c r="E100" s="57">
        <v>5</v>
      </c>
      <c r="F100" s="54">
        <v>-8.5020000000000012E-2</v>
      </c>
      <c r="G100" s="54">
        <v>0.59414999999999996</v>
      </c>
      <c r="I100" s="59">
        <v>5</v>
      </c>
      <c r="J100">
        <v>-0.51320041213897072</v>
      </c>
      <c r="K100">
        <v>-0.1686003451277002</v>
      </c>
      <c r="M100">
        <v>4</v>
      </c>
      <c r="N100">
        <v>4.9273383747189534</v>
      </c>
      <c r="O100">
        <v>0.97987216546339162</v>
      </c>
    </row>
    <row r="101" spans="1:15" x14ac:dyDescent="0.3">
      <c r="A101" s="52">
        <v>6</v>
      </c>
      <c r="B101" s="54">
        <v>-0.36064000000000002</v>
      </c>
      <c r="C101" s="54">
        <v>3.9140000000000001E-2</v>
      </c>
      <c r="E101" s="57">
        <v>5</v>
      </c>
      <c r="F101" s="54">
        <v>8.6510000000000004E-2</v>
      </c>
      <c r="G101" s="54">
        <v>1.35903</v>
      </c>
      <c r="I101" s="59">
        <v>5</v>
      </c>
      <c r="J101">
        <v>0.45983944747392991</v>
      </c>
      <c r="K101">
        <v>-3.0324175665240091E-2</v>
      </c>
      <c r="M101">
        <v>4</v>
      </c>
      <c r="N101">
        <v>3.6351435977879998</v>
      </c>
      <c r="O101">
        <v>0.71448876319000676</v>
      </c>
    </row>
    <row r="102" spans="1:15" x14ac:dyDescent="0.3">
      <c r="A102" s="52">
        <v>6</v>
      </c>
      <c r="B102" s="54">
        <v>-0.27862000000000003</v>
      </c>
      <c r="C102" s="54">
        <v>0.28314</v>
      </c>
      <c r="E102" s="57">
        <v>5</v>
      </c>
      <c r="F102" s="54">
        <v>0.16890000000000002</v>
      </c>
      <c r="G102" s="54">
        <v>-0.27545000000000003</v>
      </c>
      <c r="I102" s="59">
        <v>5</v>
      </c>
      <c r="J102">
        <v>-0.66851841039636117</v>
      </c>
      <c r="K102">
        <v>-1.855117772373651E-2</v>
      </c>
      <c r="M102">
        <v>4</v>
      </c>
      <c r="N102">
        <v>4.2002999629511084</v>
      </c>
      <c r="O102">
        <v>0.99386585785850912</v>
      </c>
    </row>
    <row r="103" spans="1:15" x14ac:dyDescent="0.3">
      <c r="A103" s="52">
        <v>6</v>
      </c>
      <c r="B103" s="54">
        <v>-0.61976000000000009</v>
      </c>
      <c r="C103" s="54">
        <v>-6.2239999999999997E-2</v>
      </c>
      <c r="E103" s="57">
        <v>5</v>
      </c>
      <c r="F103" s="54">
        <v>1.64533</v>
      </c>
      <c r="G103" s="54">
        <v>1.33396</v>
      </c>
      <c r="I103" s="59">
        <v>5</v>
      </c>
      <c r="J103">
        <v>-0.22392924928003691</v>
      </c>
      <c r="K103">
        <v>-0.2069671997572696</v>
      </c>
      <c r="M103">
        <v>5</v>
      </c>
      <c r="N103">
        <v>1.148744790042856</v>
      </c>
      <c r="O103">
        <v>-1.4724866272143511</v>
      </c>
    </row>
    <row r="104" spans="1:15" x14ac:dyDescent="0.3">
      <c r="A104" s="52">
        <v>6</v>
      </c>
      <c r="B104" s="54">
        <v>8.6510000000000004E-2</v>
      </c>
      <c r="C104" s="54">
        <v>1.35903</v>
      </c>
      <c r="E104" s="57">
        <v>5</v>
      </c>
      <c r="F104" s="54">
        <v>-0.29218000000000005</v>
      </c>
      <c r="G104" s="54">
        <v>0.39384000000000002</v>
      </c>
      <c r="I104" s="59">
        <v>6</v>
      </c>
      <c r="J104">
        <v>0.43930730948387348</v>
      </c>
      <c r="K104">
        <v>-1.6243701570924891</v>
      </c>
      <c r="M104">
        <v>5</v>
      </c>
      <c r="N104">
        <v>1.443834071439968</v>
      </c>
      <c r="O104">
        <v>-1.676028796176702</v>
      </c>
    </row>
    <row r="105" spans="1:15" x14ac:dyDescent="0.3">
      <c r="A105" s="52">
        <v>6</v>
      </c>
      <c r="B105" s="54">
        <v>-0.53300000000000003</v>
      </c>
      <c r="C105" s="54">
        <v>0.6780400000000002</v>
      </c>
      <c r="E105" s="57">
        <v>5</v>
      </c>
      <c r="F105" s="54">
        <v>0.11079000000000001</v>
      </c>
      <c r="G105" s="54">
        <v>0.67219000000000018</v>
      </c>
      <c r="I105" s="59">
        <v>6</v>
      </c>
      <c r="J105">
        <v>1.148744790042856</v>
      </c>
      <c r="K105">
        <v>-1.4724866272143511</v>
      </c>
      <c r="M105">
        <v>5</v>
      </c>
      <c r="N105">
        <v>1.122695056631043</v>
      </c>
      <c r="O105">
        <v>-1.3838149561797639</v>
      </c>
    </row>
    <row r="106" spans="1:15" x14ac:dyDescent="0.3">
      <c r="A106" s="52">
        <v>6</v>
      </c>
      <c r="B106" s="54">
        <v>-0.62122000000000011</v>
      </c>
      <c r="C106" s="54">
        <v>6.6030000000000005E-2</v>
      </c>
      <c r="E106" s="57">
        <v>5</v>
      </c>
      <c r="F106" s="54">
        <v>0.26006000000000001</v>
      </c>
      <c r="G106" s="54">
        <v>0.72563000000000011</v>
      </c>
      <c r="I106" s="59">
        <v>6</v>
      </c>
      <c r="J106">
        <v>1.443834071439968</v>
      </c>
      <c r="K106">
        <v>-1.676028796176702</v>
      </c>
      <c r="M106">
        <v>5</v>
      </c>
      <c r="N106">
        <v>1.645333348326435</v>
      </c>
      <c r="O106">
        <v>-1.3339571043980221</v>
      </c>
    </row>
    <row r="107" spans="1:15" x14ac:dyDescent="0.3">
      <c r="A107" s="52">
        <v>6</v>
      </c>
      <c r="B107" s="54">
        <v>-0.6396900000000002</v>
      </c>
      <c r="C107" s="54">
        <v>9.6009999999999998E-2</v>
      </c>
      <c r="E107" s="57">
        <v>6</v>
      </c>
      <c r="F107" s="54">
        <v>4.9273400000000001</v>
      </c>
      <c r="G107" s="54">
        <v>-0.97987000000000002</v>
      </c>
      <c r="I107" s="59">
        <v>6</v>
      </c>
      <c r="J107">
        <v>1.122695056631043</v>
      </c>
      <c r="K107">
        <v>-1.3838149561797639</v>
      </c>
      <c r="M107">
        <v>6</v>
      </c>
      <c r="N107">
        <v>-0.70700965584710662</v>
      </c>
      <c r="O107">
        <v>2.9021994871095971</v>
      </c>
    </row>
    <row r="108" spans="1:15" x14ac:dyDescent="0.3">
      <c r="A108" s="52">
        <v>6</v>
      </c>
      <c r="B108" s="54">
        <v>-0.27363999999999999</v>
      </c>
      <c r="C108" s="54">
        <v>-0.32472000000000006</v>
      </c>
      <c r="E108" s="57">
        <v>6</v>
      </c>
      <c r="F108" s="54">
        <v>3.6351400000000003</v>
      </c>
      <c r="G108" s="54">
        <v>-0.71449000000000007</v>
      </c>
      <c r="I108" s="59">
        <v>6</v>
      </c>
      <c r="J108">
        <v>0.48088868778164501</v>
      </c>
      <c r="K108">
        <v>-1.362272718916929</v>
      </c>
      <c r="M108">
        <v>6</v>
      </c>
      <c r="N108">
        <v>-0.43140673599964918</v>
      </c>
      <c r="O108">
        <v>3.388114173027192</v>
      </c>
    </row>
    <row r="109" spans="1:15" x14ac:dyDescent="0.3">
      <c r="A109" s="52">
        <v>6</v>
      </c>
      <c r="B109" s="54">
        <v>-0.21990000000000004</v>
      </c>
      <c r="C109" s="54">
        <v>0.71366000000000007</v>
      </c>
      <c r="E109" s="57">
        <v>6</v>
      </c>
      <c r="F109" s="54">
        <v>4.2003000000000004</v>
      </c>
      <c r="G109" s="54">
        <v>-0.99387000000000003</v>
      </c>
      <c r="I109" s="59">
        <v>6</v>
      </c>
      <c r="J109">
        <v>1.645333348326435</v>
      </c>
      <c r="K109">
        <v>-1.3339571043980221</v>
      </c>
      <c r="M109">
        <v>6</v>
      </c>
      <c r="N109">
        <v>-0.76757470034949304</v>
      </c>
      <c r="O109">
        <v>2.8757050527121928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D91F-51C8-4448-8FA7-A702E5F804EC}">
  <dimension ref="A1:O86"/>
  <sheetViews>
    <sheetView zoomScale="70" zoomScaleNormal="70" workbookViewId="0">
      <selection activeCell="X33" sqref="X33"/>
    </sheetView>
  </sheetViews>
  <sheetFormatPr defaultRowHeight="14.4" x14ac:dyDescent="0.3"/>
  <cols>
    <col min="1" max="1" width="7.6640625" customWidth="1"/>
    <col min="2" max="2" width="11.5546875" customWidth="1"/>
    <col min="3" max="3" width="14.6640625" customWidth="1"/>
    <col min="5" max="5" width="10.5546875" customWidth="1"/>
    <col min="6" max="6" width="12.33203125" customWidth="1"/>
    <col min="7" max="7" width="13.77734375" customWidth="1"/>
    <col min="9" max="9" width="14.109375" customWidth="1"/>
    <col min="10" max="10" width="13.77734375" customWidth="1"/>
    <col min="11" max="11" width="19.109375" customWidth="1"/>
    <col min="13" max="13" width="11.44140625" customWidth="1"/>
    <col min="14" max="14" width="14.5546875" customWidth="1"/>
    <col min="15" max="15" width="20.88671875" customWidth="1"/>
  </cols>
  <sheetData>
    <row r="1" spans="1:15" ht="86.4" x14ac:dyDescent="0.3">
      <c r="A1" s="55" t="s">
        <v>217</v>
      </c>
      <c r="B1" s="56" t="s">
        <v>225</v>
      </c>
      <c r="C1" s="56" t="s">
        <v>226</v>
      </c>
      <c r="E1" s="55" t="s">
        <v>218</v>
      </c>
      <c r="F1" s="76" t="s">
        <v>225</v>
      </c>
      <c r="G1" s="76" t="s">
        <v>226</v>
      </c>
      <c r="I1" s="55" t="s">
        <v>232</v>
      </c>
      <c r="J1" s="76" t="s">
        <v>225</v>
      </c>
      <c r="K1" s="76" t="s">
        <v>226</v>
      </c>
      <c r="M1" s="55" t="s">
        <v>219</v>
      </c>
      <c r="N1" s="76" t="s">
        <v>225</v>
      </c>
      <c r="O1" s="76" t="s">
        <v>226</v>
      </c>
    </row>
    <row r="2" spans="1:15" x14ac:dyDescent="0.3">
      <c r="A2" s="52">
        <v>1</v>
      </c>
      <c r="B2" s="70">
        <v>-0.16270020200605442</v>
      </c>
      <c r="C2" s="71">
        <v>-0.78435416938950853</v>
      </c>
      <c r="E2" s="57">
        <v>1</v>
      </c>
      <c r="F2" s="72">
        <v>-0.32181139898184385</v>
      </c>
      <c r="G2" s="73">
        <v>0.42368240965941273</v>
      </c>
      <c r="I2" s="78">
        <v>1</v>
      </c>
      <c r="J2" s="72">
        <v>0.24338535129144961</v>
      </c>
      <c r="K2" s="73">
        <v>0.81354118464140424</v>
      </c>
      <c r="M2" s="77">
        <v>1</v>
      </c>
      <c r="N2" s="70">
        <v>-0.66620519198016026</v>
      </c>
      <c r="O2" s="71">
        <v>-2.8128684018734589</v>
      </c>
    </row>
    <row r="3" spans="1:15" x14ac:dyDescent="0.3">
      <c r="A3" s="52">
        <v>1</v>
      </c>
      <c r="B3" s="70">
        <v>-0.26495632077596187</v>
      </c>
      <c r="C3" s="71">
        <v>-2.0215504067373741E-2</v>
      </c>
      <c r="E3" s="57">
        <v>1</v>
      </c>
      <c r="F3" s="72">
        <v>-0.27549197491135691</v>
      </c>
      <c r="G3" s="73">
        <v>0.88270588183856691</v>
      </c>
      <c r="I3" s="78">
        <v>1</v>
      </c>
      <c r="J3" s="70">
        <v>-2.1822419940736745E-2</v>
      </c>
      <c r="K3" s="71">
        <v>0.53035727215167605</v>
      </c>
      <c r="M3" s="77">
        <v>1</v>
      </c>
      <c r="N3" s="72">
        <v>-0.70779514646681529</v>
      </c>
      <c r="O3" s="73">
        <v>-3.1696011303963672</v>
      </c>
    </row>
    <row r="4" spans="1:15" x14ac:dyDescent="0.3">
      <c r="A4" s="52">
        <v>1</v>
      </c>
      <c r="B4" s="70">
        <v>-0.15839253405056183</v>
      </c>
      <c r="C4" s="71">
        <v>0.688906576382595</v>
      </c>
      <c r="E4" s="57">
        <v>1</v>
      </c>
      <c r="F4" s="72">
        <v>-0.10343926311498607</v>
      </c>
      <c r="G4" s="73">
        <v>0.5053479623092707</v>
      </c>
      <c r="I4" s="78">
        <v>1</v>
      </c>
      <c r="J4" s="72">
        <v>2.6277662319781892E-2</v>
      </c>
      <c r="K4" s="73">
        <v>-0.23280156445382849</v>
      </c>
      <c r="M4" s="77">
        <v>1</v>
      </c>
      <c r="N4" s="72">
        <v>-0.68554978307534165</v>
      </c>
      <c r="O4" s="73">
        <v>-2.1827617256419747</v>
      </c>
    </row>
    <row r="5" spans="1:15" x14ac:dyDescent="0.3">
      <c r="A5" s="52">
        <v>1</v>
      </c>
      <c r="B5" s="70">
        <v>2.3175945982798266E-2</v>
      </c>
      <c r="C5" s="71">
        <v>-7.541802114820334E-2</v>
      </c>
      <c r="E5" s="57">
        <v>1</v>
      </c>
      <c r="F5" s="70">
        <v>-0.23377616678058347</v>
      </c>
      <c r="G5" s="71">
        <v>0.80851930515186088</v>
      </c>
      <c r="I5" s="78">
        <v>1</v>
      </c>
      <c r="J5" s="72">
        <v>1.3380518227119345</v>
      </c>
      <c r="K5" s="73">
        <v>0.56220402087958066</v>
      </c>
      <c r="M5" s="77">
        <v>2</v>
      </c>
      <c r="N5" s="72">
        <v>6.9391574620972811</v>
      </c>
      <c r="O5" s="73">
        <v>0.26812944697561042</v>
      </c>
    </row>
    <row r="6" spans="1:15" x14ac:dyDescent="0.3">
      <c r="A6" s="52">
        <v>1</v>
      </c>
      <c r="B6" s="70">
        <v>-6.7014405902649676E-2</v>
      </c>
      <c r="C6" s="71">
        <v>-0.59294495589958618</v>
      </c>
      <c r="E6" s="57">
        <v>1</v>
      </c>
      <c r="F6" s="72">
        <v>-0.21634356631258705</v>
      </c>
      <c r="G6" s="73">
        <v>0.99549541023016541</v>
      </c>
      <c r="I6" s="78">
        <v>1</v>
      </c>
      <c r="J6" s="72">
        <v>1.4273149184845846</v>
      </c>
      <c r="K6" s="73">
        <v>-1.6723888065842798</v>
      </c>
      <c r="M6" s="77">
        <v>2</v>
      </c>
      <c r="N6" s="70">
        <v>4.7195969102510622</v>
      </c>
      <c r="O6" s="71">
        <v>-1.3441493510926148</v>
      </c>
    </row>
    <row r="7" spans="1:15" x14ac:dyDescent="0.3">
      <c r="A7" s="52">
        <v>1</v>
      </c>
      <c r="B7" s="70">
        <v>0.11592298896448995</v>
      </c>
      <c r="C7" s="71">
        <v>0.17273804155155356</v>
      </c>
      <c r="E7" s="57">
        <v>1</v>
      </c>
      <c r="F7" s="70">
        <v>-0.32452741189534534</v>
      </c>
      <c r="G7" s="71">
        <v>0.11625872361159867</v>
      </c>
      <c r="I7" s="78">
        <v>1</v>
      </c>
      <c r="J7" s="72">
        <v>1.2725410249837343</v>
      </c>
      <c r="K7" s="73">
        <v>-0.32870288008931531</v>
      </c>
      <c r="M7" s="77">
        <v>3</v>
      </c>
      <c r="N7" s="72">
        <v>-0.27549197491135691</v>
      </c>
      <c r="O7" s="73">
        <v>0.88270588183856691</v>
      </c>
    </row>
    <row r="8" spans="1:15" x14ac:dyDescent="0.3">
      <c r="A8" s="52">
        <v>1</v>
      </c>
      <c r="B8" s="70">
        <v>-0.20139740388381464</v>
      </c>
      <c r="C8" s="71">
        <v>0.75375521317174266</v>
      </c>
      <c r="E8" s="57">
        <v>1</v>
      </c>
      <c r="F8" s="72">
        <v>-1.4205006848594071E-3</v>
      </c>
      <c r="G8" s="73">
        <v>0.49268239316799389</v>
      </c>
      <c r="I8" s="78">
        <v>2</v>
      </c>
      <c r="J8" s="70">
        <v>-0.54764676139993218</v>
      </c>
      <c r="K8" s="71">
        <v>-1.9042755717368767</v>
      </c>
      <c r="M8" s="77">
        <v>3</v>
      </c>
      <c r="N8" s="70">
        <v>-0.10370171227607496</v>
      </c>
      <c r="O8" s="71">
        <v>0.49656195870621178</v>
      </c>
    </row>
    <row r="9" spans="1:15" x14ac:dyDescent="0.3">
      <c r="A9" s="52">
        <v>1</v>
      </c>
      <c r="B9" s="70">
        <v>-0.20224720305840158</v>
      </c>
      <c r="C9" s="71">
        <v>1.3490027104041777</v>
      </c>
      <c r="E9" s="57">
        <v>1</v>
      </c>
      <c r="F9" s="70">
        <v>-0.10370171227607496</v>
      </c>
      <c r="G9" s="71">
        <v>0.49656195870621178</v>
      </c>
      <c r="I9" s="78">
        <v>2</v>
      </c>
      <c r="J9" s="70">
        <v>-0.46746061687532736</v>
      </c>
      <c r="K9" s="71">
        <v>-1.3921925748368169</v>
      </c>
      <c r="M9" s="77">
        <v>3</v>
      </c>
      <c r="N9" s="72">
        <v>-0.10365728858882617</v>
      </c>
      <c r="O9" s="73">
        <v>0.28222787870018873</v>
      </c>
    </row>
    <row r="10" spans="1:15" x14ac:dyDescent="0.3">
      <c r="A10" s="52">
        <v>1</v>
      </c>
      <c r="B10" s="70">
        <v>-0.26535457813533819</v>
      </c>
      <c r="C10" s="71">
        <v>1.6648859334291527E-2</v>
      </c>
      <c r="E10" s="57">
        <v>1</v>
      </c>
      <c r="F10" s="70">
        <v>-0.30797823652138556</v>
      </c>
      <c r="G10" s="71">
        <v>0.81144324333778883</v>
      </c>
      <c r="I10" s="78">
        <v>2</v>
      </c>
      <c r="J10" s="72">
        <v>-0.3698584897715298</v>
      </c>
      <c r="K10" s="73">
        <v>-0.98762317320116955</v>
      </c>
      <c r="M10" s="77">
        <v>3</v>
      </c>
      <c r="N10" s="70">
        <v>-0.15839253405056183</v>
      </c>
      <c r="O10" s="71">
        <v>0.688906576382595</v>
      </c>
    </row>
    <row r="11" spans="1:15" x14ac:dyDescent="0.3">
      <c r="A11" s="52">
        <v>1</v>
      </c>
      <c r="B11" s="70">
        <v>-0.29561799662161825</v>
      </c>
      <c r="C11" s="71">
        <v>1.9791202342583577E-2</v>
      </c>
      <c r="E11" s="57">
        <v>1</v>
      </c>
      <c r="F11" s="70">
        <v>-0.30097065353978592</v>
      </c>
      <c r="G11" s="71">
        <v>0.74415869064351015</v>
      </c>
      <c r="I11" s="78">
        <v>2</v>
      </c>
      <c r="J11" s="70">
        <v>-0.66620519198016026</v>
      </c>
      <c r="K11" s="71">
        <v>-2.8128684018734589</v>
      </c>
      <c r="M11" s="77">
        <v>3</v>
      </c>
      <c r="N11" s="72">
        <v>-0.17744366620818197</v>
      </c>
      <c r="O11" s="73">
        <v>0.40357203301481304</v>
      </c>
    </row>
    <row r="12" spans="1:15" x14ac:dyDescent="0.3">
      <c r="A12" s="52">
        <v>1</v>
      </c>
      <c r="B12" s="70">
        <v>-0.17137545545870481</v>
      </c>
      <c r="C12" s="71">
        <v>0.12422239903213468</v>
      </c>
      <c r="E12" s="57">
        <v>1</v>
      </c>
      <c r="F12" s="72">
        <v>-0.35213331891755267</v>
      </c>
      <c r="G12" s="73">
        <v>0.82118039392338793</v>
      </c>
      <c r="I12" s="78">
        <v>2</v>
      </c>
      <c r="J12" s="72">
        <v>-0.70779514646681529</v>
      </c>
      <c r="K12" s="73">
        <v>-3.1696011303963672</v>
      </c>
      <c r="M12" s="77">
        <v>3</v>
      </c>
      <c r="N12" s="70">
        <v>-0.30097065353978592</v>
      </c>
      <c r="O12" s="71">
        <v>0.74415869064351015</v>
      </c>
    </row>
    <row r="13" spans="1:15" x14ac:dyDescent="0.3">
      <c r="A13" s="52">
        <v>1</v>
      </c>
      <c r="B13" s="70">
        <v>-0.18934348522764002</v>
      </c>
      <c r="C13" s="71">
        <v>-0.40814445497794682</v>
      </c>
      <c r="E13" s="57">
        <v>1</v>
      </c>
      <c r="F13" s="70">
        <v>-0.21922305900610112</v>
      </c>
      <c r="G13" s="71">
        <v>-0.21991098454252</v>
      </c>
      <c r="I13" s="78">
        <v>2</v>
      </c>
      <c r="J13" s="70">
        <v>-0.37799342349605825</v>
      </c>
      <c r="K13" s="71">
        <v>-1.0717941727159046</v>
      </c>
      <c r="M13" s="77">
        <v>3</v>
      </c>
      <c r="N13" s="70">
        <v>-0.32536759661920223</v>
      </c>
      <c r="O13" s="71">
        <v>0.96291421227186724</v>
      </c>
    </row>
    <row r="14" spans="1:15" x14ac:dyDescent="0.3">
      <c r="A14" s="52">
        <v>1</v>
      </c>
      <c r="B14" s="70">
        <v>-0.17671548699715928</v>
      </c>
      <c r="C14" s="71">
        <v>0.2923288403027719</v>
      </c>
      <c r="E14" s="57">
        <v>1</v>
      </c>
      <c r="F14" s="72">
        <v>-3.8474524967869045E-2</v>
      </c>
      <c r="G14" s="73">
        <v>1.0306353980961891</v>
      </c>
      <c r="I14" s="78">
        <v>2</v>
      </c>
      <c r="J14" s="70">
        <v>0.64128775949397099</v>
      </c>
      <c r="K14" s="71">
        <v>-1.2204209043791268</v>
      </c>
      <c r="M14" s="77">
        <v>3</v>
      </c>
      <c r="N14" s="70">
        <v>-0.20139740388381464</v>
      </c>
      <c r="O14" s="71">
        <v>0.75375521317174266</v>
      </c>
    </row>
    <row r="15" spans="1:15" x14ac:dyDescent="0.3">
      <c r="A15" s="52">
        <v>1</v>
      </c>
      <c r="B15" s="70">
        <v>-0.24934428069971565</v>
      </c>
      <c r="C15" s="71">
        <v>-0.5447504785677324</v>
      </c>
      <c r="E15" s="57">
        <v>1</v>
      </c>
      <c r="F15" s="72">
        <v>-7.875031072928422E-2</v>
      </c>
      <c r="G15" s="73">
        <v>0.7514032289002035</v>
      </c>
      <c r="I15" s="78">
        <v>2</v>
      </c>
      <c r="J15" s="72">
        <v>-0.68554978307534165</v>
      </c>
      <c r="K15" s="73">
        <v>-2.1827617256419747</v>
      </c>
      <c r="M15" s="77">
        <v>3</v>
      </c>
      <c r="N15" s="72">
        <v>-0.20224720305840158</v>
      </c>
      <c r="O15" s="73">
        <v>1.3490027104041777</v>
      </c>
    </row>
    <row r="16" spans="1:15" x14ac:dyDescent="0.3">
      <c r="A16" s="52">
        <v>1</v>
      </c>
      <c r="B16" s="70">
        <v>2.9417536701888247E-2</v>
      </c>
      <c r="C16" s="71">
        <v>-0.77272595242131381</v>
      </c>
      <c r="E16" s="57">
        <v>1</v>
      </c>
      <c r="F16" s="70">
        <v>-0.26535457813533819</v>
      </c>
      <c r="G16" s="71">
        <v>1.6648859334291527E-2</v>
      </c>
      <c r="I16" s="78">
        <v>3</v>
      </c>
      <c r="J16" s="72">
        <v>-0.32181139898184385</v>
      </c>
      <c r="K16" s="73">
        <v>0.42368240965941273</v>
      </c>
      <c r="M16" s="77">
        <v>3</v>
      </c>
      <c r="N16" s="70">
        <v>-0.10814188686673687</v>
      </c>
      <c r="O16" s="71">
        <v>6.7681770107067218E-2</v>
      </c>
    </row>
    <row r="17" spans="1:15" x14ac:dyDescent="0.3">
      <c r="A17" s="52">
        <v>1</v>
      </c>
      <c r="B17" s="70">
        <v>-0.36082999267794907</v>
      </c>
      <c r="C17" s="71">
        <v>-0.16066659713505652</v>
      </c>
      <c r="E17" s="57">
        <v>1</v>
      </c>
      <c r="F17" s="72">
        <v>-0.16619292781093989</v>
      </c>
      <c r="G17" s="73">
        <v>1.1490868773559895</v>
      </c>
      <c r="I17" s="78">
        <v>3</v>
      </c>
      <c r="J17" s="72">
        <v>-0.27549197491135691</v>
      </c>
      <c r="K17" s="73">
        <v>0.88270588183856691</v>
      </c>
      <c r="M17" s="77">
        <v>3</v>
      </c>
      <c r="N17" s="72">
        <v>-0.14008065462866126</v>
      </c>
      <c r="O17" s="73">
        <v>6.0917702201532233E-2</v>
      </c>
    </row>
    <row r="18" spans="1:15" x14ac:dyDescent="0.3">
      <c r="A18" s="52">
        <v>1</v>
      </c>
      <c r="B18" s="70">
        <v>-8.9743142965848816E-2</v>
      </c>
      <c r="C18" s="71">
        <v>0.20265314476348506</v>
      </c>
      <c r="E18" s="57">
        <v>1</v>
      </c>
      <c r="F18" s="70">
        <v>-0.29278663515833553</v>
      </c>
      <c r="G18" s="71">
        <v>0.59945579000748772</v>
      </c>
      <c r="I18" s="78">
        <v>3</v>
      </c>
      <c r="J18" s="72">
        <v>-0.10365728858882617</v>
      </c>
      <c r="K18" s="73">
        <v>0.28222787870018873</v>
      </c>
      <c r="M18" s="77">
        <v>3</v>
      </c>
      <c r="N18" s="72">
        <v>-0.22471764623746665</v>
      </c>
      <c r="O18" s="73">
        <v>1.2839223494793768</v>
      </c>
    </row>
    <row r="19" spans="1:15" x14ac:dyDescent="0.3">
      <c r="A19" s="52">
        <v>2</v>
      </c>
      <c r="B19" s="70">
        <v>-0.17849210459986792</v>
      </c>
      <c r="C19" s="71">
        <v>-0.20664601821082978</v>
      </c>
      <c r="E19" s="57">
        <v>1</v>
      </c>
      <c r="F19" s="70">
        <v>-0.28090075875153475</v>
      </c>
      <c r="G19" s="71">
        <v>-0.332382762111257</v>
      </c>
      <c r="I19" s="78">
        <v>3</v>
      </c>
      <c r="J19" s="70">
        <v>-0.15839253405056183</v>
      </c>
      <c r="K19" s="71">
        <v>0.688906576382595</v>
      </c>
      <c r="M19" s="77">
        <v>3</v>
      </c>
      <c r="N19" s="72">
        <v>-0.18646747354294799</v>
      </c>
      <c r="O19" s="73">
        <v>1.1333183098806623</v>
      </c>
    </row>
    <row r="20" spans="1:15" x14ac:dyDescent="0.3">
      <c r="A20" s="52">
        <v>2</v>
      </c>
      <c r="B20" s="70">
        <v>-0.54764676139993218</v>
      </c>
      <c r="C20" s="71">
        <v>-1.9042755717368767</v>
      </c>
      <c r="E20" s="57">
        <v>1</v>
      </c>
      <c r="F20" s="72">
        <v>-0.18646747354294799</v>
      </c>
      <c r="G20" s="73">
        <v>1.1333183098806623</v>
      </c>
      <c r="I20" s="78">
        <v>3</v>
      </c>
      <c r="J20" s="72">
        <v>-0.17744366620818197</v>
      </c>
      <c r="K20" s="73">
        <v>0.40357203301481304</v>
      </c>
      <c r="M20" s="77">
        <v>3</v>
      </c>
      <c r="N20" s="72">
        <v>-0.1491216585766077</v>
      </c>
      <c r="O20" s="73">
        <v>0.12248515472305399</v>
      </c>
    </row>
    <row r="21" spans="1:15" x14ac:dyDescent="0.3">
      <c r="A21" s="52">
        <v>2</v>
      </c>
      <c r="B21" s="70">
        <v>-0.46746061687532736</v>
      </c>
      <c r="C21" s="71">
        <v>-1.3921925748368169</v>
      </c>
      <c r="E21" s="57">
        <v>1</v>
      </c>
      <c r="F21" s="72">
        <v>-0.150473659871601</v>
      </c>
      <c r="G21" s="73">
        <v>0.15909090451359026</v>
      </c>
      <c r="I21" s="78">
        <v>3</v>
      </c>
      <c r="J21" s="70">
        <v>-0.30097065353978592</v>
      </c>
      <c r="K21" s="71">
        <v>0.74415869064351015</v>
      </c>
      <c r="M21" s="77">
        <v>3</v>
      </c>
      <c r="N21" s="70">
        <v>-0.17671548699715928</v>
      </c>
      <c r="O21" s="71">
        <v>0.2923288403027719</v>
      </c>
    </row>
    <row r="22" spans="1:15" x14ac:dyDescent="0.3">
      <c r="A22" s="52">
        <v>2</v>
      </c>
      <c r="B22" s="70">
        <v>0.12434694276125456</v>
      </c>
      <c r="C22" s="71">
        <v>-0.45202041420544214</v>
      </c>
      <c r="E22" s="57">
        <v>1</v>
      </c>
      <c r="F22" s="70">
        <v>-0.44447996185923871</v>
      </c>
      <c r="G22" s="71">
        <v>-1.2949870794165305E-2</v>
      </c>
      <c r="I22" s="78">
        <v>3</v>
      </c>
      <c r="J22" s="72">
        <v>-0.35213331891755267</v>
      </c>
      <c r="K22" s="73">
        <v>0.82118039392338793</v>
      </c>
      <c r="M22" s="77">
        <v>3</v>
      </c>
      <c r="N22" s="72">
        <v>-0.20038239257698973</v>
      </c>
      <c r="O22" s="73">
        <v>0.71866054793306744</v>
      </c>
    </row>
    <row r="23" spans="1:15" x14ac:dyDescent="0.3">
      <c r="A23" s="52">
        <v>2</v>
      </c>
      <c r="B23" s="70">
        <v>-0.20957398762090854</v>
      </c>
      <c r="C23" s="71">
        <v>-0.42289884352843815</v>
      </c>
      <c r="E23" s="57">
        <v>1</v>
      </c>
      <c r="F23" s="72">
        <v>-0.2163054048224122</v>
      </c>
      <c r="G23" s="73">
        <v>0.19957158416687718</v>
      </c>
      <c r="I23" s="78">
        <v>3</v>
      </c>
      <c r="J23" s="72">
        <v>2.3175945982798266E-2</v>
      </c>
      <c r="K23" s="73">
        <v>-7.541802114820334E-2</v>
      </c>
      <c r="M23" s="77">
        <v>3</v>
      </c>
      <c r="N23" s="70">
        <v>-0.17103763736924052</v>
      </c>
      <c r="O23" s="71">
        <v>1.1159358708581468</v>
      </c>
    </row>
    <row r="24" spans="1:15" x14ac:dyDescent="0.3">
      <c r="A24" s="52">
        <v>2</v>
      </c>
      <c r="B24" s="70">
        <v>-0.3698584897715298</v>
      </c>
      <c r="C24" s="71">
        <v>-0.98762317320116955</v>
      </c>
      <c r="E24" s="57">
        <v>1</v>
      </c>
      <c r="F24" s="72">
        <v>-0.27491190881269362</v>
      </c>
      <c r="G24" s="73">
        <v>0.14166965212518415</v>
      </c>
      <c r="I24" s="78">
        <v>3</v>
      </c>
      <c r="J24" s="70">
        <v>-0.32536759661920223</v>
      </c>
      <c r="K24" s="71">
        <v>0.96291421227186724</v>
      </c>
      <c r="M24" s="77">
        <v>3</v>
      </c>
      <c r="N24" s="72">
        <v>-0.19046031795779103</v>
      </c>
      <c r="O24" s="73">
        <v>0.64703169794031024</v>
      </c>
    </row>
    <row r="25" spans="1:15" x14ac:dyDescent="0.3">
      <c r="A25" s="52">
        <v>2</v>
      </c>
      <c r="B25" s="70">
        <v>-0.66620519198016026</v>
      </c>
      <c r="C25" s="71">
        <v>-2.8128684018734589</v>
      </c>
      <c r="E25" s="57">
        <v>1</v>
      </c>
      <c r="F25" s="70">
        <v>-0.14186278915832581</v>
      </c>
      <c r="G25" s="71">
        <v>0.91322372358109161</v>
      </c>
      <c r="I25" s="78">
        <v>3</v>
      </c>
      <c r="J25" s="70">
        <v>-0.20139740388381464</v>
      </c>
      <c r="K25" s="71">
        <v>0.75375521317174266</v>
      </c>
      <c r="M25" s="77">
        <v>4</v>
      </c>
      <c r="N25" s="72">
        <v>-0.32181139898184385</v>
      </c>
      <c r="O25" s="73">
        <v>0.42368240965941273</v>
      </c>
    </row>
    <row r="26" spans="1:15" x14ac:dyDescent="0.3">
      <c r="A26" s="52">
        <v>2</v>
      </c>
      <c r="B26" s="70">
        <v>-0.70779514646681529</v>
      </c>
      <c r="C26" s="71">
        <v>-3.1696011303963672</v>
      </c>
      <c r="E26" s="57">
        <v>1</v>
      </c>
      <c r="F26" s="72">
        <v>-0.1491216585766077</v>
      </c>
      <c r="G26" s="73">
        <v>0.12248515472305399</v>
      </c>
      <c r="I26" s="78">
        <v>3</v>
      </c>
      <c r="J26" s="72">
        <v>-0.20224720305840158</v>
      </c>
      <c r="K26" s="73">
        <v>1.3490027104041777</v>
      </c>
      <c r="M26" s="77">
        <v>4</v>
      </c>
      <c r="N26" s="72">
        <v>-0.10343926311498607</v>
      </c>
      <c r="O26" s="73">
        <v>0.5053479623092707</v>
      </c>
    </row>
    <row r="27" spans="1:15" x14ac:dyDescent="0.3">
      <c r="A27" s="52">
        <v>2</v>
      </c>
      <c r="B27" s="70">
        <v>-0.37799342349605825</v>
      </c>
      <c r="C27" s="71">
        <v>-1.0717941727159046</v>
      </c>
      <c r="E27" s="57">
        <v>1</v>
      </c>
      <c r="F27" s="70">
        <v>-0.27757403885481802</v>
      </c>
      <c r="G27" s="71">
        <v>0.24156928761857535</v>
      </c>
      <c r="I27" s="78">
        <v>3</v>
      </c>
      <c r="J27" s="72">
        <v>-0.29561799662161825</v>
      </c>
      <c r="K27" s="73">
        <v>1.9791202342583577E-2</v>
      </c>
      <c r="M27" s="77">
        <v>4</v>
      </c>
      <c r="N27" s="70">
        <v>-0.23377616678058347</v>
      </c>
      <c r="O27" s="71">
        <v>0.80851930515186088</v>
      </c>
    </row>
    <row r="28" spans="1:15" x14ac:dyDescent="0.3">
      <c r="A28" s="52">
        <v>2</v>
      </c>
      <c r="B28" s="70">
        <v>-0.68554978307534165</v>
      </c>
      <c r="C28" s="71">
        <v>-2.1827617256419747</v>
      </c>
      <c r="E28" s="57">
        <v>1</v>
      </c>
      <c r="F28" s="72">
        <v>-0.20038239257698973</v>
      </c>
      <c r="G28" s="73">
        <v>0.71866054793306744</v>
      </c>
      <c r="I28" s="78">
        <v>3</v>
      </c>
      <c r="J28" s="70">
        <v>-0.10814188686673687</v>
      </c>
      <c r="K28" s="71">
        <v>6.7681770107067218E-2</v>
      </c>
      <c r="M28" s="77">
        <v>4</v>
      </c>
      <c r="N28" s="72">
        <v>-0.21634356631258705</v>
      </c>
      <c r="O28" s="73">
        <v>0.99549541023016541</v>
      </c>
    </row>
    <row r="29" spans="1:15" x14ac:dyDescent="0.3">
      <c r="A29" s="52">
        <v>3</v>
      </c>
      <c r="B29" s="70">
        <v>-0.32181139898184385</v>
      </c>
      <c r="C29" s="71">
        <v>0.42368240965941273</v>
      </c>
      <c r="E29" s="57">
        <v>1</v>
      </c>
      <c r="F29" s="72">
        <v>-0.16549629064595822</v>
      </c>
      <c r="G29" s="73">
        <v>0.89136518932570818</v>
      </c>
      <c r="I29" s="78">
        <v>3</v>
      </c>
      <c r="J29" s="72">
        <v>-0.14008065462866126</v>
      </c>
      <c r="K29" s="73">
        <v>6.0917702201532233E-2</v>
      </c>
      <c r="M29" s="77">
        <v>4</v>
      </c>
      <c r="N29" s="70">
        <v>-0.32452741189534534</v>
      </c>
      <c r="O29" s="71">
        <v>0.11625872361159867</v>
      </c>
    </row>
    <row r="30" spans="1:15" x14ac:dyDescent="0.3">
      <c r="A30" s="52">
        <v>3</v>
      </c>
      <c r="B30" s="70">
        <v>-0.27549197491135691</v>
      </c>
      <c r="C30" s="71">
        <v>0.88270588183856691</v>
      </c>
      <c r="E30" s="57">
        <v>1</v>
      </c>
      <c r="F30" s="70">
        <v>-0.17103763736924052</v>
      </c>
      <c r="G30" s="71">
        <v>1.1159358708581468</v>
      </c>
      <c r="I30" s="78">
        <v>3</v>
      </c>
      <c r="J30" s="72">
        <v>-0.22471764623746665</v>
      </c>
      <c r="K30" s="73">
        <v>1.2839223494793768</v>
      </c>
      <c r="M30" s="77">
        <v>4</v>
      </c>
      <c r="N30" s="72">
        <v>-1.4205006848594071E-3</v>
      </c>
      <c r="O30" s="73">
        <v>0.49268239316799389</v>
      </c>
    </row>
    <row r="31" spans="1:15" x14ac:dyDescent="0.3">
      <c r="A31" s="52">
        <v>3</v>
      </c>
      <c r="B31" s="70">
        <v>-0.10343926311498607</v>
      </c>
      <c r="C31" s="71">
        <v>0.5053479623092707</v>
      </c>
      <c r="E31" s="57">
        <v>1</v>
      </c>
      <c r="F31" s="70">
        <v>-5.4713110727113094E-2</v>
      </c>
      <c r="G31" s="71">
        <v>1.2801565770937464</v>
      </c>
      <c r="I31" s="78">
        <v>3</v>
      </c>
      <c r="J31" s="72">
        <v>-0.18646747354294799</v>
      </c>
      <c r="K31" s="73">
        <v>1.1333183098806623</v>
      </c>
      <c r="M31" s="77">
        <v>4</v>
      </c>
      <c r="N31" s="72">
        <v>-0.17849210459986792</v>
      </c>
      <c r="O31" s="73">
        <v>-0.20664601821082978</v>
      </c>
    </row>
    <row r="32" spans="1:15" x14ac:dyDescent="0.3">
      <c r="A32" s="52">
        <v>3</v>
      </c>
      <c r="B32" s="70">
        <v>-0.23377616678058347</v>
      </c>
      <c r="C32" s="71">
        <v>0.80851930515186088</v>
      </c>
      <c r="E32" s="57">
        <v>1</v>
      </c>
      <c r="F32" s="72">
        <v>-0.30713389614631048</v>
      </c>
      <c r="G32" s="73">
        <v>0.53757056721813889</v>
      </c>
      <c r="I32" s="78">
        <v>3</v>
      </c>
      <c r="J32" s="72">
        <v>-0.1491216585766077</v>
      </c>
      <c r="K32" s="73">
        <v>0.12248515472305399</v>
      </c>
      <c r="M32" s="77">
        <v>4</v>
      </c>
      <c r="N32" s="70">
        <v>-0.30797823652138556</v>
      </c>
      <c r="O32" s="71">
        <v>0.81144324333778883</v>
      </c>
    </row>
    <row r="33" spans="1:15" x14ac:dyDescent="0.3">
      <c r="A33" s="52">
        <v>3</v>
      </c>
      <c r="B33" s="70">
        <v>-0.21634356631258705</v>
      </c>
      <c r="C33" s="71">
        <v>0.99549541023016541</v>
      </c>
      <c r="E33" s="57">
        <v>1</v>
      </c>
      <c r="F33" s="70">
        <v>-0.36096927160702535</v>
      </c>
      <c r="G33" s="71">
        <v>-0.17324800730389722</v>
      </c>
      <c r="I33" s="78">
        <v>3</v>
      </c>
      <c r="J33" s="70">
        <v>-0.17671548699715928</v>
      </c>
      <c r="K33" s="71">
        <v>0.2923288403027719</v>
      </c>
      <c r="M33" s="77">
        <v>4</v>
      </c>
      <c r="N33" s="72">
        <v>-0.35213331891755267</v>
      </c>
      <c r="O33" s="73">
        <v>0.82118039392338793</v>
      </c>
    </row>
    <row r="34" spans="1:15" x14ac:dyDescent="0.3">
      <c r="A34" s="52">
        <v>3</v>
      </c>
      <c r="B34" s="70">
        <v>-0.32452741189534534</v>
      </c>
      <c r="C34" s="71">
        <v>0.11625872361159867</v>
      </c>
      <c r="E34" s="57">
        <v>1</v>
      </c>
      <c r="F34" s="72">
        <v>-0.19046031795779103</v>
      </c>
      <c r="G34" s="73">
        <v>0.64703169794031024</v>
      </c>
      <c r="I34" s="78">
        <v>3</v>
      </c>
      <c r="J34" s="72">
        <v>-0.20038239257698973</v>
      </c>
      <c r="K34" s="73">
        <v>0.71866054793306744</v>
      </c>
      <c r="M34" s="77">
        <v>4</v>
      </c>
      <c r="N34" s="70">
        <v>-0.21922305900610112</v>
      </c>
      <c r="O34" s="71">
        <v>-0.21991098454252</v>
      </c>
    </row>
    <row r="35" spans="1:15" x14ac:dyDescent="0.3">
      <c r="A35" s="52">
        <v>3</v>
      </c>
      <c r="B35" s="70">
        <v>-1.4205006848594071E-3</v>
      </c>
      <c r="C35" s="71">
        <v>0.49268239316799389</v>
      </c>
      <c r="E35" s="57">
        <v>2</v>
      </c>
      <c r="F35" s="72">
        <v>-0.17849210459986792</v>
      </c>
      <c r="G35" s="73">
        <v>-0.20664601821082978</v>
      </c>
      <c r="I35" s="78">
        <v>3</v>
      </c>
      <c r="J35" s="70">
        <v>-0.17103763736924052</v>
      </c>
      <c r="K35" s="71">
        <v>1.1159358708581468</v>
      </c>
      <c r="M35" s="77">
        <v>4</v>
      </c>
      <c r="N35" s="72">
        <v>-3.8474524967869045E-2</v>
      </c>
      <c r="O35" s="73">
        <v>1.0306353980961891</v>
      </c>
    </row>
    <row r="36" spans="1:15" x14ac:dyDescent="0.3">
      <c r="A36" s="52">
        <v>3</v>
      </c>
      <c r="B36" s="70">
        <v>-0.10370171227607496</v>
      </c>
      <c r="C36" s="71">
        <v>0.49656195870621178</v>
      </c>
      <c r="E36" s="57">
        <v>2</v>
      </c>
      <c r="F36" s="72">
        <v>-0.26495632077596187</v>
      </c>
      <c r="G36" s="73">
        <v>-2.0215504067373741E-2</v>
      </c>
      <c r="I36" s="78">
        <v>3</v>
      </c>
      <c r="J36" s="70">
        <v>-8.9743142965848816E-2</v>
      </c>
      <c r="K36" s="71">
        <v>0.20265314476348506</v>
      </c>
      <c r="M36" s="77">
        <v>4</v>
      </c>
      <c r="N36" s="70">
        <v>0.12434694276125456</v>
      </c>
      <c r="O36" s="71">
        <v>-0.45202041420544214</v>
      </c>
    </row>
    <row r="37" spans="1:15" x14ac:dyDescent="0.3">
      <c r="A37" s="52">
        <v>3</v>
      </c>
      <c r="B37" s="70">
        <v>-0.30797823652138556</v>
      </c>
      <c r="C37" s="71">
        <v>0.81144324333778883</v>
      </c>
      <c r="E37" s="57">
        <v>2</v>
      </c>
      <c r="F37" s="70">
        <v>0.12434694276125456</v>
      </c>
      <c r="G37" s="71">
        <v>-0.45202041420544214</v>
      </c>
      <c r="I37" s="78">
        <v>3</v>
      </c>
      <c r="J37" s="72">
        <v>-0.19046031795779103</v>
      </c>
      <c r="K37" s="73">
        <v>0.64703169794031024</v>
      </c>
      <c r="M37" s="77">
        <v>4</v>
      </c>
      <c r="N37" s="72">
        <v>-7.875031072928422E-2</v>
      </c>
      <c r="O37" s="73">
        <v>0.7514032289002035</v>
      </c>
    </row>
    <row r="38" spans="1:15" x14ac:dyDescent="0.3">
      <c r="A38" s="52">
        <v>3</v>
      </c>
      <c r="B38" s="70">
        <v>-0.30097065353978592</v>
      </c>
      <c r="C38" s="71">
        <v>0.74415869064351015</v>
      </c>
      <c r="E38" s="57">
        <v>2</v>
      </c>
      <c r="F38" s="72">
        <v>-6.7014405902649676E-2</v>
      </c>
      <c r="G38" s="73">
        <v>-0.59294495589958618</v>
      </c>
      <c r="I38" s="78">
        <v>4</v>
      </c>
      <c r="J38" s="70">
        <v>0.53407881110530298</v>
      </c>
      <c r="K38" s="71">
        <v>0.25038518979723234</v>
      </c>
      <c r="M38" s="77">
        <v>4</v>
      </c>
      <c r="N38" s="72">
        <v>-0.16619292781093989</v>
      </c>
      <c r="O38" s="73">
        <v>1.1490868773559895</v>
      </c>
    </row>
    <row r="39" spans="1:15" x14ac:dyDescent="0.3">
      <c r="A39" s="52">
        <v>3</v>
      </c>
      <c r="B39" s="70">
        <v>-0.35213331891755267</v>
      </c>
      <c r="C39" s="71">
        <v>0.82118039392338793</v>
      </c>
      <c r="E39" s="57">
        <v>2</v>
      </c>
      <c r="F39" s="70">
        <v>-0.20957398762090854</v>
      </c>
      <c r="G39" s="71">
        <v>-0.42289884352843815</v>
      </c>
      <c r="I39" s="78">
        <v>4</v>
      </c>
      <c r="J39" s="70">
        <v>-0.16270020200605442</v>
      </c>
      <c r="K39" s="71">
        <v>-0.78435416938950853</v>
      </c>
      <c r="M39" s="77">
        <v>4</v>
      </c>
      <c r="N39" s="70">
        <v>-0.29278663515833553</v>
      </c>
      <c r="O39" s="71">
        <v>0.59945579000748772</v>
      </c>
    </row>
    <row r="40" spans="1:15" x14ac:dyDescent="0.3">
      <c r="A40" s="52">
        <v>3</v>
      </c>
      <c r="B40" s="70">
        <v>-0.21922305900610112</v>
      </c>
      <c r="C40" s="71">
        <v>-0.21991098454252</v>
      </c>
      <c r="E40" s="57">
        <v>2</v>
      </c>
      <c r="F40" s="72">
        <v>-0.24934428069971565</v>
      </c>
      <c r="G40" s="73">
        <v>-0.5447504785677324</v>
      </c>
      <c r="I40" s="78">
        <v>4</v>
      </c>
      <c r="J40" s="70">
        <v>-0.29188832645835072</v>
      </c>
      <c r="K40" s="71">
        <v>0.30543903248056148</v>
      </c>
      <c r="M40" s="77">
        <v>4</v>
      </c>
      <c r="N40" s="70">
        <v>-0.20957398762090854</v>
      </c>
      <c r="O40" s="71">
        <v>-0.42289884352843815</v>
      </c>
    </row>
    <row r="41" spans="1:15" x14ac:dyDescent="0.3">
      <c r="A41" s="52">
        <v>3</v>
      </c>
      <c r="B41" s="70">
        <v>-3.8474524967869045E-2</v>
      </c>
      <c r="C41" s="71">
        <v>1.0306353980961891</v>
      </c>
      <c r="E41" s="57">
        <v>2</v>
      </c>
      <c r="F41" s="72">
        <v>2.9417536701888247E-2</v>
      </c>
      <c r="G41" s="73">
        <v>-0.77272595242131381</v>
      </c>
      <c r="I41" s="78">
        <v>4</v>
      </c>
      <c r="J41" s="72">
        <v>-0.30839554150087894</v>
      </c>
      <c r="K41" s="73">
        <v>-0.44346987400952714</v>
      </c>
      <c r="M41" s="77">
        <v>4</v>
      </c>
      <c r="N41" s="70">
        <v>-0.28090075875153475</v>
      </c>
      <c r="O41" s="71">
        <v>-0.332382762111257</v>
      </c>
    </row>
    <row r="42" spans="1:15" x14ac:dyDescent="0.3">
      <c r="A42" s="52">
        <v>3</v>
      </c>
      <c r="B42" s="70">
        <v>-7.875031072928422E-2</v>
      </c>
      <c r="C42" s="71">
        <v>0.7514032289002035</v>
      </c>
      <c r="E42" s="57">
        <v>3</v>
      </c>
      <c r="F42" s="70">
        <v>-0.29188832645835072</v>
      </c>
      <c r="G42" s="71">
        <v>0.30543903248056148</v>
      </c>
      <c r="I42" s="78">
        <v>4</v>
      </c>
      <c r="J42" s="70">
        <v>0.4041859942130856</v>
      </c>
      <c r="K42" s="71">
        <v>1.6072855925000434E-2</v>
      </c>
      <c r="M42" s="77">
        <v>4</v>
      </c>
      <c r="N42" s="72">
        <v>-0.150473659871601</v>
      </c>
      <c r="O42" s="73">
        <v>0.15909090451359026</v>
      </c>
    </row>
    <row r="43" spans="1:15" x14ac:dyDescent="0.3">
      <c r="A43" s="52">
        <v>3</v>
      </c>
      <c r="B43" s="70">
        <v>-0.16619292781093989</v>
      </c>
      <c r="C43" s="71">
        <v>1.1490868773559895</v>
      </c>
      <c r="E43" s="57">
        <v>3</v>
      </c>
      <c r="F43" s="72">
        <v>-0.30839554150087894</v>
      </c>
      <c r="G43" s="73">
        <v>-0.44346987400952714</v>
      </c>
      <c r="I43" s="78">
        <v>4</v>
      </c>
      <c r="J43" s="70">
        <v>0.11592298896448995</v>
      </c>
      <c r="K43" s="71">
        <v>0.17273804155155356</v>
      </c>
      <c r="M43" s="77">
        <v>4</v>
      </c>
      <c r="N43" s="70">
        <v>-0.44447996185923871</v>
      </c>
      <c r="O43" s="71">
        <v>-1.2949870794165305E-2</v>
      </c>
    </row>
    <row r="44" spans="1:15" x14ac:dyDescent="0.3">
      <c r="A44" s="52">
        <v>3</v>
      </c>
      <c r="B44" s="70">
        <v>-0.29278663515833553</v>
      </c>
      <c r="C44" s="71">
        <v>0.59945579000748772</v>
      </c>
      <c r="E44" s="57">
        <v>3</v>
      </c>
      <c r="F44" s="72">
        <v>-0.10365728858882617</v>
      </c>
      <c r="G44" s="73">
        <v>0.28222787870018873</v>
      </c>
      <c r="I44" s="78">
        <v>4</v>
      </c>
      <c r="J44" s="70">
        <v>-0.17137545545870481</v>
      </c>
      <c r="K44" s="71">
        <v>0.12422239903213468</v>
      </c>
      <c r="M44" s="77">
        <v>4</v>
      </c>
      <c r="N44" s="72">
        <v>-0.2163054048224122</v>
      </c>
      <c r="O44" s="73">
        <v>0.19957158416687718</v>
      </c>
    </row>
    <row r="45" spans="1:15" x14ac:dyDescent="0.3">
      <c r="A45" s="52">
        <v>3</v>
      </c>
      <c r="B45" s="70">
        <v>-0.22471764623746665</v>
      </c>
      <c r="C45" s="71">
        <v>1.2839223494793768</v>
      </c>
      <c r="E45" s="57">
        <v>3</v>
      </c>
      <c r="F45" s="72">
        <v>-0.17744366620818197</v>
      </c>
      <c r="G45" s="73">
        <v>0.40357203301481304</v>
      </c>
      <c r="I45" s="78">
        <v>4</v>
      </c>
      <c r="J45" s="72">
        <v>-0.45390385660803501</v>
      </c>
      <c r="K45" s="73">
        <v>-0.71419758197951011</v>
      </c>
      <c r="M45" s="77">
        <v>4</v>
      </c>
      <c r="N45" s="72">
        <v>-0.27491190881269362</v>
      </c>
      <c r="O45" s="73">
        <v>0.14166965212518415</v>
      </c>
    </row>
    <row r="46" spans="1:15" x14ac:dyDescent="0.3">
      <c r="A46" s="52">
        <v>3</v>
      </c>
      <c r="B46" s="70">
        <v>-0.28090075875153475</v>
      </c>
      <c r="C46" s="71">
        <v>-0.332382762111257</v>
      </c>
      <c r="E46" s="57">
        <v>3</v>
      </c>
      <c r="F46" s="70">
        <v>-0.32536759661920223</v>
      </c>
      <c r="G46" s="71">
        <v>0.96291421227186724</v>
      </c>
      <c r="I46" s="78">
        <v>4</v>
      </c>
      <c r="J46" s="70">
        <v>-4.5145227051949455E-2</v>
      </c>
      <c r="K46" s="71">
        <v>0.41154290021220158</v>
      </c>
      <c r="M46" s="77">
        <v>4</v>
      </c>
      <c r="N46" s="70">
        <v>-0.14186278915832581</v>
      </c>
      <c r="O46" s="71">
        <v>0.91322372358109161</v>
      </c>
    </row>
    <row r="47" spans="1:15" x14ac:dyDescent="0.3">
      <c r="A47" s="52">
        <v>3</v>
      </c>
      <c r="B47" s="70">
        <v>-0.18646747354294799</v>
      </c>
      <c r="C47" s="71">
        <v>1.1333183098806623</v>
      </c>
      <c r="E47" s="57">
        <v>3</v>
      </c>
      <c r="F47" s="70">
        <v>-0.10814188686673687</v>
      </c>
      <c r="G47" s="71">
        <v>6.7681770107067218E-2</v>
      </c>
      <c r="I47" s="78">
        <v>4</v>
      </c>
      <c r="J47" s="72">
        <v>-0.33288202860527621</v>
      </c>
      <c r="K47" s="73">
        <v>-1.0011364466363786</v>
      </c>
      <c r="M47" s="77">
        <v>4</v>
      </c>
      <c r="N47" s="70">
        <v>-0.27757403885481802</v>
      </c>
      <c r="O47" s="71">
        <v>0.24156928761857535</v>
      </c>
    </row>
    <row r="48" spans="1:15" x14ac:dyDescent="0.3">
      <c r="A48" s="52">
        <v>3</v>
      </c>
      <c r="B48" s="70">
        <v>-0.150473659871601</v>
      </c>
      <c r="C48" s="71">
        <v>0.15909090451359026</v>
      </c>
      <c r="E48" s="57">
        <v>3</v>
      </c>
      <c r="F48" s="72">
        <v>-0.14008065462866126</v>
      </c>
      <c r="G48" s="73">
        <v>6.0917702201532233E-2</v>
      </c>
      <c r="I48" s="78">
        <v>4</v>
      </c>
      <c r="J48" s="72">
        <v>-0.51973729734378693</v>
      </c>
      <c r="K48" s="73">
        <v>-1.7003304098735432</v>
      </c>
      <c r="M48" s="77">
        <v>4</v>
      </c>
      <c r="N48" s="72">
        <v>-0.16549629064595822</v>
      </c>
      <c r="O48" s="73">
        <v>0.89136518932570818</v>
      </c>
    </row>
    <row r="49" spans="1:15" x14ac:dyDescent="0.3">
      <c r="A49" s="52">
        <v>3</v>
      </c>
      <c r="B49" s="70">
        <v>-0.44447996185923871</v>
      </c>
      <c r="C49" s="71">
        <v>-1.2949870794165305E-2</v>
      </c>
      <c r="E49" s="57">
        <v>3</v>
      </c>
      <c r="F49" s="70">
        <v>-0.17137545545870481</v>
      </c>
      <c r="G49" s="71">
        <v>0.12422239903213468</v>
      </c>
      <c r="I49" s="78">
        <v>4</v>
      </c>
      <c r="J49" s="70">
        <v>-0.25337476848637808</v>
      </c>
      <c r="K49" s="71">
        <v>-0.33231270843934846</v>
      </c>
      <c r="M49" s="77">
        <v>4</v>
      </c>
      <c r="N49" s="70">
        <v>-5.4713110727113094E-2</v>
      </c>
      <c r="O49" s="71">
        <v>1.2801565770937464</v>
      </c>
    </row>
    <row r="50" spans="1:15" x14ac:dyDescent="0.3">
      <c r="A50" s="52">
        <v>3</v>
      </c>
      <c r="B50" s="70">
        <v>-0.2163054048224122</v>
      </c>
      <c r="C50" s="71">
        <v>0.19957158416687718</v>
      </c>
      <c r="E50" s="57">
        <v>3</v>
      </c>
      <c r="F50" s="72">
        <v>-0.22471764623746665</v>
      </c>
      <c r="G50" s="73">
        <v>1.2839223494793768</v>
      </c>
      <c r="I50" s="78">
        <v>4</v>
      </c>
      <c r="J50" s="70">
        <v>-0.29645628680402175</v>
      </c>
      <c r="K50" s="71">
        <v>-0.90822187484699035</v>
      </c>
      <c r="M50" s="77">
        <v>4</v>
      </c>
      <c r="N50" s="72">
        <v>-0.30713389614631048</v>
      </c>
      <c r="O50" s="73">
        <v>0.53757056721813889</v>
      </c>
    </row>
    <row r="51" spans="1:15" x14ac:dyDescent="0.3">
      <c r="A51" s="52">
        <v>3</v>
      </c>
      <c r="B51" s="70">
        <v>-0.27491190881269362</v>
      </c>
      <c r="C51" s="71">
        <v>0.14166965212518415</v>
      </c>
      <c r="E51" s="57">
        <v>3</v>
      </c>
      <c r="F51" s="72">
        <v>-0.45390385660803501</v>
      </c>
      <c r="G51" s="73">
        <v>-0.71419758197951011</v>
      </c>
      <c r="I51" s="78">
        <v>4</v>
      </c>
      <c r="J51" s="72">
        <v>-0.24934428069971565</v>
      </c>
      <c r="K51" s="73">
        <v>-0.5447504785677324</v>
      </c>
      <c r="M51" s="77">
        <v>4</v>
      </c>
      <c r="N51" s="70">
        <v>-0.36096927160702535</v>
      </c>
      <c r="O51" s="71">
        <v>-0.17324800730389722</v>
      </c>
    </row>
    <row r="52" spans="1:15" x14ac:dyDescent="0.3">
      <c r="A52" s="52">
        <v>3</v>
      </c>
      <c r="B52" s="70">
        <v>-0.14186278915832581</v>
      </c>
      <c r="C52" s="71">
        <v>0.91322372358109161</v>
      </c>
      <c r="E52" s="57">
        <v>3</v>
      </c>
      <c r="F52" s="72">
        <v>-0.33288202860527621</v>
      </c>
      <c r="G52" s="73">
        <v>-1.0011364466363786</v>
      </c>
      <c r="I52" s="78">
        <v>4</v>
      </c>
      <c r="J52" s="72">
        <v>2.9417536701888247E-2</v>
      </c>
      <c r="K52" s="73">
        <v>-0.77272595242131381</v>
      </c>
      <c r="M52" s="77">
        <v>5</v>
      </c>
      <c r="N52" s="70">
        <v>0.53407881110530298</v>
      </c>
      <c r="O52" s="71">
        <v>0.25038518979723234</v>
      </c>
    </row>
    <row r="53" spans="1:15" x14ac:dyDescent="0.3">
      <c r="A53" s="52">
        <v>3</v>
      </c>
      <c r="B53" s="70">
        <v>-0.1491216585766077</v>
      </c>
      <c r="C53" s="71">
        <v>0.12248515472305399</v>
      </c>
      <c r="E53" s="57">
        <v>3</v>
      </c>
      <c r="F53" s="72">
        <v>-0.51973729734378693</v>
      </c>
      <c r="G53" s="73">
        <v>-1.7003304098735432</v>
      </c>
      <c r="I53" s="78">
        <v>4</v>
      </c>
      <c r="J53" s="70">
        <v>-0.36082999267794907</v>
      </c>
      <c r="K53" s="71">
        <v>-0.16066659713505652</v>
      </c>
      <c r="M53" s="77">
        <v>5</v>
      </c>
      <c r="N53" s="70">
        <v>-0.16270020200605442</v>
      </c>
      <c r="O53" s="71">
        <v>-0.78435416938950853</v>
      </c>
    </row>
    <row r="54" spans="1:15" x14ac:dyDescent="0.3">
      <c r="A54" s="52">
        <v>3</v>
      </c>
      <c r="B54" s="70">
        <v>-0.27757403885481802</v>
      </c>
      <c r="C54" s="71">
        <v>0.24156928761857535</v>
      </c>
      <c r="E54" s="57">
        <v>3</v>
      </c>
      <c r="F54" s="70">
        <v>-0.25337476848637808</v>
      </c>
      <c r="G54" s="71">
        <v>-0.33231270843934846</v>
      </c>
      <c r="I54" s="78">
        <v>4</v>
      </c>
      <c r="J54" s="70">
        <v>-0.26080641277727334</v>
      </c>
      <c r="K54" s="71">
        <v>2.9304617049063689E-2</v>
      </c>
      <c r="M54" s="77">
        <v>5</v>
      </c>
      <c r="N54" s="70">
        <v>-0.29188832645835072</v>
      </c>
      <c r="O54" s="71">
        <v>0.30543903248056148</v>
      </c>
    </row>
    <row r="55" spans="1:15" x14ac:dyDescent="0.3">
      <c r="A55" s="52">
        <v>3</v>
      </c>
      <c r="B55" s="70">
        <v>-0.20038239257698973</v>
      </c>
      <c r="C55" s="71">
        <v>0.71866054793306744</v>
      </c>
      <c r="E55" s="57">
        <v>3</v>
      </c>
      <c r="F55" s="70">
        <v>-0.29645628680402175</v>
      </c>
      <c r="G55" s="71">
        <v>-0.90822187484699035</v>
      </c>
      <c r="I55" s="78">
        <v>5</v>
      </c>
      <c r="J55" s="72">
        <v>-0.10343926311498607</v>
      </c>
      <c r="K55" s="73">
        <v>0.5053479623092707</v>
      </c>
      <c r="M55" s="77">
        <v>5</v>
      </c>
      <c r="N55" s="72">
        <v>-0.30839554150087894</v>
      </c>
      <c r="O55" s="73">
        <v>-0.44346987400952714</v>
      </c>
    </row>
    <row r="56" spans="1:15" x14ac:dyDescent="0.3">
      <c r="A56" s="52">
        <v>3</v>
      </c>
      <c r="B56" s="70">
        <v>-0.16549629064595822</v>
      </c>
      <c r="C56" s="71">
        <v>0.89136518932570818</v>
      </c>
      <c r="E56" s="57">
        <v>3</v>
      </c>
      <c r="F56" s="70">
        <v>-0.26080641277727334</v>
      </c>
      <c r="G56" s="71">
        <v>2.9304617049063689E-2</v>
      </c>
      <c r="I56" s="78">
        <v>5</v>
      </c>
      <c r="J56" s="70">
        <v>-0.23377616678058347</v>
      </c>
      <c r="K56" s="71">
        <v>0.80851930515186088</v>
      </c>
      <c r="M56" s="77">
        <v>5</v>
      </c>
      <c r="N56" s="70">
        <v>-0.54764676139993218</v>
      </c>
      <c r="O56" s="71">
        <v>-1.9042755717368767</v>
      </c>
    </row>
    <row r="57" spans="1:15" x14ac:dyDescent="0.3">
      <c r="A57" s="52">
        <v>3</v>
      </c>
      <c r="B57" s="70">
        <v>-0.17103763736924052</v>
      </c>
      <c r="C57" s="71">
        <v>1.1159358708581468</v>
      </c>
      <c r="E57" s="57">
        <v>4</v>
      </c>
      <c r="F57" s="70">
        <v>-0.16270020200605442</v>
      </c>
      <c r="G57" s="71">
        <v>-0.78435416938950853</v>
      </c>
      <c r="I57" s="78">
        <v>5</v>
      </c>
      <c r="J57" s="72">
        <v>-0.21634356631258705</v>
      </c>
      <c r="K57" s="73">
        <v>0.99549541023016541</v>
      </c>
      <c r="M57" s="77">
        <v>5</v>
      </c>
      <c r="N57" s="70">
        <v>-0.46746061687532736</v>
      </c>
      <c r="O57" s="71">
        <v>-1.3921925748368169</v>
      </c>
    </row>
    <row r="58" spans="1:15" x14ac:dyDescent="0.3">
      <c r="A58" s="52">
        <v>3</v>
      </c>
      <c r="B58" s="70">
        <v>-5.4713110727113094E-2</v>
      </c>
      <c r="C58" s="71">
        <v>1.2801565770937464</v>
      </c>
      <c r="E58" s="57">
        <v>4</v>
      </c>
      <c r="F58" s="70">
        <v>-0.54764676139993218</v>
      </c>
      <c r="G58" s="71">
        <v>-1.9042755717368767</v>
      </c>
      <c r="I58" s="78">
        <v>5</v>
      </c>
      <c r="J58" s="70">
        <v>-0.32452741189534534</v>
      </c>
      <c r="K58" s="71">
        <v>0.11625872361159867</v>
      </c>
      <c r="M58" s="77">
        <v>5</v>
      </c>
      <c r="N58" s="72">
        <v>-0.3698584897715298</v>
      </c>
      <c r="O58" s="73">
        <v>-0.98762317320116955</v>
      </c>
    </row>
    <row r="59" spans="1:15" x14ac:dyDescent="0.3">
      <c r="A59" s="52">
        <v>3</v>
      </c>
      <c r="B59" s="70">
        <v>-0.30713389614631048</v>
      </c>
      <c r="C59" s="71">
        <v>0.53757056721813889</v>
      </c>
      <c r="E59" s="57">
        <v>4</v>
      </c>
      <c r="F59" s="70">
        <v>-0.46746061687532736</v>
      </c>
      <c r="G59" s="71">
        <v>-1.3921925748368169</v>
      </c>
      <c r="I59" s="78">
        <v>5</v>
      </c>
      <c r="J59" s="72">
        <v>-1.4205006848594071E-3</v>
      </c>
      <c r="K59" s="73">
        <v>0.49268239316799389</v>
      </c>
      <c r="M59" s="77">
        <v>5</v>
      </c>
      <c r="N59" s="72">
        <v>-0.45390385660803501</v>
      </c>
      <c r="O59" s="73">
        <v>-0.71419758197951011</v>
      </c>
    </row>
    <row r="60" spans="1:15" x14ac:dyDescent="0.3">
      <c r="A60" s="52">
        <v>3</v>
      </c>
      <c r="B60" s="70">
        <v>-0.36096927160702535</v>
      </c>
      <c r="C60" s="71">
        <v>-0.17324800730389722</v>
      </c>
      <c r="E60" s="57">
        <v>4</v>
      </c>
      <c r="F60" s="72">
        <v>-0.3698584897715298</v>
      </c>
      <c r="G60" s="73">
        <v>-0.98762317320116955</v>
      </c>
      <c r="I60" s="78">
        <v>5</v>
      </c>
      <c r="J60" s="70">
        <v>-0.10370171227607496</v>
      </c>
      <c r="K60" s="71">
        <v>0.49656195870621178</v>
      </c>
      <c r="M60" s="77">
        <v>5</v>
      </c>
      <c r="N60" s="70">
        <v>-0.37799342349605825</v>
      </c>
      <c r="O60" s="71">
        <v>-1.0717941727159046</v>
      </c>
    </row>
    <row r="61" spans="1:15" x14ac:dyDescent="0.3">
      <c r="A61" s="52">
        <v>3</v>
      </c>
      <c r="B61" s="70">
        <v>-0.19046031795779103</v>
      </c>
      <c r="C61" s="71">
        <v>0.64703169794031024</v>
      </c>
      <c r="E61" s="57">
        <v>4</v>
      </c>
      <c r="F61" s="70">
        <v>-0.66620519198016026</v>
      </c>
      <c r="G61" s="71">
        <v>-2.8128684018734589</v>
      </c>
      <c r="I61" s="78">
        <v>5</v>
      </c>
      <c r="J61" s="72">
        <v>-0.17849210459986792</v>
      </c>
      <c r="K61" s="73">
        <v>-0.20664601821082978</v>
      </c>
      <c r="M61" s="77">
        <v>5</v>
      </c>
      <c r="N61" s="72">
        <v>-0.33288202860527621</v>
      </c>
      <c r="O61" s="73">
        <v>-1.0011364466363786</v>
      </c>
    </row>
    <row r="62" spans="1:15" x14ac:dyDescent="0.3">
      <c r="A62" s="52">
        <v>4</v>
      </c>
      <c r="B62" s="70">
        <v>0.24338535129144961</v>
      </c>
      <c r="C62" s="71">
        <v>0.81354118464140424</v>
      </c>
      <c r="E62" s="57">
        <v>4</v>
      </c>
      <c r="F62" s="72">
        <v>-0.70779514646681529</v>
      </c>
      <c r="G62" s="73">
        <v>-3.1696011303963672</v>
      </c>
      <c r="I62" s="78">
        <v>5</v>
      </c>
      <c r="J62" s="70">
        <v>-0.30797823652138556</v>
      </c>
      <c r="K62" s="71">
        <v>0.81144324333778883</v>
      </c>
      <c r="M62" s="77">
        <v>5</v>
      </c>
      <c r="N62" s="72">
        <v>-0.51973729734378693</v>
      </c>
      <c r="O62" s="73">
        <v>-1.7003304098735432</v>
      </c>
    </row>
    <row r="63" spans="1:15" x14ac:dyDescent="0.3">
      <c r="A63" s="52">
        <v>4</v>
      </c>
      <c r="B63" s="70">
        <v>-2.1822419940736745E-2</v>
      </c>
      <c r="C63" s="71">
        <v>0.53035727215167605</v>
      </c>
      <c r="E63" s="57">
        <v>4</v>
      </c>
      <c r="F63" s="70">
        <v>-0.37799342349605825</v>
      </c>
      <c r="G63" s="71">
        <v>-1.0717941727159046</v>
      </c>
      <c r="I63" s="78">
        <v>5</v>
      </c>
      <c r="J63" s="72">
        <v>-0.26495632077596187</v>
      </c>
      <c r="K63" s="73">
        <v>-2.0215504067373741E-2</v>
      </c>
      <c r="M63" s="77">
        <v>5</v>
      </c>
      <c r="N63" s="70">
        <v>-0.25337476848637808</v>
      </c>
      <c r="O63" s="71">
        <v>-0.33231270843934846</v>
      </c>
    </row>
    <row r="64" spans="1:15" x14ac:dyDescent="0.3">
      <c r="A64" s="52">
        <v>4</v>
      </c>
      <c r="B64" s="70">
        <v>2.6277662319781892E-2</v>
      </c>
      <c r="C64" s="71">
        <v>-0.23280156445382849</v>
      </c>
      <c r="E64" s="57">
        <v>4</v>
      </c>
      <c r="F64" s="70">
        <v>0.64128775949397099</v>
      </c>
      <c r="G64" s="71">
        <v>-1.2204209043791268</v>
      </c>
      <c r="I64" s="78">
        <v>5</v>
      </c>
      <c r="J64" s="70">
        <v>-0.21922305900610112</v>
      </c>
      <c r="K64" s="71">
        <v>-0.21991098454252</v>
      </c>
      <c r="M64" s="77">
        <v>5</v>
      </c>
      <c r="N64" s="70">
        <v>-0.29645628680402175</v>
      </c>
      <c r="O64" s="71">
        <v>-0.90822187484699035</v>
      </c>
    </row>
    <row r="65" spans="1:15" x14ac:dyDescent="0.3">
      <c r="A65" s="52">
        <v>4</v>
      </c>
      <c r="B65" s="70">
        <v>0.64128775949397099</v>
      </c>
      <c r="C65" s="71">
        <v>-1.2204209043791268</v>
      </c>
      <c r="E65" s="57">
        <v>4</v>
      </c>
      <c r="F65" s="72">
        <v>1.4273149184845846</v>
      </c>
      <c r="G65" s="73">
        <v>-1.6723888065842798</v>
      </c>
      <c r="I65" s="78">
        <v>5</v>
      </c>
      <c r="J65" s="72">
        <v>-3.8474524967869045E-2</v>
      </c>
      <c r="K65" s="73">
        <v>1.0306353980961891</v>
      </c>
      <c r="M65" s="77">
        <v>6</v>
      </c>
      <c r="N65" s="72">
        <v>0.24338535129144961</v>
      </c>
      <c r="O65" s="73">
        <v>0.81354118464140424</v>
      </c>
    </row>
    <row r="66" spans="1:15" x14ac:dyDescent="0.3">
      <c r="A66" s="52">
        <v>4</v>
      </c>
      <c r="B66" s="70">
        <v>1.3380518227119345</v>
      </c>
      <c r="C66" s="71">
        <v>0.56220402087958066</v>
      </c>
      <c r="E66" s="57">
        <v>4</v>
      </c>
      <c r="F66" s="72">
        <v>-0.68554978307534165</v>
      </c>
      <c r="G66" s="73">
        <v>-2.1827617256419747</v>
      </c>
      <c r="I66" s="78">
        <v>5</v>
      </c>
      <c r="J66" s="70">
        <v>0.12434694276125456</v>
      </c>
      <c r="K66" s="71">
        <v>-0.45202041420544214</v>
      </c>
      <c r="M66" s="77">
        <v>6</v>
      </c>
      <c r="N66" s="70">
        <v>-2.1822419940736745E-2</v>
      </c>
      <c r="O66" s="71">
        <v>0.53035727215167605</v>
      </c>
    </row>
    <row r="67" spans="1:15" x14ac:dyDescent="0.3">
      <c r="A67" s="52">
        <v>4</v>
      </c>
      <c r="B67" s="70">
        <v>1.4273149184845846</v>
      </c>
      <c r="C67" s="71">
        <v>-1.6723888065842798</v>
      </c>
      <c r="E67" s="57">
        <v>5</v>
      </c>
      <c r="F67" s="70">
        <v>0.53407881110530298</v>
      </c>
      <c r="G67" s="71">
        <v>0.25038518979723234</v>
      </c>
      <c r="I67" s="78">
        <v>5</v>
      </c>
      <c r="J67" s="72">
        <v>-7.875031072928422E-2</v>
      </c>
      <c r="K67" s="73">
        <v>0.7514032289002035</v>
      </c>
      <c r="M67" s="77">
        <v>6</v>
      </c>
      <c r="N67" s="72">
        <v>-0.26495632077596187</v>
      </c>
      <c r="O67" s="73">
        <v>-2.0215504067373741E-2</v>
      </c>
    </row>
    <row r="68" spans="1:15" x14ac:dyDescent="0.3">
      <c r="A68" s="52">
        <v>4</v>
      </c>
      <c r="B68" s="70">
        <v>1.2725410249837343</v>
      </c>
      <c r="C68" s="71">
        <v>-0.32870288008931531</v>
      </c>
      <c r="E68" s="57">
        <v>5</v>
      </c>
      <c r="F68" s="72">
        <v>0.24338535129144961</v>
      </c>
      <c r="G68" s="73">
        <v>0.81354118464140424</v>
      </c>
      <c r="I68" s="78">
        <v>5</v>
      </c>
      <c r="J68" s="72">
        <v>-6.7014405902649676E-2</v>
      </c>
      <c r="K68" s="73">
        <v>-0.59294495589958618</v>
      </c>
      <c r="M68" s="77">
        <v>6</v>
      </c>
      <c r="N68" s="72">
        <v>2.6277662319781892E-2</v>
      </c>
      <c r="O68" s="73">
        <v>-0.23280156445382849</v>
      </c>
    </row>
    <row r="69" spans="1:15" x14ac:dyDescent="0.3">
      <c r="A69" s="52">
        <v>5</v>
      </c>
      <c r="B69" s="70">
        <v>6.9391574620972811</v>
      </c>
      <c r="C69" s="71">
        <v>0.26812944697561042</v>
      </c>
      <c r="E69" s="57">
        <v>5</v>
      </c>
      <c r="F69" s="70">
        <v>-2.1822419940736745E-2</v>
      </c>
      <c r="G69" s="71">
        <v>0.53035727215167605</v>
      </c>
      <c r="I69" s="78">
        <v>5</v>
      </c>
      <c r="J69" s="70">
        <v>-0.26535457813533819</v>
      </c>
      <c r="K69" s="71">
        <v>1.6648859334291527E-2</v>
      </c>
      <c r="M69" s="77">
        <v>6</v>
      </c>
      <c r="N69" s="72">
        <v>2.3175945982798266E-2</v>
      </c>
      <c r="O69" s="73">
        <v>-7.541802114820334E-2</v>
      </c>
    </row>
    <row r="70" spans="1:15" x14ac:dyDescent="0.3">
      <c r="A70" s="52">
        <v>5</v>
      </c>
      <c r="B70" s="70">
        <v>4.7195969102510622</v>
      </c>
      <c r="C70" s="71">
        <v>-1.3441493510926148</v>
      </c>
      <c r="E70" s="57">
        <v>5</v>
      </c>
      <c r="F70" s="70">
        <v>-0.15839253405056183</v>
      </c>
      <c r="G70" s="71">
        <v>0.688906576382595</v>
      </c>
      <c r="I70" s="78">
        <v>5</v>
      </c>
      <c r="J70" s="72">
        <v>-0.16619292781093989</v>
      </c>
      <c r="K70" s="73">
        <v>1.1490868773559895</v>
      </c>
      <c r="M70" s="77">
        <v>6</v>
      </c>
      <c r="N70" s="70">
        <v>0.4041859942130856</v>
      </c>
      <c r="O70" s="71">
        <v>1.6072855925000434E-2</v>
      </c>
    </row>
    <row r="71" spans="1:15" x14ac:dyDescent="0.3">
      <c r="A71" s="52">
        <v>6</v>
      </c>
      <c r="B71" s="70">
        <v>0.53407881110530298</v>
      </c>
      <c r="C71" s="71">
        <v>0.25038518979723234</v>
      </c>
      <c r="E71" s="57">
        <v>5</v>
      </c>
      <c r="F71" s="72">
        <v>2.6277662319781892E-2</v>
      </c>
      <c r="G71" s="73">
        <v>-0.23280156445382849</v>
      </c>
      <c r="I71" s="78">
        <v>5</v>
      </c>
      <c r="J71" s="70">
        <v>-0.29278663515833553</v>
      </c>
      <c r="K71" s="71">
        <v>0.59945579000748772</v>
      </c>
      <c r="M71" s="77">
        <v>6</v>
      </c>
      <c r="N71" s="72">
        <v>-6.7014405902649676E-2</v>
      </c>
      <c r="O71" s="73">
        <v>-0.59294495589958618</v>
      </c>
    </row>
    <row r="72" spans="1:15" x14ac:dyDescent="0.3">
      <c r="A72" s="52">
        <v>6</v>
      </c>
      <c r="B72" s="70">
        <v>-0.29188832645835072</v>
      </c>
      <c r="C72" s="71">
        <v>0.30543903248056148</v>
      </c>
      <c r="E72" s="57">
        <v>5</v>
      </c>
      <c r="F72" s="72">
        <v>2.3175945982798266E-2</v>
      </c>
      <c r="G72" s="73">
        <v>-7.541802114820334E-2</v>
      </c>
      <c r="I72" s="78">
        <v>5</v>
      </c>
      <c r="J72" s="70">
        <v>-0.20957398762090854</v>
      </c>
      <c r="K72" s="71">
        <v>-0.42289884352843815</v>
      </c>
      <c r="M72" s="77">
        <v>6</v>
      </c>
      <c r="N72" s="70">
        <v>0.11592298896448995</v>
      </c>
      <c r="O72" s="71">
        <v>0.17273804155155356</v>
      </c>
    </row>
    <row r="73" spans="1:15" x14ac:dyDescent="0.3">
      <c r="A73" s="52">
        <v>6</v>
      </c>
      <c r="B73" s="70">
        <v>-0.30839554150087894</v>
      </c>
      <c r="C73" s="71">
        <v>-0.44346987400952714</v>
      </c>
      <c r="E73" s="57">
        <v>5</v>
      </c>
      <c r="F73" s="70">
        <v>0.4041859942130856</v>
      </c>
      <c r="G73" s="71">
        <v>1.6072855925000434E-2</v>
      </c>
      <c r="I73" s="78">
        <v>5</v>
      </c>
      <c r="J73" s="70">
        <v>-0.28090075875153475</v>
      </c>
      <c r="K73" s="71">
        <v>-0.332382762111257</v>
      </c>
      <c r="M73" s="77">
        <v>6</v>
      </c>
      <c r="N73" s="70">
        <v>-0.26535457813533819</v>
      </c>
      <c r="O73" s="71">
        <v>1.6648859334291527E-2</v>
      </c>
    </row>
    <row r="74" spans="1:15" x14ac:dyDescent="0.3">
      <c r="A74" s="52">
        <v>6</v>
      </c>
      <c r="B74" s="70">
        <v>-0.10365728858882617</v>
      </c>
      <c r="C74" s="71">
        <v>0.28222787870018873</v>
      </c>
      <c r="E74" s="57">
        <v>5</v>
      </c>
      <c r="F74" s="70">
        <v>0.11592298896448995</v>
      </c>
      <c r="G74" s="71">
        <v>0.17273804155155356</v>
      </c>
      <c r="I74" s="78">
        <v>5</v>
      </c>
      <c r="J74" s="72">
        <v>-0.150473659871601</v>
      </c>
      <c r="K74" s="73">
        <v>0.15909090451359026</v>
      </c>
      <c r="M74" s="77">
        <v>6</v>
      </c>
      <c r="N74" s="72">
        <v>-0.29561799662161825</v>
      </c>
      <c r="O74" s="73">
        <v>1.9791202342583577E-2</v>
      </c>
    </row>
    <row r="75" spans="1:15" x14ac:dyDescent="0.3">
      <c r="A75" s="52">
        <v>6</v>
      </c>
      <c r="B75" s="70">
        <v>-0.17744366620818197</v>
      </c>
      <c r="C75" s="71">
        <v>0.40357203301481304</v>
      </c>
      <c r="E75" s="57">
        <v>5</v>
      </c>
      <c r="F75" s="70">
        <v>-0.20139740388381464</v>
      </c>
      <c r="G75" s="71">
        <v>0.75375521317174266</v>
      </c>
      <c r="I75" s="78">
        <v>5</v>
      </c>
      <c r="J75" s="70">
        <v>-0.44447996185923871</v>
      </c>
      <c r="K75" s="71">
        <v>-1.2949870794165305E-2</v>
      </c>
      <c r="M75" s="77">
        <v>6</v>
      </c>
      <c r="N75" s="70">
        <v>-0.17137545545870481</v>
      </c>
      <c r="O75" s="71">
        <v>0.12422239903213468</v>
      </c>
    </row>
    <row r="76" spans="1:15" x14ac:dyDescent="0.3">
      <c r="A76" s="52">
        <v>6</v>
      </c>
      <c r="B76" s="70">
        <v>-0.32536759661920223</v>
      </c>
      <c r="C76" s="71">
        <v>0.96291421227186724</v>
      </c>
      <c r="E76" s="57">
        <v>5</v>
      </c>
      <c r="F76" s="72">
        <v>-0.20224720305840158</v>
      </c>
      <c r="G76" s="73">
        <v>1.3490027104041777</v>
      </c>
      <c r="I76" s="78">
        <v>5</v>
      </c>
      <c r="J76" s="72">
        <v>-0.2163054048224122</v>
      </c>
      <c r="K76" s="73">
        <v>0.19957158416687718</v>
      </c>
      <c r="M76" s="77">
        <v>6</v>
      </c>
      <c r="N76" s="70">
        <v>-4.5145227051949455E-2</v>
      </c>
      <c r="O76" s="71">
        <v>0.41154290021220158</v>
      </c>
    </row>
    <row r="77" spans="1:15" x14ac:dyDescent="0.3">
      <c r="A77" s="52">
        <v>6</v>
      </c>
      <c r="B77" s="70">
        <v>0.4041859942130856</v>
      </c>
      <c r="C77" s="71">
        <v>1.6072855925000434E-2</v>
      </c>
      <c r="E77" s="57">
        <v>5</v>
      </c>
      <c r="F77" s="72">
        <v>-0.29561799662161825</v>
      </c>
      <c r="G77" s="73">
        <v>1.9791202342583577E-2</v>
      </c>
      <c r="I77" s="78">
        <v>5</v>
      </c>
      <c r="J77" s="70">
        <v>-0.18934348522764002</v>
      </c>
      <c r="K77" s="71">
        <v>-0.40814445497794682</v>
      </c>
      <c r="M77" s="77">
        <v>6</v>
      </c>
      <c r="N77" s="70">
        <v>0.64128775949397099</v>
      </c>
      <c r="O77" s="71">
        <v>-1.2204209043791268</v>
      </c>
    </row>
    <row r="78" spans="1:15" x14ac:dyDescent="0.3">
      <c r="A78" s="52">
        <v>6</v>
      </c>
      <c r="B78" s="70">
        <v>-0.10814188686673687</v>
      </c>
      <c r="C78" s="71">
        <v>6.7681770107067218E-2</v>
      </c>
      <c r="E78" s="57">
        <v>5</v>
      </c>
      <c r="F78" s="70">
        <v>-4.5145227051949455E-2</v>
      </c>
      <c r="G78" s="71">
        <v>0.41154290021220158</v>
      </c>
      <c r="I78" s="78">
        <v>5</v>
      </c>
      <c r="J78" s="72">
        <v>-0.27491190881269362</v>
      </c>
      <c r="K78" s="73">
        <v>0.14166965212518415</v>
      </c>
      <c r="M78" s="77">
        <v>6</v>
      </c>
      <c r="N78" s="70">
        <v>-0.18934348522764002</v>
      </c>
      <c r="O78" s="71">
        <v>-0.40814445497794682</v>
      </c>
    </row>
    <row r="79" spans="1:15" x14ac:dyDescent="0.3">
      <c r="A79" s="52">
        <v>6</v>
      </c>
      <c r="B79" s="70">
        <v>-0.14008065462866126</v>
      </c>
      <c r="C79" s="71">
        <v>6.0917702201532233E-2</v>
      </c>
      <c r="E79" s="57">
        <v>5</v>
      </c>
      <c r="F79" s="70">
        <v>-0.18934348522764002</v>
      </c>
      <c r="G79" s="71">
        <v>-0.40814445497794682</v>
      </c>
      <c r="I79" s="78">
        <v>5</v>
      </c>
      <c r="J79" s="70">
        <v>-0.14186278915832581</v>
      </c>
      <c r="K79" s="71">
        <v>0.91322372358109161</v>
      </c>
      <c r="M79" s="77">
        <v>6</v>
      </c>
      <c r="N79" s="72">
        <v>1.3380518227119345</v>
      </c>
      <c r="O79" s="73">
        <v>0.56220402087958066</v>
      </c>
    </row>
    <row r="80" spans="1:15" x14ac:dyDescent="0.3">
      <c r="A80" s="52">
        <v>6</v>
      </c>
      <c r="B80" s="70">
        <v>-0.45390385660803501</v>
      </c>
      <c r="C80" s="71">
        <v>-0.71419758197951011</v>
      </c>
      <c r="E80" s="57">
        <v>5</v>
      </c>
      <c r="F80" s="72">
        <v>1.3380518227119345</v>
      </c>
      <c r="G80" s="73">
        <v>0.56220402087958066</v>
      </c>
      <c r="I80" s="78">
        <v>5</v>
      </c>
      <c r="J80" s="70">
        <v>-0.27757403885481802</v>
      </c>
      <c r="K80" s="71">
        <v>0.24156928761857535</v>
      </c>
      <c r="M80" s="77">
        <v>6</v>
      </c>
      <c r="N80" s="72">
        <v>-0.24934428069971565</v>
      </c>
      <c r="O80" s="73">
        <v>-0.5447504785677324</v>
      </c>
    </row>
    <row r="81" spans="1:15" x14ac:dyDescent="0.3">
      <c r="A81" s="52">
        <v>6</v>
      </c>
      <c r="B81" s="70">
        <v>-4.5145227051949455E-2</v>
      </c>
      <c r="C81" s="71">
        <v>0.41154290021220158</v>
      </c>
      <c r="E81" s="57">
        <v>5</v>
      </c>
      <c r="F81" s="70">
        <v>-0.17671548699715928</v>
      </c>
      <c r="G81" s="71">
        <v>0.2923288403027719</v>
      </c>
      <c r="I81" s="78">
        <v>5</v>
      </c>
      <c r="J81" s="72">
        <v>-0.16549629064595822</v>
      </c>
      <c r="K81" s="73">
        <v>0.89136518932570818</v>
      </c>
      <c r="M81" s="77">
        <v>6</v>
      </c>
      <c r="N81" s="72">
        <v>2.9417536701888247E-2</v>
      </c>
      <c r="O81" s="73">
        <v>-0.77272595242131381</v>
      </c>
    </row>
    <row r="82" spans="1:15" x14ac:dyDescent="0.3">
      <c r="A82" s="52">
        <v>6</v>
      </c>
      <c r="B82" s="70">
        <v>-0.33288202860527621</v>
      </c>
      <c r="C82" s="71">
        <v>-1.0011364466363786</v>
      </c>
      <c r="E82" s="57">
        <v>5</v>
      </c>
      <c r="F82" s="70">
        <v>-0.36082999267794907</v>
      </c>
      <c r="G82" s="71">
        <v>-0.16066659713505652</v>
      </c>
      <c r="I82" s="78">
        <v>5</v>
      </c>
      <c r="J82" s="70">
        <v>-5.4713110727113094E-2</v>
      </c>
      <c r="K82" s="71">
        <v>1.2801565770937464</v>
      </c>
      <c r="M82" s="77">
        <v>6</v>
      </c>
      <c r="N82" s="70">
        <v>-0.36082999267794907</v>
      </c>
      <c r="O82" s="71">
        <v>-0.16066659713505652</v>
      </c>
    </row>
    <row r="83" spans="1:15" x14ac:dyDescent="0.3">
      <c r="A83" s="52">
        <v>6</v>
      </c>
      <c r="B83" s="70">
        <v>-0.51973729734378693</v>
      </c>
      <c r="C83" s="71">
        <v>-1.7003304098735432</v>
      </c>
      <c r="E83" s="57">
        <v>5</v>
      </c>
      <c r="F83" s="70">
        <v>-8.9743142965848816E-2</v>
      </c>
      <c r="G83" s="71">
        <v>0.20265314476348506</v>
      </c>
      <c r="I83" s="78">
        <v>5</v>
      </c>
      <c r="J83" s="72">
        <v>-0.30713389614631048</v>
      </c>
      <c r="K83" s="73">
        <v>0.53757056721813889</v>
      </c>
      <c r="M83" s="77">
        <v>6</v>
      </c>
      <c r="N83" s="70">
        <v>-8.9743142965848816E-2</v>
      </c>
      <c r="O83" s="71">
        <v>0.20265314476348506</v>
      </c>
    </row>
    <row r="84" spans="1:15" x14ac:dyDescent="0.3">
      <c r="A84" s="52">
        <v>6</v>
      </c>
      <c r="B84" s="70">
        <v>-0.25337476848637808</v>
      </c>
      <c r="C84" s="71">
        <v>-0.33231270843934846</v>
      </c>
      <c r="E84" s="57">
        <v>6</v>
      </c>
      <c r="F84" s="72">
        <v>6.9391574620972811</v>
      </c>
      <c r="G84" s="73">
        <v>0.26812944697561042</v>
      </c>
      <c r="I84" s="78">
        <v>5</v>
      </c>
      <c r="J84" s="70">
        <v>-0.36096927160702535</v>
      </c>
      <c r="K84" s="71">
        <v>-0.17324800730389722</v>
      </c>
      <c r="M84" s="77">
        <v>6</v>
      </c>
      <c r="N84" s="72">
        <v>1.4273149184845846</v>
      </c>
      <c r="O84" s="73">
        <v>-1.6723888065842798</v>
      </c>
    </row>
    <row r="85" spans="1:15" x14ac:dyDescent="0.3">
      <c r="A85" s="52">
        <v>6</v>
      </c>
      <c r="B85" s="70">
        <v>-0.29645628680402175</v>
      </c>
      <c r="C85" s="71">
        <v>-0.90822187484699035</v>
      </c>
      <c r="E85" s="57">
        <v>6</v>
      </c>
      <c r="F85" s="72">
        <v>1.2725410249837343</v>
      </c>
      <c r="G85" s="73">
        <v>-0.32870288008931531</v>
      </c>
      <c r="I85" s="78">
        <v>6</v>
      </c>
      <c r="J85" s="72">
        <v>6.9391574620972811</v>
      </c>
      <c r="K85" s="73">
        <v>0.26812944697561042</v>
      </c>
      <c r="M85" s="77">
        <v>6</v>
      </c>
      <c r="N85" s="70">
        <v>-0.26080641277727334</v>
      </c>
      <c r="O85" s="71">
        <v>2.9304617049063689E-2</v>
      </c>
    </row>
    <row r="86" spans="1:15" x14ac:dyDescent="0.3">
      <c r="A86" s="52">
        <v>6</v>
      </c>
      <c r="B86" s="70">
        <v>-0.26080641277727334</v>
      </c>
      <c r="C86" s="71">
        <v>2.9304617049063689E-2</v>
      </c>
      <c r="E86" s="57">
        <v>6</v>
      </c>
      <c r="F86" s="79">
        <v>4.7195969102510622</v>
      </c>
      <c r="G86" s="80">
        <v>-1.3441493510926148</v>
      </c>
      <c r="I86" s="78">
        <v>6</v>
      </c>
      <c r="J86" s="79">
        <v>4.7195969102510622</v>
      </c>
      <c r="K86" s="80">
        <v>-1.3441493510926148</v>
      </c>
      <c r="M86" s="77">
        <v>6</v>
      </c>
      <c r="N86" s="74">
        <v>1.2725410249837343</v>
      </c>
      <c r="O86" s="75">
        <v>-0.32870288008931531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0B60-35D9-4BED-8004-03F6E75CB0A0}">
  <dimension ref="B1:Q8"/>
  <sheetViews>
    <sheetView zoomScale="70" zoomScaleNormal="70" workbookViewId="0">
      <selection activeCell="B1" sqref="B1:N1"/>
    </sheetView>
  </sheetViews>
  <sheetFormatPr defaultRowHeight="14.4" x14ac:dyDescent="0.3"/>
  <cols>
    <col min="2" max="2" width="18.33203125" customWidth="1"/>
    <col min="14" max="14" width="15.21875" customWidth="1"/>
    <col min="15" max="15" width="17.44140625" customWidth="1"/>
    <col min="16" max="16" width="18.33203125" customWidth="1"/>
    <col min="17" max="17" width="17.21875" customWidth="1"/>
  </cols>
  <sheetData>
    <row r="1" spans="2:17" x14ac:dyDescent="0.3">
      <c r="B1" s="13"/>
      <c r="C1" s="13" t="s">
        <v>109</v>
      </c>
      <c r="D1" s="13" t="s">
        <v>110</v>
      </c>
      <c r="E1" s="13" t="s">
        <v>111</v>
      </c>
      <c r="F1" s="13" t="s">
        <v>112</v>
      </c>
      <c r="G1" s="13" t="s">
        <v>113</v>
      </c>
      <c r="H1" s="13" t="s">
        <v>114</v>
      </c>
      <c r="I1" s="13" t="s">
        <v>115</v>
      </c>
      <c r="J1" s="13" t="s">
        <v>116</v>
      </c>
      <c r="K1" s="13" t="s">
        <v>117</v>
      </c>
      <c r="L1" s="13" t="s">
        <v>118</v>
      </c>
      <c r="M1" s="13" t="s">
        <v>119</v>
      </c>
      <c r="N1" s="15" t="s">
        <v>121</v>
      </c>
      <c r="O1" s="91" t="s">
        <v>120</v>
      </c>
      <c r="P1" s="91"/>
      <c r="Q1" s="91"/>
    </row>
    <row r="2" spans="2:17" ht="28.8" x14ac:dyDescent="0.3">
      <c r="B2" s="13">
        <v>1</v>
      </c>
      <c r="C2" s="13">
        <v>-8.5777769783093538E-2</v>
      </c>
      <c r="D2" s="13">
        <v>-0.15084056431478274</v>
      </c>
      <c r="E2" s="13">
        <v>1.590940457643554E-2</v>
      </c>
      <c r="F2" s="13">
        <v>0.38635214173465926</v>
      </c>
      <c r="G2" s="13">
        <v>0.11108090229376172</v>
      </c>
      <c r="H2" s="13">
        <v>0.20486848152942816</v>
      </c>
      <c r="I2" s="13">
        <v>0.15951932181058504</v>
      </c>
      <c r="J2" s="13">
        <v>9.7549891319920159E-2</v>
      </c>
      <c r="K2" s="13">
        <v>1.2194385055604304</v>
      </c>
      <c r="L2" s="13">
        <v>0.21737973164600322</v>
      </c>
      <c r="M2" s="13">
        <v>-0.29570161372310111</v>
      </c>
      <c r="N2" s="13">
        <v>63.510015753209615</v>
      </c>
      <c r="O2" s="26" t="s">
        <v>53</v>
      </c>
      <c r="P2" s="26" t="s">
        <v>93</v>
      </c>
      <c r="Q2" s="26" t="s">
        <v>91</v>
      </c>
    </row>
    <row r="3" spans="2:17" ht="43.2" x14ac:dyDescent="0.3">
      <c r="B3" s="13">
        <v>2</v>
      </c>
      <c r="C3" s="13">
        <v>-0.40117445819171077</v>
      </c>
      <c r="D3" s="13">
        <v>-0.26323472896034794</v>
      </c>
      <c r="E3" s="13">
        <v>-0.59445670698184383</v>
      </c>
      <c r="F3" s="13">
        <v>-0.74831509222117942</v>
      </c>
      <c r="G3" s="13">
        <v>0.8539963513879647</v>
      </c>
      <c r="H3" s="13">
        <v>-1.0933889115649791</v>
      </c>
      <c r="I3" s="13">
        <v>-0.5724198782756178</v>
      </c>
      <c r="J3" s="13">
        <v>-1.3202873221747859</v>
      </c>
      <c r="K3" s="13">
        <v>-1.2435390914398965</v>
      </c>
      <c r="L3" s="13">
        <v>-0.59698110684834238</v>
      </c>
      <c r="M3" s="13">
        <v>-1.3859999219998067</v>
      </c>
      <c r="N3" s="13">
        <v>81.215485970066752</v>
      </c>
      <c r="O3" s="26" t="s">
        <v>68</v>
      </c>
      <c r="P3" s="26" t="s">
        <v>46</v>
      </c>
      <c r="Q3" s="26" t="s">
        <v>49</v>
      </c>
    </row>
    <row r="4" spans="2:17" ht="28.8" x14ac:dyDescent="0.3">
      <c r="B4" s="13">
        <v>3</v>
      </c>
      <c r="C4" s="13">
        <v>-0.29383595741402468</v>
      </c>
      <c r="D4" s="13">
        <v>-0.28376431745106706</v>
      </c>
      <c r="E4" s="13">
        <v>9.3596679432283114E-2</v>
      </c>
      <c r="F4" s="13">
        <v>-0.26430257805447349</v>
      </c>
      <c r="G4" s="13">
        <v>-6.2467100523230602E-2</v>
      </c>
      <c r="H4" s="13">
        <v>-0.39338388208609193</v>
      </c>
      <c r="I4" s="13">
        <v>-0.50249109582656226</v>
      </c>
      <c r="J4" s="13">
        <v>0.66773767039077203</v>
      </c>
      <c r="K4" s="13">
        <v>-0.18734802024280911</v>
      </c>
      <c r="L4" s="13">
        <v>-0.3813452346705698</v>
      </c>
      <c r="M4" s="13">
        <v>0.58462476533598851</v>
      </c>
      <c r="N4" s="13">
        <v>82.447720107695858</v>
      </c>
      <c r="O4" s="26" t="s">
        <v>21</v>
      </c>
      <c r="P4" s="26" t="s">
        <v>35</v>
      </c>
      <c r="Q4" s="26" t="s">
        <v>51</v>
      </c>
    </row>
    <row r="5" spans="2:17" ht="28.8" x14ac:dyDescent="0.3">
      <c r="B5" s="13">
        <v>4</v>
      </c>
      <c r="C5" s="13">
        <v>0.94546507481097397</v>
      </c>
      <c r="D5" s="13">
        <v>0.66946840531568996</v>
      </c>
      <c r="E5" s="13">
        <v>1.2256651873443887</v>
      </c>
      <c r="F5" s="13">
        <v>1.8827543898102079</v>
      </c>
      <c r="G5" s="13">
        <v>0.12298704232247878</v>
      </c>
      <c r="H5" s="13">
        <v>-2.9584936392048625E-2</v>
      </c>
      <c r="I5" s="13">
        <v>-0.12895250400757308</v>
      </c>
      <c r="J5" s="13">
        <v>-0.99658266434039466</v>
      </c>
      <c r="K5" s="13">
        <v>0.38008667117291584</v>
      </c>
      <c r="L5" s="13">
        <v>1.8934750268025426</v>
      </c>
      <c r="M5" s="13">
        <v>0.50147550976177546</v>
      </c>
      <c r="N5" s="13">
        <v>100.36826858181591</v>
      </c>
      <c r="O5" s="26" t="s">
        <v>87</v>
      </c>
      <c r="P5" s="26" t="s">
        <v>48</v>
      </c>
      <c r="Q5" s="26" t="s">
        <v>79</v>
      </c>
    </row>
    <row r="6" spans="2:17" ht="57.6" x14ac:dyDescent="0.3">
      <c r="B6" s="13">
        <v>5</v>
      </c>
      <c r="C6" s="13">
        <v>5.7462770269576238</v>
      </c>
      <c r="D6" s="13">
        <v>5.9049781269580119</v>
      </c>
      <c r="E6" s="13">
        <v>1.6296869343920357</v>
      </c>
      <c r="F6" s="13">
        <v>1.9311908677562943</v>
      </c>
      <c r="G6" s="13">
        <v>-0.2080774870031652</v>
      </c>
      <c r="H6" s="13">
        <v>0.55459797346785666</v>
      </c>
      <c r="I6" s="13">
        <v>-0.65648515448619627</v>
      </c>
      <c r="J6" s="13">
        <v>-2.0636847698196972</v>
      </c>
      <c r="K6" s="13">
        <v>-0.42314784923426446</v>
      </c>
      <c r="L6" s="13">
        <v>0.73658747277901915</v>
      </c>
      <c r="M6" s="13">
        <v>-0.45731752806434312</v>
      </c>
      <c r="N6" s="13">
        <v>15.349019122064453</v>
      </c>
      <c r="O6" s="26" t="s">
        <v>31</v>
      </c>
      <c r="P6" s="26" t="s">
        <v>34</v>
      </c>
      <c r="Q6" s="26"/>
    </row>
    <row r="7" spans="2:17" ht="28.8" x14ac:dyDescent="0.3">
      <c r="B7" s="13">
        <v>6</v>
      </c>
      <c r="C7" s="13">
        <v>-0.18401601966872208</v>
      </c>
      <c r="D7" s="13">
        <v>-0.12096098326786553</v>
      </c>
      <c r="E7" s="13">
        <v>-0.57835083809007282</v>
      </c>
      <c r="F7" s="13">
        <v>-0.46278205472900291</v>
      </c>
      <c r="G7" s="13">
        <v>-0.55072992861612569</v>
      </c>
      <c r="H7" s="13">
        <v>1.2206682278936987</v>
      </c>
      <c r="I7" s="13">
        <v>1.3631383944548849</v>
      </c>
      <c r="J7" s="13">
        <v>3.8289383527242239E-2</v>
      </c>
      <c r="K7" s="13">
        <v>-0.24543062574109406</v>
      </c>
      <c r="L7" s="13">
        <v>8.2030150908942862E-3</v>
      </c>
      <c r="M7" s="13">
        <v>-0.18758650718751249</v>
      </c>
      <c r="N7" s="13">
        <v>95.927444357753487</v>
      </c>
      <c r="O7" s="26" t="s">
        <v>50</v>
      </c>
      <c r="P7" s="26" t="s">
        <v>83</v>
      </c>
      <c r="Q7" s="26" t="s">
        <v>64</v>
      </c>
    </row>
    <row r="8" spans="2:17" x14ac:dyDescent="0.3">
      <c r="N8">
        <f>SUM(N2:N7)</f>
        <v>438.81795389260606</v>
      </c>
    </row>
  </sheetData>
  <mergeCells count="1">
    <mergeCell ref="O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A630-C073-41B5-9425-3EA49C903380}">
  <dimension ref="A1:P8"/>
  <sheetViews>
    <sheetView topLeftCell="C1" zoomScale="85" zoomScaleNormal="85" workbookViewId="0">
      <selection activeCell="M2" sqref="M2:M8"/>
    </sheetView>
  </sheetViews>
  <sheetFormatPr defaultRowHeight="14.4" x14ac:dyDescent="0.3"/>
  <cols>
    <col min="13" max="13" width="15.33203125" customWidth="1"/>
    <col min="14" max="14" width="20.21875" customWidth="1"/>
    <col min="15" max="15" width="22.77734375" customWidth="1"/>
    <col min="16" max="16" width="23.6640625" customWidth="1"/>
  </cols>
  <sheetData>
    <row r="1" spans="1:16" x14ac:dyDescent="0.3">
      <c r="A1" s="13"/>
      <c r="B1" s="13" t="s">
        <v>109</v>
      </c>
      <c r="C1" s="13" t="s">
        <v>110</v>
      </c>
      <c r="D1" s="13" t="s">
        <v>111</v>
      </c>
      <c r="E1" s="13" t="s">
        <v>112</v>
      </c>
      <c r="F1" s="13" t="s">
        <v>113</v>
      </c>
      <c r="G1" s="13" t="s">
        <v>114</v>
      </c>
      <c r="H1" s="13" t="s">
        <v>115</v>
      </c>
      <c r="I1" s="13" t="s">
        <v>116</v>
      </c>
      <c r="J1" s="13" t="s">
        <v>117</v>
      </c>
      <c r="K1" s="13" t="s">
        <v>118</v>
      </c>
      <c r="L1" s="13" t="s">
        <v>119</v>
      </c>
      <c r="M1" s="15" t="s">
        <v>121</v>
      </c>
      <c r="N1" s="91" t="s">
        <v>120</v>
      </c>
      <c r="O1" s="91"/>
      <c r="P1" s="91"/>
    </row>
    <row r="2" spans="1:16" ht="28.8" x14ac:dyDescent="0.3">
      <c r="A2" s="13">
        <v>1</v>
      </c>
      <c r="B2" s="13">
        <v>1.1748659054027062</v>
      </c>
      <c r="C2" s="13">
        <v>1.3250541294586633</v>
      </c>
      <c r="D2" s="13">
        <v>6.4902804864535319</v>
      </c>
      <c r="E2" s="13">
        <v>3.7039659605830395</v>
      </c>
      <c r="F2" s="13">
        <v>1.8842189578107982</v>
      </c>
      <c r="G2" s="13">
        <v>2.9503246035669856E-2</v>
      </c>
      <c r="H2" s="13">
        <v>-1.5243140099543966</v>
      </c>
      <c r="I2" s="13">
        <v>-1.1344379602635584</v>
      </c>
      <c r="J2" s="13">
        <v>-0.83705571518161315</v>
      </c>
      <c r="K2" s="13">
        <v>2.6721019969415645</v>
      </c>
      <c r="L2" s="13">
        <v>-0.15587572530949298</v>
      </c>
      <c r="M2" s="13">
        <v>0</v>
      </c>
      <c r="N2" s="26" t="s">
        <v>97</v>
      </c>
      <c r="O2" s="26"/>
      <c r="P2" s="26"/>
    </row>
    <row r="3" spans="1:16" x14ac:dyDescent="0.3">
      <c r="A3" s="13">
        <v>2</v>
      </c>
      <c r="B3" s="13">
        <v>-0.49586085164208815</v>
      </c>
      <c r="C3" s="13">
        <v>-0.37468514609178732</v>
      </c>
      <c r="D3" s="13">
        <v>-1.2324468896143668</v>
      </c>
      <c r="E3" s="13">
        <v>-0.82323017811112553</v>
      </c>
      <c r="F3" s="13">
        <v>1.8908304035269979E-2</v>
      </c>
      <c r="G3" s="13">
        <v>-2.437560763386617</v>
      </c>
      <c r="H3" s="13">
        <v>-1.2599856167926518</v>
      </c>
      <c r="I3" s="13">
        <v>-3.0048450000111711</v>
      </c>
      <c r="J3" s="13">
        <v>-1.4101273224894884</v>
      </c>
      <c r="K3" s="13">
        <v>-0.98077694711248731</v>
      </c>
      <c r="L3" s="13">
        <v>-1.9893902750135775</v>
      </c>
      <c r="M3" s="13">
        <v>5.7854290754448163</v>
      </c>
      <c r="N3" s="26" t="s">
        <v>71</v>
      </c>
      <c r="O3" s="26" t="s">
        <v>72</v>
      </c>
      <c r="P3" s="26" t="s">
        <v>95</v>
      </c>
    </row>
    <row r="4" spans="1:16" ht="28.8" x14ac:dyDescent="0.3">
      <c r="A4" s="13">
        <v>3</v>
      </c>
      <c r="B4" s="13">
        <v>-0.43398694567505031</v>
      </c>
      <c r="C4" s="13">
        <v>-0.34071573052145881</v>
      </c>
      <c r="D4" s="13">
        <v>-0.90381174760723626</v>
      </c>
      <c r="E4" s="13">
        <v>-1.9824765502874486</v>
      </c>
      <c r="F4" s="13">
        <v>-0.74899927129233945</v>
      </c>
      <c r="G4" s="13">
        <v>1.4987161048862845</v>
      </c>
      <c r="H4" s="13">
        <v>3.2205839650382497</v>
      </c>
      <c r="I4" s="13">
        <v>-1.0986976983575525</v>
      </c>
      <c r="J4" s="13">
        <v>-1.2938709798018824</v>
      </c>
      <c r="K4" s="13">
        <v>1.2527131333823336</v>
      </c>
      <c r="L4" s="13">
        <v>-0.87725442141811916</v>
      </c>
      <c r="M4" s="13">
        <v>5.3919314880374083</v>
      </c>
      <c r="N4" s="26" t="s">
        <v>80</v>
      </c>
      <c r="O4" s="26" t="s">
        <v>82</v>
      </c>
      <c r="P4" s="26"/>
    </row>
    <row r="5" spans="1:16" ht="72" x14ac:dyDescent="0.3">
      <c r="A5" s="13">
        <v>4</v>
      </c>
      <c r="B5" s="13">
        <v>0.54188864880776777</v>
      </c>
      <c r="C5" s="13">
        <v>1.7927261798593941E-2</v>
      </c>
      <c r="D5" s="13">
        <v>2.390711893678843E-3</v>
      </c>
      <c r="E5" s="13">
        <v>1.6502592956689961</v>
      </c>
      <c r="F5" s="13">
        <v>0.44450666223233604</v>
      </c>
      <c r="G5" s="13">
        <v>-1.8000722425666069E-2</v>
      </c>
      <c r="H5" s="13">
        <v>-6.2947173545920693E-2</v>
      </c>
      <c r="I5" s="13">
        <v>-0.74129507929749949</v>
      </c>
      <c r="J5" s="13">
        <v>2.3130559214379387</v>
      </c>
      <c r="K5" s="13">
        <v>2.8293681707528116</v>
      </c>
      <c r="L5" s="13">
        <v>2.4879962397070816</v>
      </c>
      <c r="M5" s="13">
        <v>5.6559336875507737</v>
      </c>
      <c r="N5" s="26" t="s">
        <v>40</v>
      </c>
      <c r="O5" s="26" t="s">
        <v>41</v>
      </c>
      <c r="P5" s="26"/>
    </row>
    <row r="6" spans="1:16" ht="28.8" x14ac:dyDescent="0.3">
      <c r="A6" s="13">
        <v>5</v>
      </c>
      <c r="B6" s="13">
        <v>-0.15194187747542828</v>
      </c>
      <c r="C6" s="13">
        <v>-0.15153837343538121</v>
      </c>
      <c r="D6" s="13">
        <v>-5.6659621532899343E-2</v>
      </c>
      <c r="E6" s="13">
        <v>-5.9096302033674192E-2</v>
      </c>
      <c r="F6" s="13">
        <v>-1.2210715703870299E-2</v>
      </c>
      <c r="G6" s="13">
        <v>4.2834031096896527E-2</v>
      </c>
      <c r="H6" s="13">
        <v>4.0262344842673693E-3</v>
      </c>
      <c r="I6" s="13">
        <v>0.23941770740328716</v>
      </c>
      <c r="J6" s="13">
        <v>5.1671513304620303E-2</v>
      </c>
      <c r="K6" s="13">
        <v>-0.12489478279243281</v>
      </c>
      <c r="L6" s="13">
        <v>5.0895972932018224E-2</v>
      </c>
      <c r="M6" s="13">
        <v>475.67165264524385</v>
      </c>
      <c r="N6" s="26" t="s">
        <v>85</v>
      </c>
      <c r="O6" s="26" t="s">
        <v>21</v>
      </c>
      <c r="P6" s="26" t="s">
        <v>69</v>
      </c>
    </row>
    <row r="7" spans="1:16" ht="57.6" x14ac:dyDescent="0.3">
      <c r="A7" s="13">
        <v>6</v>
      </c>
      <c r="B7" s="13">
        <v>5.7462770269576238</v>
      </c>
      <c r="C7" s="13">
        <v>5.9049781269580119</v>
      </c>
      <c r="D7" s="13">
        <v>1.6296869343920357</v>
      </c>
      <c r="E7" s="13">
        <v>1.9311908677562943</v>
      </c>
      <c r="F7" s="13">
        <v>-0.2080774870031652</v>
      </c>
      <c r="G7" s="13">
        <v>0.55459797346785666</v>
      </c>
      <c r="H7" s="13">
        <v>-0.65648515448619627</v>
      </c>
      <c r="I7" s="13">
        <v>-2.0636847698196972</v>
      </c>
      <c r="J7" s="13">
        <v>-0.42314784923426446</v>
      </c>
      <c r="K7" s="13">
        <v>0.73658747277901915</v>
      </c>
      <c r="L7" s="13">
        <v>-0.45731752806434312</v>
      </c>
      <c r="M7" s="13">
        <v>15.349019122064453</v>
      </c>
      <c r="N7" s="26" t="s">
        <v>31</v>
      </c>
      <c r="O7" s="26" t="s">
        <v>34</v>
      </c>
      <c r="P7" s="26"/>
    </row>
    <row r="8" spans="1:16" x14ac:dyDescent="0.3">
      <c r="M8">
        <f>SUM(M2:M7)</f>
        <v>507.85396601834134</v>
      </c>
    </row>
  </sheetData>
  <mergeCells count="1">
    <mergeCell ref="N1:P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9CCE-0E42-4520-8AF3-CEE698819AFB}">
  <dimension ref="A1:P8"/>
  <sheetViews>
    <sheetView topLeftCell="E1" workbookViewId="0">
      <selection activeCell="M2" sqref="M2:M8"/>
    </sheetView>
  </sheetViews>
  <sheetFormatPr defaultRowHeight="14.4" x14ac:dyDescent="0.3"/>
  <cols>
    <col min="13" max="13" width="12.21875" customWidth="1"/>
    <col min="14" max="14" width="22.5546875" customWidth="1"/>
    <col min="15" max="15" width="20.44140625" customWidth="1"/>
    <col min="16" max="16" width="25" customWidth="1"/>
  </cols>
  <sheetData>
    <row r="1" spans="1:16" ht="28.8" x14ac:dyDescent="0.3">
      <c r="A1" s="13"/>
      <c r="B1" s="13" t="s">
        <v>109</v>
      </c>
      <c r="C1" s="13" t="s">
        <v>110</v>
      </c>
      <c r="D1" s="13" t="s">
        <v>111</v>
      </c>
      <c r="E1" s="13" t="s">
        <v>112</v>
      </c>
      <c r="F1" s="13" t="s">
        <v>113</v>
      </c>
      <c r="G1" s="13" t="s">
        <v>114</v>
      </c>
      <c r="H1" s="13" t="s">
        <v>115</v>
      </c>
      <c r="I1" s="13" t="s">
        <v>116</v>
      </c>
      <c r="J1" s="13" t="s">
        <v>117</v>
      </c>
      <c r="K1" s="13" t="s">
        <v>118</v>
      </c>
      <c r="L1" s="13" t="s">
        <v>119</v>
      </c>
      <c r="M1" s="29" t="s">
        <v>121</v>
      </c>
      <c r="N1" s="92" t="s">
        <v>120</v>
      </c>
      <c r="O1" s="93"/>
      <c r="P1" s="94"/>
    </row>
    <row r="2" spans="1:16" ht="28.8" x14ac:dyDescent="0.3">
      <c r="A2" s="13">
        <v>1</v>
      </c>
      <c r="B2" s="13">
        <v>1.1748659054027062</v>
      </c>
      <c r="C2" s="13">
        <v>1.3250541294586633</v>
      </c>
      <c r="D2" s="13">
        <v>6.4902804864535319</v>
      </c>
      <c r="E2" s="13">
        <v>3.7039659605830395</v>
      </c>
      <c r="F2" s="13">
        <v>1.8842189578107982</v>
      </c>
      <c r="G2" s="13">
        <v>2.9503246035669856E-2</v>
      </c>
      <c r="H2" s="13">
        <v>-1.5243140099543966</v>
      </c>
      <c r="I2" s="13">
        <v>-1.1344379602635584</v>
      </c>
      <c r="J2" s="13">
        <v>-0.83705571518161315</v>
      </c>
      <c r="K2" s="13">
        <v>2.6721019969415645</v>
      </c>
      <c r="L2" s="13">
        <v>-0.15587572530949298</v>
      </c>
      <c r="M2" s="13">
        <v>0</v>
      </c>
      <c r="N2" s="26" t="s">
        <v>97</v>
      </c>
      <c r="O2" s="26"/>
      <c r="P2" s="26"/>
    </row>
    <row r="3" spans="1:16" ht="28.8" x14ac:dyDescent="0.3">
      <c r="A3" s="13">
        <v>2</v>
      </c>
      <c r="B3" s="13">
        <v>-0.43398694567505031</v>
      </c>
      <c r="C3" s="13">
        <v>-0.34071573052145881</v>
      </c>
      <c r="D3" s="13">
        <v>-0.90381174760723626</v>
      </c>
      <c r="E3" s="13">
        <v>-1.9824765502874486</v>
      </c>
      <c r="F3" s="13">
        <v>-0.74899927129233945</v>
      </c>
      <c r="G3" s="13">
        <v>1.4987161048862845</v>
      </c>
      <c r="H3" s="13">
        <v>3.2205839650382497</v>
      </c>
      <c r="I3" s="13">
        <v>-1.0986976983575525</v>
      </c>
      <c r="J3" s="13">
        <v>-1.2938709798018824</v>
      </c>
      <c r="K3" s="13">
        <v>1.2527131333823336</v>
      </c>
      <c r="L3" s="13">
        <v>-0.87725442141811916</v>
      </c>
      <c r="M3" s="13">
        <v>5.3919314880374083</v>
      </c>
      <c r="N3" s="26" t="s">
        <v>80</v>
      </c>
      <c r="O3" s="26" t="s">
        <v>82</v>
      </c>
      <c r="P3" s="26"/>
    </row>
    <row r="4" spans="1:16" ht="43.2" x14ac:dyDescent="0.3">
      <c r="A4" s="13">
        <v>3</v>
      </c>
      <c r="B4" s="13">
        <v>5.7462770269576238</v>
      </c>
      <c r="C4" s="13">
        <v>5.9049781269580119</v>
      </c>
      <c r="D4" s="13">
        <v>1.6296869343920357</v>
      </c>
      <c r="E4" s="13">
        <v>1.9311908677562943</v>
      </c>
      <c r="F4" s="13">
        <v>-0.2080774870031652</v>
      </c>
      <c r="G4" s="13">
        <v>0.55459797346785666</v>
      </c>
      <c r="H4" s="13">
        <v>-0.65648515448619627</v>
      </c>
      <c r="I4" s="13">
        <v>-2.0636847698196972</v>
      </c>
      <c r="J4" s="13">
        <v>-0.42314784923426446</v>
      </c>
      <c r="K4" s="13">
        <v>0.73658747277901915</v>
      </c>
      <c r="L4" s="13">
        <v>-0.45731752806434312</v>
      </c>
      <c r="M4" s="13">
        <v>15.349019122064453</v>
      </c>
      <c r="N4" s="26" t="s">
        <v>31</v>
      </c>
      <c r="O4" s="26" t="s">
        <v>34</v>
      </c>
      <c r="P4" s="26"/>
    </row>
    <row r="5" spans="1:16" ht="28.8" x14ac:dyDescent="0.3">
      <c r="A5" s="13">
        <v>4</v>
      </c>
      <c r="B5" s="13">
        <v>-0.24802599991530225</v>
      </c>
      <c r="C5" s="13">
        <v>-0.24918631315119311</v>
      </c>
      <c r="D5" s="13">
        <v>-7.2625180182090979E-2</v>
      </c>
      <c r="E5" s="13">
        <v>-0.20213325778162802</v>
      </c>
      <c r="F5" s="13">
        <v>-7.4791979664567965E-2</v>
      </c>
      <c r="G5" s="13">
        <v>-3.9771302296632595E-2</v>
      </c>
      <c r="H5" s="13">
        <v>-6.8477001175736449E-2</v>
      </c>
      <c r="I5" s="13">
        <v>0.34710758405881953</v>
      </c>
      <c r="J5" s="13">
        <v>9.4413035476600835E-2</v>
      </c>
      <c r="K5" s="13">
        <v>-0.23605899715684059</v>
      </c>
      <c r="L5" s="13">
        <v>8.9598573623663275E-2</v>
      </c>
      <c r="M5" s="13">
        <v>303.57285338032653</v>
      </c>
      <c r="N5" s="26" t="s">
        <v>85</v>
      </c>
      <c r="O5" s="26" t="s">
        <v>69</v>
      </c>
      <c r="P5" s="26" t="s">
        <v>21</v>
      </c>
    </row>
    <row r="6" spans="1:16" x14ac:dyDescent="0.3">
      <c r="A6" s="13">
        <v>5</v>
      </c>
      <c r="B6" s="13">
        <v>0.63567899466192701</v>
      </c>
      <c r="C6" s="13">
        <v>0.48388362531898244</v>
      </c>
      <c r="D6" s="13">
        <v>8.9595156963792277E-2</v>
      </c>
      <c r="E6" s="13">
        <v>1.3112039500463941</v>
      </c>
      <c r="F6" s="13">
        <v>-0.54910533273268536</v>
      </c>
      <c r="G6" s="13">
        <v>0.65701341569923744</v>
      </c>
      <c r="H6" s="13">
        <v>0.64311021722780104</v>
      </c>
      <c r="I6" s="13">
        <v>-0.61263013643588005</v>
      </c>
      <c r="J6" s="13">
        <v>0.51755931274370626</v>
      </c>
      <c r="K6" s="13">
        <v>1.3616697444510479</v>
      </c>
      <c r="L6" s="13">
        <v>0.5962432773138332</v>
      </c>
      <c r="M6" s="13">
        <v>93.793397817536231</v>
      </c>
      <c r="N6" s="26" t="s">
        <v>87</v>
      </c>
      <c r="O6" s="26" t="s">
        <v>57</v>
      </c>
      <c r="P6" s="26" t="s">
        <v>75</v>
      </c>
    </row>
    <row r="7" spans="1:16" ht="28.8" x14ac:dyDescent="0.3">
      <c r="A7" s="13">
        <v>6</v>
      </c>
      <c r="B7" s="13">
        <v>-0.38042867000129604</v>
      </c>
      <c r="C7" s="13">
        <v>-0.22408185564087232</v>
      </c>
      <c r="D7" s="13">
        <v>-0.69832848300121564</v>
      </c>
      <c r="E7" s="13">
        <v>-0.62948426632678212</v>
      </c>
      <c r="F7" s="13">
        <v>1.7179457641065679</v>
      </c>
      <c r="G7" s="13">
        <v>-1.3601503687919714</v>
      </c>
      <c r="H7" s="13">
        <v>-0.94207628469677041</v>
      </c>
      <c r="I7" s="13">
        <v>-1.4382301864646037</v>
      </c>
      <c r="J7" s="13">
        <v>-1.1578223374475971</v>
      </c>
      <c r="K7" s="13">
        <v>-0.85993747262282971</v>
      </c>
      <c r="L7" s="13">
        <v>-1.4786203101296636</v>
      </c>
      <c r="M7" s="13">
        <v>58.243420905657132</v>
      </c>
      <c r="N7" s="26" t="s">
        <v>42</v>
      </c>
      <c r="O7" s="26" t="s">
        <v>72</v>
      </c>
      <c r="P7" s="26" t="s">
        <v>67</v>
      </c>
    </row>
    <row r="8" spans="1:16" x14ac:dyDescent="0.3">
      <c r="M8">
        <f>SUM(M2:M7)</f>
        <v>476.35062271362176</v>
      </c>
    </row>
  </sheetData>
  <mergeCells count="1"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Данные</vt:lpstr>
      <vt:lpstr>Данные приведенные</vt:lpstr>
      <vt:lpstr>Cluster Membership</vt:lpstr>
      <vt:lpstr>Итоги</vt:lpstr>
      <vt:lpstr>МГК</vt:lpstr>
      <vt:lpstr>Факторный анализ</vt:lpstr>
      <vt:lpstr>Итоги метода к-средних</vt:lpstr>
      <vt:lpstr>Итоги метод ср взв</vt:lpstr>
      <vt:lpstr>Итоги метод полных связей</vt:lpstr>
      <vt:lpstr>Итоги метод Уорда</vt:lpstr>
      <vt:lpstr>Итоги нейросеть (Кохонен)</vt:lpstr>
      <vt:lpstr>Итоги нейросеть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Степаненкова Марго</dc:creator>
  <cp:lastModifiedBy>Степаненкова Марго</cp:lastModifiedBy>
  <dcterms:created xsi:type="dcterms:W3CDTF">2015-06-05T18:19:34Z</dcterms:created>
  <dcterms:modified xsi:type="dcterms:W3CDTF">2022-05-24T10:18:01Z</dcterms:modified>
</cp:coreProperties>
</file>