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ovie collection" sheetId="1" r:id="rId4"/>
    <sheet state="visible" name="New Release" sheetId="2" r:id="rId5"/>
    <sheet state="visible" name="Reviews" sheetId="3" r:id="rId6"/>
    <sheet state="visible" name="Upcoming" sheetId="4" r:id="rId7"/>
    <sheet state="visible" name="Movie Release" sheetId="5" r:id="rId8"/>
    <sheet state="visible" name="how to scrap data" sheetId="6" r:id="rId9"/>
  </sheets>
  <definedNames/>
  <calcPr/>
</workbook>
</file>

<file path=xl/sharedStrings.xml><?xml version="1.0" encoding="utf-8"?>
<sst xmlns="http://schemas.openxmlformats.org/spreadsheetml/2006/main" count="4" uniqueCount="4">
  <si>
    <t xml:space="preserve">Excel code </t>
  </si>
  <si>
    <t>IMPORTHTML("https://en.wikipedia.org/wiki/List_of_Marvel_Cinematic_Universe_films","table",Table number)</t>
  </si>
  <si>
    <t>code paste on wiki console</t>
  </si>
  <si>
    <t>Tables: var i = 1; [].forEach.call(document.querySelectorAll('table'), function(x) { console.log(i++, x); }); Lists: var i = 1; [].forEach.call(document.querySelectorAll('ul,ol'), function(x) { console.log(i++, x); });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</si>
</sst>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mm d, yyyy"/>
    <numFmt numFmtId="165" formatCode="&quot;$&quot;#,##0"/>
  </numFmts>
  <fonts count="5">
    <font>
      <sz val="10.0"/>
      <color rgb="FF000000"/>
      <name val="Arial"/>
    </font>
    <font>
      <color theme="1"/>
      <name val="Arial"/>
    </font>
    <font>
      <b/>
      <color rgb="FFFFFFFF"/>
    </font>
    <font/>
    <font>
      <sz val="11.0"/>
      <color rgb="FF030303"/>
      <name val="Roboto"/>
    </font>
  </fonts>
  <fills count="4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  <fill>
      <patternFill patternType="solid">
        <fgColor rgb="FFF9F9F9"/>
        <bgColor rgb="FFF9F9F9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Font="1" applyNumberFormat="1"/>
    <xf borderId="0" fillId="0" fontId="1" numFmtId="165" xfId="0" applyFont="1" applyNumberFormat="1"/>
    <xf borderId="0" fillId="2" fontId="2" numFmtId="0" xfId="0" applyAlignment="1" applyFill="1" applyFont="1">
      <alignment readingOrder="0"/>
    </xf>
    <xf borderId="0" fillId="0" fontId="3" numFmtId="0" xfId="0" applyAlignment="1" applyFont="1">
      <alignment readingOrder="0"/>
    </xf>
    <xf borderId="0" fillId="3" fontId="4" numFmtId="0" xfId="0" applyAlignment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7.29"/>
  </cols>
  <sheetData>
    <row r="1">
      <c r="A1" s="1" t="str">
        <f>IFERROR(__xludf.DUMMYFUNCTION("IMPORTHTML(""https://en.wikipedia.org/wiki/List_of_Marvel_Cinematic_Universe_films"",""table"",6)"),"Film")</f>
        <v>Film</v>
      </c>
      <c r="B1" s="1" t="str">
        <f>IFERROR(__xludf.DUMMYFUNCTION("""COMPUTED_VALUE"""),"U.S. release date")</f>
        <v>U.S. release date</v>
      </c>
      <c r="C1" s="1" t="str">
        <f>IFERROR(__xludf.DUMMYFUNCTION("""COMPUTED_VALUE"""),"Box office gross")</f>
        <v>Box office gross</v>
      </c>
      <c r="D1" s="1"/>
      <c r="E1" s="1"/>
      <c r="F1" s="1" t="str">
        <f>IFERROR(__xludf.DUMMYFUNCTION("""COMPUTED_VALUE"""),"All-time ranking")</f>
        <v>All-time ranking</v>
      </c>
      <c r="G1" s="1"/>
      <c r="H1" s="1" t="str">
        <f>IFERROR(__xludf.DUMMYFUNCTION("""COMPUTED_VALUE"""),"Budget")</f>
        <v>Budget</v>
      </c>
      <c r="I1" s="1" t="str">
        <f>IFERROR(__xludf.DUMMYFUNCTION("""COMPUTED_VALUE"""),"Ref(s)")</f>
        <v>Ref(s)</v>
      </c>
    </row>
    <row r="2">
      <c r="A2" s="1"/>
      <c r="B2" s="1"/>
      <c r="C2" s="1" t="str">
        <f>IFERROR(__xludf.DUMMYFUNCTION("""COMPUTED_VALUE"""),"U.S. and Canada")</f>
        <v>U.S. and Canada</v>
      </c>
      <c r="D2" s="1" t="str">
        <f>IFERROR(__xludf.DUMMYFUNCTION("""COMPUTED_VALUE"""),"Other territories")</f>
        <v>Other territories</v>
      </c>
      <c r="E2" s="1" t="str">
        <f>IFERROR(__xludf.DUMMYFUNCTION("""COMPUTED_VALUE"""),"Worldwide")</f>
        <v>Worldwide</v>
      </c>
      <c r="F2" s="1" t="str">
        <f>IFERROR(__xludf.DUMMYFUNCTION("""COMPUTED_VALUE"""),"U.S. and Canada")</f>
        <v>U.S. and Canada</v>
      </c>
      <c r="G2" s="1" t="str">
        <f>IFERROR(__xludf.DUMMYFUNCTION("""COMPUTED_VALUE"""),"Worldwide")</f>
        <v>Worldwide</v>
      </c>
      <c r="H2" s="1"/>
      <c r="I2" s="1"/>
    </row>
    <row r="3">
      <c r="A3" s="1"/>
      <c r="B3" s="1"/>
      <c r="C3" s="1"/>
      <c r="D3" s="1"/>
      <c r="E3" s="1"/>
      <c r="F3" s="1"/>
      <c r="G3" s="1"/>
      <c r="H3" s="1"/>
      <c r="I3" s="1"/>
    </row>
    <row r="4">
      <c r="A4" s="1" t="str">
        <f>IFERROR(__xludf.DUMMYFUNCTION("""COMPUTED_VALUE"""),"Phase One")</f>
        <v>Phase One</v>
      </c>
      <c r="B4" s="1"/>
      <c r="C4" s="1"/>
      <c r="D4" s="1"/>
      <c r="E4" s="1"/>
      <c r="F4" s="1"/>
      <c r="G4" s="1"/>
      <c r="H4" s="1"/>
      <c r="I4" s="1"/>
    </row>
    <row r="5">
      <c r="A5" s="1" t="str">
        <f>IFERROR(__xludf.DUMMYFUNCTION("""COMPUTED_VALUE"""),"*Iron Man*")</f>
        <v>*Iron Man*</v>
      </c>
      <c r="B5" s="2">
        <f>IFERROR(__xludf.DUMMYFUNCTION("""COMPUTED_VALUE"""),39570.0)</f>
        <v>39570</v>
      </c>
      <c r="C5" s="3">
        <f>IFERROR(__xludf.DUMMYFUNCTION("""COMPUTED_VALUE"""),3.19034126E8)</f>
        <v>319034126</v>
      </c>
      <c r="D5" s="3">
        <f>IFERROR(__xludf.DUMMYFUNCTION("""COMPUTED_VALUE"""),2.66762121E8)</f>
        <v>266762121</v>
      </c>
      <c r="E5" s="3">
        <f>IFERROR(__xludf.DUMMYFUNCTION("""COMPUTED_VALUE"""),5.85796247E8)</f>
        <v>585796247</v>
      </c>
      <c r="F5" s="1">
        <f>IFERROR(__xludf.DUMMYFUNCTION("""COMPUTED_VALUE"""),74.0)</f>
        <v>74</v>
      </c>
      <c r="G5" s="1">
        <f>IFERROR(__xludf.DUMMYFUNCTION("""COMPUTED_VALUE"""),170.0)</f>
        <v>170</v>
      </c>
      <c r="H5" s="1" t="str">
        <f>IFERROR(__xludf.DUMMYFUNCTION("""COMPUTED_VALUE"""),"$140 million")</f>
        <v>$140 million</v>
      </c>
      <c r="I5" s="1" t="str">
        <f>IFERROR(__xludf.DUMMYFUNCTION("""COMPUTED_VALUE"""),"[264]")</f>
        <v>[264]</v>
      </c>
    </row>
    <row r="6">
      <c r="A6" s="1" t="str">
        <f>IFERROR(__xludf.DUMMYFUNCTION("""COMPUTED_VALUE"""),"*The Incredible Hulk*")</f>
        <v>*The Incredible Hulk*</v>
      </c>
      <c r="B6" s="2">
        <f>IFERROR(__xludf.DUMMYFUNCTION("""COMPUTED_VALUE"""),39612.0)</f>
        <v>39612</v>
      </c>
      <c r="C6" s="3">
        <f>IFERROR(__xludf.DUMMYFUNCTION("""COMPUTED_VALUE"""),1.34806913E8)</f>
        <v>134806913</v>
      </c>
      <c r="D6" s="3">
        <f>IFERROR(__xludf.DUMMYFUNCTION("""COMPUTED_VALUE"""),1.29964083E8)</f>
        <v>129964083</v>
      </c>
      <c r="E6" s="3">
        <f>IFERROR(__xludf.DUMMYFUNCTION("""COMPUTED_VALUE"""),2.64770996E8)</f>
        <v>264770996</v>
      </c>
      <c r="F6" s="1">
        <f>IFERROR(__xludf.DUMMYFUNCTION("""COMPUTED_VALUE"""),454.0)</f>
        <v>454</v>
      </c>
      <c r="G6" s="1">
        <f>IFERROR(__xludf.DUMMYFUNCTION("""COMPUTED_VALUE"""),573.0)</f>
        <v>573</v>
      </c>
      <c r="H6" s="1" t="str">
        <f>IFERROR(__xludf.DUMMYFUNCTION("""COMPUTED_VALUE"""),"$150 million")</f>
        <v>$150 million</v>
      </c>
      <c r="I6" s="1" t="str">
        <f>IFERROR(__xludf.DUMMYFUNCTION("""COMPUTED_VALUE"""),"[265]")</f>
        <v>[265]</v>
      </c>
    </row>
    <row r="7">
      <c r="A7" s="1" t="str">
        <f>IFERROR(__xludf.DUMMYFUNCTION("""COMPUTED_VALUE"""),"*Iron Man 2*")</f>
        <v>*Iron Man 2*</v>
      </c>
      <c r="B7" s="2">
        <f>IFERROR(__xludf.DUMMYFUNCTION("""COMPUTED_VALUE"""),40305.0)</f>
        <v>40305</v>
      </c>
      <c r="C7" s="3">
        <f>IFERROR(__xludf.DUMMYFUNCTION("""COMPUTED_VALUE"""),3.12433331E8)</f>
        <v>312433331</v>
      </c>
      <c r="D7" s="3">
        <f>IFERROR(__xludf.DUMMYFUNCTION("""COMPUTED_VALUE"""),3.115E8)</f>
        <v>311500000</v>
      </c>
      <c r="E7" s="3">
        <f>IFERROR(__xludf.DUMMYFUNCTION("""COMPUTED_VALUE"""),6.23933331E8)</f>
        <v>623933331</v>
      </c>
      <c r="F7" s="1">
        <f>IFERROR(__xludf.DUMMYFUNCTION("""COMPUTED_VALUE"""),80.0)</f>
        <v>80</v>
      </c>
      <c r="G7" s="1">
        <f>IFERROR(__xludf.DUMMYFUNCTION("""COMPUTED_VALUE"""),151.0)</f>
        <v>151</v>
      </c>
      <c r="H7" s="1" t="str">
        <f>IFERROR(__xludf.DUMMYFUNCTION("""COMPUTED_VALUE"""),"$200 million")</f>
        <v>$200 million</v>
      </c>
      <c r="I7" s="1" t="str">
        <f>IFERROR(__xludf.DUMMYFUNCTION("""COMPUTED_VALUE"""),"[266]")</f>
        <v>[266]</v>
      </c>
    </row>
    <row r="8">
      <c r="A8" s="1" t="str">
        <f>IFERROR(__xludf.DUMMYFUNCTION("""COMPUTED_VALUE"""),"*Thor*")</f>
        <v>*Thor*</v>
      </c>
      <c r="B8" s="2">
        <f>IFERROR(__xludf.DUMMYFUNCTION("""COMPUTED_VALUE"""),40669.0)</f>
        <v>40669</v>
      </c>
      <c r="C8" s="3">
        <f>IFERROR(__xludf.DUMMYFUNCTION("""COMPUTED_VALUE"""),1.81030624E8)</f>
        <v>181030624</v>
      </c>
      <c r="D8" s="3">
        <f>IFERROR(__xludf.DUMMYFUNCTION("""COMPUTED_VALUE"""),2.68295994E8)</f>
        <v>268295994</v>
      </c>
      <c r="E8" s="3">
        <f>IFERROR(__xludf.DUMMYFUNCTION("""COMPUTED_VALUE"""),4.49326618E8)</f>
        <v>449326618</v>
      </c>
      <c r="F8" s="1">
        <f>IFERROR(__xludf.DUMMYFUNCTION("""COMPUTED_VALUE"""),257.0)</f>
        <v>257</v>
      </c>
      <c r="G8" s="1">
        <f>IFERROR(__xludf.DUMMYFUNCTION("""COMPUTED_VALUE"""),256.0)</f>
        <v>256</v>
      </c>
      <c r="H8" s="1" t="str">
        <f>IFERROR(__xludf.DUMMYFUNCTION("""COMPUTED_VALUE"""),"$150 million")</f>
        <v>$150 million</v>
      </c>
      <c r="I8" s="1" t="str">
        <f>IFERROR(__xludf.DUMMYFUNCTION("""COMPUTED_VALUE"""),"[267]")</f>
        <v>[267]</v>
      </c>
    </row>
    <row r="9">
      <c r="A9" s="1" t="str">
        <f>IFERROR(__xludf.DUMMYFUNCTION("""COMPUTED_VALUE"""),"*Captain America: The First Avenger*")</f>
        <v>*Captain America: The First Avenger*</v>
      </c>
      <c r="B9" s="2">
        <f>IFERROR(__xludf.DUMMYFUNCTION("""COMPUTED_VALUE"""),40746.0)</f>
        <v>40746</v>
      </c>
      <c r="C9" s="3">
        <f>IFERROR(__xludf.DUMMYFUNCTION("""COMPUTED_VALUE"""),1.76654505E8)</f>
        <v>176654505</v>
      </c>
      <c r="D9" s="3">
        <f>IFERROR(__xludf.DUMMYFUNCTION("""COMPUTED_VALUE"""),1.93915269E8)</f>
        <v>193915269</v>
      </c>
      <c r="E9" s="3">
        <f>IFERROR(__xludf.DUMMYFUNCTION("""COMPUTED_VALUE"""),3.70569774E8)</f>
        <v>370569774</v>
      </c>
      <c r="F9" s="1">
        <f>IFERROR(__xludf.DUMMYFUNCTION("""COMPUTED_VALUE"""),273.0)</f>
        <v>273</v>
      </c>
      <c r="G9" s="1">
        <f>IFERROR(__xludf.DUMMYFUNCTION("""COMPUTED_VALUE"""),348.0)</f>
        <v>348</v>
      </c>
      <c r="H9" s="1" t="str">
        <f>IFERROR(__xludf.DUMMYFUNCTION("""COMPUTED_VALUE"""),"$140 million")</f>
        <v>$140 million</v>
      </c>
      <c r="I9" s="1" t="str">
        <f>IFERROR(__xludf.DUMMYFUNCTION("""COMPUTED_VALUE"""),"[268]")</f>
        <v>[268]</v>
      </c>
    </row>
    <row r="10">
      <c r="A10" s="1" t="str">
        <f>IFERROR(__xludf.DUMMYFUNCTION("""COMPUTED_VALUE"""),"*Marvel's The Avengers*")</f>
        <v>*Marvel's The Avengers*</v>
      </c>
      <c r="B10" s="2">
        <f>IFERROR(__xludf.DUMMYFUNCTION("""COMPUTED_VALUE"""),41033.0)</f>
        <v>41033</v>
      </c>
      <c r="C10" s="3">
        <f>IFERROR(__xludf.DUMMYFUNCTION("""COMPUTED_VALUE"""),6.2335791E8)</f>
        <v>623357910</v>
      </c>
      <c r="D10" s="3">
        <f>IFERROR(__xludf.DUMMYFUNCTION("""COMPUTED_VALUE"""),8.95457605E8)</f>
        <v>895457605</v>
      </c>
      <c r="E10" s="3">
        <f>IFERROR(__xludf.DUMMYFUNCTION("""COMPUTED_VALUE"""),1.518815515E9)</f>
        <v>1518815515</v>
      </c>
      <c r="F10" s="1">
        <f>IFERROR(__xludf.DUMMYFUNCTION("""COMPUTED_VALUE"""),8.0)</f>
        <v>8</v>
      </c>
      <c r="G10" s="1">
        <f>IFERROR(__xludf.DUMMYFUNCTION("""COMPUTED_VALUE"""),8.0)</f>
        <v>8</v>
      </c>
      <c r="H10" s="1" t="str">
        <f>IFERROR(__xludf.DUMMYFUNCTION("""COMPUTED_VALUE"""),"$220 million")</f>
        <v>$220 million</v>
      </c>
      <c r="I10" s="1" t="str">
        <f>IFERROR(__xludf.DUMMYFUNCTION("""COMPUTED_VALUE"""),"[269]")</f>
        <v>[269]</v>
      </c>
    </row>
    <row r="11">
      <c r="A11" s="1" t="str">
        <f>IFERROR(__xludf.DUMMYFUNCTION("""COMPUTED_VALUE"""),"Phase Two")</f>
        <v>Phase Two</v>
      </c>
      <c r="B11" s="1"/>
      <c r="C11" s="1"/>
      <c r="D11" s="1"/>
      <c r="E11" s="1"/>
      <c r="F11" s="1"/>
      <c r="G11" s="1"/>
      <c r="H11" s="1"/>
      <c r="I11" s="1"/>
    </row>
    <row r="12">
      <c r="A12" s="1" t="str">
        <f>IFERROR(__xludf.DUMMYFUNCTION("""COMPUTED_VALUE"""),"*Iron Man 3*")</f>
        <v>*Iron Man 3*</v>
      </c>
      <c r="B12" s="2">
        <f>IFERROR(__xludf.DUMMYFUNCTION("""COMPUTED_VALUE"""),41397.0)</f>
        <v>41397</v>
      </c>
      <c r="C12" s="3">
        <f>IFERROR(__xludf.DUMMYFUNCTION("""COMPUTED_VALUE"""),4.09013994E8)</f>
        <v>409013994</v>
      </c>
      <c r="D12" s="3">
        <f>IFERROR(__xludf.DUMMYFUNCTION("""COMPUTED_VALUE"""),8.05797258E8)</f>
        <v>805797258</v>
      </c>
      <c r="E12" s="3">
        <f>IFERROR(__xludf.DUMMYFUNCTION("""COMPUTED_VALUE"""),1.214811252E9)</f>
        <v>1214811252</v>
      </c>
      <c r="F12" s="1">
        <f>IFERROR(__xludf.DUMMYFUNCTION("""COMPUTED_VALUE"""),32.0)</f>
        <v>32</v>
      </c>
      <c r="G12" s="1">
        <f>IFERROR(__xludf.DUMMYFUNCTION("""COMPUTED_VALUE"""),20.0)</f>
        <v>20</v>
      </c>
      <c r="H12" s="1" t="str">
        <f>IFERROR(__xludf.DUMMYFUNCTION("""COMPUTED_VALUE"""),"$178.4 million")</f>
        <v>$178.4 million</v>
      </c>
      <c r="I12" s="1" t="str">
        <f>IFERROR(__xludf.DUMMYFUNCTION("""COMPUTED_VALUE"""),"[270][271]")</f>
        <v>[270][271]</v>
      </c>
    </row>
    <row r="13">
      <c r="A13" s="1" t="str">
        <f>IFERROR(__xludf.DUMMYFUNCTION("""COMPUTED_VALUE"""),"*Thor: The Dark World*")</f>
        <v>*Thor: The Dark World*</v>
      </c>
      <c r="B13" s="2">
        <f>IFERROR(__xludf.DUMMYFUNCTION("""COMPUTED_VALUE"""),41586.0)</f>
        <v>41586</v>
      </c>
      <c r="C13" s="3">
        <f>IFERROR(__xludf.DUMMYFUNCTION("""COMPUTED_VALUE"""),2.0636214E8)</f>
        <v>206362140</v>
      </c>
      <c r="D13" s="3">
        <f>IFERROR(__xludf.DUMMYFUNCTION("""COMPUTED_VALUE"""),4.38421E8)</f>
        <v>438421000</v>
      </c>
      <c r="E13" s="3">
        <f>IFERROR(__xludf.DUMMYFUNCTION("""COMPUTED_VALUE"""),6.4478314E8)</f>
        <v>644783140</v>
      </c>
      <c r="F13" s="1">
        <f>IFERROR(__xludf.DUMMYFUNCTION("""COMPUTED_VALUE"""),204.0)</f>
        <v>204</v>
      </c>
      <c r="G13" s="1">
        <f>IFERROR(__xludf.DUMMYFUNCTION("""COMPUTED_VALUE"""),144.0)</f>
        <v>144</v>
      </c>
      <c r="H13" s="1" t="str">
        <f>IFERROR(__xludf.DUMMYFUNCTION("""COMPUTED_VALUE"""),"$152.7 million")</f>
        <v>$152.7 million</v>
      </c>
      <c r="I13" s="1" t="str">
        <f>IFERROR(__xludf.DUMMYFUNCTION("""COMPUTED_VALUE"""),"[272][271]")</f>
        <v>[272][271]</v>
      </c>
    </row>
    <row r="14">
      <c r="A14" s="1" t="str">
        <f>IFERROR(__xludf.DUMMYFUNCTION("""COMPUTED_VALUE"""),"*Captain America: The Winter Soldier*")</f>
        <v>*Captain America: The Winter Soldier*</v>
      </c>
      <c r="B14" s="2">
        <f>IFERROR(__xludf.DUMMYFUNCTION("""COMPUTED_VALUE"""),41733.0)</f>
        <v>41733</v>
      </c>
      <c r="C14" s="3">
        <f>IFERROR(__xludf.DUMMYFUNCTION("""COMPUTED_VALUE"""),2.59766572E8)</f>
        <v>259766572</v>
      </c>
      <c r="D14" s="3">
        <f>IFERROR(__xludf.DUMMYFUNCTION("""COMPUTED_VALUE"""),4.54654931E8)</f>
        <v>454654931</v>
      </c>
      <c r="E14" s="3">
        <f>IFERROR(__xludf.DUMMYFUNCTION("""COMPUTED_VALUE"""),7.14421503E8)</f>
        <v>714421503</v>
      </c>
      <c r="F14" s="1">
        <f>IFERROR(__xludf.DUMMYFUNCTION("""COMPUTED_VALUE"""),119.0)</f>
        <v>119</v>
      </c>
      <c r="G14" s="1">
        <f>IFERROR(__xludf.DUMMYFUNCTION("""COMPUTED_VALUE"""),117.0)</f>
        <v>117</v>
      </c>
      <c r="H14" s="1" t="str">
        <f>IFERROR(__xludf.DUMMYFUNCTION("""COMPUTED_VALUE"""),"$177 million")</f>
        <v>$177 million</v>
      </c>
      <c r="I14" s="1" t="str">
        <f>IFERROR(__xludf.DUMMYFUNCTION("""COMPUTED_VALUE"""),"[273][274]")</f>
        <v>[273][274]</v>
      </c>
    </row>
    <row r="15">
      <c r="A15" s="1" t="str">
        <f>IFERROR(__xludf.DUMMYFUNCTION("""COMPUTED_VALUE"""),"*Guardians of the Galaxy*")</f>
        <v>*Guardians of the Galaxy*</v>
      </c>
      <c r="B15" s="2">
        <f>IFERROR(__xludf.DUMMYFUNCTION("""COMPUTED_VALUE"""),41852.0)</f>
        <v>41852</v>
      </c>
      <c r="C15" s="3">
        <f>IFERROR(__xludf.DUMMYFUNCTION("""COMPUTED_VALUE"""),3.337186E8)</f>
        <v>333718600</v>
      </c>
      <c r="D15" s="3">
        <f>IFERROR(__xludf.DUMMYFUNCTION("""COMPUTED_VALUE"""),4.39631547E8)</f>
        <v>439631547</v>
      </c>
      <c r="E15" s="3">
        <f>IFERROR(__xludf.DUMMYFUNCTION("""COMPUTED_VALUE"""),7.73350147E8)</f>
        <v>773350147</v>
      </c>
      <c r="F15" s="1">
        <f>IFERROR(__xludf.DUMMYFUNCTION("""COMPUTED_VALUE"""),66.0)</f>
        <v>66</v>
      </c>
      <c r="G15" s="1">
        <f>IFERROR(__xludf.DUMMYFUNCTION("""COMPUTED_VALUE"""),101.0)</f>
        <v>101</v>
      </c>
      <c r="H15" s="1" t="str">
        <f>IFERROR(__xludf.DUMMYFUNCTION("""COMPUTED_VALUE"""),"$195.9 million")</f>
        <v>$195.9 million</v>
      </c>
      <c r="I15" s="1" t="str">
        <f>IFERROR(__xludf.DUMMYFUNCTION("""COMPUTED_VALUE"""),"[275][276]")</f>
        <v>[275][276]</v>
      </c>
    </row>
    <row r="16">
      <c r="A16" s="1" t="str">
        <f>IFERROR(__xludf.DUMMYFUNCTION("""COMPUTED_VALUE"""),"*Avengers: Age of Ultron*")</f>
        <v>*Avengers: Age of Ultron*</v>
      </c>
      <c r="B16" s="2">
        <f>IFERROR(__xludf.DUMMYFUNCTION("""COMPUTED_VALUE"""),42125.0)</f>
        <v>42125</v>
      </c>
      <c r="C16" s="3">
        <f>IFERROR(__xludf.DUMMYFUNCTION("""COMPUTED_VALUE"""),4.59005868E8)</f>
        <v>459005868</v>
      </c>
      <c r="D16" s="3">
        <f>IFERROR(__xludf.DUMMYFUNCTION("""COMPUTED_VALUE"""),9.438E8)</f>
        <v>943800000</v>
      </c>
      <c r="E16" s="3">
        <f>IFERROR(__xludf.DUMMYFUNCTION("""COMPUTED_VALUE"""),1.402805868E9)</f>
        <v>1402805868</v>
      </c>
      <c r="F16" s="1">
        <f>IFERROR(__xludf.DUMMYFUNCTION("""COMPUTED_VALUE"""),20.0)</f>
        <v>20</v>
      </c>
      <c r="G16" s="1">
        <f>IFERROR(__xludf.DUMMYFUNCTION("""COMPUTED_VALUE"""),11.0)</f>
        <v>11</v>
      </c>
      <c r="H16" s="1" t="str">
        <f>IFERROR(__xludf.DUMMYFUNCTION("""COMPUTED_VALUE"""),"$365.5 million")</f>
        <v>$365.5 million</v>
      </c>
      <c r="I16" s="1" t="str">
        <f>IFERROR(__xludf.DUMMYFUNCTION("""COMPUTED_VALUE"""),"[277][278]")</f>
        <v>[277][278]</v>
      </c>
    </row>
    <row r="17">
      <c r="A17" s="1" t="str">
        <f>IFERROR(__xludf.DUMMYFUNCTION("""COMPUTED_VALUE"""),"*Ant-Man*")</f>
        <v>*Ant-Man*</v>
      </c>
      <c r="B17" s="2">
        <f>IFERROR(__xludf.DUMMYFUNCTION("""COMPUTED_VALUE"""),42202.0)</f>
        <v>42202</v>
      </c>
      <c r="C17" s="3">
        <f>IFERROR(__xludf.DUMMYFUNCTION("""COMPUTED_VALUE"""),1.80202163E8)</f>
        <v>180202163</v>
      </c>
      <c r="D17" s="3">
        <f>IFERROR(__xludf.DUMMYFUNCTION("""COMPUTED_VALUE"""),3.39109802E8)</f>
        <v>339109802</v>
      </c>
      <c r="E17" s="3">
        <f>IFERROR(__xludf.DUMMYFUNCTION("""COMPUTED_VALUE"""),5.19311965E8)</f>
        <v>519311965</v>
      </c>
      <c r="F17" s="1">
        <f>IFERROR(__xludf.DUMMYFUNCTION("""COMPUTED_VALUE"""),259.0)</f>
        <v>259</v>
      </c>
      <c r="G17" s="1">
        <f>IFERROR(__xludf.DUMMYFUNCTION("""COMPUTED_VALUE"""),212.0)</f>
        <v>212</v>
      </c>
      <c r="H17" s="1" t="str">
        <f>IFERROR(__xludf.DUMMYFUNCTION("""COMPUTED_VALUE"""),"$109.3 million")</f>
        <v>$109.3 million</v>
      </c>
      <c r="I17" s="1" t="str">
        <f>IFERROR(__xludf.DUMMYFUNCTION("""COMPUTED_VALUE"""),"[279][278]")</f>
        <v>[279][278]</v>
      </c>
    </row>
    <row r="18">
      <c r="A18" s="1" t="str">
        <f>IFERROR(__xludf.DUMMYFUNCTION("""COMPUTED_VALUE"""),"Phase Three")</f>
        <v>Phase Three</v>
      </c>
      <c r="B18" s="1"/>
      <c r="C18" s="1"/>
      <c r="D18" s="1"/>
      <c r="E18" s="1"/>
      <c r="F18" s="1"/>
      <c r="G18" s="1"/>
      <c r="H18" s="1"/>
      <c r="I18" s="1"/>
    </row>
    <row r="19">
      <c r="A19" s="1" t="str">
        <f>IFERROR(__xludf.DUMMYFUNCTION("""COMPUTED_VALUE"""),"*Captain America: Civil War*")</f>
        <v>*Captain America: Civil War*</v>
      </c>
      <c r="B19" s="2">
        <f>IFERROR(__xludf.DUMMYFUNCTION("""COMPUTED_VALUE"""),42496.0)</f>
        <v>42496</v>
      </c>
      <c r="C19" s="3">
        <f>IFERROR(__xludf.DUMMYFUNCTION("""COMPUTED_VALUE"""),4.08084349E8)</f>
        <v>408084349</v>
      </c>
      <c r="D19" s="3">
        <f>IFERROR(__xludf.DUMMYFUNCTION("""COMPUTED_VALUE"""),7.45211944E8)</f>
        <v>745211944</v>
      </c>
      <c r="E19" s="3">
        <f>IFERROR(__xludf.DUMMYFUNCTION("""COMPUTED_VALUE"""),1.153296293E9)</f>
        <v>1153296293</v>
      </c>
      <c r="F19" s="1">
        <f>IFERROR(__xludf.DUMMYFUNCTION("""COMPUTED_VALUE"""),33.0)</f>
        <v>33</v>
      </c>
      <c r="G19" s="1">
        <f>IFERROR(__xludf.DUMMYFUNCTION("""COMPUTED_VALUE"""),22.0)</f>
        <v>22</v>
      </c>
      <c r="H19" s="1" t="str">
        <f>IFERROR(__xludf.DUMMYFUNCTION("""COMPUTED_VALUE"""),"$230 million")</f>
        <v>$230 million</v>
      </c>
      <c r="I19" s="1" t="str">
        <f>IFERROR(__xludf.DUMMYFUNCTION("""COMPUTED_VALUE"""),"[280][281]")</f>
        <v>[280][281]</v>
      </c>
    </row>
    <row r="20">
      <c r="A20" s="1" t="str">
        <f>IFERROR(__xludf.DUMMYFUNCTION("""COMPUTED_VALUE"""),"*Doctor Strange*")</f>
        <v>*Doctor Strange*</v>
      </c>
      <c r="B20" s="2">
        <f>IFERROR(__xludf.DUMMYFUNCTION("""COMPUTED_VALUE"""),42678.0)</f>
        <v>42678</v>
      </c>
      <c r="C20" s="3">
        <f>IFERROR(__xludf.DUMMYFUNCTION("""COMPUTED_VALUE"""),2.3264192E8)</f>
        <v>232641920</v>
      </c>
      <c r="D20" s="3">
        <f>IFERROR(__xludf.DUMMYFUNCTION("""COMPUTED_VALUE"""),4.45076475E8)</f>
        <v>445076475</v>
      </c>
      <c r="E20" s="3">
        <f>IFERROR(__xludf.DUMMYFUNCTION("""COMPUTED_VALUE"""),6.77718395E8)</f>
        <v>677718395</v>
      </c>
      <c r="F20" s="1">
        <f>IFERROR(__xludf.DUMMYFUNCTION("""COMPUTED_VALUE"""),154.0)</f>
        <v>154</v>
      </c>
      <c r="G20" s="1">
        <f>IFERROR(__xludf.DUMMYFUNCTION("""COMPUTED_VALUE"""),131.0)</f>
        <v>131</v>
      </c>
      <c r="H20" s="1" t="str">
        <f>IFERROR(__xludf.DUMMYFUNCTION("""COMPUTED_VALUE"""),"$165 million")</f>
        <v>$165 million</v>
      </c>
      <c r="I20" s="1" t="str">
        <f>IFERROR(__xludf.DUMMYFUNCTION("""COMPUTED_VALUE"""),"[282][283]")</f>
        <v>[282][283]</v>
      </c>
    </row>
    <row r="21">
      <c r="A21" s="1" t="str">
        <f>IFERROR(__xludf.DUMMYFUNCTION("""COMPUTED_VALUE"""),"*Guardians of the Galaxy Vol. 2*")</f>
        <v>*Guardians of the Galaxy Vol. 2*</v>
      </c>
      <c r="B21" s="2">
        <f>IFERROR(__xludf.DUMMYFUNCTION("""COMPUTED_VALUE"""),42860.0)</f>
        <v>42860</v>
      </c>
      <c r="C21" s="3">
        <f>IFERROR(__xludf.DUMMYFUNCTION("""COMPUTED_VALUE"""),3.89813101E8)</f>
        <v>389813101</v>
      </c>
      <c r="D21" s="3">
        <f>IFERROR(__xludf.DUMMYFUNCTION("""COMPUTED_VALUE"""),4.7394295E8)</f>
        <v>473942950</v>
      </c>
      <c r="E21" s="3">
        <f>IFERROR(__xludf.DUMMYFUNCTION("""COMPUTED_VALUE"""),8.63756051E8)</f>
        <v>863756051</v>
      </c>
      <c r="F21" s="1">
        <f>IFERROR(__xludf.DUMMYFUNCTION("""COMPUTED_VALUE"""),41.0)</f>
        <v>41</v>
      </c>
      <c r="G21" s="1">
        <f>IFERROR(__xludf.DUMMYFUNCTION("""COMPUTED_VALUE"""),75.0)</f>
        <v>75</v>
      </c>
      <c r="H21" s="1" t="str">
        <f>IFERROR(__xludf.DUMMYFUNCTION("""COMPUTED_VALUE"""),"$200 million")</f>
        <v>$200 million</v>
      </c>
      <c r="I21" s="1" t="str">
        <f>IFERROR(__xludf.DUMMYFUNCTION("""COMPUTED_VALUE"""),"[284]")</f>
        <v>[284]</v>
      </c>
    </row>
    <row r="22">
      <c r="A22" s="1" t="str">
        <f>IFERROR(__xludf.DUMMYFUNCTION("""COMPUTED_VALUE"""),"*Spider-Man: Homecoming*")</f>
        <v>*Spider-Man: Homecoming*</v>
      </c>
      <c r="B22" s="2">
        <f>IFERROR(__xludf.DUMMYFUNCTION("""COMPUTED_VALUE"""),42923.0)</f>
        <v>42923</v>
      </c>
      <c r="C22" s="3">
        <f>IFERROR(__xludf.DUMMYFUNCTION("""COMPUTED_VALUE"""),3.3420114E8)</f>
        <v>334201140</v>
      </c>
      <c r="D22" s="3">
        <f>IFERROR(__xludf.DUMMYFUNCTION("""COMPUTED_VALUE"""),5.45965784E8)</f>
        <v>545965784</v>
      </c>
      <c r="E22" s="3">
        <f>IFERROR(__xludf.DUMMYFUNCTION("""COMPUTED_VALUE"""),8.80166924E8)</f>
        <v>880166924</v>
      </c>
      <c r="F22" s="1">
        <f>IFERROR(__xludf.DUMMYFUNCTION("""COMPUTED_VALUE"""),64.0)</f>
        <v>64</v>
      </c>
      <c r="G22" s="1">
        <f>IFERROR(__xludf.DUMMYFUNCTION("""COMPUTED_VALUE"""),68.0)</f>
        <v>68</v>
      </c>
      <c r="H22" s="1" t="str">
        <f>IFERROR(__xludf.DUMMYFUNCTION("""COMPUTED_VALUE"""),"$175 million")</f>
        <v>$175 million</v>
      </c>
      <c r="I22" s="1" t="str">
        <f>IFERROR(__xludf.DUMMYFUNCTION("""COMPUTED_VALUE"""),"[285]")</f>
        <v>[285]</v>
      </c>
    </row>
    <row r="23">
      <c r="A23" s="1" t="str">
        <f>IFERROR(__xludf.DUMMYFUNCTION("""COMPUTED_VALUE"""),"*Thor: Ragnarok*")</f>
        <v>*Thor: Ragnarok*</v>
      </c>
      <c r="B23" s="2">
        <f>IFERROR(__xludf.DUMMYFUNCTION("""COMPUTED_VALUE"""),43042.0)</f>
        <v>43042</v>
      </c>
      <c r="C23" s="3">
        <f>IFERROR(__xludf.DUMMYFUNCTION("""COMPUTED_VALUE"""),3.15058289E8)</f>
        <v>315058289</v>
      </c>
      <c r="D23" s="3">
        <f>IFERROR(__xludf.DUMMYFUNCTION("""COMPUTED_VALUE"""),5.38918837E8)</f>
        <v>538918837</v>
      </c>
      <c r="E23" s="3">
        <f>IFERROR(__xludf.DUMMYFUNCTION("""COMPUTED_VALUE"""),8.53977126E8)</f>
        <v>853977126</v>
      </c>
      <c r="F23" s="1">
        <f>IFERROR(__xludf.DUMMYFUNCTION("""COMPUTED_VALUE"""),79.0)</f>
        <v>79</v>
      </c>
      <c r="G23" s="1">
        <f>IFERROR(__xludf.DUMMYFUNCTION("""COMPUTED_VALUE"""),78.0)</f>
        <v>78</v>
      </c>
      <c r="H23" s="1" t="str">
        <f>IFERROR(__xludf.DUMMYFUNCTION("""COMPUTED_VALUE"""),"$180 million")</f>
        <v>$180 million</v>
      </c>
      <c r="I23" s="1" t="str">
        <f>IFERROR(__xludf.DUMMYFUNCTION("""COMPUTED_VALUE"""),"[286]")</f>
        <v>[286]</v>
      </c>
    </row>
    <row r="24">
      <c r="A24" s="1" t="str">
        <f>IFERROR(__xludf.DUMMYFUNCTION("""COMPUTED_VALUE"""),"*Black Panther*")</f>
        <v>*Black Panther*</v>
      </c>
      <c r="B24" s="2">
        <f>IFERROR(__xludf.DUMMYFUNCTION("""COMPUTED_VALUE"""),43147.0)</f>
        <v>43147</v>
      </c>
      <c r="C24" s="3">
        <f>IFERROR(__xludf.DUMMYFUNCTION("""COMPUTED_VALUE"""),7.00426566E8)</f>
        <v>700426566</v>
      </c>
      <c r="D24" s="3">
        <f>IFERROR(__xludf.DUMMYFUNCTION("""COMPUTED_VALUE"""),6.46853595E8)</f>
        <v>646853595</v>
      </c>
      <c r="E24" s="3">
        <f>IFERROR(__xludf.DUMMYFUNCTION("""COMPUTED_VALUE"""),1.347280161E9)</f>
        <v>1347280161</v>
      </c>
      <c r="F24" s="1">
        <f>IFERROR(__xludf.DUMMYFUNCTION("""COMPUTED_VALUE"""),4.0)</f>
        <v>4</v>
      </c>
      <c r="G24" s="1">
        <f>IFERROR(__xludf.DUMMYFUNCTION("""COMPUTED_VALUE"""),13.0)</f>
        <v>13</v>
      </c>
      <c r="H24" s="1" t="str">
        <f>IFERROR(__xludf.DUMMYFUNCTION("""COMPUTED_VALUE"""),"$200 million")</f>
        <v>$200 million</v>
      </c>
      <c r="I24" s="1" t="str">
        <f>IFERROR(__xludf.DUMMYFUNCTION("""COMPUTED_VALUE"""),"[287][288]")</f>
        <v>[287][288]</v>
      </c>
    </row>
    <row r="25">
      <c r="A25" s="1" t="str">
        <f>IFERROR(__xludf.DUMMYFUNCTION("""COMPUTED_VALUE"""),"*Avengers: Infinity War*")</f>
        <v>*Avengers: Infinity War*</v>
      </c>
      <c r="B25" s="2">
        <f>IFERROR(__xludf.DUMMYFUNCTION("""COMPUTED_VALUE"""),43217.0)</f>
        <v>43217</v>
      </c>
      <c r="C25" s="3">
        <f>IFERROR(__xludf.DUMMYFUNCTION("""COMPUTED_VALUE"""),6.78815482E8)</f>
        <v>678815482</v>
      </c>
      <c r="D25" s="3">
        <f>IFERROR(__xludf.DUMMYFUNCTION("""COMPUTED_VALUE"""),1.369544272E9)</f>
        <v>1369544272</v>
      </c>
      <c r="E25" s="3">
        <f>IFERROR(__xludf.DUMMYFUNCTION("""COMPUTED_VALUE"""),2.048359754E9)</f>
        <v>2048359754</v>
      </c>
      <c r="F25" s="1">
        <f>IFERROR(__xludf.DUMMYFUNCTION("""COMPUTED_VALUE"""),5.0)</f>
        <v>5</v>
      </c>
      <c r="G25" s="1">
        <f>IFERROR(__xludf.DUMMYFUNCTION("""COMPUTED_VALUE"""),5.0)</f>
        <v>5</v>
      </c>
      <c r="H25" s="1" t="str">
        <f>IFERROR(__xludf.DUMMYFUNCTION("""COMPUTED_VALUE"""),"$325–400 million")</f>
        <v>$325–400 million</v>
      </c>
      <c r="I25" s="1" t="str">
        <f>IFERROR(__xludf.DUMMYFUNCTION("""COMPUTED_VALUE"""),"[289][290][291]")</f>
        <v>[289][290][291]</v>
      </c>
    </row>
    <row r="26">
      <c r="A26" s="1" t="str">
        <f>IFERROR(__xludf.DUMMYFUNCTION("""COMPUTED_VALUE"""),"*Ant-Man and the Wasp*")</f>
        <v>*Ant-Man and the Wasp*</v>
      </c>
      <c r="B26" s="2">
        <f>IFERROR(__xludf.DUMMYFUNCTION("""COMPUTED_VALUE"""),43287.0)</f>
        <v>43287</v>
      </c>
      <c r="C26" s="3">
        <f>IFERROR(__xludf.DUMMYFUNCTION("""COMPUTED_VALUE"""),2.1664874E8)</f>
        <v>216648740</v>
      </c>
      <c r="D26" s="3">
        <f>IFERROR(__xludf.DUMMYFUNCTION("""COMPUTED_VALUE"""),4.06025399E8)</f>
        <v>406025399</v>
      </c>
      <c r="E26" s="3">
        <f>IFERROR(__xludf.DUMMYFUNCTION("""COMPUTED_VALUE"""),6.22674139E8)</f>
        <v>622674139</v>
      </c>
      <c r="F26" s="1">
        <f>IFERROR(__xludf.DUMMYFUNCTION("""COMPUTED_VALUE"""),181.0)</f>
        <v>181</v>
      </c>
      <c r="G26" s="1">
        <f>IFERROR(__xludf.DUMMYFUNCTION("""COMPUTED_VALUE"""),153.0)</f>
        <v>153</v>
      </c>
      <c r="H26" s="1" t="str">
        <f>IFERROR(__xludf.DUMMYFUNCTION("""COMPUTED_VALUE"""),"$162 million")</f>
        <v>$162 million</v>
      </c>
      <c r="I26" s="1" t="str">
        <f>IFERROR(__xludf.DUMMYFUNCTION("""COMPUTED_VALUE"""),"[292][293]")</f>
        <v>[292][293]</v>
      </c>
    </row>
    <row r="27">
      <c r="A27" s="1" t="str">
        <f>IFERROR(__xludf.DUMMYFUNCTION("""COMPUTED_VALUE"""),"*Captain Marvel*")</f>
        <v>*Captain Marvel*</v>
      </c>
      <c r="B27" s="2">
        <f>IFERROR(__xludf.DUMMYFUNCTION("""COMPUTED_VALUE"""),43532.0)</f>
        <v>43532</v>
      </c>
      <c r="C27" s="3">
        <f>IFERROR(__xludf.DUMMYFUNCTION("""COMPUTED_VALUE"""),4.26829839E8)</f>
        <v>426829839</v>
      </c>
      <c r="D27" s="3">
        <f>IFERROR(__xludf.DUMMYFUNCTION("""COMPUTED_VALUE"""),7.01445424E8)</f>
        <v>701445424</v>
      </c>
      <c r="E27" s="3">
        <f>IFERROR(__xludf.DUMMYFUNCTION("""COMPUTED_VALUE"""),1.128275263E9)</f>
        <v>1128275263</v>
      </c>
      <c r="F27" s="1">
        <f>IFERROR(__xludf.DUMMYFUNCTION("""COMPUTED_VALUE"""),25.0)</f>
        <v>25</v>
      </c>
      <c r="G27" s="1">
        <f>IFERROR(__xludf.DUMMYFUNCTION("""COMPUTED_VALUE"""),26.0)</f>
        <v>26</v>
      </c>
      <c r="H27" s="1" t="str">
        <f>IFERROR(__xludf.DUMMYFUNCTION("""COMPUTED_VALUE"""),"$150–175 million")</f>
        <v>$150–175 million</v>
      </c>
      <c r="I27" s="1" t="str">
        <f>IFERROR(__xludf.DUMMYFUNCTION("""COMPUTED_VALUE"""),"[294][295]")</f>
        <v>[294][295]</v>
      </c>
    </row>
    <row r="28">
      <c r="A28" s="1" t="str">
        <f>IFERROR(__xludf.DUMMYFUNCTION("""COMPUTED_VALUE"""),"*Avengers: Endgame*")</f>
        <v>*Avengers: Endgame*</v>
      </c>
      <c r="B28" s="2">
        <f>IFERROR(__xludf.DUMMYFUNCTION("""COMPUTED_VALUE"""),43581.0)</f>
        <v>43581</v>
      </c>
      <c r="C28" s="3">
        <f>IFERROR(__xludf.DUMMYFUNCTION("""COMPUTED_VALUE"""),8.58373E8)</f>
        <v>858373000</v>
      </c>
      <c r="D28" s="3">
        <f>IFERROR(__xludf.DUMMYFUNCTION("""COMPUTED_VALUE"""),1.939427564E9)</f>
        <v>1939427564</v>
      </c>
      <c r="E28" s="3">
        <f>IFERROR(__xludf.DUMMYFUNCTION("""COMPUTED_VALUE"""),2.797800564E9)</f>
        <v>2797800564</v>
      </c>
      <c r="F28" s="1">
        <f>IFERROR(__xludf.DUMMYFUNCTION("""COMPUTED_VALUE"""),2.0)</f>
        <v>2</v>
      </c>
      <c r="G28" s="1">
        <f>IFERROR(__xludf.DUMMYFUNCTION("""COMPUTED_VALUE"""),2.0)</f>
        <v>2</v>
      </c>
      <c r="H28" s="1" t="str">
        <f>IFERROR(__xludf.DUMMYFUNCTION("""COMPUTED_VALUE"""),"$356–400 million")</f>
        <v>$356–400 million</v>
      </c>
      <c r="I28" s="1" t="str">
        <f>IFERROR(__xludf.DUMMYFUNCTION("""COMPUTED_VALUE"""),"[296][297]")</f>
        <v>[296][297]</v>
      </c>
    </row>
    <row r="29">
      <c r="A29" s="1" t="str">
        <f>IFERROR(__xludf.DUMMYFUNCTION("""COMPUTED_VALUE"""),"*Spider-Man: Far From Home*")</f>
        <v>*Spider-Man: Far From Home*</v>
      </c>
      <c r="B29" s="2">
        <f>IFERROR(__xludf.DUMMYFUNCTION("""COMPUTED_VALUE"""),43648.0)</f>
        <v>43648</v>
      </c>
      <c r="C29" s="3">
        <f>IFERROR(__xludf.DUMMYFUNCTION("""COMPUTED_VALUE"""),3.90532085E8)</f>
        <v>390532085</v>
      </c>
      <c r="D29" s="3">
        <f>IFERROR(__xludf.DUMMYFUNCTION("""COMPUTED_VALUE"""),7.41395911E8)</f>
        <v>741395911</v>
      </c>
      <c r="E29" s="3">
        <f>IFERROR(__xludf.DUMMYFUNCTION("""COMPUTED_VALUE"""),1.131927996E9)</f>
        <v>1131927996</v>
      </c>
      <c r="F29" s="1">
        <f>IFERROR(__xludf.DUMMYFUNCTION("""COMPUTED_VALUE"""),40.0)</f>
        <v>40</v>
      </c>
      <c r="G29" s="1">
        <f>IFERROR(__xludf.DUMMYFUNCTION("""COMPUTED_VALUE"""),25.0)</f>
        <v>25</v>
      </c>
      <c r="H29" s="1" t="str">
        <f>IFERROR(__xludf.DUMMYFUNCTION("""COMPUTED_VALUE"""),"$160 million")</f>
        <v>$160 million</v>
      </c>
      <c r="I29" s="1" t="str">
        <f>IFERROR(__xludf.DUMMYFUNCTION("""COMPUTED_VALUE"""),"[298]")</f>
        <v>[298]</v>
      </c>
    </row>
    <row r="30">
      <c r="A30" s="1" t="str">
        <f>IFERROR(__xludf.DUMMYFUNCTION("""COMPUTED_VALUE"""),"Phase Four")</f>
        <v>Phase Four</v>
      </c>
      <c r="B30" s="1"/>
      <c r="C30" s="1"/>
      <c r="D30" s="1"/>
      <c r="E30" s="1"/>
      <c r="F30" s="1"/>
      <c r="G30" s="1"/>
      <c r="H30" s="1"/>
      <c r="I30" s="1"/>
    </row>
    <row r="31">
      <c r="A31" s="1" t="str">
        <f>IFERROR(__xludf.DUMMYFUNCTION("""COMPUTED_VALUE"""),"*Black Widow*")</f>
        <v>*Black Widow*</v>
      </c>
      <c r="B31" s="2">
        <f>IFERROR(__xludf.DUMMYFUNCTION("""COMPUTED_VALUE"""),44386.0)</f>
        <v>44386</v>
      </c>
      <c r="C31" s="3">
        <f>IFERROR(__xludf.DUMMYFUNCTION("""COMPUTED_VALUE"""),1.83628321E8)</f>
        <v>183628321</v>
      </c>
      <c r="D31" s="3">
        <f>IFERROR(__xludf.DUMMYFUNCTION("""COMPUTED_VALUE"""),1.95183634E8)</f>
        <v>195183634</v>
      </c>
      <c r="E31" s="1" t="str">
        <f>IFERROR(__xludf.DUMMYFUNCTION("""COMPUTED_VALUE"""),"$378,811,955[d]")</f>
        <v>$378,811,955[d]</v>
      </c>
      <c r="F31" s="1">
        <f>IFERROR(__xludf.DUMMYFUNCTION("""COMPUTED_VALUE"""),251.0)</f>
        <v>251</v>
      </c>
      <c r="G31" s="1">
        <f>IFERROR(__xludf.DUMMYFUNCTION("""COMPUTED_VALUE"""),340.0)</f>
        <v>340</v>
      </c>
      <c r="H31" s="1" t="str">
        <f>IFERROR(__xludf.DUMMYFUNCTION("""COMPUTED_VALUE"""),"$200 million")</f>
        <v>$200 million</v>
      </c>
      <c r="I31" s="1" t="str">
        <f>IFERROR(__xludf.DUMMYFUNCTION("""COMPUTED_VALUE"""),"[302][303]")</f>
        <v>[302][303]</v>
      </c>
    </row>
    <row r="32">
      <c r="A32" s="1" t="str">
        <f>IFERROR(__xludf.DUMMYFUNCTION("""COMPUTED_VALUE"""),"*Shang-Chi and the Legend of the Ten Rings*")</f>
        <v>*Shang-Chi and the Legend of the Ten Rings*</v>
      </c>
      <c r="B32" s="2">
        <f>IFERROR(__xludf.DUMMYFUNCTION("""COMPUTED_VALUE"""),44442.0)</f>
        <v>44442</v>
      </c>
      <c r="C32" s="3">
        <f>IFERROR(__xludf.DUMMYFUNCTION("""COMPUTED_VALUE"""),2.06108802E8)</f>
        <v>206108802</v>
      </c>
      <c r="D32" s="3">
        <f>IFERROR(__xludf.DUMMYFUNCTION("""COMPUTED_VALUE"""),1.808E8)</f>
        <v>180800000</v>
      </c>
      <c r="E32" s="3">
        <f>IFERROR(__xludf.DUMMYFUNCTION("""COMPUTED_VALUE"""),3.86908802E8)</f>
        <v>386908802</v>
      </c>
      <c r="F32" s="1">
        <f>IFERROR(__xludf.DUMMYFUNCTION("""COMPUTED_VALUE"""),206.0)</f>
        <v>206</v>
      </c>
      <c r="G32" s="1">
        <f>IFERROR(__xludf.DUMMYFUNCTION("""COMPUTED_VALUE"""),327.0)</f>
        <v>327</v>
      </c>
      <c r="H32" s="1" t="str">
        <f>IFERROR(__xludf.DUMMYFUNCTION("""COMPUTED_VALUE"""),"$150 million")</f>
        <v>$150 million</v>
      </c>
      <c r="I32" s="1" t="str">
        <f>IFERROR(__xludf.DUMMYFUNCTION("""COMPUTED_VALUE"""),"[304]")</f>
        <v>[304]</v>
      </c>
    </row>
    <row r="33">
      <c r="A33" s="1" t="str">
        <f>IFERROR(__xludf.DUMMYFUNCTION("""COMPUTED_VALUE"""),"*Total*")</f>
        <v>*Total*</v>
      </c>
      <c r="B33" s="1"/>
      <c r="C33" s="3">
        <f>IFERROR(__xludf.DUMMYFUNCTION("""COMPUTED_VALUE"""),8.93654838E9)</f>
        <v>8936548380</v>
      </c>
      <c r="D33" s="3">
        <f>IFERROR(__xludf.DUMMYFUNCTION("""COMPUTED_VALUE"""),1.4417098872E10)</f>
        <v>14417098872</v>
      </c>
      <c r="E33" s="3">
        <f>IFERROR(__xludf.DUMMYFUNCTION("""COMPUTED_VALUE"""),2.3353647252E10)</f>
        <v>23353647252</v>
      </c>
      <c r="F33" s="1">
        <f>IFERROR(__xludf.DUMMYFUNCTION("""COMPUTED_VALUE"""),1.0)</f>
        <v>1</v>
      </c>
      <c r="G33" s="1">
        <f>IFERROR(__xludf.DUMMYFUNCTION("""COMPUTED_VALUE"""),1.0)</f>
        <v>1</v>
      </c>
      <c r="H33" s="1" t="str">
        <f>IFERROR(__xludf.DUMMYFUNCTION("""COMPUTED_VALUE"""),"$4.823–4.932 billion")</f>
        <v>$4.823–4.932 billion</v>
      </c>
      <c r="I33" s="1" t="str">
        <f>IFERROR(__xludf.DUMMYFUNCTION("""COMPUTED_VALUE"""),"[305]
[261]")</f>
        <v>[305]
[261]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tr">
        <f>IFERROR(__xludf.DUMMYFUNCTION("IMPORTHTML(""https://en.wikipedia.org/wiki/List_of_Marvel_Cinematic_Universe_films"",""table"",3)"),"Film")</f>
        <v>Film</v>
      </c>
      <c r="B1" s="1" t="str">
        <f>IFERROR(__xludf.DUMMYFUNCTION("""COMPUTED_VALUE"""),"U.S. release date")</f>
        <v>U.S. release date</v>
      </c>
      <c r="C1" s="1" t="str">
        <f>IFERROR(__xludf.DUMMYFUNCTION("""COMPUTED_VALUE"""),"Director(s)")</f>
        <v>Director(s)</v>
      </c>
      <c r="D1" s="1" t="str">
        <f>IFERROR(__xludf.DUMMYFUNCTION("""COMPUTED_VALUE"""),"Screenwriter(s)")</f>
        <v>Screenwriter(s)</v>
      </c>
      <c r="E1" s="1" t="str">
        <f>IFERROR(__xludf.DUMMYFUNCTION("""COMPUTED_VALUE"""),"Producer(s)")</f>
        <v>Producer(s)</v>
      </c>
    </row>
    <row r="2">
      <c r="A2" s="1" t="str">
        <f>IFERROR(__xludf.DUMMYFUNCTION("""COMPUTED_VALUE"""),"*Black Widow*")</f>
        <v>*Black Widow*</v>
      </c>
      <c r="B2" s="1" t="str">
        <f>IFERROR(__xludf.DUMMYFUNCTION("""COMPUTED_VALUE"""),"July 9, 2021 (2021-07-09)[b]")</f>
        <v>July 9, 2021 (2021-07-09)[b]</v>
      </c>
      <c r="C2" s="1" t="str">
        <f>IFERROR(__xludf.DUMMYFUNCTION("""COMPUTED_VALUE"""),"Cate Shortland[68]")</f>
        <v>Cate Shortland[68]</v>
      </c>
      <c r="D2" s="1" t="str">
        <f>IFERROR(__xludf.DUMMYFUNCTION("""COMPUTED_VALUE"""),"Eric Pearson[69]")</f>
        <v>Eric Pearson[69]</v>
      </c>
      <c r="E2" s="1" t="str">
        <f>IFERROR(__xludf.DUMMYFUNCTION("""COMPUTED_VALUE"""),"Kevin Feige")</f>
        <v>Kevin Feige</v>
      </c>
    </row>
    <row r="3">
      <c r="A3" s="1" t="str">
        <f>IFERROR(__xludf.DUMMYFUNCTION("""COMPUTED_VALUE"""),"*Shang-Chi and the Legend of the Ten Rings*")</f>
        <v>*Shang-Chi and the Legend of the Ten Rings*</v>
      </c>
      <c r="B3" s="1" t="str">
        <f>IFERROR(__xludf.DUMMYFUNCTION("""COMPUTED_VALUE"""),"September 3, 2021 (2021-09-03)")</f>
        <v>September 3, 2021 (2021-09-03)</v>
      </c>
      <c r="C3" s="1" t="str">
        <f>IFERROR(__xludf.DUMMYFUNCTION("""COMPUTED_VALUE"""),"Destin Daniel Cretton[70]")</f>
        <v>Destin Daniel Cretton[70]</v>
      </c>
      <c r="D3" s="1" t="str">
        <f>IFERROR(__xludf.DUMMYFUNCTION("""COMPUTED_VALUE"""),"Dave Callaham &amp; Destin Daniel Cretton &amp; Andrew Lanham[71]")</f>
        <v>Dave Callaham &amp; Destin Daniel Cretton &amp; Andrew Lanham[71]</v>
      </c>
      <c r="E3" s="1" t="str">
        <f>IFERROR(__xludf.DUMMYFUNCTION("""COMPUTED_VALUE"""),"Kevin Feige and
Jonathan Schwartz")</f>
        <v>Kevin Feige and
Jonathan Schwartz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9.71"/>
    <col customWidth="1" min="2" max="2" width="21.14"/>
    <col customWidth="1" min="3" max="3" width="18.43"/>
  </cols>
  <sheetData>
    <row r="1">
      <c r="A1" s="1" t="str">
        <f>IFERROR(__xludf.DUMMYFUNCTION("IMPORTHTML(""https://en.wikipedia.org/wiki/List_of_Marvel_Cinematic_Universe_films"",""table"",7)"),"Film")</f>
        <v>Film</v>
      </c>
      <c r="B1" s="1" t="str">
        <f>IFERROR(__xludf.DUMMYFUNCTION("""COMPUTED_VALUE"""),"Critical")</f>
        <v>Critical</v>
      </c>
      <c r="C1" s="1"/>
      <c r="D1" s="1" t="str">
        <f>IFERROR(__xludf.DUMMYFUNCTION("""COMPUTED_VALUE"""),"Public")</f>
        <v>Public</v>
      </c>
    </row>
    <row r="2">
      <c r="A2" s="1"/>
      <c r="B2" s="1" t="str">
        <f>IFERROR(__xludf.DUMMYFUNCTION("""COMPUTED_VALUE"""),"Rotten Tomatoes")</f>
        <v>Rotten Tomatoes</v>
      </c>
      <c r="C2" s="1" t="str">
        <f>IFERROR(__xludf.DUMMYFUNCTION("""COMPUTED_VALUE"""),"Metacritic")</f>
        <v>Metacritic</v>
      </c>
      <c r="D2" s="1" t="str">
        <f>IFERROR(__xludf.DUMMYFUNCTION("""COMPUTED_VALUE"""),"CinemaScore[306]")</f>
        <v>CinemaScore[306]</v>
      </c>
    </row>
    <row r="3">
      <c r="A3" s="1"/>
      <c r="B3" s="1"/>
      <c r="C3" s="1"/>
      <c r="D3" s="1"/>
    </row>
    <row r="4">
      <c r="A4" s="1" t="str">
        <f>IFERROR(__xludf.DUMMYFUNCTION("""COMPUTED_VALUE"""),"Phase One")</f>
        <v>Phase One</v>
      </c>
      <c r="B4" s="1"/>
      <c r="C4" s="1"/>
      <c r="D4" s="1"/>
    </row>
    <row r="5">
      <c r="A5" s="1" t="str">
        <f>IFERROR(__xludf.DUMMYFUNCTION("""COMPUTED_VALUE"""),"*Iron Man*")</f>
        <v>*Iron Man*</v>
      </c>
      <c r="B5" s="1" t="str">
        <f>IFERROR(__xludf.DUMMYFUNCTION("""COMPUTED_VALUE"""),"94% (281 reviews)[307]")</f>
        <v>94% (281 reviews)[307]</v>
      </c>
      <c r="C5" s="1" t="str">
        <f>IFERROR(__xludf.DUMMYFUNCTION("""COMPUTED_VALUE"""),"79 (38 reviews)[308]")</f>
        <v>79 (38 reviews)[308]</v>
      </c>
      <c r="D5" s="1" t="str">
        <f>IFERROR(__xludf.DUMMYFUNCTION("""COMPUTED_VALUE"""),"A")</f>
        <v>A</v>
      </c>
    </row>
    <row r="6">
      <c r="A6" s="1" t="str">
        <f>IFERROR(__xludf.DUMMYFUNCTION("""COMPUTED_VALUE"""),"*The Incredible Hulk*")</f>
        <v>*The Incredible Hulk*</v>
      </c>
      <c r="B6" s="1" t="str">
        <f>IFERROR(__xludf.DUMMYFUNCTION("""COMPUTED_VALUE"""),"67% (238 reviews)[309]")</f>
        <v>67% (238 reviews)[309]</v>
      </c>
      <c r="C6" s="1" t="str">
        <f>IFERROR(__xludf.DUMMYFUNCTION("""COMPUTED_VALUE"""),"61 (38 reviews)[310]")</f>
        <v>61 (38 reviews)[310]</v>
      </c>
      <c r="D6" s="1" t="str">
        <f>IFERROR(__xludf.DUMMYFUNCTION("""COMPUTED_VALUE"""),"A−")</f>
        <v>A−</v>
      </c>
    </row>
    <row r="7">
      <c r="A7" s="1" t="str">
        <f>IFERROR(__xludf.DUMMYFUNCTION("""COMPUTED_VALUE"""),"*Iron Man 2*")</f>
        <v>*Iron Man 2*</v>
      </c>
      <c r="B7" s="1" t="str">
        <f>IFERROR(__xludf.DUMMYFUNCTION("""COMPUTED_VALUE"""),"72% (304 reviews)[311]")</f>
        <v>72% (304 reviews)[311]</v>
      </c>
      <c r="C7" s="1" t="str">
        <f>IFERROR(__xludf.DUMMYFUNCTION("""COMPUTED_VALUE"""),"57 (40 reviews)[312]")</f>
        <v>57 (40 reviews)[312]</v>
      </c>
      <c r="D7" s="1" t="str">
        <f>IFERROR(__xludf.DUMMYFUNCTION("""COMPUTED_VALUE"""),"A")</f>
        <v>A</v>
      </c>
    </row>
    <row r="8">
      <c r="A8" s="1" t="str">
        <f>IFERROR(__xludf.DUMMYFUNCTION("""COMPUTED_VALUE"""),"*Thor*")</f>
        <v>*Thor*</v>
      </c>
      <c r="B8" s="1" t="str">
        <f>IFERROR(__xludf.DUMMYFUNCTION("""COMPUTED_VALUE"""),"77% (291 reviews)[313]")</f>
        <v>77% (291 reviews)[313]</v>
      </c>
      <c r="C8" s="1" t="str">
        <f>IFERROR(__xludf.DUMMYFUNCTION("""COMPUTED_VALUE"""),"57 (40 reviews)[314]")</f>
        <v>57 (40 reviews)[314]</v>
      </c>
      <c r="D8" s="1" t="str">
        <f>IFERROR(__xludf.DUMMYFUNCTION("""COMPUTED_VALUE"""),"B+")</f>
        <v>B+</v>
      </c>
    </row>
    <row r="9">
      <c r="A9" s="1" t="str">
        <f>IFERROR(__xludf.DUMMYFUNCTION("""COMPUTED_VALUE"""),"*Captain America: The First Avenger*")</f>
        <v>*Captain America: The First Avenger*</v>
      </c>
      <c r="B9" s="1" t="str">
        <f>IFERROR(__xludf.DUMMYFUNCTION("""COMPUTED_VALUE"""),"80% (273 reviews)[315]")</f>
        <v>80% (273 reviews)[315]</v>
      </c>
      <c r="C9" s="1" t="str">
        <f>IFERROR(__xludf.DUMMYFUNCTION("""COMPUTED_VALUE"""),"66 (43 reviews)[316]")</f>
        <v>66 (43 reviews)[316]</v>
      </c>
      <c r="D9" s="1" t="str">
        <f>IFERROR(__xludf.DUMMYFUNCTION("""COMPUTED_VALUE"""),"A−")</f>
        <v>A−</v>
      </c>
    </row>
    <row r="10">
      <c r="A10" s="1" t="str">
        <f>IFERROR(__xludf.DUMMYFUNCTION("""COMPUTED_VALUE"""),"*Marvel's The Avengers*")</f>
        <v>*Marvel's The Avengers*</v>
      </c>
      <c r="B10" s="1" t="str">
        <f>IFERROR(__xludf.DUMMYFUNCTION("""COMPUTED_VALUE"""),"91% (362 reviews)[317]")</f>
        <v>91% (362 reviews)[317]</v>
      </c>
      <c r="C10" s="1" t="str">
        <f>IFERROR(__xludf.DUMMYFUNCTION("""COMPUTED_VALUE"""),"69 (43 reviews)[318]")</f>
        <v>69 (43 reviews)[318]</v>
      </c>
      <c r="D10" s="1" t="str">
        <f>IFERROR(__xludf.DUMMYFUNCTION("""COMPUTED_VALUE"""),"A+")</f>
        <v>A+</v>
      </c>
    </row>
    <row r="11">
      <c r="A11" s="1" t="str">
        <f>IFERROR(__xludf.DUMMYFUNCTION("""COMPUTED_VALUE"""),"Phase Two")</f>
        <v>Phase Two</v>
      </c>
      <c r="B11" s="1"/>
      <c r="C11" s="1"/>
      <c r="D11" s="1"/>
    </row>
    <row r="12">
      <c r="A12" s="1" t="str">
        <f>IFERROR(__xludf.DUMMYFUNCTION("""COMPUTED_VALUE"""),"*Iron Man 3*")</f>
        <v>*Iron Man 3*</v>
      </c>
      <c r="B12" s="1" t="str">
        <f>IFERROR(__xludf.DUMMYFUNCTION("""COMPUTED_VALUE"""),"79% (328 reviews)[319]")</f>
        <v>79% (328 reviews)[319]</v>
      </c>
      <c r="C12" s="1" t="str">
        <f>IFERROR(__xludf.DUMMYFUNCTION("""COMPUTED_VALUE"""),"62 (44 reviews)[320]")</f>
        <v>62 (44 reviews)[320]</v>
      </c>
      <c r="D12" s="1" t="str">
        <f>IFERROR(__xludf.DUMMYFUNCTION("""COMPUTED_VALUE"""),"A")</f>
        <v>A</v>
      </c>
    </row>
    <row r="13">
      <c r="A13" s="1" t="str">
        <f>IFERROR(__xludf.DUMMYFUNCTION("""COMPUTED_VALUE"""),"*Thor: The Dark World*")</f>
        <v>*Thor: The Dark World*</v>
      </c>
      <c r="B13" s="1" t="str">
        <f>IFERROR(__xludf.DUMMYFUNCTION("""COMPUTED_VALUE"""),"66% (284 reviews)[321]")</f>
        <v>66% (284 reviews)[321]</v>
      </c>
      <c r="C13" s="1" t="str">
        <f>IFERROR(__xludf.DUMMYFUNCTION("""COMPUTED_VALUE"""),"54 (44 reviews)[322]")</f>
        <v>54 (44 reviews)[322]</v>
      </c>
      <c r="D13" s="1" t="str">
        <f>IFERROR(__xludf.DUMMYFUNCTION("""COMPUTED_VALUE"""),"A−")</f>
        <v>A−</v>
      </c>
    </row>
    <row r="14">
      <c r="A14" s="1" t="str">
        <f>IFERROR(__xludf.DUMMYFUNCTION("""COMPUTED_VALUE"""),"*Captain America: The Winter Soldier*")</f>
        <v>*Captain America: The Winter Soldier*</v>
      </c>
      <c r="B14" s="1" t="str">
        <f>IFERROR(__xludf.DUMMYFUNCTION("""COMPUTED_VALUE"""),"90% (306 reviews)[323]")</f>
        <v>90% (306 reviews)[323]</v>
      </c>
      <c r="C14" s="1" t="str">
        <f>IFERROR(__xludf.DUMMYFUNCTION("""COMPUTED_VALUE"""),"70 (48 reviews)[324]")</f>
        <v>70 (48 reviews)[324]</v>
      </c>
      <c r="D14" s="1" t="str">
        <f>IFERROR(__xludf.DUMMYFUNCTION("""COMPUTED_VALUE"""),"A")</f>
        <v>A</v>
      </c>
    </row>
    <row r="15">
      <c r="A15" s="1" t="str">
        <f>IFERROR(__xludf.DUMMYFUNCTION("""COMPUTED_VALUE"""),"*Guardians of the Galaxy*")</f>
        <v>*Guardians of the Galaxy*</v>
      </c>
      <c r="B15" s="1" t="str">
        <f>IFERROR(__xludf.DUMMYFUNCTION("""COMPUTED_VALUE"""),"92% (332 reviews)[325]")</f>
        <v>92% (332 reviews)[325]</v>
      </c>
      <c r="C15" s="1" t="str">
        <f>IFERROR(__xludf.DUMMYFUNCTION("""COMPUTED_VALUE"""),"76 (53 reviews)[326]")</f>
        <v>76 (53 reviews)[326]</v>
      </c>
      <c r="D15" s="1" t="str">
        <f>IFERROR(__xludf.DUMMYFUNCTION("""COMPUTED_VALUE"""),"A")</f>
        <v>A</v>
      </c>
    </row>
    <row r="16">
      <c r="A16" s="1" t="str">
        <f>IFERROR(__xludf.DUMMYFUNCTION("""COMPUTED_VALUE"""),"*Avengers: Age of Ultron*")</f>
        <v>*Avengers: Age of Ultron*</v>
      </c>
      <c r="B16" s="1" t="str">
        <f>IFERROR(__xludf.DUMMYFUNCTION("""COMPUTED_VALUE"""),"76% (373 reviews)[327]")</f>
        <v>76% (373 reviews)[327]</v>
      </c>
      <c r="C16" s="1" t="str">
        <f>IFERROR(__xludf.DUMMYFUNCTION("""COMPUTED_VALUE"""),"66 (49 reviews)[328]")</f>
        <v>66 (49 reviews)[328]</v>
      </c>
      <c r="D16" s="1" t="str">
        <f>IFERROR(__xludf.DUMMYFUNCTION("""COMPUTED_VALUE"""),"A")</f>
        <v>A</v>
      </c>
    </row>
    <row r="17">
      <c r="A17" s="1" t="str">
        <f>IFERROR(__xludf.DUMMYFUNCTION("""COMPUTED_VALUE"""),"*Ant-Man*")</f>
        <v>*Ant-Man*</v>
      </c>
      <c r="B17" s="1" t="str">
        <f>IFERROR(__xludf.DUMMYFUNCTION("""COMPUTED_VALUE"""),"83% (335 reviews)[329]")</f>
        <v>83% (335 reviews)[329]</v>
      </c>
      <c r="C17" s="1" t="str">
        <f>IFERROR(__xludf.DUMMYFUNCTION("""COMPUTED_VALUE"""),"64 (44 reviews)[330]")</f>
        <v>64 (44 reviews)[330]</v>
      </c>
      <c r="D17" s="1" t="str">
        <f>IFERROR(__xludf.DUMMYFUNCTION("""COMPUTED_VALUE"""),"A")</f>
        <v>A</v>
      </c>
    </row>
    <row r="18">
      <c r="A18" s="1" t="str">
        <f>IFERROR(__xludf.DUMMYFUNCTION("""COMPUTED_VALUE"""),"Phase Three")</f>
        <v>Phase Three</v>
      </c>
      <c r="B18" s="1"/>
      <c r="C18" s="1"/>
      <c r="D18" s="1"/>
    </row>
    <row r="19">
      <c r="A19" s="1" t="str">
        <f>IFERROR(__xludf.DUMMYFUNCTION("""COMPUTED_VALUE"""),"*Captain America: Civil War*")</f>
        <v>*Captain America: Civil War*</v>
      </c>
      <c r="B19" s="1" t="str">
        <f>IFERROR(__xludf.DUMMYFUNCTION("""COMPUTED_VALUE"""),"90% (422 reviews)[331]")</f>
        <v>90% (422 reviews)[331]</v>
      </c>
      <c r="C19" s="1" t="str">
        <f>IFERROR(__xludf.DUMMYFUNCTION("""COMPUTED_VALUE"""),"75 (53 reviews)[332]")</f>
        <v>75 (53 reviews)[332]</v>
      </c>
      <c r="D19" s="1" t="str">
        <f>IFERROR(__xludf.DUMMYFUNCTION("""COMPUTED_VALUE"""),"A")</f>
        <v>A</v>
      </c>
    </row>
    <row r="20">
      <c r="A20" s="1" t="str">
        <f>IFERROR(__xludf.DUMMYFUNCTION("""COMPUTED_VALUE"""),"*Doctor Strange*")</f>
        <v>*Doctor Strange*</v>
      </c>
      <c r="B20" s="1" t="str">
        <f>IFERROR(__xludf.DUMMYFUNCTION("""COMPUTED_VALUE"""),"89% (382 reviews)[333]")</f>
        <v>89% (382 reviews)[333]</v>
      </c>
      <c r="C20" s="1" t="str">
        <f>IFERROR(__xludf.DUMMYFUNCTION("""COMPUTED_VALUE"""),"72 (49 reviews)[334]")</f>
        <v>72 (49 reviews)[334]</v>
      </c>
      <c r="D20" s="1" t="str">
        <f>IFERROR(__xludf.DUMMYFUNCTION("""COMPUTED_VALUE"""),"A")</f>
        <v>A</v>
      </c>
    </row>
    <row r="21">
      <c r="A21" s="1" t="str">
        <f>IFERROR(__xludf.DUMMYFUNCTION("""COMPUTED_VALUE"""),"*Guardians of the Galaxy Vol. 2*")</f>
        <v>*Guardians of the Galaxy Vol. 2*</v>
      </c>
      <c r="B21" s="1" t="str">
        <f>IFERROR(__xludf.DUMMYFUNCTION("""COMPUTED_VALUE"""),"85% (421 reviews)[335]")</f>
        <v>85% (421 reviews)[335]</v>
      </c>
      <c r="C21" s="1" t="str">
        <f>IFERROR(__xludf.DUMMYFUNCTION("""COMPUTED_VALUE"""),"67 (48 reviews)[336]")</f>
        <v>67 (48 reviews)[336]</v>
      </c>
      <c r="D21" s="1" t="str">
        <f>IFERROR(__xludf.DUMMYFUNCTION("""COMPUTED_VALUE"""),"A")</f>
        <v>A</v>
      </c>
    </row>
    <row r="22">
      <c r="A22" s="1" t="str">
        <f>IFERROR(__xludf.DUMMYFUNCTION("""COMPUTED_VALUE"""),"*Spider-Man: Homecoming*")</f>
        <v>*Spider-Man: Homecoming*</v>
      </c>
      <c r="B22" s="1" t="str">
        <f>IFERROR(__xludf.DUMMYFUNCTION("""COMPUTED_VALUE"""),"92% (393 reviews)[337]")</f>
        <v>92% (393 reviews)[337]</v>
      </c>
      <c r="C22" s="1" t="str">
        <f>IFERROR(__xludf.DUMMYFUNCTION("""COMPUTED_VALUE"""),"73 (51 reviews)[338]")</f>
        <v>73 (51 reviews)[338]</v>
      </c>
      <c r="D22" s="1" t="str">
        <f>IFERROR(__xludf.DUMMYFUNCTION("""COMPUTED_VALUE"""),"A")</f>
        <v>A</v>
      </c>
    </row>
    <row r="23">
      <c r="A23" s="1" t="str">
        <f>IFERROR(__xludf.DUMMYFUNCTION("""COMPUTED_VALUE"""),"*Thor: Ragnarok*")</f>
        <v>*Thor: Ragnarok*</v>
      </c>
      <c r="B23" s="1" t="str">
        <f>IFERROR(__xludf.DUMMYFUNCTION("""COMPUTED_VALUE"""),"93% (434 reviews)[339]")</f>
        <v>93% (434 reviews)[339]</v>
      </c>
      <c r="C23" s="1" t="str">
        <f>IFERROR(__xludf.DUMMYFUNCTION("""COMPUTED_VALUE"""),"74 (51 reviews)[340]")</f>
        <v>74 (51 reviews)[340]</v>
      </c>
      <c r="D23" s="1" t="str">
        <f>IFERROR(__xludf.DUMMYFUNCTION("""COMPUTED_VALUE"""),"A")</f>
        <v>A</v>
      </c>
    </row>
    <row r="24">
      <c r="A24" s="1" t="str">
        <f>IFERROR(__xludf.DUMMYFUNCTION("""COMPUTED_VALUE"""),"*Black Panther*")</f>
        <v>*Black Panther*</v>
      </c>
      <c r="B24" s="1" t="str">
        <f>IFERROR(__xludf.DUMMYFUNCTION("""COMPUTED_VALUE"""),"96% (523 reviews)[341]")</f>
        <v>96% (523 reviews)[341]</v>
      </c>
      <c r="C24" s="1" t="str">
        <f>IFERROR(__xludf.DUMMYFUNCTION("""COMPUTED_VALUE"""),"88 (55 reviews)[342]")</f>
        <v>88 (55 reviews)[342]</v>
      </c>
      <c r="D24" s="1" t="str">
        <f>IFERROR(__xludf.DUMMYFUNCTION("""COMPUTED_VALUE"""),"A+")</f>
        <v>A+</v>
      </c>
    </row>
    <row r="25">
      <c r="A25" s="1" t="str">
        <f>IFERROR(__xludf.DUMMYFUNCTION("""COMPUTED_VALUE"""),"*Avengers: Infinity War*")</f>
        <v>*Avengers: Infinity War*</v>
      </c>
      <c r="B25" s="1" t="str">
        <f>IFERROR(__xludf.DUMMYFUNCTION("""COMPUTED_VALUE"""),"85% (480 reviews)[343]")</f>
        <v>85% (480 reviews)[343]</v>
      </c>
      <c r="C25" s="1" t="str">
        <f>IFERROR(__xludf.DUMMYFUNCTION("""COMPUTED_VALUE"""),"68 (54 reviews)[344]")</f>
        <v>68 (54 reviews)[344]</v>
      </c>
      <c r="D25" s="1" t="str">
        <f>IFERROR(__xludf.DUMMYFUNCTION("""COMPUTED_VALUE"""),"A")</f>
        <v>A</v>
      </c>
    </row>
    <row r="26">
      <c r="A26" s="1" t="str">
        <f>IFERROR(__xludf.DUMMYFUNCTION("""COMPUTED_VALUE"""),"*Ant-Man and the Wasp*")</f>
        <v>*Ant-Man and the Wasp*</v>
      </c>
      <c r="B26" s="1" t="str">
        <f>IFERROR(__xludf.DUMMYFUNCTION("""COMPUTED_VALUE"""),"87% (435 reviews)[345]")</f>
        <v>87% (435 reviews)[345]</v>
      </c>
      <c r="C26" s="1" t="str">
        <f>IFERROR(__xludf.DUMMYFUNCTION("""COMPUTED_VALUE"""),"70 (56 reviews)[346]")</f>
        <v>70 (56 reviews)[346]</v>
      </c>
      <c r="D26" s="1" t="str">
        <f>IFERROR(__xludf.DUMMYFUNCTION("""COMPUTED_VALUE"""),"A−")</f>
        <v>A−</v>
      </c>
    </row>
    <row r="27">
      <c r="A27" s="1" t="str">
        <f>IFERROR(__xludf.DUMMYFUNCTION("""COMPUTED_VALUE"""),"*Captain Marvel*")</f>
        <v>*Captain Marvel*</v>
      </c>
      <c r="B27" s="1" t="str">
        <f>IFERROR(__xludf.DUMMYFUNCTION("""COMPUTED_VALUE"""),"79% (537 reviews)[347]")</f>
        <v>79% (537 reviews)[347]</v>
      </c>
      <c r="C27" s="1" t="str">
        <f>IFERROR(__xludf.DUMMYFUNCTION("""COMPUTED_VALUE"""),"64 (56 reviews)[348]")</f>
        <v>64 (56 reviews)[348]</v>
      </c>
      <c r="D27" s="1" t="str">
        <f>IFERROR(__xludf.DUMMYFUNCTION("""COMPUTED_VALUE"""),"A")</f>
        <v>A</v>
      </c>
    </row>
    <row r="28">
      <c r="A28" s="1" t="str">
        <f>IFERROR(__xludf.DUMMYFUNCTION("""COMPUTED_VALUE"""),"*Avengers: Endgame*")</f>
        <v>*Avengers: Endgame*</v>
      </c>
      <c r="B28" s="1" t="str">
        <f>IFERROR(__xludf.DUMMYFUNCTION("""COMPUTED_VALUE"""),"94% (541 reviews)[349]")</f>
        <v>94% (541 reviews)[349]</v>
      </c>
      <c r="C28" s="1" t="str">
        <f>IFERROR(__xludf.DUMMYFUNCTION("""COMPUTED_VALUE"""),"78 (57 reviews)[350]")</f>
        <v>78 (57 reviews)[350]</v>
      </c>
      <c r="D28" s="1" t="str">
        <f>IFERROR(__xludf.DUMMYFUNCTION("""COMPUTED_VALUE"""),"A+")</f>
        <v>A+</v>
      </c>
    </row>
    <row r="29">
      <c r="A29" s="1" t="str">
        <f>IFERROR(__xludf.DUMMYFUNCTION("""COMPUTED_VALUE"""),"*Spider-Man: Far From Home*")</f>
        <v>*Spider-Man: Far From Home*</v>
      </c>
      <c r="B29" s="1" t="str">
        <f>IFERROR(__xludf.DUMMYFUNCTION("""COMPUTED_VALUE"""),"90% (448 reviews)[351]")</f>
        <v>90% (448 reviews)[351]</v>
      </c>
      <c r="C29" s="1" t="str">
        <f>IFERROR(__xludf.DUMMYFUNCTION("""COMPUTED_VALUE"""),"69 (55 reviews)[352]")</f>
        <v>69 (55 reviews)[352]</v>
      </c>
      <c r="D29" s="1" t="str">
        <f>IFERROR(__xludf.DUMMYFUNCTION("""COMPUTED_VALUE"""),"A")</f>
        <v>A</v>
      </c>
    </row>
    <row r="30">
      <c r="A30" s="1" t="str">
        <f>IFERROR(__xludf.DUMMYFUNCTION("""COMPUTED_VALUE"""),"Phase Four")</f>
        <v>Phase Four</v>
      </c>
      <c r="B30" s="1"/>
      <c r="C30" s="1"/>
      <c r="D30" s="1"/>
    </row>
    <row r="31">
      <c r="A31" s="1" t="str">
        <f>IFERROR(__xludf.DUMMYFUNCTION("""COMPUTED_VALUE"""),"*Black Widow*")</f>
        <v>*Black Widow*</v>
      </c>
      <c r="B31" s="1" t="str">
        <f>IFERROR(__xludf.DUMMYFUNCTION("""COMPUTED_VALUE"""),"79% (428 reviews)[353]")</f>
        <v>79% (428 reviews)[353]</v>
      </c>
      <c r="C31" s="1" t="str">
        <f>IFERROR(__xludf.DUMMYFUNCTION("""COMPUTED_VALUE"""),"67 (56 reviews)[354]")</f>
        <v>67 (56 reviews)[354]</v>
      </c>
      <c r="D31" s="1" t="str">
        <f>IFERROR(__xludf.DUMMYFUNCTION("""COMPUTED_VALUE"""),"A−")</f>
        <v>A−</v>
      </c>
    </row>
    <row r="32">
      <c r="A32" s="1" t="str">
        <f>IFERROR(__xludf.DUMMYFUNCTION("""COMPUTED_VALUE"""),"*Shang-Chi and the Legend of the Ten Rings*")</f>
        <v>*Shang-Chi and the Legend of the Ten Rings*</v>
      </c>
      <c r="B32" s="1" t="str">
        <f>IFERROR(__xludf.DUMMYFUNCTION("""COMPUTED_VALUE"""),"92% (304 reviews)[355]")</f>
        <v>92% (304 reviews)[355]</v>
      </c>
      <c r="C32" s="1" t="str">
        <f>IFERROR(__xludf.DUMMYFUNCTION("""COMPUTED_VALUE"""),"71 (51 reviews)[356]")</f>
        <v>71 (51 reviews)[356]</v>
      </c>
      <c r="D32" s="1" t="str">
        <f>IFERROR(__xludf.DUMMYFUNCTION("""COMPUTED_VALUE"""),"A")</f>
        <v>A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0.14"/>
    <col customWidth="1" min="2" max="2" width="32.57"/>
    <col customWidth="1" min="3" max="3" width="16.0"/>
    <col customWidth="1" min="5" max="5" width="16.43"/>
  </cols>
  <sheetData>
    <row r="1">
      <c r="A1" s="1" t="str">
        <f>IFERROR(__xludf.DUMMYFUNCTION("IMPORTHTML(""https://en.wikipedia.org/wiki/List_of_Marvel_Cinematic_Universe_films"",""table"",4)"),"Film")</f>
        <v>Film</v>
      </c>
      <c r="B1" s="1" t="str">
        <f>IFERROR(__xludf.DUMMYFUNCTION("""COMPUTED_VALUE"""),"U.S. release date")</f>
        <v>U.S. release date</v>
      </c>
      <c r="C1" s="1" t="str">
        <f>IFERROR(__xludf.DUMMYFUNCTION("""COMPUTED_VALUE"""),"Director")</f>
        <v>Director</v>
      </c>
      <c r="D1" s="1" t="str">
        <f>IFERROR(__xludf.DUMMYFUNCTION("""COMPUTED_VALUE"""),"Screenwriter(s)")</f>
        <v>Screenwriter(s)</v>
      </c>
      <c r="E1" s="1" t="str">
        <f>IFERROR(__xludf.DUMMYFUNCTION("""COMPUTED_VALUE"""),"Producer(s)")</f>
        <v>Producer(s)</v>
      </c>
      <c r="F1" s="1" t="str">
        <f>IFERROR(__xludf.DUMMYFUNCTION("""COMPUTED_VALUE"""),"Status")</f>
        <v>Status</v>
      </c>
    </row>
    <row r="2">
      <c r="A2" s="1" t="str">
        <f>IFERROR(__xludf.DUMMYFUNCTION("""COMPUTED_VALUE"""),"Phase Four[3]")</f>
        <v>Phase Four[3]</v>
      </c>
      <c r="B2" s="1"/>
      <c r="C2" s="1"/>
      <c r="D2" s="1"/>
      <c r="E2" s="1"/>
      <c r="F2" s="1"/>
    </row>
    <row r="3">
      <c r="A3" s="1" t="str">
        <f>IFERROR(__xludf.DUMMYFUNCTION("""COMPUTED_VALUE"""),"*Eternals*")</f>
        <v>*Eternals*</v>
      </c>
      <c r="B3" s="1" t="str">
        <f>IFERROR(__xludf.DUMMYFUNCTION("""COMPUTED_VALUE"""),"November 5, 2021 (2021-11-05)[72]")</f>
        <v>November 5, 2021 (2021-11-05)[72]</v>
      </c>
      <c r="C3" s="1" t="str">
        <f>IFERROR(__xludf.DUMMYFUNCTION("""COMPUTED_VALUE"""),"Chloé Zhao[73]")</f>
        <v>Chloé Zhao[73]</v>
      </c>
      <c r="D3" s="1" t="str">
        <f>IFERROR(__xludf.DUMMYFUNCTION("""COMPUTED_VALUE"""),"Chloé Zhao and Chloé Zhao &amp; Patrick Burleigh
and Ryan Firpo &amp; Kaz Firpo[74][75]")</f>
        <v>Chloé Zhao and Chloé Zhao &amp; Patrick Burleigh
and Ryan Firpo &amp; Kaz Firpo[74][75]</v>
      </c>
      <c r="E3" s="1" t="str">
        <f>IFERROR(__xludf.DUMMYFUNCTION("""COMPUTED_VALUE"""),"Kevin Feige
and Nate Moore")</f>
        <v>Kevin Feige
and Nate Moore</v>
      </c>
      <c r="F3" s="1" t="str">
        <f>IFERROR(__xludf.DUMMYFUNCTION("""COMPUTED_VALUE"""),"Post-production")</f>
        <v>Post-production</v>
      </c>
    </row>
    <row r="4">
      <c r="A4" s="1" t="str">
        <f>IFERROR(__xludf.DUMMYFUNCTION("""COMPUTED_VALUE"""),"*Spider-Man: No Way Home*")</f>
        <v>*Spider-Man: No Way Home*</v>
      </c>
      <c r="B4" s="1" t="str">
        <f>IFERROR(__xludf.DUMMYFUNCTION("""COMPUTED_VALUE"""),"December 17, 2021 (2021-12-17)[76]")</f>
        <v>December 17, 2021 (2021-12-17)[76]</v>
      </c>
      <c r="C4" s="1" t="str">
        <f>IFERROR(__xludf.DUMMYFUNCTION("""COMPUTED_VALUE"""),"Jon Watts[77]")</f>
        <v>Jon Watts[77]</v>
      </c>
      <c r="D4" s="1" t="str">
        <f>IFERROR(__xludf.DUMMYFUNCTION("""COMPUTED_VALUE"""),"Chris McKenna &amp; Erik Sommers[78]")</f>
        <v>Chris McKenna &amp; Erik Sommers[78]</v>
      </c>
      <c r="E4" s="1" t="str">
        <f>IFERROR(__xludf.DUMMYFUNCTION("""COMPUTED_VALUE"""),"Kevin Feige
and Amy Pascal")</f>
        <v>Kevin Feige
and Amy Pascal</v>
      </c>
      <c r="F4" s="1"/>
    </row>
    <row r="5">
      <c r="A5" s="1" t="str">
        <f>IFERROR(__xludf.DUMMYFUNCTION("""COMPUTED_VALUE"""),"*Doctor Strange in the Multiverse of Madness*")</f>
        <v>*Doctor Strange in the Multiverse of Madness*</v>
      </c>
      <c r="B5" s="1" t="str">
        <f>IFERROR(__xludf.DUMMYFUNCTION("""COMPUTED_VALUE"""),"March 25, 2022 (2022-03-25)[79]")</f>
        <v>March 25, 2022 (2022-03-25)[79]</v>
      </c>
      <c r="C5" s="1" t="str">
        <f>IFERROR(__xludf.DUMMYFUNCTION("""COMPUTED_VALUE"""),"Sam Raimi[80]")</f>
        <v>Sam Raimi[80]</v>
      </c>
      <c r="D5" s="1" t="str">
        <f>IFERROR(__xludf.DUMMYFUNCTION("""COMPUTED_VALUE"""),"Jade Bartlett and Michael Waldron[81][82]")</f>
        <v>Jade Bartlett and Michael Waldron[81][82]</v>
      </c>
      <c r="E5" s="1" t="str">
        <f>IFERROR(__xludf.DUMMYFUNCTION("""COMPUTED_VALUE"""),"Kevin Feige")</f>
        <v>Kevin Feige</v>
      </c>
      <c r="F5" s="1"/>
    </row>
    <row r="6">
      <c r="A6" s="1" t="str">
        <f>IFERROR(__xludf.DUMMYFUNCTION("""COMPUTED_VALUE"""),"*Thor: Love and Thunder*")</f>
        <v>*Thor: Love and Thunder*</v>
      </c>
      <c r="B6" s="1" t="str">
        <f>IFERROR(__xludf.DUMMYFUNCTION("""COMPUTED_VALUE"""),"May 6, 2022 (2022-05-06)[83]")</f>
        <v>May 6, 2022 (2022-05-06)[83]</v>
      </c>
      <c r="C6" s="1" t="str">
        <f>IFERROR(__xludf.DUMMYFUNCTION("""COMPUTED_VALUE"""),"Taika Waititi[84]")</f>
        <v>Taika Waititi[84]</v>
      </c>
      <c r="D6" s="1" t="str">
        <f>IFERROR(__xludf.DUMMYFUNCTION("""COMPUTED_VALUE"""),"Taika Waititi and Jennifer Kaytin Robinson[84][85]")</f>
        <v>Taika Waititi and Jennifer Kaytin Robinson[84][85]</v>
      </c>
      <c r="E6" s="1" t="str">
        <f>IFERROR(__xludf.DUMMYFUNCTION("""COMPUTED_VALUE"""),"Kevin Feige and
Brad Winderbaum")</f>
        <v>Kevin Feige and
Brad Winderbaum</v>
      </c>
      <c r="F6" s="1"/>
    </row>
    <row r="7">
      <c r="A7" s="1" t="str">
        <f>IFERROR(__xludf.DUMMYFUNCTION("""COMPUTED_VALUE"""),"*Black Panther: Wakanda Forever*")</f>
        <v>*Black Panther: Wakanda Forever*</v>
      </c>
      <c r="B7" s="1" t="str">
        <f>IFERROR(__xludf.DUMMYFUNCTION("""COMPUTED_VALUE"""),"July 8, 2022 (2022-07-08)[86]")</f>
        <v>July 8, 2022 (2022-07-08)[86]</v>
      </c>
      <c r="C7" s="1" t="str">
        <f>IFERROR(__xludf.DUMMYFUNCTION("""COMPUTED_VALUE"""),"Ryan Coogler[87]")</f>
        <v>Ryan Coogler[87]</v>
      </c>
      <c r="D7" s="1" t="str">
        <f>IFERROR(__xludf.DUMMYFUNCTION("""COMPUTED_VALUE"""),"Ryan Coogler &amp; Joe Robert Cole[87][88]")</f>
        <v>Ryan Coogler &amp; Joe Robert Cole[87][88]</v>
      </c>
      <c r="E7" s="1" t="str">
        <f>IFERROR(__xludf.DUMMYFUNCTION("""COMPUTED_VALUE"""),"Kevin Feige")</f>
        <v>Kevin Feige</v>
      </c>
      <c r="F7" s="1" t="str">
        <f>IFERROR(__xludf.DUMMYFUNCTION("""COMPUTED_VALUE"""),"Filming")</f>
        <v>Filming</v>
      </c>
    </row>
    <row r="8">
      <c r="A8" s="1" t="str">
        <f>IFERROR(__xludf.DUMMYFUNCTION("""COMPUTED_VALUE"""),"*The Marvels*")</f>
        <v>*The Marvels*</v>
      </c>
      <c r="B8" s="1" t="str">
        <f>IFERROR(__xludf.DUMMYFUNCTION("""COMPUTED_VALUE"""),"November 11, 2022 (2022-11-11)[86]")</f>
        <v>November 11, 2022 (2022-11-11)[86]</v>
      </c>
      <c r="C8" s="1" t="str">
        <f>IFERROR(__xludf.DUMMYFUNCTION("""COMPUTED_VALUE"""),"Nia DaCosta[89]")</f>
        <v>Nia DaCosta[89]</v>
      </c>
      <c r="D8" s="1" t="str">
        <f>IFERROR(__xludf.DUMMYFUNCTION("""COMPUTED_VALUE"""),"Megan McDonnell[90]")</f>
        <v>Megan McDonnell[90]</v>
      </c>
      <c r="E8" s="1"/>
      <c r="F8" s="1"/>
    </row>
    <row r="9">
      <c r="A9" s="1" t="str">
        <f>IFERROR(__xludf.DUMMYFUNCTION("""COMPUTED_VALUE"""),"*Ant-Man and the Wasp: Quantumania*")</f>
        <v>*Ant-Man and the Wasp: Quantumania*</v>
      </c>
      <c r="B9" s="1" t="str">
        <f>IFERROR(__xludf.DUMMYFUNCTION("""COMPUTED_VALUE"""),"February 17, 2023 (2023-02-17)[86]")</f>
        <v>February 17, 2023 (2023-02-17)[86]</v>
      </c>
      <c r="C9" s="1" t="str">
        <f>IFERROR(__xludf.DUMMYFUNCTION("""COMPUTED_VALUE"""),"Peyton Reed[91]")</f>
        <v>Peyton Reed[91]</v>
      </c>
      <c r="D9" s="1" t="str">
        <f>IFERROR(__xludf.DUMMYFUNCTION("""COMPUTED_VALUE"""),"Jeff Loveness[92]")</f>
        <v>Jeff Loveness[92]</v>
      </c>
      <c r="E9" s="1"/>
      <c r="F9" s="1"/>
    </row>
    <row r="10">
      <c r="A10" s="1" t="str">
        <f>IFERROR(__xludf.DUMMYFUNCTION("""COMPUTED_VALUE"""),"*Guardians of the Galaxy Vol. 3*")</f>
        <v>*Guardians of the Galaxy Vol. 3*</v>
      </c>
      <c r="B10" s="1" t="str">
        <f>IFERROR(__xludf.DUMMYFUNCTION("""COMPUTED_VALUE"""),"May 5, 2023 (2023-05-05)[86]")</f>
        <v>May 5, 2023 (2023-05-05)[86]</v>
      </c>
      <c r="C10" s="1" t="str">
        <f>IFERROR(__xludf.DUMMYFUNCTION("""COMPUTED_VALUE"""),"James Gunn[93]")</f>
        <v>James Gunn[93]</v>
      </c>
      <c r="D10" s="1"/>
      <c r="E10" s="1"/>
      <c r="F10" s="1" t="str">
        <f>IFERROR(__xludf.DUMMYFUNCTION("""COMPUTED_VALUE"""),"Pre-production")</f>
        <v>Pre-production</v>
      </c>
    </row>
    <row r="11">
      <c r="A11" s="1" t="str">
        <f>IFERROR(__xludf.DUMMYFUNCTION("""COMPUTED_VALUE"""),"*Fantastic Four*")</f>
        <v>*Fantastic Four*</v>
      </c>
      <c r="B11" s="1" t="str">
        <f>IFERROR(__xludf.DUMMYFUNCTION("""COMPUTED_VALUE"""),"TBA")</f>
        <v>TBA</v>
      </c>
      <c r="C11" s="1" t="str">
        <f>IFERROR(__xludf.DUMMYFUNCTION("""COMPUTED_VALUE"""),"Jon Watts[94]")</f>
        <v>Jon Watts[94]</v>
      </c>
      <c r="D11" s="1" t="str">
        <f>IFERROR(__xludf.DUMMYFUNCTION("""COMPUTED_VALUE"""),"TBA")</f>
        <v>TBA</v>
      </c>
      <c r="E11" s="1"/>
      <c r="F11" s="1" t="str">
        <f>IFERROR(__xludf.DUMMYFUNCTION("""COMPUTED_VALUE"""),"In development")</f>
        <v>In development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3.57"/>
    <col customWidth="1" min="2" max="2" width="16.86"/>
    <col customWidth="1" min="3" max="3" width="28.57"/>
    <col customWidth="1" min="4" max="4" width="59.14"/>
  </cols>
  <sheetData>
    <row r="1">
      <c r="A1" s="1" t="str">
        <f>IFERROR(__xludf.DUMMYFUNCTION("IMPORTHTML(""https://en.wikipedia.org/wiki/List_of_Marvel_Cinematic_Universe_films"",""table"",2)"),"Film")</f>
        <v>Film</v>
      </c>
      <c r="B1" s="1" t="str">
        <f>IFERROR(__xludf.DUMMYFUNCTION("""COMPUTED_VALUE"""),"U.S. release date")</f>
        <v>U.S. release date</v>
      </c>
      <c r="C1" s="1" t="str">
        <f>IFERROR(__xludf.DUMMYFUNCTION("""COMPUTED_VALUE"""),"Director(s)")</f>
        <v>Director(s)</v>
      </c>
      <c r="D1" s="1" t="str">
        <f>IFERROR(__xludf.DUMMYFUNCTION("""COMPUTED_VALUE"""),"Screenwriter(s)")</f>
        <v>Screenwriter(s)</v>
      </c>
      <c r="E1" s="1" t="str">
        <f>IFERROR(__xludf.DUMMYFUNCTION("""COMPUTED_VALUE"""),"Producer(s)")</f>
        <v>Producer(s)</v>
      </c>
    </row>
    <row r="2">
      <c r="A2" s="1" t="str">
        <f>IFERROR(__xludf.DUMMYFUNCTION("""COMPUTED_VALUE"""),"Phase One[2]")</f>
        <v>Phase One[2]</v>
      </c>
      <c r="B2" s="1"/>
      <c r="C2" s="1"/>
      <c r="D2" s="1"/>
      <c r="E2" s="1"/>
    </row>
    <row r="3">
      <c r="A3" s="1" t="str">
        <f>IFERROR(__xludf.DUMMYFUNCTION("""COMPUTED_VALUE"""),"*Iron Man*")</f>
        <v>*Iron Man*</v>
      </c>
      <c r="B3" s="2">
        <f>IFERROR(__xludf.DUMMYFUNCTION("""COMPUTED_VALUE"""),39570.0)</f>
        <v>39570</v>
      </c>
      <c r="C3" s="1" t="str">
        <f>IFERROR(__xludf.DUMMYFUNCTION("""COMPUTED_VALUE"""),"Jon Favreau[26]")</f>
        <v>Jon Favreau[26]</v>
      </c>
      <c r="D3" s="1" t="str">
        <f>IFERROR(__xludf.DUMMYFUNCTION("""COMPUTED_VALUE"""),"Mark Fergus &amp; Hawk Ostby and Art Marcum &amp; Matt Holloway[26][27]")</f>
        <v>Mark Fergus &amp; Hawk Ostby and Art Marcum &amp; Matt Holloway[26][27]</v>
      </c>
      <c r="E3" s="1" t="str">
        <f>IFERROR(__xludf.DUMMYFUNCTION("""COMPUTED_VALUE"""),"Avi Arad and Kevin Feige")</f>
        <v>Avi Arad and Kevin Feige</v>
      </c>
    </row>
    <row r="4">
      <c r="A4" s="1" t="str">
        <f>IFERROR(__xludf.DUMMYFUNCTION("""COMPUTED_VALUE"""),"*The Incredible Hulk*")</f>
        <v>*The Incredible Hulk*</v>
      </c>
      <c r="B4" s="2">
        <f>IFERROR(__xludf.DUMMYFUNCTION("""COMPUTED_VALUE"""),39612.0)</f>
        <v>39612</v>
      </c>
      <c r="C4" s="1" t="str">
        <f>IFERROR(__xludf.DUMMYFUNCTION("""COMPUTED_VALUE"""),"Louis Leterrier[28]")</f>
        <v>Louis Leterrier[28]</v>
      </c>
      <c r="D4" s="1" t="str">
        <f>IFERROR(__xludf.DUMMYFUNCTION("""COMPUTED_VALUE"""),"Zak Penn[29]")</f>
        <v>Zak Penn[29]</v>
      </c>
      <c r="E4" s="1" t="str">
        <f>IFERROR(__xludf.DUMMYFUNCTION("""COMPUTED_VALUE"""),"Avi Arad, Gale Anne Hurd
and Kevin Feige")</f>
        <v>Avi Arad, Gale Anne Hurd
and Kevin Feige</v>
      </c>
    </row>
    <row r="5">
      <c r="A5" s="1" t="str">
        <f>IFERROR(__xludf.DUMMYFUNCTION("""COMPUTED_VALUE"""),"*Iron Man 2*")</f>
        <v>*Iron Man 2*</v>
      </c>
      <c r="B5" s="2">
        <f>IFERROR(__xludf.DUMMYFUNCTION("""COMPUTED_VALUE"""),40305.0)</f>
        <v>40305</v>
      </c>
      <c r="C5" s="1" t="str">
        <f>IFERROR(__xludf.DUMMYFUNCTION("""COMPUTED_VALUE"""),"Jon Favreau[30]")</f>
        <v>Jon Favreau[30]</v>
      </c>
      <c r="D5" s="1" t="str">
        <f>IFERROR(__xludf.DUMMYFUNCTION("""COMPUTED_VALUE"""),"Justin Theroux[31]")</f>
        <v>Justin Theroux[31]</v>
      </c>
      <c r="E5" s="1" t="str">
        <f>IFERROR(__xludf.DUMMYFUNCTION("""COMPUTED_VALUE"""),"Kevin Feige")</f>
        <v>Kevin Feige</v>
      </c>
    </row>
    <row r="6">
      <c r="A6" s="1" t="str">
        <f>IFERROR(__xludf.DUMMYFUNCTION("""COMPUTED_VALUE"""),"*Thor*")</f>
        <v>*Thor*</v>
      </c>
      <c r="B6" s="2">
        <f>IFERROR(__xludf.DUMMYFUNCTION("""COMPUTED_VALUE"""),40669.0)</f>
        <v>40669</v>
      </c>
      <c r="C6" s="1" t="str">
        <f>IFERROR(__xludf.DUMMYFUNCTION("""COMPUTED_VALUE"""),"Kenneth Branagh[32]")</f>
        <v>Kenneth Branagh[32]</v>
      </c>
      <c r="D6" s="1" t="str">
        <f>IFERROR(__xludf.DUMMYFUNCTION("""COMPUTED_VALUE"""),"Ashley Edward Miller &amp; Zack Stentz and Don Payne[33]")</f>
        <v>Ashley Edward Miller &amp; Zack Stentz and Don Payne[33]</v>
      </c>
      <c r="E6" s="1"/>
    </row>
    <row r="7">
      <c r="A7" s="1" t="str">
        <f>IFERROR(__xludf.DUMMYFUNCTION("""COMPUTED_VALUE"""),"*Captain America: The First Avenger*")</f>
        <v>*Captain America: The First Avenger*</v>
      </c>
      <c r="B7" s="2">
        <f>IFERROR(__xludf.DUMMYFUNCTION("""COMPUTED_VALUE"""),40746.0)</f>
        <v>40746</v>
      </c>
      <c r="C7" s="1" t="str">
        <f>IFERROR(__xludf.DUMMYFUNCTION("""COMPUTED_VALUE"""),"Joe Johnston[34]")</f>
        <v>Joe Johnston[34]</v>
      </c>
      <c r="D7" s="1" t="str">
        <f>IFERROR(__xludf.DUMMYFUNCTION("""COMPUTED_VALUE"""),"Christopher Markus &amp; Stephen McFeely[35]")</f>
        <v>Christopher Markus &amp; Stephen McFeely[35]</v>
      </c>
      <c r="E7" s="1"/>
    </row>
    <row r="8">
      <c r="A8" s="1" t="str">
        <f>IFERROR(__xludf.DUMMYFUNCTION("""COMPUTED_VALUE"""),"*Marvel's The Avengers*")</f>
        <v>*Marvel's The Avengers*</v>
      </c>
      <c r="B8" s="2">
        <f>IFERROR(__xludf.DUMMYFUNCTION("""COMPUTED_VALUE"""),41033.0)</f>
        <v>41033</v>
      </c>
      <c r="C8" s="1" t="str">
        <f>IFERROR(__xludf.DUMMYFUNCTION("""COMPUTED_VALUE"""),"Joss Whedon[36]")</f>
        <v>Joss Whedon[36]</v>
      </c>
      <c r="D8" s="1"/>
      <c r="E8" s="1"/>
    </row>
    <row r="9">
      <c r="A9" s="1" t="str">
        <f>IFERROR(__xludf.DUMMYFUNCTION("""COMPUTED_VALUE"""),"Phase Two[2]")</f>
        <v>Phase Two[2]</v>
      </c>
      <c r="B9" s="1"/>
      <c r="C9" s="1"/>
      <c r="D9" s="1"/>
      <c r="E9" s="1"/>
    </row>
    <row r="10">
      <c r="A10" s="1" t="str">
        <f>IFERROR(__xludf.DUMMYFUNCTION("""COMPUTED_VALUE"""),"*Iron Man 3*")</f>
        <v>*Iron Man 3*</v>
      </c>
      <c r="B10" s="2">
        <f>IFERROR(__xludf.DUMMYFUNCTION("""COMPUTED_VALUE"""),41397.0)</f>
        <v>41397</v>
      </c>
      <c r="C10" s="1" t="str">
        <f>IFERROR(__xludf.DUMMYFUNCTION("""COMPUTED_VALUE"""),"Shane Black[37]")</f>
        <v>Shane Black[37]</v>
      </c>
      <c r="D10" s="1" t="str">
        <f>IFERROR(__xludf.DUMMYFUNCTION("""COMPUTED_VALUE"""),"Drew Pearce and Shane Black[37][38]")</f>
        <v>Drew Pearce and Shane Black[37][38]</v>
      </c>
      <c r="E10" s="1" t="str">
        <f>IFERROR(__xludf.DUMMYFUNCTION("""COMPUTED_VALUE"""),"Kevin Feige")</f>
        <v>Kevin Feige</v>
      </c>
    </row>
    <row r="11">
      <c r="A11" s="1" t="str">
        <f>IFERROR(__xludf.DUMMYFUNCTION("""COMPUTED_VALUE"""),"*Thor: The Dark World*")</f>
        <v>*Thor: The Dark World*</v>
      </c>
      <c r="B11" s="2">
        <f>IFERROR(__xludf.DUMMYFUNCTION("""COMPUTED_VALUE"""),41586.0)</f>
        <v>41586</v>
      </c>
      <c r="C11" s="1" t="str">
        <f>IFERROR(__xludf.DUMMYFUNCTION("""COMPUTED_VALUE"""),"Alan Taylor[39]")</f>
        <v>Alan Taylor[39]</v>
      </c>
      <c r="D11" s="1" t="str">
        <f>IFERROR(__xludf.DUMMYFUNCTION("""COMPUTED_VALUE"""),"Christopher L. Yost and Christopher Markus &amp; Stephen McFeely[40]")</f>
        <v>Christopher L. Yost and Christopher Markus &amp; Stephen McFeely[40]</v>
      </c>
      <c r="E11" s="1"/>
    </row>
    <row r="12">
      <c r="A12" s="1" t="str">
        <f>IFERROR(__xludf.DUMMYFUNCTION("""COMPUTED_VALUE"""),"*Captain America: The Winter Soldier*")</f>
        <v>*Captain America: The Winter Soldier*</v>
      </c>
      <c r="B12" s="2">
        <f>IFERROR(__xludf.DUMMYFUNCTION("""COMPUTED_VALUE"""),41733.0)</f>
        <v>41733</v>
      </c>
      <c r="C12" s="1" t="str">
        <f>IFERROR(__xludf.DUMMYFUNCTION("""COMPUTED_VALUE"""),"Anthony and Joe Russo[41]")</f>
        <v>Anthony and Joe Russo[41]</v>
      </c>
      <c r="D12" s="1" t="str">
        <f>IFERROR(__xludf.DUMMYFUNCTION("""COMPUTED_VALUE"""),"Christopher Markus &amp; Stephen McFeely[42]")</f>
        <v>Christopher Markus &amp; Stephen McFeely[42]</v>
      </c>
      <c r="E12" s="1"/>
    </row>
    <row r="13">
      <c r="A13" s="1" t="str">
        <f>IFERROR(__xludf.DUMMYFUNCTION("""COMPUTED_VALUE"""),"*Guardians of the Galaxy*")</f>
        <v>*Guardians of the Galaxy*</v>
      </c>
      <c r="B13" s="2">
        <f>IFERROR(__xludf.DUMMYFUNCTION("""COMPUTED_VALUE"""),41852.0)</f>
        <v>41852</v>
      </c>
      <c r="C13" s="1" t="str">
        <f>IFERROR(__xludf.DUMMYFUNCTION("""COMPUTED_VALUE"""),"James Gunn[43]")</f>
        <v>James Gunn[43]</v>
      </c>
      <c r="D13" s="1" t="str">
        <f>IFERROR(__xludf.DUMMYFUNCTION("""COMPUTED_VALUE"""),"James Gunn and Nicole Perlman[44]")</f>
        <v>James Gunn and Nicole Perlman[44]</v>
      </c>
      <c r="E13" s="1"/>
    </row>
    <row r="14">
      <c r="A14" s="1" t="str">
        <f>IFERROR(__xludf.DUMMYFUNCTION("""COMPUTED_VALUE"""),"*Avengers: Age of Ultron*")</f>
        <v>*Avengers: Age of Ultron*</v>
      </c>
      <c r="B14" s="2">
        <f>IFERROR(__xludf.DUMMYFUNCTION("""COMPUTED_VALUE"""),42125.0)</f>
        <v>42125</v>
      </c>
      <c r="C14" s="1" t="str">
        <f>IFERROR(__xludf.DUMMYFUNCTION("""COMPUTED_VALUE"""),"Joss Whedon[45]")</f>
        <v>Joss Whedon[45]</v>
      </c>
      <c r="D14" s="1"/>
      <c r="E14" s="1"/>
    </row>
    <row r="15">
      <c r="A15" s="1" t="str">
        <f>IFERROR(__xludf.DUMMYFUNCTION("""COMPUTED_VALUE"""),"*Ant-Man*")</f>
        <v>*Ant-Man*</v>
      </c>
      <c r="B15" s="2">
        <f>IFERROR(__xludf.DUMMYFUNCTION("""COMPUTED_VALUE"""),42202.0)</f>
        <v>42202</v>
      </c>
      <c r="C15" s="1" t="str">
        <f>IFERROR(__xludf.DUMMYFUNCTION("""COMPUTED_VALUE"""),"Peyton Reed[46]")</f>
        <v>Peyton Reed[46]</v>
      </c>
      <c r="D15" s="1" t="str">
        <f>IFERROR(__xludf.DUMMYFUNCTION("""COMPUTED_VALUE"""),"Edgar Wright &amp; Joe Cornish and Adam McKay &amp; Paul Rudd[47]")</f>
        <v>Edgar Wright &amp; Joe Cornish and Adam McKay &amp; Paul Rudd[47]</v>
      </c>
      <c r="E15" s="1"/>
    </row>
    <row r="16">
      <c r="A16" s="1" t="str">
        <f>IFERROR(__xludf.DUMMYFUNCTION("""COMPUTED_VALUE"""),"Phase Three[2]")</f>
        <v>Phase Three[2]</v>
      </c>
      <c r="B16" s="1"/>
      <c r="C16" s="1"/>
      <c r="D16" s="1"/>
      <c r="E16" s="1"/>
    </row>
    <row r="17">
      <c r="A17" s="1" t="str">
        <f>IFERROR(__xludf.DUMMYFUNCTION("""COMPUTED_VALUE"""),"*Captain America: Civil War*")</f>
        <v>*Captain America: Civil War*</v>
      </c>
      <c r="B17" s="2">
        <f>IFERROR(__xludf.DUMMYFUNCTION("""COMPUTED_VALUE"""),42496.0)</f>
        <v>42496</v>
      </c>
      <c r="C17" s="1" t="str">
        <f>IFERROR(__xludf.DUMMYFUNCTION("""COMPUTED_VALUE"""),"Anthony and Joe Russo[48]")</f>
        <v>Anthony and Joe Russo[48]</v>
      </c>
      <c r="D17" s="1" t="str">
        <f>IFERROR(__xludf.DUMMYFUNCTION("""COMPUTED_VALUE"""),"Christopher Markus &amp; Stephen McFeely[48]")</f>
        <v>Christopher Markus &amp; Stephen McFeely[48]</v>
      </c>
      <c r="E17" s="1" t="str">
        <f>IFERROR(__xludf.DUMMYFUNCTION("""COMPUTED_VALUE"""),"Kevin Feige")</f>
        <v>Kevin Feige</v>
      </c>
    </row>
    <row r="18">
      <c r="A18" s="1" t="str">
        <f>IFERROR(__xludf.DUMMYFUNCTION("""COMPUTED_VALUE"""),"*Doctor Strange*")</f>
        <v>*Doctor Strange*</v>
      </c>
      <c r="B18" s="2">
        <f>IFERROR(__xludf.DUMMYFUNCTION("""COMPUTED_VALUE"""),42678.0)</f>
        <v>42678</v>
      </c>
      <c r="C18" s="1" t="str">
        <f>IFERROR(__xludf.DUMMYFUNCTION("""COMPUTED_VALUE"""),"Scott Derrickson[49]")</f>
        <v>Scott Derrickson[49]</v>
      </c>
      <c r="D18" s="1" t="str">
        <f>IFERROR(__xludf.DUMMYFUNCTION("""COMPUTED_VALUE"""),"Jon Spaihts and Scott Derrickson &amp; C. Robert Cargill[50]")</f>
        <v>Jon Spaihts and Scott Derrickson &amp; C. Robert Cargill[50]</v>
      </c>
      <c r="E18" s="1"/>
    </row>
    <row r="19">
      <c r="A19" s="1" t="str">
        <f>IFERROR(__xludf.DUMMYFUNCTION("""COMPUTED_VALUE"""),"*Guardians of the Galaxy Vol. 2*")</f>
        <v>*Guardians of the Galaxy Vol. 2*</v>
      </c>
      <c r="B19" s="2">
        <f>IFERROR(__xludf.DUMMYFUNCTION("""COMPUTED_VALUE"""),42860.0)</f>
        <v>42860</v>
      </c>
      <c r="C19" s="1" t="str">
        <f>IFERROR(__xludf.DUMMYFUNCTION("""COMPUTED_VALUE"""),"James Gunn[44]")</f>
        <v>James Gunn[44]</v>
      </c>
      <c r="D19" s="1"/>
      <c r="E19" s="1"/>
    </row>
    <row r="20">
      <c r="A20" s="1" t="str">
        <f>IFERROR(__xludf.DUMMYFUNCTION("""COMPUTED_VALUE"""),"*Spider-Man: Homecoming*")</f>
        <v>*Spider-Man: Homecoming*</v>
      </c>
      <c r="B20" s="2">
        <f>IFERROR(__xludf.DUMMYFUNCTION("""COMPUTED_VALUE"""),42923.0)</f>
        <v>42923</v>
      </c>
      <c r="C20" s="1" t="str">
        <f>IFERROR(__xludf.DUMMYFUNCTION("""COMPUTED_VALUE"""),"Jon Watts[51]")</f>
        <v>Jon Watts[51]</v>
      </c>
      <c r="D20" s="1" t="str">
        <f>IFERROR(__xludf.DUMMYFUNCTION("""COMPUTED_VALUE"""),"Jonathan Goldstein &amp; John Francis Daley and
Jon Watts &amp; Christopher Ford and
Chris McKenna &amp; Erik Sommers[52]")</f>
        <v>Jonathan Goldstein &amp; John Francis Daley and
Jon Watts &amp; Christopher Ford and
Chris McKenna &amp; Erik Sommers[52]</v>
      </c>
      <c r="E20" s="1" t="str">
        <f>IFERROR(__xludf.DUMMYFUNCTION("""COMPUTED_VALUE"""),"Kevin Feige
and Amy Pascal")</f>
        <v>Kevin Feige
and Amy Pascal</v>
      </c>
    </row>
    <row r="21">
      <c r="A21" s="1" t="str">
        <f>IFERROR(__xludf.DUMMYFUNCTION("""COMPUTED_VALUE"""),"*Thor: Ragnarok*")</f>
        <v>*Thor: Ragnarok*</v>
      </c>
      <c r="B21" s="2">
        <f>IFERROR(__xludf.DUMMYFUNCTION("""COMPUTED_VALUE"""),43042.0)</f>
        <v>43042</v>
      </c>
      <c r="C21" s="1" t="str">
        <f>IFERROR(__xludf.DUMMYFUNCTION("""COMPUTED_VALUE"""),"Taika Waititi[53]")</f>
        <v>Taika Waititi[53]</v>
      </c>
      <c r="D21" s="1" t="str">
        <f>IFERROR(__xludf.DUMMYFUNCTION("""COMPUTED_VALUE"""),"Eric Pearson and Craig Kyle &amp; Christopher L. Yost[54][55]")</f>
        <v>Eric Pearson and Craig Kyle &amp; Christopher L. Yost[54][55]</v>
      </c>
      <c r="E21" s="1" t="str">
        <f>IFERROR(__xludf.DUMMYFUNCTION("""COMPUTED_VALUE"""),"Kevin Feige")</f>
        <v>Kevin Feige</v>
      </c>
    </row>
    <row r="22">
      <c r="A22" s="1" t="str">
        <f>IFERROR(__xludf.DUMMYFUNCTION("""COMPUTED_VALUE"""),"*Black Panther*")</f>
        <v>*Black Panther*</v>
      </c>
      <c r="B22" s="2">
        <f>IFERROR(__xludf.DUMMYFUNCTION("""COMPUTED_VALUE"""),43147.0)</f>
        <v>43147</v>
      </c>
      <c r="C22" s="1" t="str">
        <f>IFERROR(__xludf.DUMMYFUNCTION("""COMPUTED_VALUE"""),"Ryan Coogler[56]")</f>
        <v>Ryan Coogler[56]</v>
      </c>
      <c r="D22" s="1" t="str">
        <f>IFERROR(__xludf.DUMMYFUNCTION("""COMPUTED_VALUE"""),"Ryan Coogler &amp; Joe Robert Cole[57][58]")</f>
        <v>Ryan Coogler &amp; Joe Robert Cole[57][58]</v>
      </c>
      <c r="E22" s="1"/>
    </row>
    <row r="23">
      <c r="A23" s="1" t="str">
        <f>IFERROR(__xludf.DUMMYFUNCTION("""COMPUTED_VALUE"""),"*Avengers: Infinity War*")</f>
        <v>*Avengers: Infinity War*</v>
      </c>
      <c r="B23" s="2">
        <f>IFERROR(__xludf.DUMMYFUNCTION("""COMPUTED_VALUE"""),43217.0)</f>
        <v>43217</v>
      </c>
      <c r="C23" s="1" t="str">
        <f>IFERROR(__xludf.DUMMYFUNCTION("""COMPUTED_VALUE"""),"Anthony and Joe Russo[59]")</f>
        <v>Anthony and Joe Russo[59]</v>
      </c>
      <c r="D23" s="1" t="str">
        <f>IFERROR(__xludf.DUMMYFUNCTION("""COMPUTED_VALUE"""),"Christopher Markus &amp; Stephen McFeely[60]")</f>
        <v>Christopher Markus &amp; Stephen McFeely[60]</v>
      </c>
      <c r="E23" s="1"/>
    </row>
    <row r="24">
      <c r="A24" s="1" t="str">
        <f>IFERROR(__xludf.DUMMYFUNCTION("""COMPUTED_VALUE"""),"*Ant-Man and the Wasp*")</f>
        <v>*Ant-Man and the Wasp*</v>
      </c>
      <c r="B24" s="2">
        <f>IFERROR(__xludf.DUMMYFUNCTION("""COMPUTED_VALUE"""),43287.0)</f>
        <v>43287</v>
      </c>
      <c r="C24" s="1" t="str">
        <f>IFERROR(__xludf.DUMMYFUNCTION("""COMPUTED_VALUE"""),"Peyton Reed[61]")</f>
        <v>Peyton Reed[61]</v>
      </c>
      <c r="D24" s="1" t="str">
        <f>IFERROR(__xludf.DUMMYFUNCTION("""COMPUTED_VALUE"""),"Chris McKenna &amp; Erik Sommers and
Paul Rudd &amp; Andrew Barrer &amp; Gabriel Ferrari[62]")</f>
        <v>Chris McKenna &amp; Erik Sommers and
Paul Rudd &amp; Andrew Barrer &amp; Gabriel Ferrari[62]</v>
      </c>
      <c r="E24" s="1" t="str">
        <f>IFERROR(__xludf.DUMMYFUNCTION("""COMPUTED_VALUE"""),"Kevin Feige and 
Stephen Broussard")</f>
        <v>Kevin Feige and 
Stephen Broussard</v>
      </c>
    </row>
    <row r="25">
      <c r="A25" s="1" t="str">
        <f>IFERROR(__xludf.DUMMYFUNCTION("""COMPUTED_VALUE"""),"*Captain Marvel*")</f>
        <v>*Captain Marvel*</v>
      </c>
      <c r="B25" s="2">
        <f>IFERROR(__xludf.DUMMYFUNCTION("""COMPUTED_VALUE"""),43532.0)</f>
        <v>43532</v>
      </c>
      <c r="C25" s="1" t="str">
        <f>IFERROR(__xludf.DUMMYFUNCTION("""COMPUTED_VALUE"""),"Anna Boden and Ryan Fleck[63]")</f>
        <v>Anna Boden and Ryan Fleck[63]</v>
      </c>
      <c r="D25" s="1" t="str">
        <f>IFERROR(__xludf.DUMMYFUNCTION("""COMPUTED_VALUE"""),"Anna Boden &amp; Ryan Fleck &amp; Geneva Robertson-Dworet[64]")</f>
        <v>Anna Boden &amp; Ryan Fleck &amp; Geneva Robertson-Dworet[64]</v>
      </c>
      <c r="E25" s="1" t="str">
        <f>IFERROR(__xludf.DUMMYFUNCTION("""COMPUTED_VALUE"""),"Kevin Feige")</f>
        <v>Kevin Feige</v>
      </c>
    </row>
    <row r="26">
      <c r="A26" s="1" t="str">
        <f>IFERROR(__xludf.DUMMYFUNCTION("""COMPUTED_VALUE"""),"*Avengers: Endgame*")</f>
        <v>*Avengers: Endgame*</v>
      </c>
      <c r="B26" s="2">
        <f>IFERROR(__xludf.DUMMYFUNCTION("""COMPUTED_VALUE"""),43581.0)</f>
        <v>43581</v>
      </c>
      <c r="C26" s="1" t="str">
        <f>IFERROR(__xludf.DUMMYFUNCTION("""COMPUTED_VALUE"""),"Anthony and Joe Russo[59]")</f>
        <v>Anthony and Joe Russo[59]</v>
      </c>
      <c r="D26" s="1" t="str">
        <f>IFERROR(__xludf.DUMMYFUNCTION("""COMPUTED_VALUE"""),"Christopher Markus &amp; Stephen McFeely[60]")</f>
        <v>Christopher Markus &amp; Stephen McFeely[60]</v>
      </c>
      <c r="E26" s="1"/>
    </row>
    <row r="27">
      <c r="A27" s="1" t="str">
        <f>IFERROR(__xludf.DUMMYFUNCTION("""COMPUTED_VALUE"""),"*Spider-Man: Far From Home*")</f>
        <v>*Spider-Man: Far From Home*</v>
      </c>
      <c r="B27" s="2">
        <f>IFERROR(__xludf.DUMMYFUNCTION("""COMPUTED_VALUE"""),43648.0)</f>
        <v>43648</v>
      </c>
      <c r="C27" s="1" t="str">
        <f>IFERROR(__xludf.DUMMYFUNCTION("""COMPUTED_VALUE"""),"Jon Watts[65]")</f>
        <v>Jon Watts[65]</v>
      </c>
      <c r="D27" s="1" t="str">
        <f>IFERROR(__xludf.DUMMYFUNCTION("""COMPUTED_VALUE"""),"Chris McKenna &amp; Erik Sommers[66]")</f>
        <v>Chris McKenna &amp; Erik Sommers[66]</v>
      </c>
      <c r="E27" s="1" t="str">
        <f>IFERROR(__xludf.DUMMYFUNCTION("""COMPUTED_VALUE"""),"Kevin Feige 
and Amy Pascal")</f>
        <v>Kevin Feige 
and Amy Pascal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25.86"/>
  </cols>
  <sheetData>
    <row r="1">
      <c r="A1" s="4" t="s">
        <v>0</v>
      </c>
      <c r="B1" s="5" t="s">
        <v>1</v>
      </c>
    </row>
    <row r="3">
      <c r="A3" s="4" t="s">
        <v>2</v>
      </c>
      <c r="B3" s="6" t="s">
        <v>3</v>
      </c>
    </row>
  </sheetData>
  <drawing r:id="rId1"/>
</worksheet>
</file>