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kshitizudainiya/Desktop/hide/Clean Desktop/Hersheys/"/>
    </mc:Choice>
  </mc:AlternateContent>
  <xr:revisionPtr revIDLastSave="0" documentId="13_ncr:1_{0FFAEB73-911D-2044-BCD1-D1C02CE2D4FD}" xr6:coauthVersionLast="47" xr6:coauthVersionMax="47" xr10:uidLastSave="{00000000-0000-0000-0000-000000000000}"/>
  <bookViews>
    <workbookView xWindow="0" yWindow="500" windowWidth="28800" windowHeight="16120" activeTab="11" xr2:uid="{1FCA1A69-B3A3-4F43-BFFA-C22902F382FA}"/>
  </bookViews>
  <sheets>
    <sheet name="Cover" sheetId="12" r:id="rId1"/>
    <sheet name="Ke" sheetId="6" r:id="rId2"/>
    <sheet name="DCF FCFE" sheetId="7" r:id="rId3"/>
    <sheet name="Debt" sheetId="19" r:id="rId4"/>
    <sheet name="Revenue" sheetId="5" r:id="rId5"/>
    <sheet name="IS" sheetId="1" r:id="rId6"/>
    <sheet name="BS" sheetId="2" r:id="rId7"/>
    <sheet name="Sheet1" sheetId="17" r:id="rId8"/>
    <sheet name="Derived Cashflows" sheetId="8" r:id="rId9"/>
    <sheet name="Extra information collected" sheetId="13" state="hidden" r:id="rId10"/>
    <sheet name="Comps" sheetId="15" r:id="rId11"/>
    <sheet name="Comps-2" sheetId="16" r:id="rId12"/>
    <sheet name="Comps-2 (2)" sheetId="20" r:id="rId13"/>
    <sheet name="Correlations &amp; Stats" sheetId="14" r:id="rId14"/>
    <sheet name="Ratios" sheetId="4" r:id="rId15"/>
    <sheet name="Historical Cashflows" sheetId="9" r:id="rId16"/>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7" i="20" l="1" a="1"/>
  <c r="H67" i="20"/>
  <c r="I67" i="20"/>
  <c r="J67" i="20"/>
  <c r="K67" i="20" a="1"/>
  <c r="K67" i="20"/>
  <c r="N57" i="20"/>
  <c r="O57" i="20"/>
  <c r="D57" i="20" a="1"/>
  <c r="D57" i="20"/>
  <c r="E57" i="20" a="1"/>
  <c r="E57" i="20"/>
  <c r="F57" i="20" a="1"/>
  <c r="F57" i="20"/>
  <c r="G57" i="20" a="1"/>
  <c r="G57" i="20"/>
  <c r="H57" i="20" a="1"/>
  <c r="H57" i="20"/>
  <c r="G13" i="20"/>
  <c r="I25" i="15"/>
  <c r="I40" i="15"/>
  <c r="R25" i="15" a="1"/>
  <c r="R25" i="15"/>
  <c r="L40" i="15"/>
  <c r="J25" i="15"/>
  <c r="J40" i="15"/>
  <c r="M40" i="15"/>
  <c r="K25" i="15"/>
  <c r="K40" i="15"/>
  <c r="N40" i="15"/>
  <c r="I26" i="15"/>
  <c r="I41" i="15"/>
  <c r="R26" i="15" a="1"/>
  <c r="R26" i="15"/>
  <c r="L41" i="15"/>
  <c r="J26" i="15"/>
  <c r="J41" i="15"/>
  <c r="M41" i="15"/>
  <c r="K26" i="15"/>
  <c r="K41" i="15"/>
  <c r="N41" i="15"/>
  <c r="I26" i="16"/>
  <c r="I41" i="16"/>
  <c r="R26" i="16" a="1"/>
  <c r="R26" i="16"/>
  <c r="L41" i="16"/>
  <c r="J26" i="16"/>
  <c r="J41" i="16"/>
  <c r="M41" i="16"/>
  <c r="K26" i="16"/>
  <c r="K41" i="16"/>
  <c r="N41" i="16"/>
  <c r="I27" i="16"/>
  <c r="I42" i="16"/>
  <c r="R27" i="16" a="1"/>
  <c r="R27" i="16"/>
  <c r="L42" i="16"/>
  <c r="J27" i="16"/>
  <c r="J42" i="16"/>
  <c r="M42" i="16"/>
  <c r="K27" i="16"/>
  <c r="K42" i="16"/>
  <c r="N42" i="16"/>
  <c r="I26" i="20"/>
  <c r="I41" i="20"/>
  <c r="R26" i="20" a="1"/>
  <c r="R26" i="20"/>
  <c r="L41" i="20"/>
  <c r="J26" i="20"/>
  <c r="J41" i="20"/>
  <c r="M41" i="20"/>
  <c r="K26" i="20"/>
  <c r="K41" i="20"/>
  <c r="N41" i="20"/>
  <c r="I27" i="20"/>
  <c r="I42" i="20"/>
  <c r="R27" i="20" a="1"/>
  <c r="R27" i="20"/>
  <c r="L42" i="20"/>
  <c r="J27" i="20"/>
  <c r="J42" i="20"/>
  <c r="M42" i="20"/>
  <c r="K27" i="20"/>
  <c r="K42" i="20"/>
  <c r="N42" i="20"/>
  <c r="I28" i="20"/>
  <c r="I43" i="20"/>
  <c r="R28" i="20" a="1"/>
  <c r="R28" i="20"/>
  <c r="L43" i="20"/>
  <c r="J28" i="20"/>
  <c r="J43" i="20"/>
  <c r="M43" i="20"/>
  <c r="K28" i="20"/>
  <c r="K43" i="20"/>
  <c r="N43" i="20"/>
  <c r="I29" i="20"/>
  <c r="I44" i="20"/>
  <c r="R29" i="20" a="1"/>
  <c r="R29" i="20"/>
  <c r="L44" i="20"/>
  <c r="J29" i="20"/>
  <c r="J44" i="20"/>
  <c r="M44" i="20"/>
  <c r="K29" i="20"/>
  <c r="K44" i="20"/>
  <c r="N44" i="20"/>
  <c r="I30" i="20"/>
  <c r="I45" i="20"/>
  <c r="R30" i="20" a="1"/>
  <c r="R30" i="20"/>
  <c r="L45" i="20"/>
  <c r="J30" i="20"/>
  <c r="J45" i="20"/>
  <c r="M45" i="20"/>
  <c r="K30" i="20"/>
  <c r="K45" i="20"/>
  <c r="N45" i="20"/>
  <c r="I31" i="20"/>
  <c r="D16" i="20"/>
  <c r="I46" i="20"/>
  <c r="R31" i="20" a="1"/>
  <c r="R31" i="20"/>
  <c r="L46" i="20"/>
  <c r="J31" i="20"/>
  <c r="J46" i="20"/>
  <c r="M46" i="20"/>
  <c r="K31" i="20"/>
  <c r="K46" i="20"/>
  <c r="N46" i="20"/>
  <c r="C31" i="20"/>
  <c r="C46" i="20"/>
  <c r="C67" i="20"/>
  <c r="P67" i="20" a="1"/>
  <c r="P67" i="20"/>
  <c r="O67" i="20"/>
  <c r="N67" i="20"/>
  <c r="M67" i="20"/>
  <c r="L67" i="20"/>
  <c r="G67" i="20" a="1"/>
  <c r="G67" i="20"/>
  <c r="F67" i="20" a="1"/>
  <c r="F67" i="20"/>
  <c r="E67" i="20" a="1"/>
  <c r="E67" i="20"/>
  <c r="D67" i="20" a="1"/>
  <c r="D67" i="20"/>
  <c r="B16" i="20" a="1"/>
  <c r="B16" i="20"/>
  <c r="B67" i="20"/>
  <c r="C30" i="20"/>
  <c r="C66" i="20"/>
  <c r="P66" i="20" a="1"/>
  <c r="P66" i="20"/>
  <c r="O66" i="20"/>
  <c r="N66" i="20"/>
  <c r="M66" i="20"/>
  <c r="L66" i="20"/>
  <c r="K66" i="20" a="1"/>
  <c r="K66" i="20"/>
  <c r="J66" i="20"/>
  <c r="I66" i="20"/>
  <c r="H66" i="20" a="1"/>
  <c r="H66" i="20"/>
  <c r="G66" i="20" a="1"/>
  <c r="G66" i="20"/>
  <c r="F66" i="20" a="1"/>
  <c r="F66" i="20"/>
  <c r="E66" i="20" a="1"/>
  <c r="E66" i="20"/>
  <c r="D66" i="20" a="1"/>
  <c r="D66" i="20"/>
  <c r="B15" i="20" a="1"/>
  <c r="B15" i="20"/>
  <c r="B66" i="20"/>
  <c r="C29" i="20"/>
  <c r="C65" i="20"/>
  <c r="P65" i="20" a="1"/>
  <c r="P65" i="20"/>
  <c r="O65" i="20"/>
  <c r="N65" i="20"/>
  <c r="M65" i="20"/>
  <c r="L65" i="20"/>
  <c r="K65" i="20" a="1"/>
  <c r="K65" i="20"/>
  <c r="J65" i="20"/>
  <c r="I65" i="20"/>
  <c r="H65" i="20" a="1"/>
  <c r="H65" i="20"/>
  <c r="G65" i="20" a="1"/>
  <c r="G65" i="20"/>
  <c r="F65" i="20" a="1"/>
  <c r="F65" i="20"/>
  <c r="E65" i="20" a="1"/>
  <c r="E65" i="20"/>
  <c r="D65" i="20" a="1"/>
  <c r="D65" i="20"/>
  <c r="B14" i="20" a="1"/>
  <c r="B14" i="20"/>
  <c r="B65" i="20"/>
  <c r="C28" i="20"/>
  <c r="C64" i="20"/>
  <c r="P64" i="20" a="1"/>
  <c r="P64" i="20"/>
  <c r="O64" i="20"/>
  <c r="N64" i="20"/>
  <c r="M64" i="20"/>
  <c r="L64" i="20"/>
  <c r="K64" i="20" a="1"/>
  <c r="K64" i="20"/>
  <c r="J64" i="20"/>
  <c r="I64" i="20"/>
  <c r="H64" i="20" a="1"/>
  <c r="H64" i="20"/>
  <c r="G64" i="20" a="1"/>
  <c r="G64" i="20"/>
  <c r="F64" i="20" a="1"/>
  <c r="F64" i="20"/>
  <c r="E64" i="20" a="1"/>
  <c r="E64" i="20"/>
  <c r="D64" i="20" a="1"/>
  <c r="D64" i="20"/>
  <c r="B13" i="20" a="1"/>
  <c r="B13" i="20"/>
  <c r="B64" i="20"/>
  <c r="C27" i="20"/>
  <c r="C63" i="20"/>
  <c r="P63" i="20" a="1"/>
  <c r="P63" i="20"/>
  <c r="O63" i="20"/>
  <c r="N63" i="20"/>
  <c r="M63" i="20"/>
  <c r="L63" i="20"/>
  <c r="K63" i="20" a="1"/>
  <c r="K63" i="20"/>
  <c r="J63" i="20"/>
  <c r="I63" i="20"/>
  <c r="H63" i="20" a="1"/>
  <c r="H63" i="20"/>
  <c r="G63" i="20" a="1"/>
  <c r="G63" i="20"/>
  <c r="F63" i="20" a="1"/>
  <c r="F63" i="20"/>
  <c r="E63" i="20" a="1"/>
  <c r="E63" i="20"/>
  <c r="D63" i="20" a="1"/>
  <c r="D63" i="20"/>
  <c r="B12" i="20" a="1"/>
  <c r="B12" i="20"/>
  <c r="B63" i="20"/>
  <c r="C26" i="20"/>
  <c r="C62" i="20"/>
  <c r="P62" i="20" a="1"/>
  <c r="P62" i="20"/>
  <c r="O62" i="20"/>
  <c r="N62" i="20"/>
  <c r="M62" i="20"/>
  <c r="L62" i="20"/>
  <c r="K62" i="20" a="1"/>
  <c r="K62" i="20"/>
  <c r="J62" i="20"/>
  <c r="I62" i="20"/>
  <c r="H62" i="20" a="1"/>
  <c r="H62" i="20"/>
  <c r="G62" i="20" a="1"/>
  <c r="G62" i="20"/>
  <c r="F62" i="20" a="1"/>
  <c r="F62" i="20"/>
  <c r="E62" i="20" a="1"/>
  <c r="E62" i="20"/>
  <c r="D62" i="20" a="1"/>
  <c r="D62" i="20"/>
  <c r="B11" i="20" a="1"/>
  <c r="B11" i="20"/>
  <c r="B62" i="20"/>
  <c r="C25" i="20"/>
  <c r="C40" i="20"/>
  <c r="C61" i="20"/>
  <c r="P61" i="20" a="1"/>
  <c r="P61" i="20"/>
  <c r="O61" i="20"/>
  <c r="N61" i="20"/>
  <c r="M61" i="20"/>
  <c r="L61" i="20"/>
  <c r="K61" i="20" a="1"/>
  <c r="K61" i="20"/>
  <c r="J61" i="20"/>
  <c r="I61" i="20"/>
  <c r="H61" i="20" a="1"/>
  <c r="H61" i="20"/>
  <c r="G61" i="20" a="1"/>
  <c r="G61" i="20"/>
  <c r="F61" i="20" a="1"/>
  <c r="F61" i="20"/>
  <c r="E61" i="20" a="1"/>
  <c r="E61" i="20"/>
  <c r="D61" i="20" a="1"/>
  <c r="D61" i="20"/>
  <c r="B10" i="20" a="1"/>
  <c r="B10" i="20"/>
  <c r="B61" i="20"/>
  <c r="C24" i="20"/>
  <c r="C39" i="20"/>
  <c r="C60" i="20"/>
  <c r="P60" i="20" a="1"/>
  <c r="P60" i="20"/>
  <c r="O60" i="20"/>
  <c r="N60" i="20"/>
  <c r="M60" i="20"/>
  <c r="L60" i="20"/>
  <c r="K60" i="20" a="1"/>
  <c r="K60" i="20"/>
  <c r="J60" i="20"/>
  <c r="I60" i="20"/>
  <c r="H60" i="20" a="1"/>
  <c r="H60" i="20"/>
  <c r="G60" i="20" a="1"/>
  <c r="G60" i="20"/>
  <c r="F60" i="20" a="1"/>
  <c r="F60" i="20"/>
  <c r="E60" i="20" a="1"/>
  <c r="E60" i="20"/>
  <c r="D60" i="20" a="1"/>
  <c r="D60" i="20"/>
  <c r="B9" i="20" a="1"/>
  <c r="B9" i="20"/>
  <c r="B60" i="20"/>
  <c r="C23" i="20"/>
  <c r="C38" i="20"/>
  <c r="C59" i="20"/>
  <c r="P59" i="20" a="1"/>
  <c r="P59" i="20"/>
  <c r="O59" i="20"/>
  <c r="N59" i="20"/>
  <c r="M59" i="20"/>
  <c r="L59" i="20"/>
  <c r="K59" i="20" a="1"/>
  <c r="K59" i="20"/>
  <c r="J59" i="20"/>
  <c r="I59" i="20"/>
  <c r="H59" i="20" a="1"/>
  <c r="H59" i="20"/>
  <c r="G59" i="20" a="1"/>
  <c r="G59" i="20"/>
  <c r="F59" i="20" a="1"/>
  <c r="F59" i="20"/>
  <c r="E59" i="20" a="1"/>
  <c r="E59" i="20"/>
  <c r="D59" i="20" a="1"/>
  <c r="D59" i="20"/>
  <c r="B8" i="20" a="1"/>
  <c r="B8" i="20"/>
  <c r="B59" i="20"/>
  <c r="C22" i="20"/>
  <c r="C37" i="20"/>
  <c r="C58" i="20"/>
  <c r="P58" i="20" a="1"/>
  <c r="P58" i="20"/>
  <c r="O58" i="20"/>
  <c r="N58" i="20"/>
  <c r="M58" i="20"/>
  <c r="L58" i="20"/>
  <c r="K58" i="20" a="1"/>
  <c r="K58" i="20"/>
  <c r="J58" i="20"/>
  <c r="I58" i="20"/>
  <c r="H58" i="20" a="1"/>
  <c r="H58" i="20"/>
  <c r="G58" i="20" a="1"/>
  <c r="G58" i="20"/>
  <c r="F58" i="20" a="1"/>
  <c r="F58" i="20"/>
  <c r="E58" i="20" a="1"/>
  <c r="E58" i="20"/>
  <c r="D58" i="20" a="1"/>
  <c r="D58" i="20"/>
  <c r="B7" i="20" a="1"/>
  <c r="B7" i="20"/>
  <c r="B58" i="20"/>
  <c r="C21" i="20"/>
  <c r="C36" i="20"/>
  <c r="C57" i="20"/>
  <c r="P57" i="20" a="1"/>
  <c r="P57" i="20"/>
  <c r="M57" i="20"/>
  <c r="L57" i="20"/>
  <c r="K57" i="20" a="1"/>
  <c r="K57" i="20"/>
  <c r="J57" i="20"/>
  <c r="I57" i="20"/>
  <c r="B6" i="20" a="1"/>
  <c r="B6" i="20"/>
  <c r="B57" i="20"/>
  <c r="D6" i="20"/>
  <c r="F6" i="20"/>
  <c r="G6" i="20"/>
  <c r="H6" i="20" a="1"/>
  <c r="H6" i="20"/>
  <c r="I6" i="20"/>
  <c r="J6" i="20"/>
  <c r="Q21" i="20" a="1"/>
  <c r="Q21" i="20"/>
  <c r="Q36" i="20"/>
  <c r="D7" i="20"/>
  <c r="F7" i="20"/>
  <c r="G7" i="20"/>
  <c r="H7" i="20" a="1"/>
  <c r="H7" i="20"/>
  <c r="I7" i="20"/>
  <c r="J7" i="20"/>
  <c r="Q22" i="20" a="1"/>
  <c r="Q22" i="20"/>
  <c r="Q37" i="20"/>
  <c r="D8" i="20"/>
  <c r="F8" i="20"/>
  <c r="G8" i="20"/>
  <c r="H8" i="20" a="1"/>
  <c r="H8" i="20"/>
  <c r="I8" i="20"/>
  <c r="J8" i="20"/>
  <c r="Q23" i="20" a="1"/>
  <c r="Q23" i="20"/>
  <c r="Q38" i="20"/>
  <c r="D9" i="20"/>
  <c r="F9" i="20"/>
  <c r="G9" i="20"/>
  <c r="H9" i="20" a="1"/>
  <c r="H9" i="20"/>
  <c r="I9" i="20"/>
  <c r="J9" i="20"/>
  <c r="Q24" i="20" a="1"/>
  <c r="Q24" i="20"/>
  <c r="Q39" i="20"/>
  <c r="D10" i="20"/>
  <c r="F10" i="20"/>
  <c r="G10" i="20"/>
  <c r="H10" i="20" a="1"/>
  <c r="H10" i="20"/>
  <c r="I10" i="20"/>
  <c r="J10" i="20"/>
  <c r="Q25" i="20" a="1"/>
  <c r="Q25" i="20"/>
  <c r="Q40" i="20"/>
  <c r="J13" i="20"/>
  <c r="Q28" i="20" a="1"/>
  <c r="Q28" i="20"/>
  <c r="Q43" i="20"/>
  <c r="J11" i="20"/>
  <c r="Q26" i="20" a="1"/>
  <c r="Q26" i="20"/>
  <c r="Q41" i="20"/>
  <c r="J12" i="20"/>
  <c r="Q27" i="20" a="1"/>
  <c r="Q27" i="20"/>
  <c r="Q42" i="20"/>
  <c r="J14" i="20"/>
  <c r="Q29" i="20" a="1"/>
  <c r="Q29" i="20"/>
  <c r="Q44" i="20"/>
  <c r="J15" i="20"/>
  <c r="Q30" i="20" a="1"/>
  <c r="Q30" i="20"/>
  <c r="Q45" i="20"/>
  <c r="Q49" i="20"/>
  <c r="Q31" i="20" a="1"/>
  <c r="Q31" i="20"/>
  <c r="H16" i="20" a="1"/>
  <c r="H16" i="20"/>
  <c r="I16" i="20"/>
  <c r="F16" i="20"/>
  <c r="Q52" i="20"/>
  <c r="P21" i="20" a="1"/>
  <c r="P21" i="20"/>
  <c r="P36" i="20"/>
  <c r="P22" i="20" a="1"/>
  <c r="P22" i="20"/>
  <c r="P37" i="20"/>
  <c r="P23" i="20" a="1"/>
  <c r="P23" i="20"/>
  <c r="P38" i="20"/>
  <c r="P24" i="20" a="1"/>
  <c r="P24" i="20"/>
  <c r="P39" i="20"/>
  <c r="P25" i="20" a="1"/>
  <c r="P25" i="20"/>
  <c r="P40" i="20"/>
  <c r="P28" i="20" a="1"/>
  <c r="P28" i="20"/>
  <c r="P43" i="20"/>
  <c r="P26" i="20" a="1"/>
  <c r="P26" i="20"/>
  <c r="P41" i="20"/>
  <c r="P27" i="20" a="1"/>
  <c r="P27" i="20"/>
  <c r="P42" i="20"/>
  <c r="P29" i="20" a="1"/>
  <c r="P29" i="20"/>
  <c r="P44" i="20"/>
  <c r="P30" i="20" a="1"/>
  <c r="P30" i="20"/>
  <c r="P45" i="20"/>
  <c r="P49" i="20"/>
  <c r="P31" i="20" a="1"/>
  <c r="P31" i="20"/>
  <c r="P52" i="20"/>
  <c r="O21" i="20" a="1"/>
  <c r="O21" i="20"/>
  <c r="O36" i="20"/>
  <c r="O22" i="20" a="1"/>
  <c r="O22" i="20"/>
  <c r="O37" i="20"/>
  <c r="O23" i="20" a="1"/>
  <c r="O23" i="20"/>
  <c r="O38" i="20"/>
  <c r="O24" i="20" a="1"/>
  <c r="O24" i="20"/>
  <c r="O39" i="20"/>
  <c r="O25" i="20" a="1"/>
  <c r="O25" i="20"/>
  <c r="O40" i="20"/>
  <c r="O28" i="20" a="1"/>
  <c r="O28" i="20"/>
  <c r="O43" i="20"/>
  <c r="O26" i="20" a="1"/>
  <c r="O26" i="20"/>
  <c r="O41" i="20"/>
  <c r="O27" i="20" a="1"/>
  <c r="O27" i="20"/>
  <c r="O42" i="20"/>
  <c r="O29" i="20" a="1"/>
  <c r="O29" i="20"/>
  <c r="O44" i="20"/>
  <c r="O30" i="20" a="1"/>
  <c r="O30" i="20"/>
  <c r="O45" i="20"/>
  <c r="O49" i="20"/>
  <c r="O31" i="20" a="1"/>
  <c r="O31" i="20"/>
  <c r="O52" i="20"/>
  <c r="K21" i="20"/>
  <c r="K36" i="20"/>
  <c r="R21" i="20" a="1"/>
  <c r="R21" i="20"/>
  <c r="N36" i="20"/>
  <c r="K23" i="20"/>
  <c r="K38" i="20"/>
  <c r="R23" i="20" a="1"/>
  <c r="R23" i="20"/>
  <c r="K24" i="20"/>
  <c r="K39" i="20"/>
  <c r="R24" i="20" a="1"/>
  <c r="R24" i="20"/>
  <c r="N39" i="20"/>
  <c r="N49" i="20"/>
  <c r="N52" i="20"/>
  <c r="J21" i="20"/>
  <c r="J36" i="20"/>
  <c r="M36" i="20"/>
  <c r="J23" i="20"/>
  <c r="J38" i="20"/>
  <c r="J24" i="20"/>
  <c r="J39" i="20"/>
  <c r="M39" i="20"/>
  <c r="M49" i="20"/>
  <c r="M52" i="20"/>
  <c r="I21" i="20"/>
  <c r="I36" i="20"/>
  <c r="L36" i="20"/>
  <c r="I23" i="20"/>
  <c r="I38" i="20"/>
  <c r="I24" i="20"/>
  <c r="I39" i="20"/>
  <c r="L39" i="20"/>
  <c r="L49" i="20"/>
  <c r="L52" i="20"/>
  <c r="K22" i="20"/>
  <c r="K37" i="20"/>
  <c r="K25" i="20"/>
  <c r="K40" i="20"/>
  <c r="K49" i="20"/>
  <c r="K52" i="20"/>
  <c r="J22" i="20"/>
  <c r="J37" i="20"/>
  <c r="J25" i="20"/>
  <c r="J40" i="20"/>
  <c r="J49" i="20"/>
  <c r="J52" i="20"/>
  <c r="I22" i="20"/>
  <c r="I37" i="20"/>
  <c r="I25" i="20"/>
  <c r="I40" i="20"/>
  <c r="I49" i="20"/>
  <c r="I52" i="20"/>
  <c r="G21" i="20" a="1"/>
  <c r="G21" i="20"/>
  <c r="H36" i="20"/>
  <c r="G22" i="20" a="1"/>
  <c r="G22" i="20"/>
  <c r="H37" i="20"/>
  <c r="G23" i="20" a="1"/>
  <c r="G23" i="20"/>
  <c r="H38" i="20"/>
  <c r="G24" i="20" a="1"/>
  <c r="G24" i="20"/>
  <c r="H39" i="20"/>
  <c r="G25" i="20" a="1"/>
  <c r="G25" i="20"/>
  <c r="H40" i="20"/>
  <c r="G28" i="20" a="1"/>
  <c r="G28" i="20"/>
  <c r="H43" i="20"/>
  <c r="G11" i="20"/>
  <c r="G26" i="20" a="1"/>
  <c r="G26" i="20"/>
  <c r="H41" i="20"/>
  <c r="G12" i="20"/>
  <c r="G27" i="20" a="1"/>
  <c r="G27" i="20"/>
  <c r="H42" i="20"/>
  <c r="G14" i="20"/>
  <c r="G29" i="20" a="1"/>
  <c r="G29" i="20"/>
  <c r="H44" i="20"/>
  <c r="G15" i="20"/>
  <c r="G30" i="20" a="1"/>
  <c r="G30" i="20"/>
  <c r="H45" i="20"/>
  <c r="H49" i="20"/>
  <c r="G31" i="20" a="1"/>
  <c r="G31" i="20"/>
  <c r="H52" i="20"/>
  <c r="F21" i="20" a="1"/>
  <c r="F21" i="20"/>
  <c r="G36" i="20"/>
  <c r="F22" i="20" a="1"/>
  <c r="F22" i="20"/>
  <c r="G37" i="20"/>
  <c r="F23" i="20" a="1"/>
  <c r="F23" i="20"/>
  <c r="G38" i="20"/>
  <c r="F24" i="20" a="1"/>
  <c r="F24" i="20"/>
  <c r="G39" i="20"/>
  <c r="F25" i="20" a="1"/>
  <c r="F25" i="20"/>
  <c r="G40" i="20"/>
  <c r="F28" i="20" a="1"/>
  <c r="F28" i="20"/>
  <c r="G43" i="20"/>
  <c r="F26" i="20" a="1"/>
  <c r="F26" i="20"/>
  <c r="G41" i="20"/>
  <c r="F27" i="20" a="1"/>
  <c r="F27" i="20"/>
  <c r="G42" i="20"/>
  <c r="F29" i="20" a="1"/>
  <c r="F29" i="20"/>
  <c r="G44" i="20"/>
  <c r="F30" i="20" a="1"/>
  <c r="F30" i="20"/>
  <c r="G45" i="20"/>
  <c r="G49" i="20"/>
  <c r="F31" i="20" a="1"/>
  <c r="F31" i="20"/>
  <c r="G52" i="20"/>
  <c r="E21" i="20" a="1"/>
  <c r="E21" i="20"/>
  <c r="F36" i="20"/>
  <c r="E22" i="20" a="1"/>
  <c r="E22" i="20"/>
  <c r="F37" i="20"/>
  <c r="E23" i="20" a="1"/>
  <c r="E23" i="20"/>
  <c r="F38" i="20"/>
  <c r="E24" i="20" a="1"/>
  <c r="E24" i="20"/>
  <c r="F39" i="20"/>
  <c r="E25" i="20" a="1"/>
  <c r="E25" i="20"/>
  <c r="F40" i="20"/>
  <c r="E28" i="20" a="1"/>
  <c r="E28" i="20"/>
  <c r="F43" i="20"/>
  <c r="E26" i="20" a="1"/>
  <c r="E26" i="20"/>
  <c r="F41" i="20"/>
  <c r="E27" i="20" a="1"/>
  <c r="E27" i="20"/>
  <c r="F42" i="20"/>
  <c r="E29" i="20" a="1"/>
  <c r="E29" i="20"/>
  <c r="F44" i="20"/>
  <c r="E30" i="20" a="1"/>
  <c r="E30" i="20"/>
  <c r="F45" i="20"/>
  <c r="F49" i="20"/>
  <c r="E31" i="20" a="1"/>
  <c r="E31" i="20"/>
  <c r="F52" i="20"/>
  <c r="K6" i="20" a="1"/>
  <c r="K6" i="20"/>
  <c r="E36" i="20"/>
  <c r="K7" i="20" a="1"/>
  <c r="K7" i="20"/>
  <c r="E37" i="20"/>
  <c r="K8" i="20" a="1"/>
  <c r="K8" i="20"/>
  <c r="E38" i="20"/>
  <c r="K9" i="20" a="1"/>
  <c r="K9" i="20"/>
  <c r="E39" i="20"/>
  <c r="K10" i="20" a="1"/>
  <c r="K10" i="20"/>
  <c r="E40" i="20"/>
  <c r="K13" i="20" a="1"/>
  <c r="K13" i="20"/>
  <c r="E43" i="20"/>
  <c r="K11" i="20" a="1"/>
  <c r="K11" i="20"/>
  <c r="E41" i="20"/>
  <c r="K12" i="20" a="1"/>
  <c r="K12" i="20"/>
  <c r="E42" i="20"/>
  <c r="K14" i="20" a="1"/>
  <c r="K14" i="20"/>
  <c r="E44" i="20"/>
  <c r="K15" i="20" a="1"/>
  <c r="K15" i="20"/>
  <c r="E45" i="20"/>
  <c r="E49" i="20"/>
  <c r="K16" i="20" a="1"/>
  <c r="K16" i="20"/>
  <c r="E52" i="20"/>
  <c r="Q48" i="20"/>
  <c r="Q51" i="20"/>
  <c r="P48" i="20"/>
  <c r="P51" i="20"/>
  <c r="O48" i="20"/>
  <c r="O51" i="20"/>
  <c r="N48" i="20"/>
  <c r="N51" i="20"/>
  <c r="M48" i="20"/>
  <c r="M51" i="20"/>
  <c r="L48" i="20"/>
  <c r="L51" i="20"/>
  <c r="K48" i="20"/>
  <c r="K51" i="20"/>
  <c r="J48" i="20"/>
  <c r="J51" i="20"/>
  <c r="I48" i="20"/>
  <c r="I51" i="20"/>
  <c r="H48" i="20"/>
  <c r="H51" i="20"/>
  <c r="G48" i="20"/>
  <c r="G51" i="20"/>
  <c r="F48" i="20"/>
  <c r="F51" i="20"/>
  <c r="E48" i="20"/>
  <c r="E51" i="20"/>
  <c r="G16" i="20"/>
  <c r="J16" i="20"/>
  <c r="Q46" i="20"/>
  <c r="P46" i="20"/>
  <c r="O46" i="20"/>
  <c r="H46" i="20"/>
  <c r="G46" i="20"/>
  <c r="F46" i="20"/>
  <c r="E46" i="20"/>
  <c r="D46" i="20"/>
  <c r="B46" i="20"/>
  <c r="D15" i="20"/>
  <c r="D45" i="20"/>
  <c r="B45" i="20"/>
  <c r="C44" i="20"/>
  <c r="D14" i="20"/>
  <c r="D44" i="20"/>
  <c r="B44" i="20"/>
  <c r="C43" i="20"/>
  <c r="D13" i="20"/>
  <c r="D43" i="20"/>
  <c r="B43" i="20"/>
  <c r="C42" i="20"/>
  <c r="D12" i="20"/>
  <c r="D42" i="20"/>
  <c r="B42" i="20"/>
  <c r="C41" i="20"/>
  <c r="D11" i="20"/>
  <c r="D41" i="20"/>
  <c r="B41" i="20"/>
  <c r="R25" i="20" a="1"/>
  <c r="R25" i="20"/>
  <c r="N40" i="20"/>
  <c r="M40" i="20"/>
  <c r="L40" i="20"/>
  <c r="D40" i="20"/>
  <c r="B40" i="20"/>
  <c r="D39" i="20"/>
  <c r="B39" i="20"/>
  <c r="D38" i="20"/>
  <c r="B38" i="20"/>
  <c r="R22" i="20" a="1"/>
  <c r="R22" i="20"/>
  <c r="N37" i="20"/>
  <c r="M37" i="20"/>
  <c r="L37" i="20"/>
  <c r="D37" i="20"/>
  <c r="B37" i="20"/>
  <c r="D36" i="20"/>
  <c r="B36" i="20"/>
  <c r="N31" i="20" a="1"/>
  <c r="N31" i="20"/>
  <c r="M31" i="20" a="1"/>
  <c r="M31" i="20"/>
  <c r="L31" i="20" a="1"/>
  <c r="L31" i="20"/>
  <c r="H31" i="20"/>
  <c r="D31" i="20" a="1"/>
  <c r="D31" i="20"/>
  <c r="B31" i="20"/>
  <c r="N30" i="20" a="1"/>
  <c r="N30" i="20"/>
  <c r="M30" i="20" a="1"/>
  <c r="M30" i="20"/>
  <c r="L30" i="20" a="1"/>
  <c r="L30" i="20"/>
  <c r="H30" i="20"/>
  <c r="D30" i="20" a="1"/>
  <c r="D30" i="20"/>
  <c r="B30" i="20"/>
  <c r="N29" i="20" a="1"/>
  <c r="N29" i="20"/>
  <c r="M29" i="20" a="1"/>
  <c r="M29" i="20"/>
  <c r="L29" i="20" a="1"/>
  <c r="L29" i="20"/>
  <c r="H29" i="20"/>
  <c r="D29" i="20" a="1"/>
  <c r="D29" i="20"/>
  <c r="B29" i="20" a="1"/>
  <c r="B29" i="20"/>
  <c r="N28" i="20" a="1"/>
  <c r="N28" i="20"/>
  <c r="M28" i="20" a="1"/>
  <c r="M28" i="20"/>
  <c r="L28" i="20" a="1"/>
  <c r="L28" i="20"/>
  <c r="H28" i="20"/>
  <c r="D28" i="20" a="1"/>
  <c r="D28" i="20"/>
  <c r="B28" i="20"/>
  <c r="N27" i="20" a="1"/>
  <c r="N27" i="20"/>
  <c r="M27" i="20" a="1"/>
  <c r="M27" i="20"/>
  <c r="L27" i="20" a="1"/>
  <c r="L27" i="20"/>
  <c r="H27" i="20"/>
  <c r="D27" i="20" a="1"/>
  <c r="D27" i="20"/>
  <c r="B27" i="20"/>
  <c r="N26" i="20" a="1"/>
  <c r="N26" i="20"/>
  <c r="M26" i="20" a="1"/>
  <c r="M26" i="20"/>
  <c r="L26" i="20" a="1"/>
  <c r="L26" i="20"/>
  <c r="H26" i="20"/>
  <c r="D26" i="20" a="1"/>
  <c r="D26" i="20"/>
  <c r="B26" i="20"/>
  <c r="N25" i="20" a="1"/>
  <c r="N25" i="20"/>
  <c r="M25" i="20" a="1"/>
  <c r="M25" i="20"/>
  <c r="L25" i="20" a="1"/>
  <c r="L25" i="20"/>
  <c r="H25" i="20"/>
  <c r="D25" i="20" a="1"/>
  <c r="D25" i="20"/>
  <c r="B25" i="20"/>
  <c r="N24" i="20" a="1"/>
  <c r="N24" i="20"/>
  <c r="M24" i="20" a="1"/>
  <c r="M24" i="20"/>
  <c r="L24" i="20" a="1"/>
  <c r="L24" i="20"/>
  <c r="H24" i="20"/>
  <c r="D24" i="20" a="1"/>
  <c r="D24" i="20"/>
  <c r="B24" i="20"/>
  <c r="N23" i="20" a="1"/>
  <c r="N23" i="20"/>
  <c r="M23" i="20" a="1"/>
  <c r="M23" i="20"/>
  <c r="L23" i="20" a="1"/>
  <c r="L23" i="20"/>
  <c r="H23" i="20"/>
  <c r="D23" i="20" a="1"/>
  <c r="D23" i="20"/>
  <c r="B23" i="20"/>
  <c r="N22" i="20" a="1"/>
  <c r="N22" i="20"/>
  <c r="M22" i="20" a="1"/>
  <c r="M22" i="20"/>
  <c r="L22" i="20" a="1"/>
  <c r="L22" i="20"/>
  <c r="H22" i="20"/>
  <c r="D22" i="20" a="1"/>
  <c r="D22" i="20"/>
  <c r="B22" i="20"/>
  <c r="N21" i="20" a="1"/>
  <c r="N21" i="20"/>
  <c r="M21" i="20" a="1"/>
  <c r="M21" i="20"/>
  <c r="L21" i="20" a="1"/>
  <c r="L21" i="20"/>
  <c r="H21" i="20"/>
  <c r="D21" i="20" a="1"/>
  <c r="D21" i="20"/>
  <c r="B21" i="20"/>
  <c r="M16" i="20"/>
  <c r="L16" i="20"/>
  <c r="E16" i="20"/>
  <c r="M15" i="20"/>
  <c r="L15" i="20"/>
  <c r="I15" i="20"/>
  <c r="H15" i="20" a="1"/>
  <c r="H15" i="20"/>
  <c r="F15" i="20"/>
  <c r="E15" i="20"/>
  <c r="M14" i="20"/>
  <c r="L14" i="20"/>
  <c r="I14" i="20"/>
  <c r="H14" i="20" a="1"/>
  <c r="H14" i="20"/>
  <c r="F14" i="20"/>
  <c r="E14" i="20"/>
  <c r="M13" i="20"/>
  <c r="L13" i="20"/>
  <c r="I13" i="20"/>
  <c r="H13" i="20" a="1"/>
  <c r="H13" i="20"/>
  <c r="F13" i="20"/>
  <c r="E13" i="20"/>
  <c r="M12" i="20"/>
  <c r="L12" i="20"/>
  <c r="I12" i="20"/>
  <c r="H12" i="20" a="1"/>
  <c r="H12" i="20"/>
  <c r="F12" i="20"/>
  <c r="E12" i="20"/>
  <c r="M11" i="20"/>
  <c r="L11" i="20"/>
  <c r="I11" i="20"/>
  <c r="H11" i="20" a="1"/>
  <c r="H11" i="20"/>
  <c r="F11" i="20"/>
  <c r="E11" i="20"/>
  <c r="M10" i="20"/>
  <c r="L10" i="20"/>
  <c r="E10" i="20"/>
  <c r="M9" i="20"/>
  <c r="L9" i="20"/>
  <c r="E9" i="20"/>
  <c r="M8" i="20"/>
  <c r="L8" i="20"/>
  <c r="E8" i="20"/>
  <c r="M7" i="20"/>
  <c r="L7" i="20"/>
  <c r="E7" i="20"/>
  <c r="M6" i="20"/>
  <c r="L6" i="20"/>
  <c r="E6" i="20"/>
  <c r="D9" i="15"/>
  <c r="D8" i="15"/>
  <c r="D7" i="15"/>
  <c r="D6" i="15"/>
  <c r="L11" i="1"/>
  <c r="M11" i="1"/>
  <c r="N11" i="1"/>
  <c r="O11" i="1"/>
  <c r="P11" i="1"/>
  <c r="Q11" i="1"/>
  <c r="J8" i="19"/>
  <c r="O43" i="5"/>
  <c r="N25" i="5"/>
  <c r="N29" i="5"/>
  <c r="N34" i="5"/>
  <c r="N6" i="5"/>
  <c r="N12" i="5"/>
  <c r="N16" i="5"/>
  <c r="N22" i="5"/>
  <c r="N5" i="5"/>
  <c r="N37" i="5"/>
  <c r="N41" i="5"/>
  <c r="N47" i="5"/>
  <c r="N7" i="5"/>
  <c r="N8" i="5"/>
  <c r="L3" i="1"/>
  <c r="L3" i="2"/>
  <c r="L80" i="2"/>
  <c r="L10" i="2"/>
  <c r="O25" i="5"/>
  <c r="O29" i="5"/>
  <c r="O34" i="5"/>
  <c r="O6" i="5"/>
  <c r="O12" i="5"/>
  <c r="O16" i="5"/>
  <c r="O22" i="5"/>
  <c r="O5" i="5"/>
  <c r="O41" i="5"/>
  <c r="O37" i="5"/>
  <c r="O47" i="5"/>
  <c r="O7" i="5"/>
  <c r="O8" i="5"/>
  <c r="M3" i="1"/>
  <c r="M3" i="2"/>
  <c r="M76" i="2"/>
  <c r="M78" i="2"/>
  <c r="M79" i="2"/>
  <c r="M80" i="2"/>
  <c r="M10" i="2"/>
  <c r="P25" i="5"/>
  <c r="P29" i="5"/>
  <c r="P34" i="5"/>
  <c r="P6" i="5"/>
  <c r="P12" i="5"/>
  <c r="P16" i="5"/>
  <c r="P22" i="5"/>
  <c r="P5" i="5"/>
  <c r="P41" i="5"/>
  <c r="P37" i="5"/>
  <c r="P47" i="5"/>
  <c r="P7" i="5"/>
  <c r="P8" i="5"/>
  <c r="N3" i="1"/>
  <c r="N3" i="2"/>
  <c r="N76" i="2"/>
  <c r="N78" i="2"/>
  <c r="N79" i="2"/>
  <c r="N80" i="2"/>
  <c r="N10" i="2"/>
  <c r="M81" i="2"/>
  <c r="N81" i="2"/>
  <c r="N11" i="2"/>
  <c r="N12" i="2"/>
  <c r="M11" i="2"/>
  <c r="M12" i="2"/>
  <c r="N82" i="2"/>
  <c r="Q25" i="5"/>
  <c r="Q29" i="5"/>
  <c r="Q34" i="5"/>
  <c r="Q6" i="5"/>
  <c r="Q12" i="5"/>
  <c r="Q16" i="5"/>
  <c r="Q22" i="5"/>
  <c r="Q5" i="5"/>
  <c r="Q37" i="5"/>
  <c r="Q41" i="5"/>
  <c r="Q47" i="5"/>
  <c r="Q7" i="5"/>
  <c r="Q8" i="5"/>
  <c r="O3" i="1"/>
  <c r="O3" i="2"/>
  <c r="O76" i="2"/>
  <c r="O78" i="2"/>
  <c r="O79" i="2"/>
  <c r="O80" i="2"/>
  <c r="O10" i="2"/>
  <c r="O81" i="2"/>
  <c r="O11" i="2"/>
  <c r="O12" i="2"/>
  <c r="O82" i="2"/>
  <c r="R25" i="5"/>
  <c r="R29" i="5"/>
  <c r="R34" i="5"/>
  <c r="R6" i="5"/>
  <c r="R12" i="5"/>
  <c r="R16" i="5"/>
  <c r="R22" i="5"/>
  <c r="R5" i="5"/>
  <c r="R39" i="5"/>
  <c r="R37" i="5"/>
  <c r="R43" i="5"/>
  <c r="R41" i="5"/>
  <c r="R47" i="5"/>
  <c r="R7" i="5"/>
  <c r="R8" i="5"/>
  <c r="P3" i="1"/>
  <c r="P3" i="2"/>
  <c r="P76" i="2"/>
  <c r="P78" i="2"/>
  <c r="P79" i="2"/>
  <c r="P80" i="2"/>
  <c r="P10" i="2"/>
  <c r="P81" i="2"/>
  <c r="P11" i="2"/>
  <c r="P12" i="2"/>
  <c r="P82" i="2"/>
  <c r="S25" i="5"/>
  <c r="S29" i="5"/>
  <c r="S34" i="5"/>
  <c r="S6" i="5"/>
  <c r="S12" i="5"/>
  <c r="S16" i="5"/>
  <c r="S22" i="5"/>
  <c r="S5" i="5"/>
  <c r="S39" i="5"/>
  <c r="S37" i="5"/>
  <c r="S43" i="5"/>
  <c r="S41" i="5"/>
  <c r="S47" i="5"/>
  <c r="S7" i="5"/>
  <c r="S8" i="5"/>
  <c r="Q3" i="1"/>
  <c r="Q3" i="2"/>
  <c r="Q76" i="2"/>
  <c r="Q78" i="2"/>
  <c r="Q79" i="2"/>
  <c r="Q80" i="2"/>
  <c r="Q10" i="2"/>
  <c r="Q81" i="2"/>
  <c r="Q11" i="2"/>
  <c r="Q12" i="2"/>
  <c r="Q82" i="2"/>
  <c r="L11" i="2"/>
  <c r="L12" i="2"/>
  <c r="M82" i="2"/>
  <c r="F4" i="19"/>
  <c r="G4" i="19"/>
  <c r="H4" i="19"/>
  <c r="I4" i="19"/>
  <c r="G5" i="19"/>
  <c r="H5" i="19"/>
  <c r="I5" i="19"/>
  <c r="H6" i="19"/>
  <c r="I6" i="19"/>
  <c r="I7" i="19"/>
  <c r="E3" i="19"/>
  <c r="F3" i="19"/>
  <c r="G3" i="19"/>
  <c r="H3" i="19"/>
  <c r="I3" i="19"/>
  <c r="B9" i="19"/>
  <c r="C9" i="19"/>
  <c r="D9" i="19"/>
  <c r="E9" i="19"/>
  <c r="F9" i="19"/>
  <c r="G9" i="19"/>
  <c r="H9" i="19"/>
  <c r="I9" i="19"/>
  <c r="B3" i="19"/>
  <c r="B4" i="19"/>
  <c r="B5" i="19"/>
  <c r="B6" i="19"/>
  <c r="B7" i="19"/>
  <c r="B8" i="19"/>
  <c r="B10" i="19"/>
  <c r="I10" i="19"/>
  <c r="C8" i="19"/>
  <c r="D8" i="19"/>
  <c r="E8" i="19"/>
  <c r="F8" i="19"/>
  <c r="G8" i="19"/>
  <c r="H8" i="19"/>
  <c r="H10" i="19"/>
  <c r="C3" i="19"/>
  <c r="C4" i="19"/>
  <c r="C5" i="19"/>
  <c r="C6" i="19"/>
  <c r="C7" i="19"/>
  <c r="C10" i="19"/>
  <c r="P28" i="5"/>
  <c r="O28" i="5"/>
  <c r="O26" i="5"/>
  <c r="L22" i="2"/>
  <c r="M22" i="2"/>
  <c r="N22" i="2"/>
  <c r="O22" i="2"/>
  <c r="P22" i="2"/>
  <c r="Q22" i="2"/>
  <c r="L6" i="15"/>
  <c r="L7" i="15"/>
  <c r="L8" i="15"/>
  <c r="L9" i="15"/>
  <c r="L10" i="15"/>
  <c r="L11" i="15"/>
  <c r="L12" i="15"/>
  <c r="O6" i="15"/>
  <c r="E28" i="6"/>
  <c r="E18" i="6"/>
  <c r="E20" i="6"/>
  <c r="E11" i="6"/>
  <c r="E12" i="6"/>
  <c r="E22" i="6"/>
  <c r="E27" i="6"/>
  <c r="E29" i="6"/>
  <c r="F28" i="6"/>
  <c r="E31" i="6"/>
  <c r="C4" i="7"/>
  <c r="J3" i="19"/>
  <c r="J4" i="19"/>
  <c r="J5" i="19"/>
  <c r="J6" i="19"/>
  <c r="J7" i="19"/>
  <c r="H20" i="8"/>
  <c r="H4" i="7"/>
  <c r="D16" i="7"/>
  <c r="C20" i="8"/>
  <c r="I16" i="7"/>
  <c r="E16" i="7"/>
  <c r="D20" i="8"/>
  <c r="F16" i="7"/>
  <c r="E20" i="8"/>
  <c r="G16" i="7"/>
  <c r="F20" i="8"/>
  <c r="H16" i="7"/>
  <c r="G20" i="8"/>
  <c r="J9" i="19"/>
  <c r="D7" i="19"/>
  <c r="E7" i="19"/>
  <c r="F7" i="19"/>
  <c r="G7" i="19"/>
  <c r="D6" i="19"/>
  <c r="E6" i="19"/>
  <c r="F6" i="19"/>
  <c r="D5" i="19"/>
  <c r="E5" i="19"/>
  <c r="D4" i="19"/>
  <c r="M4" i="1"/>
  <c r="M6" i="1"/>
  <c r="M41" i="1"/>
  <c r="M8" i="1"/>
  <c r="M7" i="1"/>
  <c r="M56" i="2"/>
  <c r="M8" i="2"/>
  <c r="N37" i="1"/>
  <c r="N4" i="1"/>
  <c r="N6" i="1"/>
  <c r="N41" i="1"/>
  <c r="N8" i="1"/>
  <c r="N7" i="1"/>
  <c r="N56" i="2"/>
  <c r="N8" i="2"/>
  <c r="O4" i="1"/>
  <c r="O39" i="1"/>
  <c r="O6" i="1"/>
  <c r="O41" i="1"/>
  <c r="O8" i="1"/>
  <c r="O7" i="1"/>
  <c r="O56" i="2"/>
  <c r="O8" i="2"/>
  <c r="P37" i="1"/>
  <c r="P4" i="1"/>
  <c r="P39" i="1"/>
  <c r="P6" i="1"/>
  <c r="P41" i="1"/>
  <c r="P8" i="1"/>
  <c r="P7" i="1"/>
  <c r="P56" i="2"/>
  <c r="P8" i="2"/>
  <c r="Q37" i="1"/>
  <c r="Q4" i="1"/>
  <c r="Q39" i="1"/>
  <c r="Q6" i="1"/>
  <c r="Q41" i="1"/>
  <c r="Q8" i="1"/>
  <c r="Q56" i="2"/>
  <c r="Q8" i="2"/>
  <c r="L4" i="1"/>
  <c r="L6" i="1"/>
  <c r="L8" i="1"/>
  <c r="L8" i="2"/>
  <c r="F56" i="2"/>
  <c r="G56" i="2"/>
  <c r="H56" i="2"/>
  <c r="I56" i="2"/>
  <c r="J56" i="2"/>
  <c r="D56" i="2"/>
  <c r="E56" i="2"/>
  <c r="Q60" i="2"/>
  <c r="L14" i="2"/>
  <c r="M14" i="2"/>
  <c r="N14" i="2"/>
  <c r="O14" i="2"/>
  <c r="P14" i="2"/>
  <c r="Q14" i="2"/>
  <c r="M5" i="1"/>
  <c r="M9" i="1"/>
  <c r="J68" i="2"/>
  <c r="L25" i="2"/>
  <c r="M25" i="2"/>
  <c r="M44" i="1"/>
  <c r="F62" i="2"/>
  <c r="G62" i="2"/>
  <c r="H62" i="2"/>
  <c r="I62" i="2"/>
  <c r="J62" i="2"/>
  <c r="L62" i="2"/>
  <c r="M62" i="2"/>
  <c r="N5" i="1"/>
  <c r="N9" i="1"/>
  <c r="N25" i="2"/>
  <c r="N44" i="1"/>
  <c r="N62" i="2"/>
  <c r="O5" i="1"/>
  <c r="O9" i="1"/>
  <c r="O25" i="2"/>
  <c r="O44" i="1"/>
  <c r="O62" i="2"/>
  <c r="P5" i="1"/>
  <c r="P9" i="1"/>
  <c r="P25" i="2"/>
  <c r="P44" i="1"/>
  <c r="P62" i="2"/>
  <c r="Q5" i="1"/>
  <c r="Q9" i="1"/>
  <c r="Q25" i="2"/>
  <c r="Q44" i="1"/>
  <c r="Q62" i="2"/>
  <c r="L5" i="1"/>
  <c r="L9" i="1"/>
  <c r="K76" i="2"/>
  <c r="K77" i="2"/>
  <c r="K78" i="2"/>
  <c r="K79" i="2"/>
  <c r="K80" i="2"/>
  <c r="K81" i="2"/>
  <c r="K82" i="2"/>
  <c r="E76" i="2"/>
  <c r="F76" i="2"/>
  <c r="G76" i="2"/>
  <c r="H76" i="2"/>
  <c r="I76" i="2"/>
  <c r="J76" i="2"/>
  <c r="R76" i="2"/>
  <c r="E77" i="2"/>
  <c r="F77" i="2"/>
  <c r="G77" i="2"/>
  <c r="H77" i="2"/>
  <c r="I77" i="2"/>
  <c r="J77" i="2"/>
  <c r="R77" i="2"/>
  <c r="E78" i="2"/>
  <c r="F78" i="2"/>
  <c r="G78" i="2"/>
  <c r="H78" i="2"/>
  <c r="I78" i="2"/>
  <c r="J78" i="2"/>
  <c r="R78" i="2"/>
  <c r="E79" i="2"/>
  <c r="F79" i="2"/>
  <c r="G79" i="2"/>
  <c r="H79" i="2"/>
  <c r="I79" i="2"/>
  <c r="J79" i="2"/>
  <c r="R79" i="2"/>
  <c r="D81" i="2"/>
  <c r="E81" i="2"/>
  <c r="F81" i="2"/>
  <c r="G81" i="2"/>
  <c r="H81" i="2"/>
  <c r="I81" i="2"/>
  <c r="J81" i="2"/>
  <c r="R81" i="2"/>
  <c r="E80" i="2"/>
  <c r="F80" i="2"/>
  <c r="G80" i="2"/>
  <c r="H80" i="2"/>
  <c r="I80" i="2"/>
  <c r="J80" i="2"/>
  <c r="E82" i="2"/>
  <c r="F82" i="2"/>
  <c r="G82" i="2"/>
  <c r="H82" i="2"/>
  <c r="I82" i="2"/>
  <c r="J82" i="2"/>
  <c r="O32" i="5"/>
  <c r="P32" i="5"/>
  <c r="Q32" i="5"/>
  <c r="R32" i="5"/>
  <c r="S32" i="5"/>
  <c r="H5" i="7"/>
  <c r="E40" i="7"/>
  <c r="M46" i="1"/>
  <c r="M15" i="1"/>
  <c r="L6" i="2"/>
  <c r="M54" i="2"/>
  <c r="M6" i="2"/>
  <c r="D6" i="8"/>
  <c r="L7" i="2"/>
  <c r="M55" i="2"/>
  <c r="M7" i="2"/>
  <c r="D7" i="8"/>
  <c r="D8" i="8"/>
  <c r="D10" i="8"/>
  <c r="J61" i="2"/>
  <c r="L61" i="2"/>
  <c r="L15" i="2"/>
  <c r="M15" i="2"/>
  <c r="D13" i="8"/>
  <c r="M19" i="2"/>
  <c r="L19" i="2"/>
  <c r="D17" i="8"/>
  <c r="M66" i="2"/>
  <c r="M20" i="2"/>
  <c r="L66" i="2"/>
  <c r="L20" i="2"/>
  <c r="D18" i="8"/>
  <c r="M67" i="2"/>
  <c r="M72" i="2"/>
  <c r="M26" i="2"/>
  <c r="L26" i="2"/>
  <c r="D24" i="8"/>
  <c r="L13" i="2"/>
  <c r="M13" i="2"/>
  <c r="D11" i="8"/>
  <c r="D12" i="8"/>
  <c r="D21" i="8"/>
  <c r="D23" i="8"/>
  <c r="L30" i="2"/>
  <c r="M30" i="2"/>
  <c r="D28" i="8"/>
  <c r="L31" i="2"/>
  <c r="M31" i="2"/>
  <c r="D29" i="8"/>
  <c r="D30" i="8"/>
  <c r="L33" i="2"/>
  <c r="M33" i="2"/>
  <c r="D31" i="8"/>
  <c r="L35" i="2"/>
  <c r="M35" i="2"/>
  <c r="D33" i="8"/>
  <c r="L36" i="2"/>
  <c r="M36" i="2"/>
  <c r="D34" i="8"/>
  <c r="D36" i="8"/>
  <c r="D41" i="8"/>
  <c r="F40" i="7"/>
  <c r="N46" i="1"/>
  <c r="N15" i="1"/>
  <c r="N54" i="2"/>
  <c r="N6" i="2"/>
  <c r="E6" i="8"/>
  <c r="N7" i="2"/>
  <c r="E7" i="8"/>
  <c r="E8" i="8"/>
  <c r="E10" i="8"/>
  <c r="N15" i="2"/>
  <c r="E13" i="8"/>
  <c r="N19" i="2"/>
  <c r="E17" i="8"/>
  <c r="N66" i="2"/>
  <c r="N20" i="2"/>
  <c r="E18" i="8"/>
  <c r="N67" i="2"/>
  <c r="N72" i="2"/>
  <c r="N26" i="2"/>
  <c r="E24" i="8"/>
  <c r="N13" i="2"/>
  <c r="E11" i="8"/>
  <c r="E12" i="8"/>
  <c r="E21" i="8"/>
  <c r="E23" i="8"/>
  <c r="N30" i="2"/>
  <c r="E28" i="8"/>
  <c r="N31" i="2"/>
  <c r="E29" i="8"/>
  <c r="E30" i="8"/>
  <c r="N33" i="2"/>
  <c r="E31" i="8"/>
  <c r="N35" i="2"/>
  <c r="E33" i="8"/>
  <c r="N36" i="2"/>
  <c r="E34" i="8"/>
  <c r="E36" i="8"/>
  <c r="E41" i="8"/>
  <c r="G40" i="7"/>
  <c r="O46" i="1"/>
  <c r="O15" i="1"/>
  <c r="O54" i="2"/>
  <c r="O6" i="2"/>
  <c r="F6" i="8"/>
  <c r="O55" i="2"/>
  <c r="O7" i="2"/>
  <c r="F7" i="8"/>
  <c r="F8" i="8"/>
  <c r="F10" i="8"/>
  <c r="O15" i="2"/>
  <c r="F13" i="8"/>
  <c r="O19" i="2"/>
  <c r="F17" i="8"/>
  <c r="O66" i="2"/>
  <c r="O20" i="2"/>
  <c r="F18" i="8"/>
  <c r="O67" i="2"/>
  <c r="O72" i="2"/>
  <c r="O26" i="2"/>
  <c r="F24" i="8"/>
  <c r="O13" i="2"/>
  <c r="F11" i="8"/>
  <c r="F12" i="8"/>
  <c r="F21" i="8"/>
  <c r="F23" i="8"/>
  <c r="O30" i="2"/>
  <c r="F28" i="8"/>
  <c r="O31" i="2"/>
  <c r="F29" i="8"/>
  <c r="F30" i="8"/>
  <c r="O33" i="2"/>
  <c r="F31" i="8"/>
  <c r="O35" i="2"/>
  <c r="F33" i="8"/>
  <c r="O36" i="2"/>
  <c r="F34" i="8"/>
  <c r="F36" i="8"/>
  <c r="F41" i="8"/>
  <c r="H40" i="7"/>
  <c r="P46" i="1"/>
  <c r="P15" i="1"/>
  <c r="P54" i="2"/>
  <c r="P6" i="2"/>
  <c r="G6" i="8"/>
  <c r="P55" i="2"/>
  <c r="P7" i="2"/>
  <c r="G7" i="8"/>
  <c r="G8" i="8"/>
  <c r="G10" i="8"/>
  <c r="P15" i="2"/>
  <c r="G13" i="8"/>
  <c r="P19" i="2"/>
  <c r="G17" i="8"/>
  <c r="P66" i="2"/>
  <c r="P20" i="2"/>
  <c r="G18" i="8"/>
  <c r="P67" i="2"/>
  <c r="P72" i="2"/>
  <c r="P26" i="2"/>
  <c r="G24" i="8"/>
  <c r="P13" i="2"/>
  <c r="G11" i="8"/>
  <c r="G12" i="8"/>
  <c r="G21" i="8"/>
  <c r="G23" i="8"/>
  <c r="P30" i="2"/>
  <c r="G28" i="8"/>
  <c r="P31" i="2"/>
  <c r="G29" i="8"/>
  <c r="G30" i="8"/>
  <c r="P33" i="2"/>
  <c r="G31" i="8"/>
  <c r="P35" i="2"/>
  <c r="G33" i="8"/>
  <c r="P36" i="2"/>
  <c r="G34" i="8"/>
  <c r="G36" i="8"/>
  <c r="G41" i="8"/>
  <c r="I40" i="7"/>
  <c r="Q46" i="1"/>
  <c r="Q15" i="1"/>
  <c r="Q54" i="2"/>
  <c r="Q6" i="2"/>
  <c r="H6" i="8"/>
  <c r="Q55" i="2"/>
  <c r="Q7" i="2"/>
  <c r="H7" i="8"/>
  <c r="H8" i="8"/>
  <c r="H10" i="8"/>
  <c r="Q15" i="2"/>
  <c r="H13" i="8"/>
  <c r="Q19" i="2"/>
  <c r="H17" i="8"/>
  <c r="Q66" i="2"/>
  <c r="Q20" i="2"/>
  <c r="H18" i="8"/>
  <c r="Q67" i="2"/>
  <c r="Q72" i="2"/>
  <c r="Q26" i="2"/>
  <c r="H24" i="8"/>
  <c r="Q13" i="2"/>
  <c r="H11" i="8"/>
  <c r="H12" i="8"/>
  <c r="H21" i="8"/>
  <c r="H23" i="8"/>
  <c r="Q30" i="2"/>
  <c r="H28" i="8"/>
  <c r="Q31" i="2"/>
  <c r="H29" i="8"/>
  <c r="H30" i="8"/>
  <c r="Q33" i="2"/>
  <c r="H31" i="8"/>
  <c r="Q35" i="2"/>
  <c r="H33" i="8"/>
  <c r="Q36" i="2"/>
  <c r="H34" i="8"/>
  <c r="H36" i="8"/>
  <c r="Q89" i="2"/>
  <c r="H41" i="8"/>
  <c r="C20" i="7"/>
  <c r="J89" i="2"/>
  <c r="J93" i="2"/>
  <c r="J94" i="2"/>
  <c r="L94" i="2"/>
  <c r="L93" i="2"/>
  <c r="C5" i="7"/>
  <c r="J4" i="7"/>
  <c r="J5" i="7"/>
  <c r="C7" i="7"/>
  <c r="E24" i="5"/>
  <c r="F24" i="5"/>
  <c r="D24" i="5"/>
  <c r="E23" i="5"/>
  <c r="F23" i="5"/>
  <c r="D23" i="5"/>
  <c r="C31" i="16"/>
  <c r="C46" i="16"/>
  <c r="C67" i="16"/>
  <c r="P67" i="16" a="1"/>
  <c r="P67" i="16"/>
  <c r="O67" i="16"/>
  <c r="N67" i="16"/>
  <c r="M67" i="16"/>
  <c r="L67" i="16"/>
  <c r="K67" i="16" a="1"/>
  <c r="K67" i="16"/>
  <c r="J67" i="16"/>
  <c r="I67" i="16"/>
  <c r="H67" i="16" a="1"/>
  <c r="H67" i="16"/>
  <c r="G67" i="16" a="1"/>
  <c r="G67" i="16"/>
  <c r="F67" i="16" a="1"/>
  <c r="F67" i="16"/>
  <c r="E67" i="16" a="1"/>
  <c r="E67" i="16"/>
  <c r="D67" i="16" a="1"/>
  <c r="D67" i="16"/>
  <c r="B16" i="16" a="1"/>
  <c r="B16" i="16"/>
  <c r="B67" i="16"/>
  <c r="C30" i="16"/>
  <c r="C66" i="16"/>
  <c r="P66" i="16" a="1"/>
  <c r="P66" i="16"/>
  <c r="O66" i="16"/>
  <c r="N66" i="16"/>
  <c r="M66" i="16"/>
  <c r="L66" i="16"/>
  <c r="K66" i="16" a="1"/>
  <c r="K66" i="16"/>
  <c r="J66" i="16"/>
  <c r="I66" i="16"/>
  <c r="H66" i="16" a="1"/>
  <c r="H66" i="16"/>
  <c r="G66" i="16" a="1"/>
  <c r="G66" i="16"/>
  <c r="F66" i="16" a="1"/>
  <c r="F66" i="16"/>
  <c r="E66" i="16" a="1"/>
  <c r="E66" i="16"/>
  <c r="D66" i="16" a="1"/>
  <c r="D66" i="16"/>
  <c r="B15" i="16" a="1"/>
  <c r="B15" i="16"/>
  <c r="B66" i="16"/>
  <c r="C29" i="16"/>
  <c r="C65" i="16"/>
  <c r="P65" i="16" a="1"/>
  <c r="P65" i="16"/>
  <c r="O65" i="16"/>
  <c r="N65" i="16"/>
  <c r="M65" i="16"/>
  <c r="L65" i="16"/>
  <c r="K65" i="16" a="1"/>
  <c r="K65" i="16"/>
  <c r="J65" i="16"/>
  <c r="I65" i="16"/>
  <c r="H65" i="16" a="1"/>
  <c r="H65" i="16"/>
  <c r="G65" i="16" a="1"/>
  <c r="G65" i="16"/>
  <c r="F65" i="16" a="1"/>
  <c r="F65" i="16"/>
  <c r="E65" i="16" a="1"/>
  <c r="E65" i="16"/>
  <c r="D65" i="16" a="1"/>
  <c r="D65" i="16"/>
  <c r="B14" i="16" a="1"/>
  <c r="B14" i="16"/>
  <c r="B65" i="16"/>
  <c r="C28" i="16"/>
  <c r="C64" i="16"/>
  <c r="P64" i="16" a="1"/>
  <c r="P64" i="16"/>
  <c r="O64" i="16"/>
  <c r="N64" i="16"/>
  <c r="M64" i="16"/>
  <c r="L64" i="16"/>
  <c r="K64" i="16" a="1"/>
  <c r="K64" i="16"/>
  <c r="J64" i="16"/>
  <c r="I64" i="16"/>
  <c r="H64" i="16" a="1"/>
  <c r="H64" i="16"/>
  <c r="G64" i="16" a="1"/>
  <c r="G64" i="16"/>
  <c r="F64" i="16" a="1"/>
  <c r="F64" i="16"/>
  <c r="E64" i="16" a="1"/>
  <c r="E64" i="16"/>
  <c r="D64" i="16" a="1"/>
  <c r="D64" i="16"/>
  <c r="B13" i="16" a="1"/>
  <c r="B13" i="16"/>
  <c r="B64" i="16"/>
  <c r="C27" i="16"/>
  <c r="C63" i="16"/>
  <c r="P63" i="16" a="1"/>
  <c r="P63" i="16"/>
  <c r="O63" i="16"/>
  <c r="N63" i="16"/>
  <c r="M63" i="16"/>
  <c r="L63" i="16"/>
  <c r="K63" i="16" a="1"/>
  <c r="K63" i="16"/>
  <c r="J63" i="16"/>
  <c r="I63" i="16"/>
  <c r="H63" i="16" a="1"/>
  <c r="H63" i="16"/>
  <c r="G63" i="16" a="1"/>
  <c r="G63" i="16"/>
  <c r="F63" i="16" a="1"/>
  <c r="F63" i="16"/>
  <c r="E63" i="16" a="1"/>
  <c r="E63" i="16"/>
  <c r="D63" i="16" a="1"/>
  <c r="D63" i="16"/>
  <c r="B12" i="16" a="1"/>
  <c r="B12" i="16"/>
  <c r="B63" i="16"/>
  <c r="C26" i="16"/>
  <c r="C62" i="16"/>
  <c r="P62" i="16" a="1"/>
  <c r="P62" i="16"/>
  <c r="O62" i="16"/>
  <c r="N62" i="16"/>
  <c r="M62" i="16"/>
  <c r="L62" i="16"/>
  <c r="K62" i="16" a="1"/>
  <c r="K62" i="16"/>
  <c r="J62" i="16"/>
  <c r="I62" i="16"/>
  <c r="H62" i="16" a="1"/>
  <c r="H62" i="16"/>
  <c r="G62" i="16" a="1"/>
  <c r="G62" i="16"/>
  <c r="F62" i="16" a="1"/>
  <c r="F62" i="16"/>
  <c r="E62" i="16" a="1"/>
  <c r="E62" i="16"/>
  <c r="D62" i="16" a="1"/>
  <c r="D62" i="16"/>
  <c r="B11" i="16" a="1"/>
  <c r="B11" i="16"/>
  <c r="B62" i="16"/>
  <c r="C25" i="16"/>
  <c r="C40" i="16"/>
  <c r="C61" i="16"/>
  <c r="P61" i="16" a="1"/>
  <c r="P61" i="16"/>
  <c r="O61" i="16"/>
  <c r="N61" i="16"/>
  <c r="M61" i="16"/>
  <c r="L61" i="16"/>
  <c r="K61" i="16" a="1"/>
  <c r="K61" i="16"/>
  <c r="J61" i="16"/>
  <c r="I61" i="16"/>
  <c r="H61" i="16" a="1"/>
  <c r="H61" i="16"/>
  <c r="G61" i="16" a="1"/>
  <c r="G61" i="16"/>
  <c r="F61" i="16" a="1"/>
  <c r="F61" i="16"/>
  <c r="E61" i="16" a="1"/>
  <c r="E61" i="16"/>
  <c r="D61" i="16" a="1"/>
  <c r="D61" i="16"/>
  <c r="B10" i="16" a="1"/>
  <c r="B10" i="16"/>
  <c r="B61" i="16"/>
  <c r="C24" i="16"/>
  <c r="C39" i="16"/>
  <c r="C60" i="16"/>
  <c r="P60" i="16" a="1"/>
  <c r="P60" i="16"/>
  <c r="O60" i="16"/>
  <c r="N60" i="16"/>
  <c r="M60" i="16"/>
  <c r="L60" i="16"/>
  <c r="K60" i="16" a="1"/>
  <c r="K60" i="16"/>
  <c r="J60" i="16"/>
  <c r="I60" i="16"/>
  <c r="H60" i="16" a="1"/>
  <c r="H60" i="16"/>
  <c r="G60" i="16" a="1"/>
  <c r="G60" i="16"/>
  <c r="F60" i="16" a="1"/>
  <c r="F60" i="16"/>
  <c r="E60" i="16" a="1"/>
  <c r="E60" i="16"/>
  <c r="D60" i="16" a="1"/>
  <c r="D60" i="16"/>
  <c r="B9" i="16" a="1"/>
  <c r="B9" i="16"/>
  <c r="B60" i="16"/>
  <c r="C23" i="16"/>
  <c r="C38" i="16"/>
  <c r="C59" i="16"/>
  <c r="P59" i="16" a="1"/>
  <c r="P59" i="16"/>
  <c r="O59" i="16"/>
  <c r="N59" i="16"/>
  <c r="M59" i="16"/>
  <c r="L59" i="16"/>
  <c r="K59" i="16" a="1"/>
  <c r="K59" i="16"/>
  <c r="J59" i="16"/>
  <c r="I59" i="16"/>
  <c r="H59" i="16" a="1"/>
  <c r="H59" i="16"/>
  <c r="G59" i="16" a="1"/>
  <c r="G59" i="16"/>
  <c r="F59" i="16" a="1"/>
  <c r="F59" i="16"/>
  <c r="E59" i="16" a="1"/>
  <c r="E59" i="16"/>
  <c r="D59" i="16" a="1"/>
  <c r="D59" i="16"/>
  <c r="B8" i="16" a="1"/>
  <c r="B8" i="16"/>
  <c r="B59" i="16"/>
  <c r="C22" i="16"/>
  <c r="C37" i="16"/>
  <c r="C58" i="16"/>
  <c r="P58" i="16" a="1"/>
  <c r="P58" i="16"/>
  <c r="O58" i="16"/>
  <c r="N58" i="16"/>
  <c r="M58" i="16"/>
  <c r="L58" i="16"/>
  <c r="K58" i="16" a="1"/>
  <c r="K58" i="16"/>
  <c r="J58" i="16"/>
  <c r="I58" i="16"/>
  <c r="H58" i="16" a="1"/>
  <c r="H58" i="16"/>
  <c r="G58" i="16" a="1"/>
  <c r="G58" i="16"/>
  <c r="F58" i="16" a="1"/>
  <c r="F58" i="16"/>
  <c r="E58" i="16" a="1"/>
  <c r="E58" i="16"/>
  <c r="D58" i="16" a="1"/>
  <c r="D58" i="16"/>
  <c r="B7" i="16" a="1"/>
  <c r="B7" i="16"/>
  <c r="B58" i="16"/>
  <c r="C21" i="16"/>
  <c r="C36" i="16"/>
  <c r="C57" i="16"/>
  <c r="P57" i="16" a="1"/>
  <c r="P57" i="16"/>
  <c r="O57" i="16"/>
  <c r="N57" i="16"/>
  <c r="M57" i="16"/>
  <c r="L57" i="16"/>
  <c r="K57" i="16" a="1"/>
  <c r="K57" i="16"/>
  <c r="J57" i="16"/>
  <c r="I57" i="16"/>
  <c r="H57" i="16" a="1"/>
  <c r="H57" i="16"/>
  <c r="G57" i="16" a="1"/>
  <c r="G57" i="16"/>
  <c r="F57" i="16" a="1"/>
  <c r="F57" i="16"/>
  <c r="E57" i="16" a="1"/>
  <c r="E57" i="16"/>
  <c r="D57" i="16" a="1"/>
  <c r="D57" i="16"/>
  <c r="B6" i="16" a="1"/>
  <c r="B6" i="16"/>
  <c r="B57" i="16"/>
  <c r="D6" i="16"/>
  <c r="F6" i="16"/>
  <c r="G6" i="16"/>
  <c r="H6" i="16" a="1"/>
  <c r="H6" i="16"/>
  <c r="I6" i="16"/>
  <c r="J6" i="16"/>
  <c r="Q21" i="16" a="1"/>
  <c r="Q21" i="16"/>
  <c r="Q36" i="16"/>
  <c r="D7" i="16"/>
  <c r="F7" i="16"/>
  <c r="G7" i="16"/>
  <c r="H7" i="16" a="1"/>
  <c r="H7" i="16"/>
  <c r="I7" i="16"/>
  <c r="J7" i="16"/>
  <c r="Q22" i="16" a="1"/>
  <c r="Q22" i="16"/>
  <c r="Q37" i="16"/>
  <c r="D8" i="16"/>
  <c r="F8" i="16"/>
  <c r="G8" i="16"/>
  <c r="H8" i="16" a="1"/>
  <c r="H8" i="16"/>
  <c r="I8" i="16"/>
  <c r="J8" i="16"/>
  <c r="Q23" i="16" a="1"/>
  <c r="Q23" i="16"/>
  <c r="Q38" i="16"/>
  <c r="D9" i="16"/>
  <c r="F9" i="16"/>
  <c r="G9" i="16"/>
  <c r="H9" i="16" a="1"/>
  <c r="H9" i="16"/>
  <c r="I9" i="16"/>
  <c r="J9" i="16"/>
  <c r="Q24" i="16" a="1"/>
  <c r="Q24" i="16"/>
  <c r="Q39" i="16"/>
  <c r="D10" i="16"/>
  <c r="F10" i="16"/>
  <c r="G10" i="16"/>
  <c r="H10" i="16" a="1"/>
  <c r="H10" i="16"/>
  <c r="I10" i="16"/>
  <c r="J10" i="16"/>
  <c r="Q25" i="16" a="1"/>
  <c r="Q25" i="16"/>
  <c r="Q40" i="16"/>
  <c r="J15" i="16"/>
  <c r="Q30" i="16" a="1"/>
  <c r="Q30" i="16"/>
  <c r="Q45" i="16"/>
  <c r="J11" i="16"/>
  <c r="Q26" i="16" a="1"/>
  <c r="Q26" i="16"/>
  <c r="Q41" i="16"/>
  <c r="J12" i="16"/>
  <c r="Q27" i="16" a="1"/>
  <c r="Q27" i="16"/>
  <c r="Q42" i="16"/>
  <c r="J13" i="16"/>
  <c r="Q28" i="16" a="1"/>
  <c r="Q28" i="16"/>
  <c r="Q43" i="16"/>
  <c r="J14" i="16"/>
  <c r="Q29" i="16" a="1"/>
  <c r="Q29" i="16"/>
  <c r="Q44" i="16"/>
  <c r="Q49" i="16"/>
  <c r="Q31" i="16" a="1"/>
  <c r="Q31" i="16"/>
  <c r="H16" i="16" a="1"/>
  <c r="H16" i="16"/>
  <c r="I16" i="16"/>
  <c r="F16" i="16"/>
  <c r="Q52" i="16"/>
  <c r="P21" i="16" a="1"/>
  <c r="P21" i="16"/>
  <c r="P36" i="16"/>
  <c r="P22" i="16" a="1"/>
  <c r="P22" i="16"/>
  <c r="P37" i="16"/>
  <c r="P23" i="16" a="1"/>
  <c r="P23" i="16"/>
  <c r="P38" i="16"/>
  <c r="P24" i="16" a="1"/>
  <c r="P24" i="16"/>
  <c r="P39" i="16"/>
  <c r="P25" i="16" a="1"/>
  <c r="P25" i="16"/>
  <c r="P40" i="16"/>
  <c r="P30" i="16" a="1"/>
  <c r="P30" i="16"/>
  <c r="P45" i="16"/>
  <c r="P26" i="16" a="1"/>
  <c r="P26" i="16"/>
  <c r="P41" i="16"/>
  <c r="P27" i="16" a="1"/>
  <c r="P27" i="16"/>
  <c r="P42" i="16"/>
  <c r="P28" i="16" a="1"/>
  <c r="P28" i="16"/>
  <c r="P43" i="16"/>
  <c r="P29" i="16" a="1"/>
  <c r="P29" i="16"/>
  <c r="P44" i="16"/>
  <c r="P49" i="16"/>
  <c r="P31" i="16" a="1"/>
  <c r="P31" i="16"/>
  <c r="P52" i="16"/>
  <c r="O21" i="16" a="1"/>
  <c r="O21" i="16"/>
  <c r="O36" i="16"/>
  <c r="O22" i="16" a="1"/>
  <c r="O22" i="16"/>
  <c r="O37" i="16"/>
  <c r="O23" i="16" a="1"/>
  <c r="O23" i="16"/>
  <c r="O38" i="16"/>
  <c r="O24" i="16" a="1"/>
  <c r="O24" i="16"/>
  <c r="O39" i="16"/>
  <c r="O25" i="16" a="1"/>
  <c r="O25" i="16"/>
  <c r="O40" i="16"/>
  <c r="O30" i="16" a="1"/>
  <c r="O30" i="16"/>
  <c r="O45" i="16"/>
  <c r="O26" i="16" a="1"/>
  <c r="O26" i="16"/>
  <c r="O41" i="16"/>
  <c r="O27" i="16" a="1"/>
  <c r="O27" i="16"/>
  <c r="O42" i="16"/>
  <c r="O28" i="16" a="1"/>
  <c r="O28" i="16"/>
  <c r="O43" i="16"/>
  <c r="O29" i="16" a="1"/>
  <c r="O29" i="16"/>
  <c r="O44" i="16"/>
  <c r="O49" i="16"/>
  <c r="O31" i="16" a="1"/>
  <c r="O31" i="16"/>
  <c r="O52" i="16"/>
  <c r="K21" i="16"/>
  <c r="K36" i="16"/>
  <c r="R21" i="16" a="1"/>
  <c r="R21" i="16"/>
  <c r="N36" i="16"/>
  <c r="K23" i="16"/>
  <c r="K38" i="16"/>
  <c r="R23" i="16" a="1"/>
  <c r="R23" i="16"/>
  <c r="N38" i="16"/>
  <c r="K24" i="16"/>
  <c r="K39" i="16"/>
  <c r="R24" i="16" a="1"/>
  <c r="R24" i="16"/>
  <c r="N39" i="16"/>
  <c r="N49" i="16"/>
  <c r="K31" i="16"/>
  <c r="R31" i="16" a="1"/>
  <c r="R31" i="16"/>
  <c r="N52" i="16"/>
  <c r="J21" i="16"/>
  <c r="J36" i="16"/>
  <c r="M36" i="16"/>
  <c r="J23" i="16"/>
  <c r="J38" i="16"/>
  <c r="M38" i="16"/>
  <c r="J24" i="16"/>
  <c r="J39" i="16"/>
  <c r="M39" i="16"/>
  <c r="M49" i="16"/>
  <c r="J31" i="16"/>
  <c r="M52" i="16"/>
  <c r="I21" i="16"/>
  <c r="I36" i="16"/>
  <c r="L36" i="16"/>
  <c r="I23" i="16"/>
  <c r="I38" i="16"/>
  <c r="L38" i="16"/>
  <c r="I24" i="16"/>
  <c r="I39" i="16"/>
  <c r="L39" i="16"/>
  <c r="L49" i="16"/>
  <c r="I31" i="16"/>
  <c r="L52" i="16"/>
  <c r="K22" i="16"/>
  <c r="K37" i="16"/>
  <c r="K25" i="16"/>
  <c r="K40" i="16"/>
  <c r="K30" i="16"/>
  <c r="K45" i="16"/>
  <c r="K28" i="16"/>
  <c r="K43" i="16"/>
  <c r="K29" i="16"/>
  <c r="K44" i="16"/>
  <c r="K49" i="16"/>
  <c r="K52" i="16"/>
  <c r="J22" i="16"/>
  <c r="J37" i="16"/>
  <c r="J25" i="16"/>
  <c r="J40" i="16"/>
  <c r="J30" i="16"/>
  <c r="J45" i="16"/>
  <c r="J28" i="16"/>
  <c r="J43" i="16"/>
  <c r="J29" i="16"/>
  <c r="J44" i="16"/>
  <c r="J49" i="16"/>
  <c r="J52" i="16"/>
  <c r="I22" i="16"/>
  <c r="I37" i="16"/>
  <c r="I25" i="16"/>
  <c r="I40" i="16"/>
  <c r="I30" i="16"/>
  <c r="I45" i="16"/>
  <c r="I28" i="16"/>
  <c r="I43" i="16"/>
  <c r="I29" i="16"/>
  <c r="I44" i="16"/>
  <c r="I49" i="16"/>
  <c r="I52" i="16"/>
  <c r="G21" i="16" a="1"/>
  <c r="G21" i="16"/>
  <c r="H36" i="16"/>
  <c r="G22" i="16" a="1"/>
  <c r="G22" i="16"/>
  <c r="H37" i="16"/>
  <c r="G23" i="16" a="1"/>
  <c r="G23" i="16"/>
  <c r="H38" i="16"/>
  <c r="G24" i="16" a="1"/>
  <c r="G24" i="16"/>
  <c r="H39" i="16"/>
  <c r="G25" i="16" a="1"/>
  <c r="G25" i="16"/>
  <c r="H40" i="16"/>
  <c r="C41" i="16"/>
  <c r="G11" i="16"/>
  <c r="G26" i="16" a="1"/>
  <c r="G26" i="16"/>
  <c r="H41" i="16"/>
  <c r="C42" i="16"/>
  <c r="G12" i="16"/>
  <c r="G27" i="16" a="1"/>
  <c r="G27" i="16"/>
  <c r="H42" i="16"/>
  <c r="C43" i="16"/>
  <c r="G13" i="16"/>
  <c r="G28" i="16" a="1"/>
  <c r="G28" i="16"/>
  <c r="H43" i="16"/>
  <c r="C44" i="16"/>
  <c r="G14" i="16"/>
  <c r="G29" i="16" a="1"/>
  <c r="G29" i="16"/>
  <c r="H44" i="16"/>
  <c r="D15" i="16"/>
  <c r="F15" i="16"/>
  <c r="G15" i="16"/>
  <c r="G30" i="16" a="1"/>
  <c r="G30" i="16"/>
  <c r="H45" i="16"/>
  <c r="H49" i="16"/>
  <c r="G31" i="16" a="1"/>
  <c r="G31" i="16"/>
  <c r="H52" i="16"/>
  <c r="F21" i="16" a="1"/>
  <c r="F21" i="16"/>
  <c r="G36" i="16"/>
  <c r="F22" i="16" a="1"/>
  <c r="F22" i="16"/>
  <c r="G37" i="16"/>
  <c r="F23" i="16" a="1"/>
  <c r="F23" i="16"/>
  <c r="G38" i="16"/>
  <c r="F24" i="16" a="1"/>
  <c r="F24" i="16"/>
  <c r="G39" i="16"/>
  <c r="F25" i="16" a="1"/>
  <c r="F25" i="16"/>
  <c r="G40" i="16"/>
  <c r="F26" i="16" a="1"/>
  <c r="F26" i="16"/>
  <c r="G41" i="16"/>
  <c r="F27" i="16" a="1"/>
  <c r="F27" i="16"/>
  <c r="G42" i="16"/>
  <c r="F28" i="16" a="1"/>
  <c r="F28" i="16"/>
  <c r="G43" i="16"/>
  <c r="F29" i="16" a="1"/>
  <c r="F29" i="16"/>
  <c r="G44" i="16"/>
  <c r="F30" i="16" a="1"/>
  <c r="F30" i="16"/>
  <c r="G45" i="16"/>
  <c r="G49" i="16"/>
  <c r="F31" i="16" a="1"/>
  <c r="F31" i="16"/>
  <c r="G52" i="16"/>
  <c r="E21" i="16" a="1"/>
  <c r="E21" i="16"/>
  <c r="F36" i="16"/>
  <c r="E22" i="16" a="1"/>
  <c r="E22" i="16"/>
  <c r="F37" i="16"/>
  <c r="E23" i="16" a="1"/>
  <c r="E23" i="16"/>
  <c r="F38" i="16"/>
  <c r="E24" i="16" a="1"/>
  <c r="E24" i="16"/>
  <c r="F39" i="16"/>
  <c r="E25" i="16" a="1"/>
  <c r="E25" i="16"/>
  <c r="F40" i="16"/>
  <c r="E26" i="16" a="1"/>
  <c r="E26" i="16"/>
  <c r="F41" i="16"/>
  <c r="E27" i="16" a="1"/>
  <c r="E27" i="16"/>
  <c r="F42" i="16"/>
  <c r="E28" i="16" a="1"/>
  <c r="E28" i="16"/>
  <c r="F43" i="16"/>
  <c r="E29" i="16" a="1"/>
  <c r="E29" i="16"/>
  <c r="F44" i="16"/>
  <c r="E30" i="16" a="1"/>
  <c r="E30" i="16"/>
  <c r="F45" i="16"/>
  <c r="F49" i="16"/>
  <c r="E31" i="16" a="1"/>
  <c r="E31" i="16"/>
  <c r="F52" i="16"/>
  <c r="K6" i="16" a="1"/>
  <c r="K6" i="16"/>
  <c r="E36" i="16"/>
  <c r="K7" i="16" a="1"/>
  <c r="K7" i="16"/>
  <c r="E37" i="16"/>
  <c r="K8" i="16" a="1"/>
  <c r="K8" i="16"/>
  <c r="E38" i="16"/>
  <c r="K9" i="16" a="1"/>
  <c r="K9" i="16"/>
  <c r="E39" i="16"/>
  <c r="K10" i="16" a="1"/>
  <c r="K10" i="16"/>
  <c r="E40" i="16"/>
  <c r="K11" i="16" a="1"/>
  <c r="K11" i="16"/>
  <c r="E41" i="16"/>
  <c r="K12" i="16" a="1"/>
  <c r="K12" i="16"/>
  <c r="E42" i="16"/>
  <c r="K13" i="16" a="1"/>
  <c r="K13" i="16"/>
  <c r="E43" i="16"/>
  <c r="K14" i="16" a="1"/>
  <c r="K14" i="16"/>
  <c r="E44" i="16"/>
  <c r="K15" i="16" a="1"/>
  <c r="K15" i="16"/>
  <c r="E45" i="16"/>
  <c r="E49" i="16"/>
  <c r="K16" i="16" a="1"/>
  <c r="K16" i="16"/>
  <c r="E52" i="16"/>
  <c r="Q48" i="16"/>
  <c r="Q51" i="16"/>
  <c r="P48" i="16"/>
  <c r="P51" i="16"/>
  <c r="O48" i="16"/>
  <c r="O51" i="16"/>
  <c r="N48" i="16"/>
  <c r="N51" i="16"/>
  <c r="M48" i="16"/>
  <c r="M51" i="16"/>
  <c r="L48" i="16"/>
  <c r="L51" i="16"/>
  <c r="K48" i="16"/>
  <c r="K51" i="16"/>
  <c r="J48" i="16"/>
  <c r="J51" i="16"/>
  <c r="I48" i="16"/>
  <c r="I51" i="16"/>
  <c r="H48" i="16"/>
  <c r="H51" i="16"/>
  <c r="G48" i="16"/>
  <c r="G51" i="16"/>
  <c r="F48" i="16"/>
  <c r="F51" i="16"/>
  <c r="E48" i="16"/>
  <c r="E51" i="16"/>
  <c r="D16" i="16"/>
  <c r="G16" i="16"/>
  <c r="J16" i="16"/>
  <c r="Q46" i="16"/>
  <c r="P46" i="16"/>
  <c r="O46" i="16"/>
  <c r="K46" i="16"/>
  <c r="N46" i="16"/>
  <c r="J46" i="16"/>
  <c r="M46" i="16"/>
  <c r="I46" i="16"/>
  <c r="L46" i="16"/>
  <c r="H46" i="16"/>
  <c r="G46" i="16"/>
  <c r="F46" i="16"/>
  <c r="E46" i="16"/>
  <c r="D46" i="16"/>
  <c r="B46" i="16"/>
  <c r="H15" i="16" a="1"/>
  <c r="H15" i="16"/>
  <c r="I15" i="16"/>
  <c r="R30" i="16" a="1"/>
  <c r="R30" i="16"/>
  <c r="N45" i="16"/>
  <c r="M45" i="16"/>
  <c r="L45" i="16"/>
  <c r="D45" i="16"/>
  <c r="B45" i="16"/>
  <c r="R29" i="16" a="1"/>
  <c r="R29" i="16"/>
  <c r="N44" i="16"/>
  <c r="M44" i="16"/>
  <c r="L44" i="16"/>
  <c r="D14" i="16"/>
  <c r="D44" i="16"/>
  <c r="B44" i="16"/>
  <c r="R28" i="16" a="1"/>
  <c r="R28" i="16"/>
  <c r="N43" i="16"/>
  <c r="M43" i="16"/>
  <c r="L43" i="16"/>
  <c r="D13" i="16"/>
  <c r="D43" i="16"/>
  <c r="B43" i="16"/>
  <c r="D12" i="16"/>
  <c r="D42" i="16"/>
  <c r="B42" i="16"/>
  <c r="D11" i="16"/>
  <c r="D41" i="16"/>
  <c r="B41" i="16"/>
  <c r="R25" i="16" a="1"/>
  <c r="R25" i="16"/>
  <c r="N40" i="16"/>
  <c r="M40" i="16"/>
  <c r="L40" i="16"/>
  <c r="D40" i="16"/>
  <c r="B40" i="16"/>
  <c r="D39" i="16"/>
  <c r="B39" i="16"/>
  <c r="D38" i="16"/>
  <c r="B38" i="16"/>
  <c r="R22" i="16" a="1"/>
  <c r="R22" i="16"/>
  <c r="N37" i="16"/>
  <c r="M37" i="16"/>
  <c r="L37" i="16"/>
  <c r="D37" i="16"/>
  <c r="B37" i="16"/>
  <c r="D36" i="16"/>
  <c r="B36" i="16"/>
  <c r="N31" i="16" a="1"/>
  <c r="N31" i="16"/>
  <c r="M31" i="16" a="1"/>
  <c r="M31" i="16"/>
  <c r="L31" i="16" a="1"/>
  <c r="L31" i="16"/>
  <c r="H31" i="16"/>
  <c r="D31" i="16" a="1"/>
  <c r="D31" i="16"/>
  <c r="B31" i="16"/>
  <c r="N30" i="16" a="1"/>
  <c r="N30" i="16"/>
  <c r="M30" i="16" a="1"/>
  <c r="M30" i="16"/>
  <c r="L30" i="16" a="1"/>
  <c r="L30" i="16"/>
  <c r="H30" i="16"/>
  <c r="D30" i="16" a="1"/>
  <c r="D30" i="16"/>
  <c r="B30" i="16"/>
  <c r="N29" i="16" a="1"/>
  <c r="N29" i="16"/>
  <c r="M29" i="16" a="1"/>
  <c r="M29" i="16"/>
  <c r="L29" i="16" a="1"/>
  <c r="L29" i="16"/>
  <c r="H29" i="16"/>
  <c r="D29" i="16" a="1"/>
  <c r="D29" i="16"/>
  <c r="B29" i="16" a="1"/>
  <c r="B29" i="16"/>
  <c r="N28" i="16" a="1"/>
  <c r="N28" i="16"/>
  <c r="M28" i="16" a="1"/>
  <c r="M28" i="16"/>
  <c r="L28" i="16" a="1"/>
  <c r="L28" i="16"/>
  <c r="H28" i="16"/>
  <c r="D28" i="16" a="1"/>
  <c r="D28" i="16"/>
  <c r="B28" i="16"/>
  <c r="N27" i="16" a="1"/>
  <c r="N27" i="16"/>
  <c r="M27" i="16" a="1"/>
  <c r="M27" i="16"/>
  <c r="L27" i="16" a="1"/>
  <c r="L27" i="16"/>
  <c r="H27" i="16"/>
  <c r="D27" i="16" a="1"/>
  <c r="D27" i="16"/>
  <c r="B27" i="16"/>
  <c r="N26" i="16" a="1"/>
  <c r="N26" i="16"/>
  <c r="M26" i="16" a="1"/>
  <c r="M26" i="16"/>
  <c r="L26" i="16" a="1"/>
  <c r="L26" i="16"/>
  <c r="H26" i="16"/>
  <c r="D26" i="16" a="1"/>
  <c r="D26" i="16"/>
  <c r="B26" i="16"/>
  <c r="N25" i="16" a="1"/>
  <c r="N25" i="16"/>
  <c r="M25" i="16" a="1"/>
  <c r="M25" i="16"/>
  <c r="L25" i="16" a="1"/>
  <c r="L25" i="16"/>
  <c r="H25" i="16"/>
  <c r="D25" i="16" a="1"/>
  <c r="D25" i="16"/>
  <c r="B25" i="16"/>
  <c r="N24" i="16" a="1"/>
  <c r="N24" i="16"/>
  <c r="M24" i="16" a="1"/>
  <c r="M24" i="16"/>
  <c r="L24" i="16" a="1"/>
  <c r="L24" i="16"/>
  <c r="H24" i="16"/>
  <c r="D24" i="16" a="1"/>
  <c r="D24" i="16"/>
  <c r="B24" i="16"/>
  <c r="N23" i="16" a="1"/>
  <c r="N23" i="16"/>
  <c r="M23" i="16" a="1"/>
  <c r="M23" i="16"/>
  <c r="L23" i="16" a="1"/>
  <c r="L23" i="16"/>
  <c r="H23" i="16"/>
  <c r="D23" i="16" a="1"/>
  <c r="D23" i="16"/>
  <c r="B23" i="16"/>
  <c r="N22" i="16" a="1"/>
  <c r="N22" i="16"/>
  <c r="M22" i="16" a="1"/>
  <c r="M22" i="16"/>
  <c r="L22" i="16" a="1"/>
  <c r="L22" i="16"/>
  <c r="H22" i="16"/>
  <c r="D22" i="16" a="1"/>
  <c r="D22" i="16"/>
  <c r="B22" i="16"/>
  <c r="N21" i="16" a="1"/>
  <c r="N21" i="16"/>
  <c r="M21" i="16" a="1"/>
  <c r="M21" i="16"/>
  <c r="L21" i="16" a="1"/>
  <c r="L21" i="16"/>
  <c r="H21" i="16"/>
  <c r="D21" i="16" a="1"/>
  <c r="D21" i="16"/>
  <c r="B21" i="16"/>
  <c r="M16" i="16"/>
  <c r="L16" i="16"/>
  <c r="E16" i="16"/>
  <c r="M15" i="16"/>
  <c r="L15" i="16"/>
  <c r="E15" i="16"/>
  <c r="M14" i="16"/>
  <c r="L14" i="16"/>
  <c r="I14" i="16"/>
  <c r="H14" i="16" a="1"/>
  <c r="H14" i="16"/>
  <c r="F14" i="16"/>
  <c r="E14" i="16"/>
  <c r="M13" i="16"/>
  <c r="L13" i="16"/>
  <c r="I13" i="16"/>
  <c r="H13" i="16" a="1"/>
  <c r="H13" i="16"/>
  <c r="F13" i="16"/>
  <c r="E13" i="16"/>
  <c r="M12" i="16"/>
  <c r="L12" i="16"/>
  <c r="I12" i="16"/>
  <c r="H12" i="16" a="1"/>
  <c r="H12" i="16"/>
  <c r="F12" i="16"/>
  <c r="E12" i="16"/>
  <c r="M11" i="16"/>
  <c r="L11" i="16"/>
  <c r="I11" i="16"/>
  <c r="H11" i="16" a="1"/>
  <c r="H11" i="16"/>
  <c r="F11" i="16"/>
  <c r="E11" i="16"/>
  <c r="M10" i="16"/>
  <c r="L10" i="16"/>
  <c r="E10" i="16"/>
  <c r="M9" i="16"/>
  <c r="L9" i="16"/>
  <c r="E9" i="16"/>
  <c r="M8" i="16"/>
  <c r="L8" i="16"/>
  <c r="E8" i="16"/>
  <c r="M7" i="16"/>
  <c r="L7" i="16"/>
  <c r="E7" i="16"/>
  <c r="M6" i="16"/>
  <c r="L6" i="16"/>
  <c r="E6" i="16"/>
  <c r="C30" i="15"/>
  <c r="C22" i="15"/>
  <c r="C37" i="15"/>
  <c r="I22" i="15"/>
  <c r="I37" i="15"/>
  <c r="B7" i="15" a="1"/>
  <c r="B7" i="15"/>
  <c r="E33" i="6"/>
  <c r="D15" i="14"/>
  <c r="D14" i="14"/>
  <c r="D13" i="14"/>
  <c r="D12" i="14"/>
  <c r="D11" i="14"/>
  <c r="C45" i="8"/>
  <c r="C6" i="8"/>
  <c r="C7" i="8"/>
  <c r="C8" i="8"/>
  <c r="C10" i="8"/>
  <c r="C11" i="8"/>
  <c r="C12" i="8"/>
  <c r="C13" i="8"/>
  <c r="C17" i="8"/>
  <c r="C18" i="8"/>
  <c r="C21" i="8"/>
  <c r="C23" i="8"/>
  <c r="C24" i="8"/>
  <c r="C28" i="8"/>
  <c r="C29" i="8"/>
  <c r="C30" i="8"/>
  <c r="C31" i="8"/>
  <c r="C33" i="8"/>
  <c r="C34" i="8"/>
  <c r="C36" i="8"/>
  <c r="C41" i="8"/>
  <c r="F8" i="4"/>
  <c r="G8" i="4"/>
  <c r="H8" i="4"/>
  <c r="I8" i="4"/>
  <c r="J8" i="4"/>
  <c r="K8" i="4"/>
  <c r="E8" i="4"/>
  <c r="M158" i="2"/>
  <c r="N158" i="2"/>
  <c r="O158" i="2"/>
  <c r="P158" i="2"/>
  <c r="Q158" i="2"/>
  <c r="M159" i="2"/>
  <c r="N159" i="2"/>
  <c r="O159" i="2"/>
  <c r="P159" i="2"/>
  <c r="Q159" i="2"/>
  <c r="M161" i="2"/>
  <c r="N161" i="2"/>
  <c r="O161" i="2"/>
  <c r="P161" i="2"/>
  <c r="Q161" i="2"/>
  <c r="L86" i="2"/>
  <c r="M163" i="2"/>
  <c r="N163" i="2"/>
  <c r="O163" i="2"/>
  <c r="P163" i="2"/>
  <c r="Q163" i="2"/>
  <c r="M164" i="2"/>
  <c r="N164" i="2"/>
  <c r="O164" i="2"/>
  <c r="P164" i="2"/>
  <c r="Q164" i="2"/>
  <c r="L164" i="2"/>
  <c r="L163" i="2"/>
  <c r="L161" i="2"/>
  <c r="L159" i="2"/>
  <c r="L158" i="2"/>
  <c r="L136" i="2"/>
  <c r="L137" i="2"/>
  <c r="L138" i="2"/>
  <c r="L140" i="2"/>
  <c r="L141" i="2"/>
  <c r="L142" i="2"/>
  <c r="L143" i="2"/>
  <c r="L147" i="2"/>
  <c r="L148" i="2"/>
  <c r="L150" i="2"/>
  <c r="L151" i="2"/>
  <c r="L153" i="2"/>
  <c r="L154" i="2"/>
  <c r="C71" i="1"/>
  <c r="C72" i="1"/>
  <c r="C73" i="1"/>
  <c r="C74" i="1"/>
  <c r="C75" i="1"/>
  <c r="C76" i="1"/>
  <c r="C77" i="1"/>
  <c r="C78" i="1"/>
  <c r="C79" i="1"/>
  <c r="C80" i="1"/>
  <c r="C81" i="1"/>
  <c r="C82" i="1"/>
  <c r="C83" i="1"/>
  <c r="C84" i="1"/>
  <c r="E71" i="1"/>
  <c r="F71" i="1"/>
  <c r="G71" i="1"/>
  <c r="H71" i="1"/>
  <c r="I71" i="1"/>
  <c r="J71" i="1"/>
  <c r="K71" i="1"/>
  <c r="L71" i="1"/>
  <c r="M71" i="1"/>
  <c r="N71" i="1"/>
  <c r="O71" i="1"/>
  <c r="P71" i="1"/>
  <c r="Q71" i="1"/>
  <c r="E72" i="1"/>
  <c r="F72" i="1"/>
  <c r="G72" i="1"/>
  <c r="H72" i="1"/>
  <c r="I72" i="1"/>
  <c r="J72" i="1"/>
  <c r="K72" i="1"/>
  <c r="L72" i="1"/>
  <c r="M72" i="1"/>
  <c r="N72" i="1"/>
  <c r="O72" i="1"/>
  <c r="P72" i="1"/>
  <c r="Q72" i="1"/>
  <c r="E73" i="1"/>
  <c r="F73" i="1"/>
  <c r="G73" i="1"/>
  <c r="H73" i="1"/>
  <c r="I73" i="1"/>
  <c r="J73" i="1"/>
  <c r="K73" i="1"/>
  <c r="L73" i="1"/>
  <c r="M73" i="1"/>
  <c r="N73" i="1"/>
  <c r="O73" i="1"/>
  <c r="P73" i="1"/>
  <c r="Q73" i="1"/>
  <c r="E74" i="1"/>
  <c r="F74" i="1"/>
  <c r="G74" i="1"/>
  <c r="H74" i="1"/>
  <c r="I74" i="1"/>
  <c r="J74" i="1"/>
  <c r="K74" i="1"/>
  <c r="L74" i="1"/>
  <c r="M74" i="1"/>
  <c r="N74" i="1"/>
  <c r="O74" i="1"/>
  <c r="P74" i="1"/>
  <c r="Q74" i="1"/>
  <c r="E75" i="1"/>
  <c r="F75" i="1"/>
  <c r="G75" i="1"/>
  <c r="H75" i="1"/>
  <c r="I75" i="1"/>
  <c r="J75" i="1"/>
  <c r="K75" i="1"/>
  <c r="L75" i="1"/>
  <c r="M75" i="1"/>
  <c r="N75" i="1"/>
  <c r="O75" i="1"/>
  <c r="P75" i="1"/>
  <c r="Q75" i="1"/>
  <c r="E76" i="1"/>
  <c r="F76" i="1"/>
  <c r="G76" i="1"/>
  <c r="H76" i="1"/>
  <c r="I76" i="1"/>
  <c r="J76" i="1"/>
  <c r="K76" i="1"/>
  <c r="L76" i="1"/>
  <c r="M76" i="1"/>
  <c r="N76" i="1"/>
  <c r="O76" i="1"/>
  <c r="P76" i="1"/>
  <c r="Q76" i="1"/>
  <c r="E77" i="1"/>
  <c r="F77" i="1"/>
  <c r="G77" i="1"/>
  <c r="H77" i="1"/>
  <c r="I77" i="1"/>
  <c r="J77" i="1"/>
  <c r="K77" i="1"/>
  <c r="L77" i="1"/>
  <c r="M77" i="1"/>
  <c r="N77" i="1"/>
  <c r="O77" i="1"/>
  <c r="P77" i="1"/>
  <c r="Q77" i="1"/>
  <c r="E78" i="1"/>
  <c r="F78" i="1"/>
  <c r="G78" i="1"/>
  <c r="H78" i="1"/>
  <c r="I78" i="1"/>
  <c r="J78" i="1"/>
  <c r="K78" i="1"/>
  <c r="E79" i="1"/>
  <c r="F79" i="1"/>
  <c r="G79" i="1"/>
  <c r="H79" i="1"/>
  <c r="I79" i="1"/>
  <c r="J79" i="1"/>
  <c r="K79" i="1"/>
  <c r="L79" i="1"/>
  <c r="M79" i="1"/>
  <c r="N79" i="1"/>
  <c r="O79" i="1"/>
  <c r="P79" i="1"/>
  <c r="Q79" i="1"/>
  <c r="E80" i="1"/>
  <c r="F80" i="1"/>
  <c r="G80" i="1"/>
  <c r="H80" i="1"/>
  <c r="I80" i="1"/>
  <c r="J80" i="1"/>
  <c r="K80" i="1"/>
  <c r="E81" i="1"/>
  <c r="F81" i="1"/>
  <c r="G81" i="1"/>
  <c r="H81" i="1"/>
  <c r="I81" i="1"/>
  <c r="J81" i="1"/>
  <c r="K81" i="1"/>
  <c r="E82" i="1"/>
  <c r="F82" i="1"/>
  <c r="G82" i="1"/>
  <c r="H82" i="1"/>
  <c r="I82" i="1"/>
  <c r="J82" i="1"/>
  <c r="K82" i="1"/>
  <c r="E83" i="1"/>
  <c r="F83" i="1"/>
  <c r="G83" i="1"/>
  <c r="H83" i="1"/>
  <c r="I83" i="1"/>
  <c r="J83" i="1"/>
  <c r="K83" i="1"/>
  <c r="L83" i="1"/>
  <c r="M83" i="1"/>
  <c r="N83" i="1"/>
  <c r="O83" i="1"/>
  <c r="P83" i="1"/>
  <c r="Q83" i="1"/>
  <c r="E84" i="1"/>
  <c r="F84" i="1"/>
  <c r="G84" i="1"/>
  <c r="H84" i="1"/>
  <c r="I84" i="1"/>
  <c r="J84" i="1"/>
  <c r="K16" i="1"/>
  <c r="K84" i="1"/>
  <c r="D72" i="1"/>
  <c r="D73" i="1"/>
  <c r="D74" i="1"/>
  <c r="D75" i="1"/>
  <c r="D76" i="1"/>
  <c r="D77" i="1"/>
  <c r="D78" i="1"/>
  <c r="D79" i="1"/>
  <c r="D80" i="1"/>
  <c r="D81" i="1"/>
  <c r="D82" i="1"/>
  <c r="D83" i="1"/>
  <c r="D84" i="1"/>
  <c r="D71" i="1"/>
  <c r="C36" i="15"/>
  <c r="F6" i="15"/>
  <c r="G6" i="15"/>
  <c r="K6" i="15" a="1"/>
  <c r="K6" i="15"/>
  <c r="E36" i="15"/>
  <c r="C40" i="15"/>
  <c r="D10" i="15"/>
  <c r="F10" i="15"/>
  <c r="G10" i="15"/>
  <c r="K10" i="15" a="1"/>
  <c r="K10" i="15"/>
  <c r="E40" i="15"/>
  <c r="F7" i="15"/>
  <c r="G7" i="15"/>
  <c r="K7" i="15" a="1"/>
  <c r="K7" i="15"/>
  <c r="E37" i="15"/>
  <c r="D11" i="15"/>
  <c r="F11" i="15"/>
  <c r="G11" i="15"/>
  <c r="K11" i="15" a="1"/>
  <c r="K11" i="15"/>
  <c r="C41" i="15"/>
  <c r="E41" i="15"/>
  <c r="D12" i="15"/>
  <c r="F12" i="15"/>
  <c r="G12" i="15"/>
  <c r="K12" i="15" a="1"/>
  <c r="K12" i="15"/>
  <c r="C42" i="15"/>
  <c r="E42" i="15"/>
  <c r="G13" i="15"/>
  <c r="K13" i="15" a="1"/>
  <c r="K13" i="15"/>
  <c r="C43" i="15"/>
  <c r="E43" i="15"/>
  <c r="G14" i="15"/>
  <c r="K14" i="15" a="1"/>
  <c r="K14" i="15"/>
  <c r="C44" i="15"/>
  <c r="E44" i="15"/>
  <c r="D15" i="15"/>
  <c r="F15" i="15"/>
  <c r="G15" i="15"/>
  <c r="K15" i="15" a="1"/>
  <c r="K15" i="15"/>
  <c r="E45" i="15"/>
  <c r="E48" i="15"/>
  <c r="K16" i="15" a="1"/>
  <c r="K16" i="15"/>
  <c r="F16" i="15"/>
  <c r="E51" i="15"/>
  <c r="C23" i="15"/>
  <c r="C24" i="15"/>
  <c r="C25" i="15"/>
  <c r="C26" i="15"/>
  <c r="B6" i="15" a="1"/>
  <c r="B6" i="15"/>
  <c r="B21" i="15"/>
  <c r="B22" i="15"/>
  <c r="B8" i="15" a="1"/>
  <c r="B8" i="15"/>
  <c r="B23" i="15"/>
  <c r="B9" i="15" a="1"/>
  <c r="B9" i="15"/>
  <c r="B24" i="15"/>
  <c r="B10" i="15" a="1"/>
  <c r="B10" i="15"/>
  <c r="B25" i="15"/>
  <c r="B11" i="15" a="1"/>
  <c r="B11" i="15"/>
  <c r="B26" i="15"/>
  <c r="C31" i="15"/>
  <c r="C46" i="15"/>
  <c r="C67" i="15"/>
  <c r="P67" i="15" a="1"/>
  <c r="P67" i="15"/>
  <c r="O67" i="15"/>
  <c r="N67" i="15"/>
  <c r="M67" i="15"/>
  <c r="L67" i="15"/>
  <c r="K67" i="15" a="1"/>
  <c r="K67" i="15"/>
  <c r="J67" i="15"/>
  <c r="I67" i="15"/>
  <c r="H67" i="15" a="1"/>
  <c r="H67" i="15"/>
  <c r="G67" i="15" a="1"/>
  <c r="G67" i="15"/>
  <c r="F67" i="15" a="1"/>
  <c r="F67" i="15"/>
  <c r="E67" i="15" a="1"/>
  <c r="E67" i="15"/>
  <c r="D67" i="15" a="1"/>
  <c r="D67" i="15"/>
  <c r="B16" i="15" a="1"/>
  <c r="B16" i="15"/>
  <c r="B67" i="15"/>
  <c r="C66" i="15"/>
  <c r="P66" i="15" a="1"/>
  <c r="P66" i="15"/>
  <c r="O66" i="15"/>
  <c r="N66" i="15"/>
  <c r="M66" i="15"/>
  <c r="L66" i="15"/>
  <c r="K66" i="15" a="1"/>
  <c r="K66" i="15"/>
  <c r="J66" i="15"/>
  <c r="I66" i="15"/>
  <c r="H66" i="15" a="1"/>
  <c r="H66" i="15"/>
  <c r="G66" i="15" a="1"/>
  <c r="G66" i="15"/>
  <c r="F66" i="15" a="1"/>
  <c r="F66" i="15"/>
  <c r="E66" i="15" a="1"/>
  <c r="E66" i="15"/>
  <c r="D66" i="15" a="1"/>
  <c r="D66" i="15"/>
  <c r="B15" i="15" a="1"/>
  <c r="B15" i="15"/>
  <c r="B66" i="15"/>
  <c r="C29" i="15"/>
  <c r="C65" i="15"/>
  <c r="P65" i="15" a="1"/>
  <c r="P65" i="15"/>
  <c r="O65" i="15"/>
  <c r="N65" i="15"/>
  <c r="M65" i="15"/>
  <c r="L65" i="15"/>
  <c r="K65" i="15" a="1"/>
  <c r="K65" i="15"/>
  <c r="J65" i="15"/>
  <c r="I65" i="15"/>
  <c r="H65" i="15" a="1"/>
  <c r="H65" i="15"/>
  <c r="G65" i="15" a="1"/>
  <c r="G65" i="15"/>
  <c r="F65" i="15" a="1"/>
  <c r="F65" i="15"/>
  <c r="E65" i="15" a="1"/>
  <c r="E65" i="15"/>
  <c r="D65" i="15" a="1"/>
  <c r="D65" i="15"/>
  <c r="B14" i="15" a="1"/>
  <c r="B14" i="15"/>
  <c r="B65" i="15"/>
  <c r="C28" i="15"/>
  <c r="C64" i="15"/>
  <c r="P64" i="15" a="1"/>
  <c r="P64" i="15"/>
  <c r="O64" i="15"/>
  <c r="N64" i="15"/>
  <c r="M64" i="15"/>
  <c r="L64" i="15"/>
  <c r="K64" i="15" a="1"/>
  <c r="K64" i="15"/>
  <c r="J64" i="15"/>
  <c r="I64" i="15"/>
  <c r="H64" i="15" a="1"/>
  <c r="H64" i="15"/>
  <c r="G64" i="15" a="1"/>
  <c r="G64" i="15"/>
  <c r="F64" i="15" a="1"/>
  <c r="F64" i="15"/>
  <c r="E64" i="15" a="1"/>
  <c r="E64" i="15"/>
  <c r="D64" i="15" a="1"/>
  <c r="D64" i="15"/>
  <c r="B13" i="15" a="1"/>
  <c r="B13" i="15"/>
  <c r="B64" i="15"/>
  <c r="C27" i="15"/>
  <c r="C63" i="15"/>
  <c r="P63" i="15" a="1"/>
  <c r="P63" i="15"/>
  <c r="O63" i="15"/>
  <c r="N63" i="15"/>
  <c r="M63" i="15"/>
  <c r="L63" i="15"/>
  <c r="K63" i="15" a="1"/>
  <c r="K63" i="15"/>
  <c r="J63" i="15"/>
  <c r="I63" i="15"/>
  <c r="H63" i="15" a="1"/>
  <c r="H63" i="15"/>
  <c r="G63" i="15" a="1"/>
  <c r="G63" i="15"/>
  <c r="F63" i="15" a="1"/>
  <c r="F63" i="15"/>
  <c r="E63" i="15" a="1"/>
  <c r="E63" i="15"/>
  <c r="D63" i="15" a="1"/>
  <c r="D63" i="15"/>
  <c r="B12" i="15" a="1"/>
  <c r="B12" i="15"/>
  <c r="B63" i="15"/>
  <c r="C62" i="15"/>
  <c r="P62" i="15" a="1"/>
  <c r="P62" i="15"/>
  <c r="O62" i="15"/>
  <c r="N62" i="15"/>
  <c r="M62" i="15"/>
  <c r="L62" i="15"/>
  <c r="K62" i="15" a="1"/>
  <c r="K62" i="15"/>
  <c r="J62" i="15"/>
  <c r="I62" i="15"/>
  <c r="H62" i="15" a="1"/>
  <c r="H62" i="15"/>
  <c r="G62" i="15" a="1"/>
  <c r="G62" i="15"/>
  <c r="F62" i="15" a="1"/>
  <c r="F62" i="15"/>
  <c r="E62" i="15" a="1"/>
  <c r="E62" i="15"/>
  <c r="D62" i="15" a="1"/>
  <c r="D62" i="15"/>
  <c r="B62" i="15"/>
  <c r="C61" i="15"/>
  <c r="P61" i="15" a="1"/>
  <c r="P61" i="15"/>
  <c r="O61" i="15"/>
  <c r="N61" i="15"/>
  <c r="M61" i="15"/>
  <c r="L61" i="15"/>
  <c r="K61" i="15" a="1"/>
  <c r="K61" i="15"/>
  <c r="J61" i="15"/>
  <c r="I61" i="15"/>
  <c r="H61" i="15" a="1"/>
  <c r="H61" i="15"/>
  <c r="G61" i="15" a="1"/>
  <c r="G61" i="15"/>
  <c r="F61" i="15" a="1"/>
  <c r="F61" i="15"/>
  <c r="E61" i="15" a="1"/>
  <c r="E61" i="15"/>
  <c r="D61" i="15" a="1"/>
  <c r="D61" i="15"/>
  <c r="B61" i="15"/>
  <c r="C39" i="15"/>
  <c r="C60" i="15"/>
  <c r="P60" i="15" a="1"/>
  <c r="P60" i="15"/>
  <c r="O60" i="15"/>
  <c r="N60" i="15"/>
  <c r="M60" i="15"/>
  <c r="L60" i="15"/>
  <c r="K60" i="15" a="1"/>
  <c r="K60" i="15"/>
  <c r="J60" i="15"/>
  <c r="I60" i="15"/>
  <c r="H60" i="15" a="1"/>
  <c r="H60" i="15"/>
  <c r="G60" i="15" a="1"/>
  <c r="G60" i="15"/>
  <c r="F60" i="15" a="1"/>
  <c r="F60" i="15"/>
  <c r="E60" i="15" a="1"/>
  <c r="E60" i="15"/>
  <c r="D60" i="15" a="1"/>
  <c r="D60" i="15"/>
  <c r="B60" i="15"/>
  <c r="C38" i="15"/>
  <c r="C59" i="15"/>
  <c r="P59" i="15" a="1"/>
  <c r="P59" i="15"/>
  <c r="O59" i="15"/>
  <c r="N59" i="15"/>
  <c r="M59" i="15"/>
  <c r="L59" i="15"/>
  <c r="K59" i="15" a="1"/>
  <c r="K59" i="15"/>
  <c r="J59" i="15"/>
  <c r="I59" i="15"/>
  <c r="H59" i="15" a="1"/>
  <c r="H59" i="15"/>
  <c r="G59" i="15" a="1"/>
  <c r="G59" i="15"/>
  <c r="F59" i="15" a="1"/>
  <c r="F59" i="15"/>
  <c r="E59" i="15" a="1"/>
  <c r="E59" i="15"/>
  <c r="D59" i="15" a="1"/>
  <c r="D59" i="15"/>
  <c r="B59" i="15"/>
  <c r="C58" i="15"/>
  <c r="P58" i="15" a="1"/>
  <c r="P58" i="15"/>
  <c r="O58" i="15"/>
  <c r="N58" i="15"/>
  <c r="M58" i="15"/>
  <c r="L58" i="15"/>
  <c r="K58" i="15" a="1"/>
  <c r="K58" i="15"/>
  <c r="J58" i="15"/>
  <c r="I58" i="15"/>
  <c r="H58" i="15" a="1"/>
  <c r="H58" i="15"/>
  <c r="G58" i="15" a="1"/>
  <c r="G58" i="15"/>
  <c r="F58" i="15" a="1"/>
  <c r="F58" i="15"/>
  <c r="E58" i="15" a="1"/>
  <c r="E58" i="15"/>
  <c r="D58" i="15" a="1"/>
  <c r="D58" i="15"/>
  <c r="B58" i="15"/>
  <c r="C21" i="15"/>
  <c r="C57" i="15"/>
  <c r="P57" i="15" a="1"/>
  <c r="P57" i="15"/>
  <c r="O57" i="15"/>
  <c r="N57" i="15"/>
  <c r="M57" i="15"/>
  <c r="L57" i="15"/>
  <c r="K57" i="15" a="1"/>
  <c r="K57" i="15"/>
  <c r="J57" i="15"/>
  <c r="I57" i="15"/>
  <c r="H57" i="15" a="1"/>
  <c r="H57" i="15"/>
  <c r="G57" i="15" a="1"/>
  <c r="G57" i="15"/>
  <c r="F57" i="15" a="1"/>
  <c r="F57" i="15"/>
  <c r="E57" i="15" a="1"/>
  <c r="E57" i="15"/>
  <c r="D57" i="15" a="1"/>
  <c r="D57" i="15"/>
  <c r="B57" i="15"/>
  <c r="H6" i="15" a="1"/>
  <c r="H6" i="15"/>
  <c r="I6" i="15"/>
  <c r="J6" i="15"/>
  <c r="Q21" i="15" a="1"/>
  <c r="Q21" i="15"/>
  <c r="Q36" i="15"/>
  <c r="H7" i="15" a="1"/>
  <c r="H7" i="15"/>
  <c r="I7" i="15"/>
  <c r="J7" i="15"/>
  <c r="Q22" i="15" a="1"/>
  <c r="Q22" i="15"/>
  <c r="Q37" i="15"/>
  <c r="F8" i="15"/>
  <c r="G8" i="15"/>
  <c r="H8" i="15" a="1"/>
  <c r="H8" i="15"/>
  <c r="I8" i="15"/>
  <c r="J8" i="15"/>
  <c r="Q23" i="15" a="1"/>
  <c r="Q23" i="15"/>
  <c r="Q38" i="15"/>
  <c r="F9" i="15"/>
  <c r="G9" i="15"/>
  <c r="H9" i="15" a="1"/>
  <c r="H9" i="15"/>
  <c r="I9" i="15"/>
  <c r="J9" i="15"/>
  <c r="Q24" i="15" a="1"/>
  <c r="Q24" i="15"/>
  <c r="Q39" i="15"/>
  <c r="H10" i="15" a="1"/>
  <c r="H10" i="15"/>
  <c r="I10" i="15"/>
  <c r="J10" i="15"/>
  <c r="Q25" i="15" a="1"/>
  <c r="Q25" i="15"/>
  <c r="Q40" i="15"/>
  <c r="H11" i="15" a="1"/>
  <c r="H11" i="15"/>
  <c r="I11" i="15"/>
  <c r="J11" i="15"/>
  <c r="Q26" i="15" a="1"/>
  <c r="Q26" i="15"/>
  <c r="Q41" i="15"/>
  <c r="H12" i="15" a="1"/>
  <c r="H12" i="15"/>
  <c r="I12" i="15"/>
  <c r="J12" i="15"/>
  <c r="Q27" i="15" a="1"/>
  <c r="Q27" i="15"/>
  <c r="Q42" i="15"/>
  <c r="D13" i="15"/>
  <c r="F13" i="15"/>
  <c r="H13" i="15" a="1"/>
  <c r="H13" i="15"/>
  <c r="I13" i="15"/>
  <c r="J13" i="15"/>
  <c r="Q28" i="15" a="1"/>
  <c r="Q28" i="15"/>
  <c r="Q43" i="15"/>
  <c r="D14" i="15"/>
  <c r="F14" i="15"/>
  <c r="H14" i="15" a="1"/>
  <c r="H14" i="15"/>
  <c r="I14" i="15"/>
  <c r="J14" i="15"/>
  <c r="Q29" i="15" a="1"/>
  <c r="Q29" i="15"/>
  <c r="Q44" i="15"/>
  <c r="H15" i="15" a="1"/>
  <c r="H15" i="15"/>
  <c r="I15" i="15"/>
  <c r="J15" i="15"/>
  <c r="Q30" i="15" a="1"/>
  <c r="Q30" i="15"/>
  <c r="Q45" i="15"/>
  <c r="Q49" i="15"/>
  <c r="Q31" i="15" a="1"/>
  <c r="Q31" i="15"/>
  <c r="H16" i="15" a="1"/>
  <c r="H16" i="15"/>
  <c r="I16" i="15"/>
  <c r="Q52" i="15"/>
  <c r="P21" i="15" a="1"/>
  <c r="P21" i="15"/>
  <c r="P36" i="15"/>
  <c r="P22" i="15" a="1"/>
  <c r="P22" i="15"/>
  <c r="P37" i="15"/>
  <c r="P23" i="15" a="1"/>
  <c r="P23" i="15"/>
  <c r="P38" i="15"/>
  <c r="P24" i="15" a="1"/>
  <c r="P24" i="15"/>
  <c r="P39" i="15"/>
  <c r="P25" i="15" a="1"/>
  <c r="P25" i="15"/>
  <c r="P40" i="15"/>
  <c r="P26" i="15" a="1"/>
  <c r="P26" i="15"/>
  <c r="P41" i="15"/>
  <c r="P27" i="15" a="1"/>
  <c r="P27" i="15"/>
  <c r="P42" i="15"/>
  <c r="P28" i="15" a="1"/>
  <c r="P28" i="15"/>
  <c r="P43" i="15"/>
  <c r="P29" i="15" a="1"/>
  <c r="P29" i="15"/>
  <c r="P44" i="15"/>
  <c r="P30" i="15" a="1"/>
  <c r="P30" i="15"/>
  <c r="P45" i="15"/>
  <c r="P49" i="15"/>
  <c r="P31" i="15" a="1"/>
  <c r="P31" i="15"/>
  <c r="P52" i="15"/>
  <c r="O21" i="15" a="1"/>
  <c r="O21" i="15"/>
  <c r="O36" i="15"/>
  <c r="O22" i="15" a="1"/>
  <c r="O22" i="15"/>
  <c r="O37" i="15"/>
  <c r="O23" i="15" a="1"/>
  <c r="O23" i="15"/>
  <c r="O38" i="15"/>
  <c r="O24" i="15" a="1"/>
  <c r="O24" i="15"/>
  <c r="O39" i="15"/>
  <c r="O25" i="15" a="1"/>
  <c r="O25" i="15"/>
  <c r="O40" i="15"/>
  <c r="O26" i="15" a="1"/>
  <c r="O26" i="15"/>
  <c r="O41" i="15"/>
  <c r="O27" i="15" a="1"/>
  <c r="O27" i="15"/>
  <c r="O42" i="15"/>
  <c r="O28" i="15" a="1"/>
  <c r="O28" i="15"/>
  <c r="O43" i="15"/>
  <c r="O29" i="15" a="1"/>
  <c r="O29" i="15"/>
  <c r="O44" i="15"/>
  <c r="O30" i="15" a="1"/>
  <c r="O30" i="15"/>
  <c r="O45" i="15"/>
  <c r="O49" i="15"/>
  <c r="O31" i="15" a="1"/>
  <c r="O31" i="15"/>
  <c r="O52" i="15"/>
  <c r="K21" i="15"/>
  <c r="K36" i="15"/>
  <c r="R21" i="15" a="1"/>
  <c r="R21" i="15"/>
  <c r="N36" i="15"/>
  <c r="K23" i="15"/>
  <c r="K38" i="15"/>
  <c r="R23" i="15" a="1"/>
  <c r="R23" i="15"/>
  <c r="N38" i="15"/>
  <c r="K24" i="15"/>
  <c r="K39" i="15"/>
  <c r="R24" i="15" a="1"/>
  <c r="R24" i="15"/>
  <c r="N39" i="15"/>
  <c r="N49" i="15"/>
  <c r="K31" i="15"/>
  <c r="R31" i="15" a="1"/>
  <c r="R31" i="15"/>
  <c r="N52" i="15"/>
  <c r="J21" i="15"/>
  <c r="J36" i="15"/>
  <c r="M36" i="15"/>
  <c r="J23" i="15"/>
  <c r="J38" i="15"/>
  <c r="M38" i="15"/>
  <c r="J24" i="15"/>
  <c r="J39" i="15"/>
  <c r="M39" i="15"/>
  <c r="M49" i="15"/>
  <c r="J31" i="15"/>
  <c r="M52" i="15"/>
  <c r="I21" i="15"/>
  <c r="I36" i="15"/>
  <c r="L36" i="15"/>
  <c r="I23" i="15"/>
  <c r="I38" i="15"/>
  <c r="L38" i="15"/>
  <c r="I24" i="15"/>
  <c r="I39" i="15"/>
  <c r="L39" i="15"/>
  <c r="L49" i="15"/>
  <c r="I31" i="15"/>
  <c r="L52" i="15"/>
  <c r="K22" i="15"/>
  <c r="K37" i="15"/>
  <c r="K27" i="15"/>
  <c r="K42" i="15"/>
  <c r="K28" i="15"/>
  <c r="K43" i="15"/>
  <c r="K29" i="15"/>
  <c r="K44" i="15"/>
  <c r="K30" i="15"/>
  <c r="K45" i="15"/>
  <c r="K49" i="15"/>
  <c r="K52" i="15"/>
  <c r="J22" i="15"/>
  <c r="J37" i="15"/>
  <c r="J27" i="15"/>
  <c r="J42" i="15"/>
  <c r="J28" i="15"/>
  <c r="J43" i="15"/>
  <c r="J29" i="15"/>
  <c r="J44" i="15"/>
  <c r="J30" i="15"/>
  <c r="J45" i="15"/>
  <c r="J49" i="15"/>
  <c r="J52" i="15"/>
  <c r="I27" i="15"/>
  <c r="I42" i="15"/>
  <c r="I28" i="15"/>
  <c r="I43" i="15"/>
  <c r="I29" i="15"/>
  <c r="I44" i="15"/>
  <c r="I30" i="15"/>
  <c r="I45" i="15"/>
  <c r="I49" i="15"/>
  <c r="I52" i="15"/>
  <c r="G21" i="15" a="1"/>
  <c r="G21" i="15"/>
  <c r="H36" i="15"/>
  <c r="G22" i="15" a="1"/>
  <c r="G22" i="15"/>
  <c r="H37" i="15"/>
  <c r="G23" i="15" a="1"/>
  <c r="G23" i="15"/>
  <c r="H38" i="15"/>
  <c r="G24" i="15" a="1"/>
  <c r="G24" i="15"/>
  <c r="H39" i="15"/>
  <c r="G25" i="15" a="1"/>
  <c r="G25" i="15"/>
  <c r="H40" i="15"/>
  <c r="G26" i="15" a="1"/>
  <c r="G26" i="15"/>
  <c r="H41" i="15"/>
  <c r="G27" i="15" a="1"/>
  <c r="G27" i="15"/>
  <c r="H42" i="15"/>
  <c r="G28" i="15" a="1"/>
  <c r="G28" i="15"/>
  <c r="H43" i="15"/>
  <c r="G29" i="15" a="1"/>
  <c r="G29" i="15"/>
  <c r="H44" i="15"/>
  <c r="G30" i="15" a="1"/>
  <c r="G30" i="15"/>
  <c r="H45" i="15"/>
  <c r="H49" i="15"/>
  <c r="G31" i="15" a="1"/>
  <c r="G31" i="15"/>
  <c r="H52" i="15"/>
  <c r="F21" i="15" a="1"/>
  <c r="F21" i="15"/>
  <c r="G36" i="15"/>
  <c r="F22" i="15" a="1"/>
  <c r="F22" i="15"/>
  <c r="G37" i="15"/>
  <c r="F23" i="15" a="1"/>
  <c r="F23" i="15"/>
  <c r="G38" i="15"/>
  <c r="F24" i="15" a="1"/>
  <c r="F24" i="15"/>
  <c r="G39" i="15"/>
  <c r="F25" i="15" a="1"/>
  <c r="F25" i="15"/>
  <c r="G40" i="15"/>
  <c r="F26" i="15" a="1"/>
  <c r="F26" i="15"/>
  <c r="G41" i="15"/>
  <c r="F27" i="15" a="1"/>
  <c r="F27" i="15"/>
  <c r="G42" i="15"/>
  <c r="F28" i="15" a="1"/>
  <c r="F28" i="15"/>
  <c r="G43" i="15"/>
  <c r="F29" i="15" a="1"/>
  <c r="F29" i="15"/>
  <c r="G44" i="15"/>
  <c r="F30" i="15" a="1"/>
  <c r="F30" i="15"/>
  <c r="G45" i="15"/>
  <c r="G49" i="15"/>
  <c r="F31" i="15" a="1"/>
  <c r="F31" i="15"/>
  <c r="G52" i="15"/>
  <c r="E21" i="15" a="1"/>
  <c r="E21" i="15"/>
  <c r="F36" i="15"/>
  <c r="E22" i="15" a="1"/>
  <c r="E22" i="15"/>
  <c r="F37" i="15"/>
  <c r="E23" i="15" a="1"/>
  <c r="E23" i="15"/>
  <c r="F38" i="15"/>
  <c r="E24" i="15" a="1"/>
  <c r="E24" i="15"/>
  <c r="F39" i="15"/>
  <c r="E25" i="15" a="1"/>
  <c r="E25" i="15"/>
  <c r="F40" i="15"/>
  <c r="E26" i="15" a="1"/>
  <c r="E26" i="15"/>
  <c r="F41" i="15"/>
  <c r="E27" i="15" a="1"/>
  <c r="E27" i="15"/>
  <c r="F42" i="15"/>
  <c r="E28" i="15" a="1"/>
  <c r="E28" i="15"/>
  <c r="F43" i="15"/>
  <c r="E29" i="15" a="1"/>
  <c r="E29" i="15"/>
  <c r="F44" i="15"/>
  <c r="E30" i="15" a="1"/>
  <c r="E30" i="15"/>
  <c r="F45" i="15"/>
  <c r="F49" i="15"/>
  <c r="E31" i="15" a="1"/>
  <c r="E31" i="15"/>
  <c r="F52" i="15"/>
  <c r="K8" i="15" a="1"/>
  <c r="K8" i="15"/>
  <c r="E38" i="15"/>
  <c r="K9" i="15" a="1"/>
  <c r="K9" i="15"/>
  <c r="E39" i="15"/>
  <c r="E49" i="15"/>
  <c r="E52" i="15"/>
  <c r="Q48" i="15"/>
  <c r="Q51" i="15"/>
  <c r="P48" i="15"/>
  <c r="P51" i="15"/>
  <c r="O48" i="15"/>
  <c r="O51" i="15"/>
  <c r="N48" i="15"/>
  <c r="N51" i="15"/>
  <c r="M48" i="15"/>
  <c r="M51" i="15"/>
  <c r="L48" i="15"/>
  <c r="L51" i="15"/>
  <c r="K48" i="15"/>
  <c r="K51" i="15"/>
  <c r="J48" i="15"/>
  <c r="J51" i="15"/>
  <c r="I48" i="15"/>
  <c r="I51" i="15"/>
  <c r="H48" i="15"/>
  <c r="H51" i="15"/>
  <c r="G48" i="15"/>
  <c r="G51" i="15"/>
  <c r="F48" i="15"/>
  <c r="F51" i="15"/>
  <c r="D16" i="15"/>
  <c r="G16" i="15"/>
  <c r="J16" i="15"/>
  <c r="Q46" i="15"/>
  <c r="P46" i="15"/>
  <c r="O46" i="15"/>
  <c r="K46" i="15"/>
  <c r="N46" i="15"/>
  <c r="J46" i="15"/>
  <c r="M46" i="15"/>
  <c r="I46" i="15"/>
  <c r="L46" i="15"/>
  <c r="H46" i="15"/>
  <c r="G46" i="15"/>
  <c r="F46" i="15"/>
  <c r="E46" i="15"/>
  <c r="D46" i="15"/>
  <c r="B46" i="15"/>
  <c r="R30" i="15" a="1"/>
  <c r="R30" i="15"/>
  <c r="N45" i="15"/>
  <c r="M45" i="15"/>
  <c r="L45" i="15"/>
  <c r="D45" i="15"/>
  <c r="B45" i="15"/>
  <c r="R29" i="15" a="1"/>
  <c r="R29" i="15"/>
  <c r="N44" i="15"/>
  <c r="M44" i="15"/>
  <c r="L44" i="15"/>
  <c r="D44" i="15"/>
  <c r="B44" i="15"/>
  <c r="R28" i="15" a="1"/>
  <c r="R28" i="15"/>
  <c r="N43" i="15"/>
  <c r="M43" i="15"/>
  <c r="L43" i="15"/>
  <c r="D43" i="15"/>
  <c r="B43" i="15"/>
  <c r="R27" i="15" a="1"/>
  <c r="R27" i="15"/>
  <c r="N42" i="15"/>
  <c r="M42" i="15"/>
  <c r="L42" i="15"/>
  <c r="D42" i="15"/>
  <c r="B42" i="15"/>
  <c r="D41" i="15"/>
  <c r="B41" i="15"/>
  <c r="D40" i="15"/>
  <c r="B40" i="15"/>
  <c r="D39" i="15"/>
  <c r="B39" i="15"/>
  <c r="D38" i="15"/>
  <c r="B38" i="15"/>
  <c r="R22" i="15" a="1"/>
  <c r="R22" i="15"/>
  <c r="N37" i="15"/>
  <c r="M37" i="15"/>
  <c r="L37" i="15"/>
  <c r="D37" i="15"/>
  <c r="B37" i="15"/>
  <c r="D36" i="15"/>
  <c r="B36" i="15"/>
  <c r="N31" i="15" a="1"/>
  <c r="N31" i="15"/>
  <c r="M31" i="15" a="1"/>
  <c r="M31" i="15"/>
  <c r="L31" i="15" a="1"/>
  <c r="L31" i="15"/>
  <c r="H31" i="15"/>
  <c r="D31" i="15" a="1"/>
  <c r="D31" i="15"/>
  <c r="B31" i="15"/>
  <c r="N30" i="15" a="1"/>
  <c r="N30" i="15"/>
  <c r="M30" i="15" a="1"/>
  <c r="M30" i="15"/>
  <c r="L30" i="15" a="1"/>
  <c r="L30" i="15"/>
  <c r="H30" i="15"/>
  <c r="D30" i="15" a="1"/>
  <c r="D30" i="15"/>
  <c r="B30" i="15"/>
  <c r="N29" i="15" a="1"/>
  <c r="N29" i="15"/>
  <c r="M29" i="15" a="1"/>
  <c r="M29" i="15"/>
  <c r="L29" i="15" a="1"/>
  <c r="L29" i="15"/>
  <c r="H29" i="15"/>
  <c r="D29" i="15" a="1"/>
  <c r="D29" i="15"/>
  <c r="B29" i="15" a="1"/>
  <c r="B29" i="15"/>
  <c r="N28" i="15" a="1"/>
  <c r="N28" i="15"/>
  <c r="M28" i="15" a="1"/>
  <c r="M28" i="15"/>
  <c r="L28" i="15" a="1"/>
  <c r="L28" i="15"/>
  <c r="H28" i="15"/>
  <c r="D28" i="15" a="1"/>
  <c r="D28" i="15"/>
  <c r="B28" i="15"/>
  <c r="N27" i="15" a="1"/>
  <c r="N27" i="15"/>
  <c r="M27" i="15" a="1"/>
  <c r="M27" i="15"/>
  <c r="L27" i="15" a="1"/>
  <c r="L27" i="15"/>
  <c r="H27" i="15"/>
  <c r="D27" i="15" a="1"/>
  <c r="D27" i="15"/>
  <c r="B27" i="15"/>
  <c r="N26" i="15" a="1"/>
  <c r="N26" i="15"/>
  <c r="M26" i="15" a="1"/>
  <c r="M26" i="15"/>
  <c r="L26" i="15" a="1"/>
  <c r="L26" i="15"/>
  <c r="H26" i="15"/>
  <c r="D26" i="15" a="1"/>
  <c r="D26" i="15"/>
  <c r="N25" i="15" a="1"/>
  <c r="N25" i="15"/>
  <c r="M25" i="15" a="1"/>
  <c r="M25" i="15"/>
  <c r="L25" i="15" a="1"/>
  <c r="L25" i="15"/>
  <c r="H25" i="15"/>
  <c r="D25" i="15" a="1"/>
  <c r="D25" i="15"/>
  <c r="N24" i="15" a="1"/>
  <c r="N24" i="15"/>
  <c r="M24" i="15" a="1"/>
  <c r="M24" i="15"/>
  <c r="L24" i="15" a="1"/>
  <c r="L24" i="15"/>
  <c r="H24" i="15"/>
  <c r="D24" i="15" a="1"/>
  <c r="D24" i="15"/>
  <c r="N23" i="15" a="1"/>
  <c r="N23" i="15"/>
  <c r="M23" i="15" a="1"/>
  <c r="M23" i="15"/>
  <c r="L23" i="15" a="1"/>
  <c r="L23" i="15"/>
  <c r="H23" i="15"/>
  <c r="D23" i="15" a="1"/>
  <c r="D23" i="15"/>
  <c r="N22" i="15" a="1"/>
  <c r="N22" i="15"/>
  <c r="M22" i="15" a="1"/>
  <c r="M22" i="15"/>
  <c r="L22" i="15" a="1"/>
  <c r="L22" i="15"/>
  <c r="H22" i="15"/>
  <c r="D22" i="15" a="1"/>
  <c r="D22" i="15"/>
  <c r="N21" i="15" a="1"/>
  <c r="N21" i="15"/>
  <c r="M21" i="15" a="1"/>
  <c r="M21" i="15"/>
  <c r="L21" i="15" a="1"/>
  <c r="L21" i="15"/>
  <c r="H21" i="15"/>
  <c r="D21" i="15" a="1"/>
  <c r="D21" i="15"/>
  <c r="M16" i="15"/>
  <c r="L16" i="15"/>
  <c r="E16" i="15"/>
  <c r="M15" i="15"/>
  <c r="L15" i="15"/>
  <c r="E15" i="15"/>
  <c r="M14" i="15"/>
  <c r="L14" i="15"/>
  <c r="E14" i="15"/>
  <c r="M13" i="15"/>
  <c r="L13" i="15"/>
  <c r="E13" i="15"/>
  <c r="M12" i="15"/>
  <c r="E12" i="15"/>
  <c r="M11" i="15"/>
  <c r="E11" i="15"/>
  <c r="M10" i="15"/>
  <c r="E10" i="15"/>
  <c r="M9" i="15"/>
  <c r="E9" i="15"/>
  <c r="M8" i="15"/>
  <c r="E8" i="15"/>
  <c r="M7" i="15"/>
  <c r="E7" i="15"/>
  <c r="M6" i="15"/>
  <c r="E6" i="15"/>
  <c r="C30" i="7"/>
  <c r="C29" i="7"/>
  <c r="C28" i="7"/>
  <c r="K28" i="7"/>
  <c r="K29" i="7"/>
  <c r="K30" i="7"/>
  <c r="K31" i="7"/>
  <c r="C32" i="7"/>
  <c r="K32" i="7"/>
  <c r="C33" i="7"/>
  <c r="K33" i="7"/>
  <c r="C34" i="7"/>
  <c r="K34" i="7"/>
  <c r="L59" i="1"/>
  <c r="L55" i="1"/>
  <c r="L56" i="1"/>
  <c r="L57" i="1"/>
  <c r="L60" i="1"/>
  <c r="L62" i="1"/>
  <c r="L54" i="1"/>
  <c r="P30" i="5"/>
  <c r="Q30" i="5"/>
  <c r="R30" i="5"/>
  <c r="S30" i="5"/>
  <c r="O30" i="5"/>
  <c r="O13" i="5"/>
  <c r="P13" i="5"/>
  <c r="Q13" i="5"/>
  <c r="R13" i="5"/>
  <c r="S13" i="5"/>
  <c r="N13" i="5"/>
  <c r="E71" i="2"/>
  <c r="F71" i="2"/>
  <c r="G71" i="2"/>
  <c r="H71" i="2"/>
  <c r="I71" i="2"/>
  <c r="J71" i="2"/>
  <c r="D71" i="2"/>
  <c r="K71" i="2"/>
  <c r="J65" i="2"/>
  <c r="K23" i="9"/>
  <c r="L23" i="9"/>
  <c r="M23" i="9"/>
  <c r="N23" i="9"/>
  <c r="O23" i="9"/>
  <c r="P23" i="9"/>
  <c r="K24" i="9"/>
  <c r="L24" i="9"/>
  <c r="M24" i="9"/>
  <c r="N24" i="9"/>
  <c r="O24" i="9"/>
  <c r="P24" i="9"/>
  <c r="K22" i="9"/>
  <c r="L22" i="9"/>
  <c r="M22" i="9"/>
  <c r="N22" i="9"/>
  <c r="O22" i="9"/>
  <c r="P22" i="9"/>
  <c r="C56" i="7"/>
  <c r="C51" i="7"/>
  <c r="C52" i="7"/>
  <c r="C53" i="7"/>
  <c r="C54" i="7"/>
  <c r="C55" i="7"/>
  <c r="C50" i="7"/>
  <c r="I89" i="2"/>
  <c r="I93" i="2"/>
  <c r="I94" i="2"/>
  <c r="H89" i="2"/>
  <c r="H93" i="2"/>
  <c r="H94" i="2"/>
  <c r="D89" i="2"/>
  <c r="E89" i="2"/>
  <c r="F89" i="2"/>
  <c r="G89" i="2"/>
  <c r="R89" i="2"/>
  <c r="F22" i="4"/>
  <c r="G22" i="4"/>
  <c r="H22" i="4"/>
  <c r="I22" i="4"/>
  <c r="J22" i="4"/>
  <c r="K22" i="4"/>
  <c r="E22" i="4"/>
  <c r="E23" i="4"/>
  <c r="F23" i="4"/>
  <c r="G23" i="4"/>
  <c r="H23" i="4"/>
  <c r="I23" i="4"/>
  <c r="J23" i="4"/>
  <c r="K23" i="4"/>
  <c r="K73" i="2"/>
  <c r="D73" i="2"/>
  <c r="E73" i="2"/>
  <c r="F73" i="2"/>
  <c r="G73" i="2"/>
  <c r="H73" i="2"/>
  <c r="I73" i="2"/>
  <c r="J73" i="2"/>
  <c r="J46" i="1"/>
  <c r="N54" i="1"/>
  <c r="O54" i="1"/>
  <c r="P54" i="1"/>
  <c r="Q54" i="1"/>
  <c r="N55" i="1"/>
  <c r="O55" i="1"/>
  <c r="P55" i="1"/>
  <c r="Q55" i="1"/>
  <c r="N56" i="1"/>
  <c r="O56" i="1"/>
  <c r="P56" i="1"/>
  <c r="Q56" i="1"/>
  <c r="N57" i="1"/>
  <c r="O57" i="1"/>
  <c r="P57" i="1"/>
  <c r="Q57" i="1"/>
  <c r="N59" i="1"/>
  <c r="O59" i="1"/>
  <c r="P59" i="1"/>
  <c r="Q59" i="1"/>
  <c r="N60" i="1"/>
  <c r="O60" i="1"/>
  <c r="P60" i="1"/>
  <c r="Q60" i="1"/>
  <c r="N62" i="1"/>
  <c r="O62" i="1"/>
  <c r="P62" i="1"/>
  <c r="Q62" i="1"/>
  <c r="M62" i="1"/>
  <c r="M60" i="1"/>
  <c r="M59" i="1"/>
  <c r="M57" i="1"/>
  <c r="M56" i="1"/>
  <c r="M55" i="1"/>
  <c r="M54" i="1"/>
  <c r="J37" i="2"/>
  <c r="N136" i="2"/>
  <c r="O136" i="2"/>
  <c r="P136" i="2"/>
  <c r="Q136" i="2"/>
  <c r="N137" i="2"/>
  <c r="O137" i="2"/>
  <c r="P137" i="2"/>
  <c r="Q137" i="2"/>
  <c r="N138" i="2"/>
  <c r="O138" i="2"/>
  <c r="P138" i="2"/>
  <c r="Q138" i="2"/>
  <c r="N140" i="2"/>
  <c r="O140" i="2"/>
  <c r="P140" i="2"/>
  <c r="Q140" i="2"/>
  <c r="N141" i="2"/>
  <c r="O141" i="2"/>
  <c r="P141" i="2"/>
  <c r="Q141" i="2"/>
  <c r="N142" i="2"/>
  <c r="O142" i="2"/>
  <c r="P142" i="2"/>
  <c r="Q142" i="2"/>
  <c r="N143" i="2"/>
  <c r="O143" i="2"/>
  <c r="P143" i="2"/>
  <c r="Q143" i="2"/>
  <c r="N147" i="2"/>
  <c r="O147" i="2"/>
  <c r="P147" i="2"/>
  <c r="Q147" i="2"/>
  <c r="N148" i="2"/>
  <c r="O148" i="2"/>
  <c r="P148" i="2"/>
  <c r="Q148" i="2"/>
  <c r="N150" i="2"/>
  <c r="O150" i="2"/>
  <c r="P150" i="2"/>
  <c r="Q150" i="2"/>
  <c r="N154" i="2"/>
  <c r="O154" i="2"/>
  <c r="P154" i="2"/>
  <c r="Q154" i="2"/>
  <c r="M154" i="2"/>
  <c r="M150" i="2"/>
  <c r="M148" i="2"/>
  <c r="M147" i="2"/>
  <c r="M143" i="2"/>
  <c r="M142" i="2"/>
  <c r="M141" i="2"/>
  <c r="M140" i="2"/>
  <c r="M138" i="2"/>
  <c r="M137" i="2"/>
  <c r="M136" i="2"/>
  <c r="K69" i="2"/>
  <c r="K68" i="2"/>
  <c r="E92" i="2"/>
  <c r="E95" i="2"/>
  <c r="F92" i="2"/>
  <c r="F95" i="2"/>
  <c r="G92" i="2"/>
  <c r="G95" i="2"/>
  <c r="J92" i="2"/>
  <c r="J95" i="2"/>
  <c r="H92" i="2"/>
  <c r="H95" i="2"/>
  <c r="I92" i="2"/>
  <c r="I95" i="2"/>
  <c r="D92" i="2"/>
  <c r="D95" i="2"/>
  <c r="K99" i="2"/>
  <c r="K100" i="2"/>
  <c r="K101" i="2"/>
  <c r="K102" i="2"/>
  <c r="K103" i="2"/>
  <c r="K104" i="2"/>
  <c r="K105" i="2"/>
  <c r="K106" i="2"/>
  <c r="K107" i="2"/>
  <c r="K108" i="2"/>
  <c r="K109" i="2"/>
  <c r="K111" i="2"/>
  <c r="K112" i="2"/>
  <c r="K113" i="2"/>
  <c r="K114" i="2"/>
  <c r="K115" i="2"/>
  <c r="K116" i="2"/>
  <c r="K117" i="2"/>
  <c r="K118" i="2"/>
  <c r="K119" i="2"/>
  <c r="K120" i="2"/>
  <c r="K122" i="2"/>
  <c r="K123" i="2"/>
  <c r="K124" i="2"/>
  <c r="K125" i="2"/>
  <c r="K126" i="2"/>
  <c r="K127" i="2"/>
  <c r="K128" i="2"/>
  <c r="K129" i="2"/>
  <c r="K130" i="2"/>
  <c r="K131" i="2"/>
  <c r="K132" i="2"/>
  <c r="K135" i="2"/>
  <c r="K136" i="2"/>
  <c r="K137" i="2"/>
  <c r="K138" i="2"/>
  <c r="K139" i="2"/>
  <c r="K140" i="2"/>
  <c r="K141" i="2"/>
  <c r="K142" i="2"/>
  <c r="K143" i="2"/>
  <c r="K144" i="2"/>
  <c r="K145" i="2"/>
  <c r="K147" i="2"/>
  <c r="K148" i="2"/>
  <c r="K149" i="2"/>
  <c r="K150" i="2"/>
  <c r="K151" i="2"/>
  <c r="K152" i="2"/>
  <c r="K153" i="2"/>
  <c r="K154" i="2"/>
  <c r="K155" i="2"/>
  <c r="K156" i="2"/>
  <c r="K158" i="2"/>
  <c r="K159" i="2"/>
  <c r="K161" i="2"/>
  <c r="K162" i="2"/>
  <c r="K163" i="2"/>
  <c r="K164" i="2"/>
  <c r="K167" i="2"/>
  <c r="K168" i="2"/>
  <c r="E62" i="2"/>
  <c r="D62" i="2"/>
  <c r="R62" i="2"/>
  <c r="K62" i="2"/>
  <c r="E67" i="2"/>
  <c r="D67" i="2"/>
  <c r="F67" i="2"/>
  <c r="G67" i="2"/>
  <c r="H67" i="2"/>
  <c r="I67" i="2"/>
  <c r="J67" i="2"/>
  <c r="R67" i="2"/>
  <c r="K67" i="2"/>
  <c r="E65" i="2"/>
  <c r="F65" i="2"/>
  <c r="G65" i="2"/>
  <c r="H65" i="2"/>
  <c r="I65" i="2"/>
  <c r="K65" i="2"/>
  <c r="D65" i="2"/>
  <c r="R65" i="2"/>
  <c r="E55" i="2"/>
  <c r="F55" i="2"/>
  <c r="G55" i="2"/>
  <c r="D55" i="2"/>
  <c r="H55" i="2"/>
  <c r="I55" i="2"/>
  <c r="J55" i="2"/>
  <c r="R55" i="2"/>
  <c r="K55" i="2"/>
  <c r="D54" i="2"/>
  <c r="E54" i="2"/>
  <c r="F54" i="2"/>
  <c r="G54" i="2"/>
  <c r="H54" i="2"/>
  <c r="I54" i="2"/>
  <c r="J54" i="2"/>
  <c r="R54" i="2"/>
  <c r="K54" i="2"/>
  <c r="R56" i="2"/>
  <c r="D57" i="2"/>
  <c r="E57" i="2"/>
  <c r="F57" i="2"/>
  <c r="G57" i="2"/>
  <c r="H57" i="2"/>
  <c r="I57" i="2"/>
  <c r="J57" i="2"/>
  <c r="R57" i="2"/>
  <c r="K57" i="2"/>
  <c r="D59" i="2"/>
  <c r="E59" i="2"/>
  <c r="F59" i="2"/>
  <c r="G59" i="2"/>
  <c r="H59" i="2"/>
  <c r="I59" i="2"/>
  <c r="J59" i="2"/>
  <c r="R59" i="2"/>
  <c r="K59" i="2"/>
  <c r="D60" i="2"/>
  <c r="E60" i="2"/>
  <c r="F60" i="2"/>
  <c r="G60" i="2"/>
  <c r="H60" i="2"/>
  <c r="I60" i="2"/>
  <c r="J60" i="2"/>
  <c r="R60" i="2"/>
  <c r="K60" i="2"/>
  <c r="D61" i="2"/>
  <c r="E61" i="2"/>
  <c r="F61" i="2"/>
  <c r="G61" i="2"/>
  <c r="H61" i="2"/>
  <c r="I61" i="2"/>
  <c r="R61" i="2"/>
  <c r="K61" i="2"/>
  <c r="D63" i="2"/>
  <c r="E63" i="2"/>
  <c r="F63" i="2"/>
  <c r="G63" i="2"/>
  <c r="H63" i="2"/>
  <c r="I63" i="2"/>
  <c r="J63" i="2"/>
  <c r="R63" i="2"/>
  <c r="K63" i="2"/>
  <c r="D66" i="2"/>
  <c r="E66" i="2"/>
  <c r="F66" i="2"/>
  <c r="G66" i="2"/>
  <c r="H66" i="2"/>
  <c r="I66" i="2"/>
  <c r="J66" i="2"/>
  <c r="R66" i="2"/>
  <c r="K66" i="2"/>
  <c r="D68" i="2"/>
  <c r="E68" i="2"/>
  <c r="F68" i="2"/>
  <c r="G68" i="2"/>
  <c r="H68" i="2"/>
  <c r="I68" i="2"/>
  <c r="R68" i="2"/>
  <c r="D69" i="2"/>
  <c r="E69" i="2"/>
  <c r="F69" i="2"/>
  <c r="G69" i="2"/>
  <c r="H69" i="2"/>
  <c r="I69" i="2"/>
  <c r="J69" i="2"/>
  <c r="R69" i="2"/>
  <c r="D70" i="2"/>
  <c r="E70" i="2"/>
  <c r="F70" i="2"/>
  <c r="G70" i="2"/>
  <c r="H70" i="2"/>
  <c r="I70" i="2"/>
  <c r="J70" i="2"/>
  <c r="R70" i="2"/>
  <c r="K70" i="2"/>
  <c r="R71" i="2"/>
  <c r="D72" i="2"/>
  <c r="E72" i="2"/>
  <c r="F72" i="2"/>
  <c r="G72" i="2"/>
  <c r="H72" i="2"/>
  <c r="I72" i="2"/>
  <c r="J72" i="2"/>
  <c r="R72" i="2"/>
  <c r="K72" i="2"/>
  <c r="R73" i="2"/>
  <c r="D74" i="2"/>
  <c r="F74" i="2"/>
  <c r="E74" i="2"/>
  <c r="G74" i="2"/>
  <c r="H74" i="2"/>
  <c r="I74" i="2"/>
  <c r="J74" i="2"/>
  <c r="R74" i="2"/>
  <c r="K74" i="2"/>
  <c r="E53" i="2"/>
  <c r="F53" i="2"/>
  <c r="G53" i="2"/>
  <c r="H53" i="2"/>
  <c r="I53" i="2"/>
  <c r="J53" i="2"/>
  <c r="K53" i="2"/>
  <c r="D53" i="2"/>
  <c r="C46" i="1"/>
  <c r="D46" i="1"/>
  <c r="E46" i="1"/>
  <c r="F46" i="1"/>
  <c r="G46" i="1"/>
  <c r="H46" i="1"/>
  <c r="I46" i="1"/>
  <c r="R46" i="1"/>
  <c r="E43" i="1"/>
  <c r="F43" i="1"/>
  <c r="G43" i="1"/>
  <c r="H43" i="1"/>
  <c r="I43" i="1"/>
  <c r="J43" i="1"/>
  <c r="K43" i="1"/>
  <c r="D43" i="1"/>
  <c r="E41" i="1"/>
  <c r="F41" i="1"/>
  <c r="G41" i="1"/>
  <c r="H41" i="1"/>
  <c r="I41" i="1"/>
  <c r="J41" i="1"/>
  <c r="R41" i="1"/>
  <c r="C38" i="1"/>
  <c r="D38" i="1"/>
  <c r="E38" i="1"/>
  <c r="F38" i="1"/>
  <c r="G38" i="1"/>
  <c r="H38" i="1"/>
  <c r="I38" i="1"/>
  <c r="J38" i="1"/>
  <c r="K38" i="1"/>
  <c r="R38" i="1"/>
  <c r="C39" i="1"/>
  <c r="D39" i="1"/>
  <c r="E39" i="1"/>
  <c r="F39" i="1"/>
  <c r="G39" i="1"/>
  <c r="H39" i="1"/>
  <c r="I39" i="1"/>
  <c r="J39" i="1"/>
  <c r="K39" i="1"/>
  <c r="R39" i="1"/>
  <c r="C40" i="1"/>
  <c r="D40" i="1"/>
  <c r="E40" i="1"/>
  <c r="F40" i="1"/>
  <c r="G40" i="1"/>
  <c r="H40" i="1"/>
  <c r="I40" i="1"/>
  <c r="J40" i="1"/>
  <c r="K40" i="1"/>
  <c r="R40" i="1"/>
  <c r="C42" i="1"/>
  <c r="D42" i="1"/>
  <c r="E42" i="1"/>
  <c r="F42" i="1"/>
  <c r="G42" i="1"/>
  <c r="H42" i="1"/>
  <c r="I42" i="1"/>
  <c r="J42" i="1"/>
  <c r="K42" i="1"/>
  <c r="R42" i="1"/>
  <c r="C44" i="1"/>
  <c r="D44" i="1"/>
  <c r="E44" i="1"/>
  <c r="F44" i="1"/>
  <c r="G44" i="1"/>
  <c r="H44" i="1"/>
  <c r="I44" i="1"/>
  <c r="J44" i="1"/>
  <c r="K44" i="1"/>
  <c r="R44" i="1"/>
  <c r="C45" i="1"/>
  <c r="D45" i="1"/>
  <c r="E45" i="1"/>
  <c r="F45" i="1"/>
  <c r="G45" i="1"/>
  <c r="H45" i="1"/>
  <c r="I45" i="1"/>
  <c r="J45" i="1"/>
  <c r="K45" i="1"/>
  <c r="R45" i="1"/>
  <c r="C47" i="1"/>
  <c r="D47" i="1"/>
  <c r="E47" i="1"/>
  <c r="F47" i="1"/>
  <c r="G47" i="1"/>
  <c r="H47" i="1"/>
  <c r="I47" i="1"/>
  <c r="J47" i="1"/>
  <c r="K47" i="1"/>
  <c r="R47" i="1"/>
  <c r="C48" i="1"/>
  <c r="D48" i="1"/>
  <c r="E48" i="1"/>
  <c r="F48" i="1"/>
  <c r="G48" i="1"/>
  <c r="H48" i="1"/>
  <c r="I48" i="1"/>
  <c r="J48" i="1"/>
  <c r="K48" i="1"/>
  <c r="R48" i="1"/>
  <c r="C49" i="1"/>
  <c r="D49" i="1"/>
  <c r="E49" i="1"/>
  <c r="F49" i="1"/>
  <c r="G49" i="1"/>
  <c r="H49" i="1"/>
  <c r="I49" i="1"/>
  <c r="J49" i="1"/>
  <c r="K49" i="1"/>
  <c r="R49" i="1"/>
  <c r="C37" i="1"/>
  <c r="D37" i="1"/>
  <c r="E37" i="1"/>
  <c r="F37" i="1"/>
  <c r="G37" i="1"/>
  <c r="H37" i="1"/>
  <c r="I37" i="1"/>
  <c r="J37" i="1"/>
  <c r="K37" i="1"/>
  <c r="R37" i="1"/>
  <c r="K41" i="1"/>
  <c r="K46" i="1"/>
  <c r="E9" i="5"/>
  <c r="F9" i="5"/>
  <c r="G9" i="5"/>
  <c r="H9" i="5"/>
  <c r="I9" i="5"/>
  <c r="J9" i="5"/>
  <c r="K9" i="5"/>
  <c r="D9" i="5"/>
  <c r="T45" i="5"/>
  <c r="T41" i="5"/>
  <c r="T34" i="5"/>
  <c r="T22" i="5"/>
  <c r="T47" i="5"/>
  <c r="T46" i="5"/>
  <c r="T37" i="5"/>
  <c r="T29" i="5"/>
  <c r="T33" i="5"/>
  <c r="T21" i="5"/>
  <c r="T25" i="5"/>
  <c r="T12" i="5"/>
  <c r="T16" i="5"/>
  <c r="T20" i="5"/>
  <c r="F27" i="4"/>
  <c r="G27" i="4"/>
  <c r="H27" i="4"/>
  <c r="I27" i="4"/>
  <c r="J27" i="4"/>
  <c r="K27" i="4"/>
  <c r="E27" i="4"/>
  <c r="F26" i="4"/>
  <c r="G26" i="4"/>
  <c r="H26" i="4"/>
  <c r="I26" i="4"/>
  <c r="J26" i="4"/>
  <c r="K26" i="4"/>
  <c r="E26" i="4"/>
  <c r="F25" i="4"/>
  <c r="H25" i="4"/>
  <c r="I25" i="4"/>
  <c r="J25" i="4"/>
  <c r="K25" i="4"/>
  <c r="E25" i="4"/>
  <c r="G49" i="7"/>
  <c r="F49" i="7"/>
  <c r="E49" i="7"/>
  <c r="D49" i="7"/>
  <c r="H49" i="7"/>
  <c r="I49" i="7"/>
  <c r="J49" i="7"/>
  <c r="F27" i="7"/>
  <c r="E27" i="7"/>
  <c r="D27" i="7"/>
  <c r="H27" i="7"/>
  <c r="I27" i="7"/>
  <c r="J27" i="7"/>
  <c r="B40" i="9"/>
  <c r="C40" i="9"/>
  <c r="D40" i="9"/>
  <c r="C36" i="1"/>
  <c r="F151" i="2"/>
  <c r="F152" i="2"/>
  <c r="F153" i="2"/>
  <c r="F154" i="2"/>
  <c r="F155" i="2"/>
  <c r="F156" i="2"/>
  <c r="F158" i="2"/>
  <c r="F159" i="2"/>
  <c r="F161" i="2"/>
  <c r="F162" i="2"/>
  <c r="F163" i="2"/>
  <c r="F164" i="2"/>
  <c r="F165" i="2"/>
  <c r="F167" i="2"/>
  <c r="F168" i="2"/>
  <c r="F135" i="2"/>
  <c r="G135" i="2"/>
  <c r="H135" i="2"/>
  <c r="I135" i="2"/>
  <c r="J135" i="2"/>
  <c r="F136" i="2"/>
  <c r="G136" i="2"/>
  <c r="H136" i="2"/>
  <c r="I136" i="2"/>
  <c r="J136" i="2"/>
  <c r="F137" i="2"/>
  <c r="G137" i="2"/>
  <c r="H137" i="2"/>
  <c r="I137" i="2"/>
  <c r="J137" i="2"/>
  <c r="F138" i="2"/>
  <c r="G138" i="2"/>
  <c r="H138" i="2"/>
  <c r="I138" i="2"/>
  <c r="J138" i="2"/>
  <c r="F139" i="2"/>
  <c r="G139" i="2"/>
  <c r="H139" i="2"/>
  <c r="I139" i="2"/>
  <c r="J139" i="2"/>
  <c r="F140" i="2"/>
  <c r="G140" i="2"/>
  <c r="H140" i="2"/>
  <c r="I140" i="2"/>
  <c r="J140" i="2"/>
  <c r="F141" i="2"/>
  <c r="G141" i="2"/>
  <c r="H141" i="2"/>
  <c r="I141" i="2"/>
  <c r="J141" i="2"/>
  <c r="F142" i="2"/>
  <c r="G142" i="2"/>
  <c r="H142" i="2"/>
  <c r="I142" i="2"/>
  <c r="J142" i="2"/>
  <c r="F143" i="2"/>
  <c r="G143" i="2"/>
  <c r="H143" i="2"/>
  <c r="I143" i="2"/>
  <c r="J143" i="2"/>
  <c r="F144" i="2"/>
  <c r="G144" i="2"/>
  <c r="H144" i="2"/>
  <c r="I144" i="2"/>
  <c r="J144" i="2"/>
  <c r="F145" i="2"/>
  <c r="G145" i="2"/>
  <c r="H145" i="2"/>
  <c r="I145" i="2"/>
  <c r="J145" i="2"/>
  <c r="F147" i="2"/>
  <c r="G147" i="2"/>
  <c r="H147" i="2"/>
  <c r="I147" i="2"/>
  <c r="J147" i="2"/>
  <c r="F148" i="2"/>
  <c r="G148" i="2"/>
  <c r="H148" i="2"/>
  <c r="I148" i="2"/>
  <c r="J148" i="2"/>
  <c r="F149" i="2"/>
  <c r="G149" i="2"/>
  <c r="H149" i="2"/>
  <c r="I149" i="2"/>
  <c r="J149" i="2"/>
  <c r="F150" i="2"/>
  <c r="G150" i="2"/>
  <c r="H150" i="2"/>
  <c r="I150" i="2"/>
  <c r="J150" i="2"/>
  <c r="G151" i="2"/>
  <c r="H151" i="2"/>
  <c r="I151" i="2"/>
  <c r="J151" i="2"/>
  <c r="G152" i="2"/>
  <c r="H152" i="2"/>
  <c r="I152" i="2"/>
  <c r="J152" i="2"/>
  <c r="G153" i="2"/>
  <c r="H153" i="2"/>
  <c r="I153" i="2"/>
  <c r="J153" i="2"/>
  <c r="G154" i="2"/>
  <c r="H154" i="2"/>
  <c r="I154" i="2"/>
  <c r="J154" i="2"/>
  <c r="G155" i="2"/>
  <c r="H155" i="2"/>
  <c r="I155" i="2"/>
  <c r="J155" i="2"/>
  <c r="G156" i="2"/>
  <c r="H156" i="2"/>
  <c r="I156" i="2"/>
  <c r="J156" i="2"/>
  <c r="G158" i="2"/>
  <c r="H158" i="2"/>
  <c r="I158" i="2"/>
  <c r="J158" i="2"/>
  <c r="G159" i="2"/>
  <c r="H159" i="2"/>
  <c r="I159" i="2"/>
  <c r="J159" i="2"/>
  <c r="G161" i="2"/>
  <c r="H161" i="2"/>
  <c r="I161" i="2"/>
  <c r="J161" i="2"/>
  <c r="G162" i="2"/>
  <c r="H162" i="2"/>
  <c r="I162" i="2"/>
  <c r="J162" i="2"/>
  <c r="G163" i="2"/>
  <c r="H163" i="2"/>
  <c r="I163" i="2"/>
  <c r="J163" i="2"/>
  <c r="G164" i="2"/>
  <c r="H164" i="2"/>
  <c r="I164" i="2"/>
  <c r="J164" i="2"/>
  <c r="G165" i="2"/>
  <c r="H165" i="2"/>
  <c r="G167" i="2"/>
  <c r="H167" i="2"/>
  <c r="I167" i="2"/>
  <c r="J167" i="2"/>
  <c r="G168" i="2"/>
  <c r="H168" i="2"/>
  <c r="I168" i="2"/>
  <c r="J168" i="2"/>
  <c r="E136" i="2"/>
  <c r="E137" i="2"/>
  <c r="E138" i="2"/>
  <c r="E139" i="2"/>
  <c r="E140" i="2"/>
  <c r="E141" i="2"/>
  <c r="E142" i="2"/>
  <c r="E143" i="2"/>
  <c r="E144" i="2"/>
  <c r="E145" i="2"/>
  <c r="E147" i="2"/>
  <c r="E148" i="2"/>
  <c r="E149" i="2"/>
  <c r="E150" i="2"/>
  <c r="E151" i="2"/>
  <c r="E152" i="2"/>
  <c r="E153" i="2"/>
  <c r="E154" i="2"/>
  <c r="E155" i="2"/>
  <c r="E156" i="2"/>
  <c r="E158" i="2"/>
  <c r="E159" i="2"/>
  <c r="E161" i="2"/>
  <c r="E162" i="2"/>
  <c r="E163" i="2"/>
  <c r="E164" i="2"/>
  <c r="E165" i="2"/>
  <c r="E167" i="2"/>
  <c r="E168" i="2"/>
  <c r="E135" i="2"/>
  <c r="E99" i="2"/>
  <c r="F99" i="2"/>
  <c r="G99" i="2"/>
  <c r="H99" i="2"/>
  <c r="I99" i="2"/>
  <c r="J99" i="2"/>
  <c r="E100" i="2"/>
  <c r="F100" i="2"/>
  <c r="G100" i="2"/>
  <c r="H100" i="2"/>
  <c r="I100" i="2"/>
  <c r="J100" i="2"/>
  <c r="E101" i="2"/>
  <c r="F101" i="2"/>
  <c r="G101" i="2"/>
  <c r="H101" i="2"/>
  <c r="I101" i="2"/>
  <c r="J101" i="2"/>
  <c r="E102" i="2"/>
  <c r="F102" i="2"/>
  <c r="G102" i="2"/>
  <c r="H102" i="2"/>
  <c r="I102" i="2"/>
  <c r="J102" i="2"/>
  <c r="E103" i="2"/>
  <c r="F103" i="2"/>
  <c r="G103" i="2"/>
  <c r="H103" i="2"/>
  <c r="I103" i="2"/>
  <c r="J103" i="2"/>
  <c r="E104" i="2"/>
  <c r="F104" i="2"/>
  <c r="G104" i="2"/>
  <c r="H104" i="2"/>
  <c r="I104" i="2"/>
  <c r="J104" i="2"/>
  <c r="E105" i="2"/>
  <c r="F105" i="2"/>
  <c r="G105" i="2"/>
  <c r="H105" i="2"/>
  <c r="I105" i="2"/>
  <c r="J105" i="2"/>
  <c r="E106" i="2"/>
  <c r="F106" i="2"/>
  <c r="G106" i="2"/>
  <c r="H106" i="2"/>
  <c r="I106" i="2"/>
  <c r="J106" i="2"/>
  <c r="E107" i="2"/>
  <c r="F107" i="2"/>
  <c r="G107" i="2"/>
  <c r="H107" i="2"/>
  <c r="I107" i="2"/>
  <c r="J107" i="2"/>
  <c r="E108" i="2"/>
  <c r="F108" i="2"/>
  <c r="G108" i="2"/>
  <c r="H108" i="2"/>
  <c r="I108" i="2"/>
  <c r="J108" i="2"/>
  <c r="E109" i="2"/>
  <c r="F109" i="2"/>
  <c r="G109" i="2"/>
  <c r="H109" i="2"/>
  <c r="I109" i="2"/>
  <c r="J109" i="2"/>
  <c r="E111" i="2"/>
  <c r="F111" i="2"/>
  <c r="G111" i="2"/>
  <c r="H111" i="2"/>
  <c r="I111" i="2"/>
  <c r="J111" i="2"/>
  <c r="E112" i="2"/>
  <c r="F112" i="2"/>
  <c r="G112" i="2"/>
  <c r="H112" i="2"/>
  <c r="I112" i="2"/>
  <c r="J112" i="2"/>
  <c r="E113" i="2"/>
  <c r="F113" i="2"/>
  <c r="G113" i="2"/>
  <c r="H113" i="2"/>
  <c r="I113" i="2"/>
  <c r="J113" i="2"/>
  <c r="E114" i="2"/>
  <c r="F114" i="2"/>
  <c r="G114" i="2"/>
  <c r="H114" i="2"/>
  <c r="I114" i="2"/>
  <c r="J114" i="2"/>
  <c r="E115" i="2"/>
  <c r="F115" i="2"/>
  <c r="G115" i="2"/>
  <c r="H115" i="2"/>
  <c r="I115" i="2"/>
  <c r="J115" i="2"/>
  <c r="E116" i="2"/>
  <c r="F116" i="2"/>
  <c r="G116" i="2"/>
  <c r="H116" i="2"/>
  <c r="I116" i="2"/>
  <c r="J116" i="2"/>
  <c r="E117" i="2"/>
  <c r="F117" i="2"/>
  <c r="G117" i="2"/>
  <c r="H117" i="2"/>
  <c r="I117" i="2"/>
  <c r="J117" i="2"/>
  <c r="E118" i="2"/>
  <c r="F118" i="2"/>
  <c r="G118" i="2"/>
  <c r="H118" i="2"/>
  <c r="I118" i="2"/>
  <c r="J118" i="2"/>
  <c r="E119" i="2"/>
  <c r="F119" i="2"/>
  <c r="G119" i="2"/>
  <c r="H119" i="2"/>
  <c r="I119" i="2"/>
  <c r="J119" i="2"/>
  <c r="E120" i="2"/>
  <c r="F120" i="2"/>
  <c r="G120" i="2"/>
  <c r="H120" i="2"/>
  <c r="I120" i="2"/>
  <c r="J120" i="2"/>
  <c r="E122" i="2"/>
  <c r="F122" i="2"/>
  <c r="G122" i="2"/>
  <c r="H122" i="2"/>
  <c r="I122" i="2"/>
  <c r="J122" i="2"/>
  <c r="E123" i="2"/>
  <c r="F123" i="2"/>
  <c r="G123" i="2"/>
  <c r="H123" i="2"/>
  <c r="I123" i="2"/>
  <c r="J123" i="2"/>
  <c r="E124" i="2"/>
  <c r="F124" i="2"/>
  <c r="G124" i="2"/>
  <c r="H124" i="2"/>
  <c r="I124" i="2"/>
  <c r="J124" i="2"/>
  <c r="E125" i="2"/>
  <c r="F125" i="2"/>
  <c r="G125" i="2"/>
  <c r="H125" i="2"/>
  <c r="I125" i="2"/>
  <c r="J125" i="2"/>
  <c r="E126" i="2"/>
  <c r="F126" i="2"/>
  <c r="G126" i="2"/>
  <c r="H126" i="2"/>
  <c r="I126" i="2"/>
  <c r="J126" i="2"/>
  <c r="E127" i="2"/>
  <c r="F127" i="2"/>
  <c r="G127" i="2"/>
  <c r="H127" i="2"/>
  <c r="I127" i="2"/>
  <c r="J127" i="2"/>
  <c r="E128" i="2"/>
  <c r="F128" i="2"/>
  <c r="G128" i="2"/>
  <c r="H128" i="2"/>
  <c r="I128" i="2"/>
  <c r="J128" i="2"/>
  <c r="E129" i="2"/>
  <c r="F129" i="2"/>
  <c r="G129" i="2"/>
  <c r="H129" i="2"/>
  <c r="E130" i="2"/>
  <c r="F130" i="2"/>
  <c r="G130" i="2"/>
  <c r="H130" i="2"/>
  <c r="I130" i="2"/>
  <c r="J130" i="2"/>
  <c r="E131" i="2"/>
  <c r="F131" i="2"/>
  <c r="G131" i="2"/>
  <c r="H131" i="2"/>
  <c r="I131" i="2"/>
  <c r="J131" i="2"/>
  <c r="E132" i="2"/>
  <c r="F132" i="2"/>
  <c r="G132" i="2"/>
  <c r="H132" i="2"/>
  <c r="I132" i="2"/>
  <c r="J132" i="2"/>
  <c r="D100" i="2"/>
  <c r="D101" i="2"/>
  <c r="D102" i="2"/>
  <c r="D103" i="2"/>
  <c r="D104" i="2"/>
  <c r="D105" i="2"/>
  <c r="D106" i="2"/>
  <c r="D107" i="2"/>
  <c r="D108" i="2"/>
  <c r="D109" i="2"/>
  <c r="D111" i="2"/>
  <c r="D112" i="2"/>
  <c r="D113" i="2"/>
  <c r="D114" i="2"/>
  <c r="D115" i="2"/>
  <c r="D116" i="2"/>
  <c r="D117" i="2"/>
  <c r="D118" i="2"/>
  <c r="D119" i="2"/>
  <c r="D120" i="2"/>
  <c r="D122" i="2"/>
  <c r="D123" i="2"/>
  <c r="D124" i="2"/>
  <c r="D125" i="2"/>
  <c r="D126" i="2"/>
  <c r="D127" i="2"/>
  <c r="D128" i="2"/>
  <c r="D129" i="2"/>
  <c r="D130" i="2"/>
  <c r="D131" i="2"/>
  <c r="D132" i="2"/>
  <c r="D99" i="2"/>
  <c r="D55" i="1"/>
  <c r="E55" i="1"/>
  <c r="F55" i="1"/>
  <c r="G55" i="1"/>
  <c r="H55" i="1"/>
  <c r="I55" i="1"/>
  <c r="J55" i="1"/>
  <c r="D56" i="1"/>
  <c r="E56" i="1"/>
  <c r="F56" i="1"/>
  <c r="G56" i="1"/>
  <c r="H56" i="1"/>
  <c r="I56" i="1"/>
  <c r="J56" i="1"/>
  <c r="D57" i="1"/>
  <c r="E57" i="1"/>
  <c r="F57" i="1"/>
  <c r="G57" i="1"/>
  <c r="H57" i="1"/>
  <c r="I57" i="1"/>
  <c r="J57" i="1"/>
  <c r="D58" i="1"/>
  <c r="E58" i="1"/>
  <c r="F58" i="1"/>
  <c r="G58" i="1"/>
  <c r="H58" i="1"/>
  <c r="D59" i="1"/>
  <c r="E59" i="1"/>
  <c r="F59" i="1"/>
  <c r="G59" i="1"/>
  <c r="H59" i="1"/>
  <c r="I59" i="1"/>
  <c r="J59" i="1"/>
  <c r="D60" i="1"/>
  <c r="E60" i="1"/>
  <c r="F60" i="1"/>
  <c r="G60" i="1"/>
  <c r="H60" i="1"/>
  <c r="I60" i="1"/>
  <c r="J60" i="1"/>
  <c r="D61" i="1"/>
  <c r="E61" i="1"/>
  <c r="F61" i="1"/>
  <c r="G61" i="1"/>
  <c r="H61" i="1"/>
  <c r="I61" i="1"/>
  <c r="J61" i="1"/>
  <c r="D62" i="1"/>
  <c r="E62" i="1"/>
  <c r="F62" i="1"/>
  <c r="G62" i="1"/>
  <c r="H62" i="1"/>
  <c r="I62" i="1"/>
  <c r="J62" i="1"/>
  <c r="D63" i="1"/>
  <c r="E63" i="1"/>
  <c r="F63" i="1"/>
  <c r="G63" i="1"/>
  <c r="H63" i="1"/>
  <c r="I63" i="1"/>
  <c r="J63" i="1"/>
  <c r="D64" i="1"/>
  <c r="E64" i="1"/>
  <c r="F64" i="1"/>
  <c r="G64" i="1"/>
  <c r="H64" i="1"/>
  <c r="I64" i="1"/>
  <c r="J64" i="1"/>
  <c r="D65" i="1"/>
  <c r="E65" i="1"/>
  <c r="F65" i="1"/>
  <c r="G65" i="1"/>
  <c r="H65" i="1"/>
  <c r="I65" i="1"/>
  <c r="J65" i="1"/>
  <c r="E66" i="1"/>
  <c r="F66" i="1"/>
  <c r="G66" i="1"/>
  <c r="H66" i="1"/>
  <c r="I66" i="1"/>
  <c r="D67" i="1"/>
  <c r="E67" i="1"/>
  <c r="F67" i="1"/>
  <c r="G67" i="1"/>
  <c r="H67" i="1"/>
  <c r="I67" i="1"/>
  <c r="J67" i="1"/>
  <c r="E54" i="1"/>
  <c r="F54" i="1"/>
  <c r="G54" i="1"/>
  <c r="H54" i="1"/>
  <c r="I54" i="1"/>
  <c r="J54" i="1"/>
  <c r="D54" i="1"/>
  <c r="C41" i="1"/>
  <c r="D41" i="1"/>
  <c r="D36" i="1"/>
  <c r="E36" i="1"/>
  <c r="F36" i="1"/>
  <c r="G36" i="1"/>
  <c r="H36" i="1"/>
  <c r="I36" i="1"/>
  <c r="J36" i="1"/>
  <c r="F36" i="4"/>
  <c r="F39" i="4"/>
  <c r="G36" i="4"/>
  <c r="G39" i="4"/>
  <c r="H36" i="4"/>
  <c r="H39" i="4"/>
  <c r="I36" i="4"/>
  <c r="I39" i="4"/>
  <c r="J36" i="4"/>
  <c r="J39" i="4"/>
  <c r="K36" i="4"/>
  <c r="K39" i="4"/>
  <c r="E36" i="4"/>
  <c r="E39" i="4"/>
  <c r="G35" i="4"/>
  <c r="G38" i="4"/>
  <c r="H35" i="4"/>
  <c r="H38" i="4"/>
  <c r="I35" i="4"/>
  <c r="I38" i="4"/>
  <c r="J35" i="4"/>
  <c r="J38" i="4"/>
  <c r="K35" i="4"/>
  <c r="K38" i="4"/>
  <c r="F35" i="4"/>
  <c r="F38" i="4"/>
  <c r="E35" i="4"/>
  <c r="E38" i="4"/>
  <c r="F34" i="4"/>
  <c r="G34" i="4"/>
  <c r="H34" i="4"/>
  <c r="I34" i="4"/>
  <c r="J34" i="4"/>
  <c r="K34" i="4"/>
  <c r="E34" i="4"/>
  <c r="F28" i="4"/>
  <c r="G28" i="4"/>
  <c r="H28" i="4"/>
  <c r="I28" i="4"/>
  <c r="J28" i="4"/>
  <c r="K28" i="4"/>
  <c r="E28" i="4"/>
  <c r="F12" i="4"/>
  <c r="G12" i="4"/>
  <c r="H12" i="4"/>
  <c r="I12" i="4"/>
  <c r="J12" i="4"/>
  <c r="K12" i="4"/>
  <c r="E12" i="4"/>
  <c r="F21" i="4"/>
  <c r="G21" i="4"/>
  <c r="H21" i="4"/>
  <c r="I21" i="4"/>
  <c r="J21" i="4"/>
  <c r="K21" i="4"/>
  <c r="E21" i="4"/>
  <c r="F20" i="4"/>
  <c r="G20" i="4"/>
  <c r="H20" i="4"/>
  <c r="I20" i="4"/>
  <c r="J20" i="4"/>
  <c r="K20" i="4"/>
  <c r="E20" i="4"/>
  <c r="F18" i="4"/>
  <c r="G18" i="4"/>
  <c r="H18" i="4"/>
  <c r="I18" i="4"/>
  <c r="J18" i="4"/>
  <c r="K18" i="4"/>
  <c r="E18" i="4"/>
  <c r="F19" i="4"/>
  <c r="G19" i="4"/>
  <c r="H19" i="4"/>
  <c r="I19" i="4"/>
  <c r="J19" i="4"/>
  <c r="K19" i="4"/>
  <c r="F17" i="4"/>
  <c r="G17" i="4"/>
  <c r="H17" i="4"/>
  <c r="I17" i="4"/>
  <c r="J17" i="4"/>
  <c r="K17" i="4"/>
  <c r="E17" i="4"/>
  <c r="E19" i="4"/>
  <c r="F16" i="4"/>
  <c r="G16" i="4"/>
  <c r="H16" i="4"/>
  <c r="I16" i="4"/>
  <c r="J16" i="4"/>
  <c r="K16" i="4"/>
  <c r="E16" i="4"/>
  <c r="F13" i="4"/>
  <c r="G13" i="4"/>
  <c r="H13" i="4"/>
  <c r="I13" i="4"/>
  <c r="J13" i="4"/>
  <c r="K13" i="4"/>
  <c r="E13" i="4"/>
  <c r="F9" i="4"/>
  <c r="G9" i="4"/>
  <c r="H9" i="4"/>
  <c r="I9" i="4"/>
  <c r="J9" i="4"/>
  <c r="K9" i="4"/>
  <c r="E9" i="4"/>
  <c r="E6" i="4"/>
  <c r="F6" i="4"/>
  <c r="G6" i="4"/>
  <c r="H6" i="4"/>
  <c r="I6" i="4"/>
  <c r="J6" i="4"/>
  <c r="K6" i="4"/>
  <c r="D6" i="4"/>
  <c r="E7" i="4"/>
  <c r="F7" i="4"/>
  <c r="G7" i="4"/>
  <c r="H7" i="4"/>
  <c r="I7" i="4"/>
  <c r="J7" i="4"/>
  <c r="K7" i="4"/>
  <c r="D7" i="4"/>
  <c r="E5" i="4"/>
  <c r="F5" i="4"/>
  <c r="G5" i="4"/>
  <c r="H5" i="4"/>
  <c r="I5" i="4"/>
  <c r="J5" i="4"/>
  <c r="K5" i="4"/>
  <c r="D5" i="4"/>
  <c r="E4" i="4"/>
  <c r="F4" i="4"/>
  <c r="G4" i="4"/>
  <c r="H4" i="4"/>
  <c r="I4" i="4"/>
  <c r="J4" i="4"/>
  <c r="K4" i="4"/>
  <c r="D4" i="4"/>
  <c r="R53" i="2"/>
  <c r="R43" i="1"/>
  <c r="N9" i="5"/>
  <c r="E30" i="6"/>
  <c r="D40" i="7"/>
  <c r="H6" i="7"/>
  <c r="I37" i="2"/>
  <c r="K165" i="2"/>
  <c r="O9" i="5"/>
  <c r="J129" i="2"/>
  <c r="J165" i="2"/>
  <c r="I165" i="2"/>
  <c r="I129" i="2"/>
  <c r="P9" i="5"/>
  <c r="Q9" i="5"/>
  <c r="S9" i="5"/>
  <c r="R9" i="5"/>
  <c r="N153" i="2"/>
  <c r="O153" i="2"/>
  <c r="P153" i="2"/>
  <c r="Q153" i="2"/>
  <c r="M153" i="2"/>
  <c r="M94" i="2"/>
  <c r="N94" i="2"/>
  <c r="O94" i="2"/>
  <c r="P94" i="2"/>
  <c r="Q94" i="2"/>
  <c r="Q93" i="2"/>
  <c r="P93" i="2"/>
  <c r="O93" i="2"/>
  <c r="N93" i="2"/>
  <c r="M93" i="2"/>
  <c r="J6" i="7"/>
  <c r="D10" i="19"/>
  <c r="L43" i="1"/>
  <c r="L10" i="1"/>
  <c r="L12" i="1"/>
  <c r="L13" i="1"/>
  <c r="L14" i="1"/>
  <c r="L16" i="1"/>
  <c r="C3" i="8"/>
  <c r="L16" i="2"/>
  <c r="C14" i="8"/>
  <c r="L21" i="2"/>
  <c r="C19" i="8"/>
  <c r="L27" i="2"/>
  <c r="C25" i="8"/>
  <c r="L87" i="2"/>
  <c r="L92" i="2"/>
  <c r="L88" i="2"/>
  <c r="C40" i="8"/>
  <c r="C43" i="8"/>
  <c r="C50" i="8"/>
  <c r="D17" i="7"/>
  <c r="D41" i="7"/>
  <c r="D42" i="7"/>
  <c r="D18" i="7"/>
  <c r="E10" i="19"/>
  <c r="M43" i="1"/>
  <c r="M10" i="1"/>
  <c r="M12" i="1"/>
  <c r="M13" i="1"/>
  <c r="M14" i="1"/>
  <c r="M16" i="1"/>
  <c r="D3" i="8"/>
  <c r="M16" i="2"/>
  <c r="D14" i="8"/>
  <c r="M21" i="2"/>
  <c r="D19" i="8"/>
  <c r="M27" i="2"/>
  <c r="D25" i="8"/>
  <c r="M87" i="2"/>
  <c r="M92" i="2"/>
  <c r="M88" i="2"/>
  <c r="D40" i="8"/>
  <c r="D43" i="8"/>
  <c r="D50" i="8"/>
  <c r="E17" i="7"/>
  <c r="E18" i="7"/>
  <c r="F10" i="19"/>
  <c r="N43" i="1"/>
  <c r="N10" i="1"/>
  <c r="N12" i="1"/>
  <c r="N13" i="1"/>
  <c r="N14" i="1"/>
  <c r="N16" i="1"/>
  <c r="E3" i="8"/>
  <c r="N16" i="2"/>
  <c r="E14" i="8"/>
  <c r="N21" i="2"/>
  <c r="E19" i="8"/>
  <c r="N27" i="2"/>
  <c r="E25" i="8"/>
  <c r="N87" i="2"/>
  <c r="N92" i="2"/>
  <c r="N88" i="2"/>
  <c r="E40" i="8"/>
  <c r="E43" i="8"/>
  <c r="E50" i="8"/>
  <c r="F17" i="7"/>
  <c r="F18" i="7"/>
  <c r="G10" i="19"/>
  <c r="O43" i="1"/>
  <c r="O10" i="1"/>
  <c r="O12" i="1"/>
  <c r="O13" i="1"/>
  <c r="O14" i="1"/>
  <c r="O16" i="1"/>
  <c r="F3" i="8"/>
  <c r="O16" i="2"/>
  <c r="F14" i="8"/>
  <c r="O21" i="2"/>
  <c r="F19" i="8"/>
  <c r="O27" i="2"/>
  <c r="F25" i="8"/>
  <c r="O87" i="2"/>
  <c r="O92" i="2"/>
  <c r="O88" i="2"/>
  <c r="F40" i="8"/>
  <c r="F43" i="8"/>
  <c r="F50" i="8"/>
  <c r="G17" i="7"/>
  <c r="G18" i="7"/>
  <c r="P43" i="1"/>
  <c r="P10" i="1"/>
  <c r="P12" i="1"/>
  <c r="P13" i="1"/>
  <c r="P14" i="1"/>
  <c r="P16" i="1"/>
  <c r="G3" i="8"/>
  <c r="P16" i="2"/>
  <c r="G14" i="8"/>
  <c r="P21" i="2"/>
  <c r="G19" i="8"/>
  <c r="P27" i="2"/>
  <c r="G25" i="8"/>
  <c r="P87" i="2"/>
  <c r="P92" i="2"/>
  <c r="P88" i="2"/>
  <c r="G40" i="8"/>
  <c r="G43" i="8"/>
  <c r="G50" i="8"/>
  <c r="H17" i="7"/>
  <c r="H18" i="7"/>
  <c r="J10" i="19"/>
  <c r="Q43" i="1"/>
  <c r="Q10" i="1"/>
  <c r="Q12" i="1"/>
  <c r="Q13" i="1"/>
  <c r="Q14" i="1"/>
  <c r="Q16" i="1"/>
  <c r="H3" i="8"/>
  <c r="Q16" i="2"/>
  <c r="H14" i="8"/>
  <c r="Q21" i="2"/>
  <c r="H19" i="8"/>
  <c r="Q27" i="2"/>
  <c r="H25" i="8"/>
  <c r="Q87" i="2"/>
  <c r="Q92" i="2"/>
  <c r="Q88" i="2"/>
  <c r="H40" i="8"/>
  <c r="H43" i="8"/>
  <c r="H50" i="8"/>
  <c r="I17" i="7"/>
  <c r="I18" i="7"/>
  <c r="C22" i="7"/>
  <c r="C23" i="7"/>
  <c r="C24" i="7"/>
  <c r="C25" i="7"/>
  <c r="C27" i="7"/>
  <c r="E41" i="7"/>
  <c r="E42" i="7"/>
  <c r="F41" i="7"/>
  <c r="F42" i="7"/>
  <c r="G41" i="7"/>
  <c r="G42" i="7"/>
  <c r="H41" i="7"/>
  <c r="H42" i="7"/>
  <c r="I41" i="7"/>
  <c r="I42" i="7"/>
  <c r="C44" i="7"/>
  <c r="C45" i="7"/>
  <c r="C46" i="7"/>
  <c r="C47" i="7"/>
  <c r="C49" i="7"/>
  <c r="C46" i="8"/>
  <c r="D45" i="8"/>
  <c r="D46" i="8"/>
  <c r="E45" i="8"/>
  <c r="E46" i="8"/>
  <c r="F45" i="8"/>
  <c r="F46" i="8"/>
  <c r="G45" i="8"/>
  <c r="G46" i="8"/>
  <c r="P5" i="2"/>
  <c r="P9" i="2"/>
  <c r="P17" i="2"/>
  <c r="O5" i="2"/>
  <c r="O9" i="2"/>
  <c r="O17" i="2"/>
  <c r="P145" i="2"/>
  <c r="P24" i="2"/>
  <c r="P28" i="2"/>
  <c r="L90" i="2"/>
  <c r="M86" i="2"/>
  <c r="M90" i="2"/>
  <c r="N86" i="2"/>
  <c r="N90" i="2"/>
  <c r="O86" i="2"/>
  <c r="O90" i="2"/>
  <c r="P86" i="2"/>
  <c r="P90" i="2"/>
  <c r="P34" i="2"/>
  <c r="P37" i="2"/>
  <c r="P39" i="2"/>
  <c r="P40" i="2"/>
  <c r="G48" i="8"/>
  <c r="H45" i="8"/>
  <c r="H46" i="8"/>
  <c r="Q5" i="2"/>
  <c r="Q9" i="2"/>
  <c r="Q17" i="2"/>
  <c r="Q145" i="2"/>
  <c r="Q24" i="2"/>
  <c r="Q28" i="2"/>
  <c r="Q86" i="2"/>
  <c r="Q90" i="2"/>
  <c r="Q34" i="2"/>
  <c r="Q37" i="2"/>
  <c r="Q39" i="2"/>
  <c r="Q40" i="2"/>
  <c r="H48" i="8"/>
  <c r="O24" i="2"/>
  <c r="O28" i="2"/>
  <c r="O34" i="2"/>
  <c r="O37" i="2"/>
  <c r="O39" i="2"/>
  <c r="O40" i="2"/>
  <c r="F48" i="8"/>
  <c r="N5" i="2"/>
  <c r="N9" i="2"/>
  <c r="N17" i="2"/>
  <c r="O145" i="2"/>
  <c r="Q139" i="2"/>
  <c r="P139" i="2"/>
  <c r="M5" i="2"/>
  <c r="M9" i="2"/>
  <c r="M17" i="2"/>
  <c r="N145" i="2"/>
  <c r="N24" i="2"/>
  <c r="N28" i="2"/>
  <c r="N34" i="2"/>
  <c r="N37" i="2"/>
  <c r="N39" i="2"/>
  <c r="N40" i="2"/>
  <c r="E48" i="8"/>
  <c r="P135" i="2"/>
  <c r="Q135" i="2"/>
  <c r="O139" i="2"/>
  <c r="M24" i="2"/>
  <c r="M28" i="2"/>
  <c r="M34" i="2"/>
  <c r="M37" i="2"/>
  <c r="M39" i="2"/>
  <c r="M40" i="2"/>
  <c r="D48" i="8"/>
  <c r="L5" i="2"/>
  <c r="L9" i="2"/>
  <c r="L17" i="2"/>
  <c r="M145" i="2"/>
  <c r="N139" i="2"/>
  <c r="O135" i="2"/>
  <c r="M139" i="2"/>
  <c r="N135" i="2"/>
  <c r="M135" i="2"/>
  <c r="P156" i="2"/>
  <c r="L24" i="2"/>
  <c r="L28" i="2"/>
  <c r="L34" i="2"/>
  <c r="L37" i="2"/>
  <c r="L39" i="2"/>
  <c r="L40" i="2"/>
  <c r="C48" i="8"/>
  <c r="Q152" i="2"/>
  <c r="Q156" i="2"/>
  <c r="N156" i="2"/>
  <c r="O156" i="2"/>
  <c r="P152" i="2"/>
  <c r="Q144" i="2"/>
  <c r="Q149" i="2"/>
  <c r="M152" i="2"/>
  <c r="M156" i="2"/>
  <c r="N152" i="2"/>
  <c r="O152" i="2"/>
  <c r="O144" i="2"/>
  <c r="P144" i="2"/>
  <c r="O149" i="2"/>
  <c r="P149" i="2"/>
  <c r="P155" i="2"/>
  <c r="Q155" i="2"/>
  <c r="M144" i="2"/>
  <c r="M149" i="2"/>
  <c r="N144" i="2"/>
  <c r="N155" i="2"/>
  <c r="O155" i="2"/>
  <c r="N149" i="2"/>
  <c r="M155" i="2"/>
  <c r="M61" i="1"/>
  <c r="M63" i="1"/>
  <c r="M64" i="1"/>
  <c r="M65" i="1"/>
  <c r="M67" i="1"/>
  <c r="Q67" i="1"/>
  <c r="P67" i="1"/>
  <c r="O67" i="1"/>
  <c r="N67" i="1"/>
  <c r="Q65" i="1"/>
  <c r="P65" i="1"/>
  <c r="O65" i="1"/>
  <c r="N65" i="1"/>
  <c r="Q64" i="1"/>
  <c r="P64" i="1"/>
  <c r="O64" i="1"/>
  <c r="N64" i="1"/>
  <c r="Q63" i="1"/>
  <c r="P63" i="1"/>
  <c r="O63" i="1"/>
  <c r="N63" i="1"/>
  <c r="Q61" i="1"/>
  <c r="P61" i="1"/>
  <c r="O61" i="1"/>
  <c r="N61" i="1"/>
  <c r="L65" i="1"/>
  <c r="L64" i="1"/>
  <c r="L63" i="1"/>
  <c r="L61" i="1"/>
  <c r="C9" i="7"/>
  <c r="D15" i="12"/>
  <c r="C10" i="7"/>
  <c r="D16" i="12"/>
  <c r="J9" i="7"/>
  <c r="D17" i="12"/>
  <c r="Q84" i="1"/>
  <c r="P84" i="1"/>
  <c r="O84" i="1"/>
  <c r="N84" i="1"/>
  <c r="M84" i="1"/>
  <c r="L84" i="1"/>
  <c r="Q82" i="1"/>
  <c r="P82" i="1"/>
  <c r="O82" i="1"/>
  <c r="N82" i="1"/>
  <c r="M82" i="1"/>
  <c r="L82" i="1"/>
  <c r="Q81" i="1"/>
  <c r="P81" i="1"/>
  <c r="O81" i="1"/>
  <c r="N81" i="1"/>
  <c r="M81" i="1"/>
  <c r="L81" i="1"/>
  <c r="Q80" i="1"/>
  <c r="P80" i="1"/>
  <c r="O80" i="1"/>
  <c r="N80" i="1"/>
  <c r="M80" i="1"/>
  <c r="L80" i="1"/>
  <c r="Q78" i="1"/>
  <c r="P78" i="1"/>
  <c r="O78" i="1"/>
  <c r="N78" i="1"/>
  <c r="M78" i="1"/>
  <c r="L78" i="1"/>
  <c r="L67" i="1"/>
  <c r="L135" i="2"/>
  <c r="L156" i="2"/>
  <c r="L155" i="2"/>
  <c r="L152" i="2"/>
  <c r="L149" i="2"/>
  <c r="L145" i="2"/>
  <c r="L144" i="2"/>
  <c r="L139" i="2"/>
  <c r="L99" i="2"/>
  <c r="L100" i="2"/>
  <c r="L101" i="2"/>
  <c r="L102" i="2"/>
  <c r="L103" i="2"/>
  <c r="L104" i="2"/>
  <c r="L105" i="2"/>
  <c r="L106" i="2"/>
  <c r="L107" i="2"/>
  <c r="L108" i="2"/>
  <c r="L109" i="2"/>
  <c r="L111" i="2"/>
  <c r="L112" i="2"/>
  <c r="L113" i="2"/>
  <c r="L114" i="2"/>
  <c r="L115" i="2"/>
  <c r="L116" i="2"/>
  <c r="L117" i="2"/>
  <c r="L118" i="2"/>
  <c r="L119" i="2"/>
  <c r="L120" i="2"/>
  <c r="L122" i="2"/>
  <c r="L123" i="2"/>
  <c r="L124" i="2"/>
  <c r="L125" i="2"/>
  <c r="L126" i="2"/>
  <c r="L127" i="2"/>
  <c r="L128" i="2"/>
  <c r="L129" i="2"/>
  <c r="L130" i="2"/>
  <c r="L131" i="2"/>
  <c r="L132" i="2"/>
  <c r="Q132" i="2"/>
  <c r="P132" i="2"/>
  <c r="O132" i="2"/>
  <c r="N132" i="2"/>
  <c r="M132" i="2"/>
  <c r="Q131" i="2"/>
  <c r="P131" i="2"/>
  <c r="O131" i="2"/>
  <c r="N131" i="2"/>
  <c r="M131" i="2"/>
  <c r="Q130" i="2"/>
  <c r="P130" i="2"/>
  <c r="O130" i="2"/>
  <c r="N130" i="2"/>
  <c r="M130" i="2"/>
  <c r="Q129" i="2"/>
  <c r="P129" i="2"/>
  <c r="O129" i="2"/>
  <c r="N129" i="2"/>
  <c r="M129" i="2"/>
  <c r="Q128" i="2"/>
  <c r="P128" i="2"/>
  <c r="O128" i="2"/>
  <c r="N128" i="2"/>
  <c r="M128" i="2"/>
  <c r="Q127" i="2"/>
  <c r="P127" i="2"/>
  <c r="O127" i="2"/>
  <c r="N127" i="2"/>
  <c r="M127" i="2"/>
  <c r="Q126" i="2"/>
  <c r="P126" i="2"/>
  <c r="O126" i="2"/>
  <c r="N126" i="2"/>
  <c r="M126" i="2"/>
  <c r="Q125" i="2"/>
  <c r="P125" i="2"/>
  <c r="O125" i="2"/>
  <c r="N125" i="2"/>
  <c r="M125" i="2"/>
  <c r="Q124" i="2"/>
  <c r="P124" i="2"/>
  <c r="O124" i="2"/>
  <c r="N124" i="2"/>
  <c r="M124" i="2"/>
  <c r="Q123" i="2"/>
  <c r="P123" i="2"/>
  <c r="O123" i="2"/>
  <c r="N123" i="2"/>
  <c r="M123" i="2"/>
  <c r="Q122" i="2"/>
  <c r="P122" i="2"/>
  <c r="O122" i="2"/>
  <c r="N122" i="2"/>
  <c r="M122" i="2"/>
  <c r="Q120" i="2"/>
  <c r="P120" i="2"/>
  <c r="O120" i="2"/>
  <c r="N120" i="2"/>
  <c r="M120" i="2"/>
  <c r="Q119" i="2"/>
  <c r="P119" i="2"/>
  <c r="O119" i="2"/>
  <c r="N119" i="2"/>
  <c r="M119" i="2"/>
  <c r="Q118" i="2"/>
  <c r="P118" i="2"/>
  <c r="O118" i="2"/>
  <c r="N118" i="2"/>
  <c r="M118" i="2"/>
  <c r="Q117" i="2"/>
  <c r="P117" i="2"/>
  <c r="O117" i="2"/>
  <c r="N117" i="2"/>
  <c r="M117" i="2"/>
  <c r="Q116" i="2"/>
  <c r="P116" i="2"/>
  <c r="O116" i="2"/>
  <c r="N116" i="2"/>
  <c r="M116" i="2"/>
  <c r="Q115" i="2"/>
  <c r="P115" i="2"/>
  <c r="O115" i="2"/>
  <c r="N115" i="2"/>
  <c r="M115" i="2"/>
  <c r="Q114" i="2"/>
  <c r="P114" i="2"/>
  <c r="O114" i="2"/>
  <c r="N114" i="2"/>
  <c r="M114" i="2"/>
  <c r="Q113" i="2"/>
  <c r="P113" i="2"/>
  <c r="O113" i="2"/>
  <c r="N113" i="2"/>
  <c r="M113" i="2"/>
  <c r="Q112" i="2"/>
  <c r="P112" i="2"/>
  <c r="O112" i="2"/>
  <c r="N112" i="2"/>
  <c r="M112" i="2"/>
  <c r="Q111" i="2"/>
  <c r="P111" i="2"/>
  <c r="O111" i="2"/>
  <c r="N111" i="2"/>
  <c r="M111" i="2"/>
  <c r="Q109" i="2"/>
  <c r="P109" i="2"/>
  <c r="O109" i="2"/>
  <c r="N109" i="2"/>
  <c r="M109" i="2"/>
  <c r="Q108" i="2"/>
  <c r="P108" i="2"/>
  <c r="O108" i="2"/>
  <c r="N108" i="2"/>
  <c r="M108" i="2"/>
  <c r="Q107" i="2"/>
  <c r="P107" i="2"/>
  <c r="O107" i="2"/>
  <c r="N107" i="2"/>
  <c r="M107" i="2"/>
  <c r="Q106" i="2"/>
  <c r="P106" i="2"/>
  <c r="O106" i="2"/>
  <c r="N106" i="2"/>
  <c r="M106" i="2"/>
  <c r="Q105" i="2"/>
  <c r="P105" i="2"/>
  <c r="O105" i="2"/>
  <c r="N105" i="2"/>
  <c r="M105" i="2"/>
  <c r="Q104" i="2"/>
  <c r="P104" i="2"/>
  <c r="O104" i="2"/>
  <c r="N104" i="2"/>
  <c r="M104" i="2"/>
  <c r="Q103" i="2"/>
  <c r="P103" i="2"/>
  <c r="O103" i="2"/>
  <c r="N103" i="2"/>
  <c r="M103" i="2"/>
  <c r="Q102" i="2"/>
  <c r="P102" i="2"/>
  <c r="O102" i="2"/>
  <c r="N102" i="2"/>
  <c r="M102" i="2"/>
  <c r="Q101" i="2"/>
  <c r="P101" i="2"/>
  <c r="O101" i="2"/>
  <c r="N101" i="2"/>
  <c r="M101" i="2"/>
  <c r="Q100" i="2"/>
  <c r="P100" i="2"/>
  <c r="O100" i="2"/>
  <c r="N100" i="2"/>
  <c r="M100" i="2"/>
  <c r="Q99" i="2"/>
  <c r="P99" i="2"/>
  <c r="O99" i="2"/>
  <c r="N99" i="2"/>
  <c r="M99" i="2"/>
  <c r="L162" i="2"/>
  <c r="L165" i="2"/>
  <c r="L167" i="2"/>
  <c r="L168" i="2"/>
  <c r="Q168" i="2"/>
  <c r="P168" i="2"/>
  <c r="O168" i="2"/>
  <c r="N168" i="2"/>
  <c r="M168" i="2"/>
  <c r="Q167" i="2"/>
  <c r="P167" i="2"/>
  <c r="O167" i="2"/>
  <c r="N167" i="2"/>
  <c r="M167" i="2"/>
  <c r="Q165" i="2"/>
  <c r="P165" i="2"/>
  <c r="O165" i="2"/>
  <c r="N165" i="2"/>
  <c r="M165" i="2"/>
  <c r="Q162" i="2"/>
  <c r="P162" i="2"/>
  <c r="O162" i="2"/>
  <c r="N162" i="2"/>
  <c r="M162" i="2"/>
  <c r="J10" i="7"/>
  <c r="D18" i="12"/>
  <c r="D20"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tc={D0812D1C-16B1-924E-A1E0-55DE7A55B352}</author>
  </authors>
  <commentList>
    <comment ref="D3" authorId="0" shapeId="0" xr:uid="{D0812D1C-16B1-924E-A1E0-55DE7A55B352}">
      <text>
        <t xml:space="preserve">[Threaded comment]
Your version of Excel allows you to read this threaded comment; however, any edits to it will get removed if the file is opened in a newer version of Excel. Learn more: https://go.microsoft.com/fwlink/?linkid=870924
Comment:
    10yr interest rate for new bonds of hersheys from Refinitiv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tc={39BFB88F-D833-8A46-9161-ED644FEB7ED1}</author>
    <author>tc={D9A8E03B-7FFA-C248-B8AE-725BDE07E263}</author>
    <author>tc={045EF259-0F45-FC40-8A13-383FC195DDAC}</author>
    <author>tc={D54D6E79-121B-1C48-9143-0FB4F25E0183}</author>
  </authors>
  <commentList>
    <comment ref="I16" authorId="0" shapeId="0" xr:uid="{39BFB88F-D833-8A46-9161-ED644FEB7ED1}">
      <text>
        <t>[Threaded comment]
Your version of Excel allows you to read this threaded comment; however, any edits to it will get removed if the file is opened in a newer version of Excel. Learn more: https://go.microsoft.com/fwlink/?linkid=870924
Comment:
    due to an increase in everyday core U.S. confection brands
Could be a effect of covid</t>
      </text>
    </comment>
    <comment ref="M16" authorId="1" shapeId="0" xr:uid="{D9A8E03B-7FFA-C248-B8AE-725BDE07E263}">
      <text>
        <t>[Threaded comment]
Your version of Excel allows you to read this threaded comment; however, any edits to it will get removed if the file is opened in a newer version of Excel. Learn more: https://go.microsoft.com/fwlink/?linkid=870924
Comment:
    primarily driven by a decrease in everyday core U.S. confection as a result of accelerated shipments in the first quarter of 2024 in anticipation of our ERP system implementation, which was completed in the beginning of the second quarter of 2024.</t>
      </text>
    </comment>
    <comment ref="L25" authorId="2" shapeId="0" xr:uid="{045EF259-0F45-FC40-8A13-383FC195DDAC}">
      <text>
        <t xml:space="preserve">[Threaded comment]
Your version of Excel allows you to read this threaded comment; however, any edits to it will get removed if the file is opened in a newer version of Excel. Learn more: https://go.microsoft.com/fwlink/?linkid=870924
Comment:
    Due to promotions
</t>
      </text>
    </comment>
    <comment ref="J33" authorId="3" shapeId="0" xr:uid="{D54D6E79-121B-1C48-9143-0FB4F25E0183}">
      <text>
        <t xml:space="preserve">[Threaded comment]
Your version of Excel allows you to read this threaded comment; however, any edits to it will get removed if the file is opened in a newer version of Excel. Learn more: https://go.microsoft.com/fwlink/?linkid=870924
Comment:
    acquisitions of Dot’s and Pretzels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<sst xmlns="http://schemas.openxmlformats.org/spreadsheetml/2006/main" count="1210" uniqueCount="439">
  <si>
    <t>Net sales</t>
  </si>
  <si>
    <t>Cost of sales</t>
  </si>
  <si>
    <t>Gross profit</t>
  </si>
  <si>
    <t>Selling, marketing and administrative expense</t>
  </si>
  <si>
    <t>Business realignment costs</t>
  </si>
  <si>
    <t>Operating profit</t>
  </si>
  <si>
    <t>Interest expense, net</t>
  </si>
  <si>
    <t>Other (income) expense, net</t>
  </si>
  <si>
    <t>Income before income taxes</t>
  </si>
  <si>
    <t>Provision for income taxes</t>
  </si>
  <si>
    <t>Net income including noncontrolling interest</t>
  </si>
  <si>
    <t>Less: Net gain attributable to noncontrolling interest</t>
  </si>
  <si>
    <t>Net income attributable to The Hershey Company</t>
  </si>
  <si>
    <t>Common stock</t>
  </si>
  <si>
    <t>Net income per share—basic:</t>
  </si>
  <si>
    <t>Net income per share - basic (USD per share)</t>
  </si>
  <si>
    <t>Net income per share—diluted:</t>
  </si>
  <si>
    <t>Net income per share - diluted (USD per share)</t>
  </si>
  <si>
    <t>Dividends paid per share:</t>
  </si>
  <si>
    <t>Dividends paid per share (USD per share)</t>
  </si>
  <si>
    <t>Class B common stock</t>
  </si>
  <si>
    <t>Dec. 31, 2023</t>
  </si>
  <si>
    <t>Dec. 31, 2022</t>
  </si>
  <si>
    <t>Dec. 31, 2021</t>
  </si>
  <si>
    <t> </t>
  </si>
  <si>
    <t>Current assets:</t>
  </si>
  <si>
    <t>Cash and cash equivalents</t>
  </si>
  <si>
    <t>Accounts receivable—trade, net</t>
  </si>
  <si>
    <t>Inventories</t>
  </si>
  <si>
    <t>Prepaid expenses and other</t>
  </si>
  <si>
    <t>Total current assets</t>
  </si>
  <si>
    <t>Property, plant and equipment, net</t>
  </si>
  <si>
    <t>Goodwill</t>
  </si>
  <si>
    <t>Other intangibles</t>
  </si>
  <si>
    <t>Other non-current assets</t>
  </si>
  <si>
    <t>Deferred income taxes</t>
  </si>
  <si>
    <t>Total assets</t>
  </si>
  <si>
    <t>Current liabilities:</t>
  </si>
  <si>
    <t>Accounts payable</t>
  </si>
  <si>
    <t>Accrued liabilities</t>
  </si>
  <si>
    <t>Accrued income taxes</t>
  </si>
  <si>
    <t>Short-term debt</t>
  </si>
  <si>
    <t>Current portion of long-term debt</t>
  </si>
  <si>
    <t>Total current liabilities</t>
  </si>
  <si>
    <t>Long-term debt</t>
  </si>
  <si>
    <t>Other long-term liabilities</t>
  </si>
  <si>
    <t>Total liabilities</t>
  </si>
  <si>
    <t>Stockholders’ equity:</t>
  </si>
  <si>
    <t>Preferred stock, shares issued: none in 2023 and 2022</t>
  </si>
  <si>
    <t>Additional paid-in capital</t>
  </si>
  <si>
    <t>Retained earnings</t>
  </si>
  <si>
    <t>Treasury—common stock shares, at cost: 17,160,099 in 2023 and 16,588,308 in 2022</t>
  </si>
  <si>
    <t>Accumulated other comprehensive loss</t>
  </si>
  <si>
    <t>Total stockholders’ equity</t>
  </si>
  <si>
    <t>Total liabilities and stockholders’ equity</t>
  </si>
  <si>
    <t>Dec. 31, 2020</t>
  </si>
  <si>
    <t>Dec. 31, 2019</t>
  </si>
  <si>
    <t>Long-lived and intangible asset impairment charges</t>
  </si>
  <si>
    <t>Total—The Hershey Company stockholders’ equity</t>
  </si>
  <si>
    <t>Noncontrolling interest in subsidiary</t>
  </si>
  <si>
    <t>Dec. 31, 2018</t>
  </si>
  <si>
    <t>Dec. 31, 2017</t>
  </si>
  <si>
    <t>Dec. 31, 2016</t>
  </si>
  <si>
    <t>For the years ended December 31,</t>
  </si>
  <si>
    <t>Net Sales:</t>
  </si>
  <si>
    <t>North America Confectionery</t>
  </si>
  <si>
    <t>North America Salty Snacks</t>
  </si>
  <si>
    <t>International</t>
  </si>
  <si>
    <t>Total</t>
  </si>
  <si>
    <t>Cash Flows</t>
  </si>
  <si>
    <t>Formula</t>
  </si>
  <si>
    <t>Profitability</t>
  </si>
  <si>
    <t>Gross margin</t>
  </si>
  <si>
    <t>gross profit/sales</t>
  </si>
  <si>
    <t>EBIT/sales or EBT/sales</t>
  </si>
  <si>
    <t>EBITDA margin</t>
  </si>
  <si>
    <t>EBITDA / sales</t>
  </si>
  <si>
    <t>Net profit margin</t>
  </si>
  <si>
    <t>Net income/sales</t>
  </si>
  <si>
    <t>ROA</t>
  </si>
  <si>
    <t>(Net profit margin for ROA)(asset turnover) which is also [EBIT(1-t)/assets]</t>
  </si>
  <si>
    <t>ROE</t>
  </si>
  <si>
    <t>Net income/equity</t>
  </si>
  <si>
    <t>Liquidity</t>
  </si>
  <si>
    <t>Current Ratio</t>
  </si>
  <si>
    <t>Current assets/current liabilities</t>
  </si>
  <si>
    <t>Quick Ratio</t>
  </si>
  <si>
    <t>(Cash + marketable securities)/current liabilities</t>
  </si>
  <si>
    <t>Financial leverage</t>
  </si>
  <si>
    <t>Capital Structure Leverage</t>
  </si>
  <si>
    <t>assets/common equity</t>
  </si>
  <si>
    <t>Total debt to Equity</t>
  </si>
  <si>
    <t>TD/equity</t>
  </si>
  <si>
    <t>Long-term debt ratio</t>
  </si>
  <si>
    <t>(Long-term debt)/(Long-term debt + equity)</t>
  </si>
  <si>
    <t>Liabilities to Equity</t>
  </si>
  <si>
    <t>Total liabilities/equity</t>
  </si>
  <si>
    <t>Total debt to total capital</t>
  </si>
  <si>
    <t>Total debt/(total debt + equity)</t>
  </si>
  <si>
    <t>Working capital to total capital</t>
  </si>
  <si>
    <t>(Current assets - current liabilities) / (total debt + equity)</t>
  </si>
  <si>
    <t>Coverage</t>
  </si>
  <si>
    <t>Operating cash flow to total liabilities</t>
  </si>
  <si>
    <t>Ops CF/total liabilities</t>
  </si>
  <si>
    <t>Operating cash flow to total debt</t>
  </si>
  <si>
    <t>Ops CF/total debt</t>
  </si>
  <si>
    <t>Operating cash flow to capital expenditures</t>
  </si>
  <si>
    <t>Ops CF/capex</t>
  </si>
  <si>
    <t>Interest coverage</t>
  </si>
  <si>
    <t>EBIT/interest or EBITDA/interest</t>
  </si>
  <si>
    <t>Operating Leverage</t>
  </si>
  <si>
    <t>(% change in operating profit)/(% change in sales)</t>
  </si>
  <si>
    <t>Efficiency/Activity</t>
  </si>
  <si>
    <t>Asset turnover</t>
  </si>
  <si>
    <t>Sales/assets</t>
  </si>
  <si>
    <t>Receivables turnover</t>
  </si>
  <si>
    <t>Sales/AR</t>
  </si>
  <si>
    <t>Inventory turnover</t>
  </si>
  <si>
    <t>COGS/inventory</t>
  </si>
  <si>
    <t>Days sales outstanding</t>
  </si>
  <si>
    <t>=365/receivables turnover</t>
  </si>
  <si>
    <t>Days inventory on hand</t>
  </si>
  <si>
    <t>=365/inventory turnover</t>
  </si>
  <si>
    <t>EBT margin</t>
  </si>
  <si>
    <t>Payables turnover</t>
  </si>
  <si>
    <t>Tax Rate</t>
  </si>
  <si>
    <t>Percent Change Income Statement</t>
  </si>
  <si>
    <t xml:space="preserve"> </t>
  </si>
  <si>
    <t>Net Income</t>
  </si>
  <si>
    <t>Dividends</t>
  </si>
  <si>
    <t>Repurchase</t>
  </si>
  <si>
    <t>Change in Cash</t>
  </si>
  <si>
    <t>Beginning Cash</t>
  </si>
  <si>
    <t>Ending Cash</t>
  </si>
  <si>
    <t>Balance Check</t>
  </si>
  <si>
    <t>FCFE</t>
  </si>
  <si>
    <t>CONSOLIDATED STATEMENTS OF CASH FLOWS - USD ($) $ in Thousands</t>
  </si>
  <si>
    <t>12 Months Ended</t>
  </si>
  <si>
    <t>Operating Activities</t>
  </si>
  <si>
    <t>Adjustments to reconcile net income to net cash provided by operating activities:</t>
  </si>
  <si>
    <t>Depreciation and amortization</t>
  </si>
  <si>
    <t>Stock-based compensation expense</t>
  </si>
  <si>
    <t>Write-down of equity investments</t>
  </si>
  <si>
    <t>Other</t>
  </si>
  <si>
    <t>Changes in assets and liabilities, net of business acquisitions and divestitures:</t>
  </si>
  <si>
    <t>Prepaid expenses and other current assets</t>
  </si>
  <si>
    <t>Accounts payable and accrued liabilities</t>
  </si>
  <si>
    <t>Contributions to pension and other benefit plans</t>
  </si>
  <si>
    <t>Other assets and liabilities</t>
  </si>
  <si>
    <t>Net cash provided by operating activities</t>
  </si>
  <si>
    <t>Investing Activities</t>
  </si>
  <si>
    <t>Capital additions (including software)</t>
  </si>
  <si>
    <t>Equity investments in tax credit qualifying partnerships</t>
  </si>
  <si>
    <t>Business acquisitions, net of cash and cash equivalents acquired</t>
  </si>
  <si>
    <t>Other investing activities</t>
  </si>
  <si>
    <t>Net cash used in investing activities</t>
  </si>
  <si>
    <t>Financing Activities</t>
  </si>
  <si>
    <t>Net increase (decrease) in short-term debt</t>
  </si>
  <si>
    <t>Long-term borrowings, net of debt issuance costs</t>
  </si>
  <si>
    <t>Repayment of long-term debt and finance leases</t>
  </si>
  <si>
    <t>Cash dividends paid</t>
  </si>
  <si>
    <t>Repurchase of common stock</t>
  </si>
  <si>
    <t>Exercise of stock options</t>
  </si>
  <si>
    <t>Payment, Tax Withholding, Share-Based Payment Arrangement</t>
  </si>
  <si>
    <t>Net cash used in financing activities</t>
  </si>
  <si>
    <t>Effect of exchange rate changes on cash and cash equivalents</t>
  </si>
  <si>
    <t>(Decrease) increase in cash and cash equivalents, including cash classified as held for sale</t>
  </si>
  <si>
    <t>Less: Decrease in cash and cash equivalents classified as held for sale</t>
  </si>
  <si>
    <t>Net (decrease) increase in cash and cash equivalents</t>
  </si>
  <si>
    <t>Cash and cash equivalents, beginning of period</t>
  </si>
  <si>
    <t>Cash and cash equivalents, end of period</t>
  </si>
  <si>
    <t>Supplemental Disclosure</t>
  </si>
  <si>
    <t>Interest paid</t>
  </si>
  <si>
    <t>Income taxes paid</t>
  </si>
  <si>
    <t>Impairment of long-lived and intangible assets (see Note 6)</t>
  </si>
  <si>
    <t>Repayment of tax receivable obligation</t>
  </si>
  <si>
    <t>Proceeds from sales of property, plant and equipment and other long-lived assets</t>
  </si>
  <si>
    <t>Proceeds from sales of businesses, net of cash and cash equivalents divested</t>
  </si>
  <si>
    <t>Jun. 30, 2024</t>
  </si>
  <si>
    <t>Price Increase</t>
  </si>
  <si>
    <t>Volume Increase</t>
  </si>
  <si>
    <t>Acquisition</t>
  </si>
  <si>
    <t>Net Growth</t>
  </si>
  <si>
    <t>Net</t>
  </si>
  <si>
    <t>2024E</t>
  </si>
  <si>
    <t>2025E</t>
  </si>
  <si>
    <t>Foreign currency exchange rates</t>
  </si>
  <si>
    <t>NORTH AMERICA SALTY SNACKS WAS NOT SEGMENTED SEPRATELY BEFORE 2021</t>
  </si>
  <si>
    <t>USD</t>
  </si>
  <si>
    <t>COMPARABLE COMPANY ANALYSIS</t>
  </si>
  <si>
    <t>COMPANY DATA</t>
  </si>
  <si>
    <t>(in millions)</t>
  </si>
  <si>
    <t>Recent</t>
  </si>
  <si>
    <t>52 week</t>
  </si>
  <si>
    <t>Shares</t>
  </si>
  <si>
    <t>Market</t>
  </si>
  <si>
    <t>Enterprise</t>
  </si>
  <si>
    <t>Book</t>
  </si>
  <si>
    <t>WS 12-mo</t>
  </si>
  <si>
    <t>Company Name</t>
  </si>
  <si>
    <t>Ticker</t>
  </si>
  <si>
    <t>Price</t>
  </si>
  <si>
    <t>High</t>
  </si>
  <si>
    <t>Out</t>
  </si>
  <si>
    <t>Cap</t>
  </si>
  <si>
    <t>Debt</t>
  </si>
  <si>
    <t>Cash</t>
  </si>
  <si>
    <t>Value</t>
  </si>
  <si>
    <t>Beta</t>
  </si>
  <si>
    <t>Price Target</t>
  </si>
  <si>
    <t>I/B/E/S  ESTIMATES</t>
  </si>
  <si>
    <t>SALES</t>
  </si>
  <si>
    <t>EPS</t>
  </si>
  <si>
    <t>EBIT</t>
  </si>
  <si>
    <t>EBITDA</t>
  </si>
  <si>
    <t>EPS 5-yr</t>
  </si>
  <si>
    <t>Last FY</t>
  </si>
  <si>
    <t>FYR1</t>
  </si>
  <si>
    <t>FYR2</t>
  </si>
  <si>
    <t>FYR3</t>
  </si>
  <si>
    <t>Growth %</t>
  </si>
  <si>
    <t>VALUATION MULTIPLES</t>
  </si>
  <si>
    <t xml:space="preserve">Price / </t>
  </si>
  <si>
    <t>Price/Sales</t>
  </si>
  <si>
    <t>P/E</t>
  </si>
  <si>
    <t>PEG</t>
  </si>
  <si>
    <t>EV/EBITDA</t>
  </si>
  <si>
    <t>Average</t>
  </si>
  <si>
    <t>Median</t>
  </si>
  <si>
    <t>ws.OperatingProfitMargin[ws.cpa]</t>
  </si>
  <si>
    <t>ws.AssetTurnover[ws.cpa]</t>
  </si>
  <si>
    <t>ws.InventoryTurnover[ws.cpa]</t>
  </si>
  <si>
    <t>ws.ReceivablesTurnover[ws.cpa]</t>
  </si>
  <si>
    <t>ws.TotalDebtPctCommonEquity[ws.cpa]</t>
  </si>
  <si>
    <t>ws.LTDebtPctCommonEquity[ws.cpa]</t>
  </si>
  <si>
    <t>ws.LTDebtPctTotalCapital[ws.cpa]</t>
  </si>
  <si>
    <t>ws.QuickRatio[ws.cpa]</t>
  </si>
  <si>
    <t>ws.CurrentRatio[ws.cpa]</t>
  </si>
  <si>
    <t>RATIO ANALYSIS</t>
  </si>
  <si>
    <t>Gross</t>
  </si>
  <si>
    <t>Operating</t>
  </si>
  <si>
    <t>Asset</t>
  </si>
  <si>
    <t>Inventory</t>
  </si>
  <si>
    <t>Receivables</t>
  </si>
  <si>
    <t>Quick</t>
  </si>
  <si>
    <t>Current</t>
  </si>
  <si>
    <t>Interest</t>
  </si>
  <si>
    <t>Margin</t>
  </si>
  <si>
    <t>Turnvover</t>
  </si>
  <si>
    <t>Debt/E</t>
  </si>
  <si>
    <t>LTD/TC</t>
  </si>
  <si>
    <t>Ratio</t>
  </si>
  <si>
    <t>HSY</t>
  </si>
  <si>
    <t>Company Name:</t>
  </si>
  <si>
    <t>Company Ticker:</t>
  </si>
  <si>
    <t>Cost of Equity</t>
  </si>
  <si>
    <t>S&amp;P 500 Data</t>
  </si>
  <si>
    <t>Source</t>
  </si>
  <si>
    <t>S&amp;P500 Forward P/E</t>
  </si>
  <si>
    <t>WSJ</t>
  </si>
  <si>
    <t>Yahoo!Finance</t>
  </si>
  <si>
    <t>https://www.cnbc.com/quotes/US10Y</t>
  </si>
  <si>
    <t>Calculation</t>
  </si>
  <si>
    <t>Forward Beta Calculation:</t>
  </si>
  <si>
    <t>Current Price (P)</t>
  </si>
  <si>
    <t>Forward EPS (E)</t>
  </si>
  <si>
    <t>Forward P/E Ratio</t>
  </si>
  <si>
    <t>Projected EPS growth rate (g)</t>
  </si>
  <si>
    <t>Yahoo!Finance (Next 5 Years (per annum))</t>
  </si>
  <si>
    <t>Implied required return on equity (Re)</t>
  </si>
  <si>
    <t>Forward (Bf)</t>
  </si>
  <si>
    <t>Historic (Bh)</t>
  </si>
  <si>
    <t>Cost of Equity:</t>
  </si>
  <si>
    <t>Historic equity risk premium</t>
  </si>
  <si>
    <t>Damodaran/Mayer Fund</t>
  </si>
  <si>
    <t>Using Forward Beta</t>
  </si>
  <si>
    <t>Using Historic Beta</t>
  </si>
  <si>
    <t>Weighted-Average Beta</t>
  </si>
  <si>
    <t>Weighted COE</t>
  </si>
  <si>
    <t>Market COE (beta = 1)</t>
  </si>
  <si>
    <t>Hersheys</t>
  </si>
  <si>
    <t>Today</t>
  </si>
  <si>
    <t>One year</t>
  </si>
  <si>
    <t>Two year</t>
  </si>
  <si>
    <t>Actual Price:</t>
  </si>
  <si>
    <t>Price Appreciation</t>
  </si>
  <si>
    <t>Model Valuation:</t>
  </si>
  <si>
    <t>Model 12 Month Price Target:</t>
  </si>
  <si>
    <t>Price Appreciation (12 month)</t>
  </si>
  <si>
    <t>Model Current Valuation with Sensitivity of Ke</t>
  </si>
  <si>
    <t>Time period (years)</t>
  </si>
  <si>
    <t>Nominal FCFE:</t>
  </si>
  <si>
    <t>PV FCFE:</t>
  </si>
  <si>
    <t>Terminal Growth Rate</t>
  </si>
  <si>
    <t>Terminal Value in 2030</t>
  </si>
  <si>
    <t>PV of Terminal Value</t>
  </si>
  <si>
    <t>Total PV:</t>
  </si>
  <si>
    <t>Valuation per Share ($):</t>
  </si>
  <si>
    <t>Cost Of Equity Ke</t>
  </si>
  <si>
    <t>Model 12 Month Price Target with Sensitivity of Ke</t>
  </si>
  <si>
    <t>Time period</t>
  </si>
  <si>
    <t>Share count</t>
  </si>
  <si>
    <t/>
  </si>
  <si>
    <t>MDLZ.O</t>
  </si>
  <si>
    <t>Number of Shares</t>
  </si>
  <si>
    <t>2024 Half</t>
  </si>
  <si>
    <t>6months (y-o-y)</t>
  </si>
  <si>
    <t>2026E</t>
  </si>
  <si>
    <t>2027E</t>
  </si>
  <si>
    <t>2028E</t>
  </si>
  <si>
    <t>2029E</t>
  </si>
  <si>
    <t>Historically didn't have too high growth, the inflation caused high price increase expected to trend lower</t>
  </si>
  <si>
    <t>2024 Q2</t>
  </si>
  <si>
    <t>3months yoy</t>
  </si>
  <si>
    <t>The volume has been decreasing due to high inflation and rising costs but with the rate cuts expected to get back to historic average of 0.9%</t>
  </si>
  <si>
    <t>Assumed 0 due to unpredictability</t>
  </si>
  <si>
    <t xml:space="preserve">Assumed 0  </t>
  </si>
  <si>
    <t>Has had recent promotions. Historic increase quite larger than confectionery. Trended it to inflation level</t>
  </si>
  <si>
    <t>Has historically high growth but seems to be slowing down</t>
  </si>
  <si>
    <t>Assumed 0</t>
  </si>
  <si>
    <t>2024 6 months</t>
  </si>
  <si>
    <t>Revenue Growth</t>
  </si>
  <si>
    <t>No clear trend but has been around 54 to 57</t>
  </si>
  <si>
    <t>Downwards trend</t>
  </si>
  <si>
    <t>Needs realignment often, used the latest value</t>
  </si>
  <si>
    <t>overall downwards trend(except last 2 yr) + rate cut so took the lower average value</t>
  </si>
  <si>
    <t>Trend</t>
  </si>
  <si>
    <t>ASSUMPTIONS</t>
  </si>
  <si>
    <t>Common stock issued</t>
  </si>
  <si>
    <t>Class B common stock issued</t>
  </si>
  <si>
    <t>constant</t>
  </si>
  <si>
    <t>Retained Earnings Schedule:</t>
  </si>
  <si>
    <t>Beginning RE</t>
  </si>
  <si>
    <t>+ Net Income</t>
  </si>
  <si>
    <t>- Cash dividend</t>
  </si>
  <si>
    <t>- Repurchases</t>
  </si>
  <si>
    <t>= Ending Retained Earnings</t>
  </si>
  <si>
    <t>Dividend</t>
  </si>
  <si>
    <t>Avg. repurchase price</t>
  </si>
  <si>
    <t>Payout Ratio</t>
  </si>
  <si>
    <t>No clear trend</t>
  </si>
  <si>
    <t>Upwards trend</t>
  </si>
  <si>
    <t>Upwards Trend, but acc payables and inventories not increasing</t>
  </si>
  <si>
    <t>Downwards Trend</t>
  </si>
  <si>
    <t>No of Shares repurchased</t>
  </si>
  <si>
    <t>Up then down</t>
  </si>
  <si>
    <t>from sec</t>
  </si>
  <si>
    <t>Assumptions</t>
  </si>
  <si>
    <t>Some Extra Information</t>
  </si>
  <si>
    <t>Net Levarage</t>
  </si>
  <si>
    <t>Deffered TAX breakdown</t>
  </si>
  <si>
    <t>Debt/Operating Profit</t>
  </si>
  <si>
    <t xml:space="preserve">They seem to approve $500mil share repurchases every 2-3 years.[2018,2021,2023] According to current approvals $470 is planned </t>
  </si>
  <si>
    <t>Shares today</t>
  </si>
  <si>
    <t>common</t>
  </si>
  <si>
    <t>Classs B</t>
  </si>
  <si>
    <t>Grown at Ke</t>
  </si>
  <si>
    <r>
      <t>Capital spending</t>
    </r>
    <r>
      <rPr>
        <sz val="11"/>
        <color rgb="FF000000"/>
        <rFont val="Times New Roman"/>
        <family val="1"/>
      </rPr>
      <t>. Capital expenditures, including capitalized software, primarily to support our ERP system implementation, capacity expansion, innovation and cost savings, were $771.1 million in 2023, $519.5 million in 2022 and $495.9 million in 2021. For each of the years presented, our expenditures increased due to progress on capacity expansion projects and our ERP system implementation. We expect 2024 capital expenditures, including capitalized software, to approximate $600 million to $650 million. The decrease in our 2024 capital expenditures is largely driven by the wind down of our key strategic initiatives, including completion of the upgrade of a new ERP system across the enterprise in 2024. We intend to use our existing cash and internally generated funds to meet our 2024 capital requirements.</t>
    </r>
  </si>
  <si>
    <r>
      <t>(</t>
    </r>
    <r>
      <rPr>
        <sz val="10"/>
        <color rgb="FF0000FF"/>
        <rFont val="Times New Roman"/>
        <family val="1"/>
      </rPr>
      <t>Blue = input</t>
    </r>
    <r>
      <rPr>
        <sz val="10"/>
        <rFont val="Times New Roman"/>
        <family val="1"/>
      </rPr>
      <t>, Black = calculation)</t>
    </r>
  </si>
  <si>
    <r>
      <t xml:space="preserve">Projected EPS growth rate (g </t>
    </r>
    <r>
      <rPr>
        <vertAlign val="subscript"/>
        <sz val="10"/>
        <rFont val="Times New Roman"/>
        <family val="1"/>
      </rPr>
      <t>S&amp;P</t>
    </r>
    <r>
      <rPr>
        <sz val="10"/>
        <rFont val="Times New Roman"/>
        <family val="1"/>
      </rPr>
      <t>)</t>
    </r>
  </si>
  <si>
    <r>
      <t>Risk-free rate (R</t>
    </r>
    <r>
      <rPr>
        <vertAlign val="subscript"/>
        <sz val="10"/>
        <rFont val="Times New Roman"/>
        <family val="1"/>
      </rPr>
      <t>f</t>
    </r>
    <r>
      <rPr>
        <sz val="10"/>
        <rFont val="Times New Roman"/>
        <family val="1"/>
      </rPr>
      <t>)</t>
    </r>
  </si>
  <si>
    <r>
      <t>Implied required return on equity (R</t>
    </r>
    <r>
      <rPr>
        <vertAlign val="subscript"/>
        <sz val="10"/>
        <rFont val="Times New Roman"/>
        <family val="1"/>
      </rPr>
      <t>s&amp;p500</t>
    </r>
    <r>
      <rPr>
        <sz val="10"/>
        <rFont val="Times New Roman"/>
        <family val="1"/>
      </rPr>
      <t>)</t>
    </r>
  </si>
  <si>
    <r>
      <t>Implied equity risk premium (R</t>
    </r>
    <r>
      <rPr>
        <vertAlign val="subscript"/>
        <sz val="10"/>
        <rFont val="Times New Roman"/>
        <family val="1"/>
      </rPr>
      <t>m</t>
    </r>
    <r>
      <rPr>
        <sz val="10"/>
        <rFont val="Times New Roman"/>
        <family val="1"/>
      </rPr>
      <t>)</t>
    </r>
  </si>
  <si>
    <t>After the completion of the Company’s acquisitions of Dot’s and Pretzels in December 2021</t>
  </si>
  <si>
    <t>Revenue</t>
  </si>
  <si>
    <t xml:space="preserve">Long-term debt </t>
  </si>
  <si>
    <t>Bear</t>
  </si>
  <si>
    <t>Bull</t>
  </si>
  <si>
    <t>Base</t>
  </si>
  <si>
    <t>Select Case</t>
  </si>
  <si>
    <t>1 Bear</t>
  </si>
  <si>
    <t>2 Base</t>
  </si>
  <si>
    <t>3 Bull</t>
  </si>
  <si>
    <t>Current Price</t>
  </si>
  <si>
    <t>Valuation:</t>
  </si>
  <si>
    <t>Model 12-month Price Target</t>
  </si>
  <si>
    <t>Valuation Appreciation</t>
  </si>
  <si>
    <t>12-month Appreciation</t>
  </si>
  <si>
    <t>Growth step</t>
  </si>
  <si>
    <t>Ke step</t>
  </si>
  <si>
    <t>Correlations</t>
  </si>
  <si>
    <t>STZ</t>
  </si>
  <si>
    <t>ACI</t>
  </si>
  <si>
    <t>PEP</t>
  </si>
  <si>
    <t>Common Size Income Statement</t>
  </si>
  <si>
    <t>Percentage Change Balance Sheet</t>
  </si>
  <si>
    <t>Common Size Balance Sheet</t>
  </si>
  <si>
    <t>HERSHEYS</t>
  </si>
  <si>
    <t>Price at start of the year</t>
  </si>
  <si>
    <t>Price 1 year ago</t>
  </si>
  <si>
    <t>Price 5 years ago</t>
  </si>
  <si>
    <t>52 Week High</t>
  </si>
  <si>
    <t>52 Week Low</t>
  </si>
  <si>
    <t>Returns</t>
  </si>
  <si>
    <t>% of Revenue</t>
  </si>
  <si>
    <t>% of Cogs</t>
  </si>
  <si>
    <t>% of Expense</t>
  </si>
  <si>
    <t>increase % of Revenue</t>
  </si>
  <si>
    <t>Amortization Schedule</t>
  </si>
  <si>
    <t>% of Pretax income</t>
  </si>
  <si>
    <t>Constant</t>
  </si>
  <si>
    <t>Annual Dividend Yield</t>
  </si>
  <si>
    <t>Total 1 year return</t>
  </si>
  <si>
    <t>Volume</t>
  </si>
  <si>
    <t>Property, plant and equipment:</t>
  </si>
  <si>
    <t>Land</t>
  </si>
  <si>
    <t>Buildings</t>
  </si>
  <si>
    <t>Machinery ine XL Viewer</t>
  </si>
  <si>
    <t>Construction in progress</t>
  </si>
  <si>
    <t>Property, plant and equipment, gross</t>
  </si>
  <si>
    <t>Accumulated depreciation</t>
  </si>
  <si>
    <t>PPE BREAKDOWN</t>
  </si>
  <si>
    <t>Machinery and Equipment</t>
  </si>
  <si>
    <t>PPE, net</t>
  </si>
  <si>
    <t>Company guidance for gross</t>
  </si>
  <si>
    <t>No clear trend they had projects lined up recently but in Q2 there was little construction</t>
  </si>
  <si>
    <t>Above 1% in recent 5 years</t>
  </si>
  <si>
    <t>Downward Trend</t>
  </si>
  <si>
    <t>PPE, Gross</t>
  </si>
  <si>
    <t>Accumulated Dep</t>
  </si>
  <si>
    <t>Amount</t>
  </si>
  <si>
    <t>dd</t>
  </si>
  <si>
    <t>This low because next year is -1.90%, historically at 9.98%</t>
  </si>
  <si>
    <t>Other sourses have conflicting estimates</t>
  </si>
  <si>
    <t>Using Comps Beta</t>
  </si>
  <si>
    <t>Coupon Rate</t>
  </si>
  <si>
    <t>Outstanding Amount</t>
  </si>
  <si>
    <t>Maturity Year</t>
  </si>
  <si>
    <t>Kept Constant</t>
  </si>
  <si>
    <t>2029+</t>
  </si>
  <si>
    <t>10 Year Treasury Rate</t>
  </si>
  <si>
    <t>IMF expects the long term inflation rate to be 3.5%</t>
  </si>
  <si>
    <t>PEP.O</t>
  </si>
  <si>
    <t>KO</t>
  </si>
  <si>
    <t>MNST.O</t>
  </si>
  <si>
    <t>KDP.O</t>
  </si>
  <si>
    <t>KMB</t>
  </si>
  <si>
    <t>K</t>
  </si>
  <si>
    <t>KHC.O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</si>
</sst>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8" formatCode="&quot;$&quot;#,##0.00_);[Red]\(&quot;$&quot;#,##0.00\)"/>
    <numFmt numFmtId="44" formatCode="_(&quot;$&quot;* #,##0.00_);_(&quot;$&quot;* \(#,##0.00\);_(&quot;$&quot;* &quot;-&quot;??_);_(@_)"/>
    <numFmt numFmtId="43" formatCode="_(* #,##0.00_);_(* \(#,##0.00\);_(* &quot;-&quot;??_);_(@_)"/>
    <numFmt numFmtId="164" formatCode="_(&quot;$ &quot;#,##0_);_(&quot;$ &quot;\(#,##0\)"/>
    <numFmt numFmtId="165" formatCode="_(&quot;$ &quot;#,##0.00_);_(&quot;$ &quot;\(#,##0.00\)"/>
    <numFmt numFmtId="166" formatCode="#,##0.000_);\(#,##0.000\)"/>
    <numFmt numFmtId="167" formatCode="_(&quot;$ &quot;#,##0.000_);_(&quot;$ &quot;\(#,##0.000\)"/>
    <numFmt numFmtId="168" formatCode="0.0%"/>
    <numFmt numFmtId="169" formatCode="&quot;$&quot;#,##0.00"/>
    <numFmt numFmtId="170" formatCode="m/d/yy;@"/>
    <numFmt numFmtId="171" formatCode="0.0\x"/>
    <numFmt numFmtId="172" formatCode="0.000%"/>
    <numFmt numFmtId="173" formatCode="_(* #,##0.0_);_(* \(#,##0.0\);_(* &quot;-&quot;??_);_(@_)"/>
    <numFmt numFmtId="174" formatCode="&quot;$&quot;#,##0"/>
    <numFmt numFmtId="175" formatCode="0.00\x"/>
    <numFmt numFmtId="176" formatCode="_(* #,##0_);_(* \(#,##0\);_(* &quot;-&quot;??_);_(@_)"/>
    <numFmt numFmtId="177" formatCode="0.0"/>
    <numFmt numFmtId="178" formatCode="0.000"/>
    <numFmt numFmtId="179" formatCode="0.0000%"/>
  </numFmts>
  <fonts count="49">
    <font>
      <sz val="12"/>
      <color theme="1"/>
      <name val="AmericanTypewriter"/>
      <family val="2"/>
    </font>
    <font>
      <sz val="12"/>
      <color theme="1"/>
      <name val="AmericanTypewriter"/>
      <family val="2"/>
    </font>
    <font>
      <sz val="10"/>
      <color rgb="FF000000"/>
      <name val="Times New Roman"/>
      <family val="1"/>
    </font>
    <font>
      <b/>
      <sz val="10"/>
      <color rgb="FF000000"/>
      <name val="Times New Roman"/>
      <family val="1"/>
    </font>
    <font>
      <sz val="11"/>
      <color rgb="FF000000"/>
      <name val="Times New Roman"/>
      <family val="1"/>
    </font>
    <font>
      <b/>
      <sz val="12"/>
      <color rgb="FF000000"/>
      <name val="Times New Roman"/>
      <family val="1"/>
    </font>
    <font>
      <u/>
      <sz val="12"/>
      <color theme="10"/>
      <name val="AmericanTypewriter"/>
      <family val="2"/>
    </font>
    <font>
      <b/>
      <sz val="12"/>
      <name val="Times New Roman"/>
      <family val="1"/>
    </font>
    <font>
      <sz val="12"/>
      <name val="Times New Roman"/>
      <family val="1"/>
    </font>
    <font>
      <b/>
      <sz val="12"/>
      <color rgb="FFFFFFFF"/>
      <name val="Times New Roman"/>
      <family val="1"/>
    </font>
    <font>
      <b/>
      <sz val="12"/>
      <color rgb="FF0000FF"/>
      <name val="Times New Roman"/>
      <family val="1"/>
    </font>
    <font>
      <sz val="12"/>
      <color rgb="FFFF0000"/>
      <name val="Times New Roman"/>
      <family val="1"/>
    </font>
    <font>
      <sz val="10"/>
      <name val="Arial"/>
      <family val="2"/>
    </font>
    <font>
      <sz val="12"/>
      <color theme="1"/>
      <name val="Times New Roman"/>
      <family val="1"/>
    </font>
    <font>
      <b/>
      <sz val="12"/>
      <color theme="0"/>
      <name val="Times New Roman"/>
      <family val="1"/>
    </font>
    <font>
      <sz val="10"/>
      <color theme="1"/>
      <name val="Times New Roman"/>
      <family val="1"/>
    </font>
    <font>
      <b/>
      <sz val="10"/>
      <color theme="1"/>
      <name val="Times New Roman"/>
      <family val="1"/>
    </font>
    <font>
      <b/>
      <sz val="10"/>
      <color theme="0"/>
      <name val="Times New Roman"/>
      <family val="1"/>
    </font>
    <font>
      <sz val="10"/>
      <color theme="0"/>
      <name val="Times New Roman"/>
      <family val="1"/>
    </font>
    <font>
      <sz val="10"/>
      <name val="Times New Roman"/>
      <family val="1"/>
    </font>
    <font>
      <sz val="10"/>
      <color rgb="FFFF0000"/>
      <name val="Times New Roman"/>
      <family val="1"/>
    </font>
    <font>
      <b/>
      <sz val="10"/>
      <name val="Times New Roman"/>
      <family val="1"/>
    </font>
    <font>
      <sz val="13"/>
      <color rgb="FF000000"/>
      <name val="Times New Roman"/>
      <family val="1"/>
    </font>
    <font>
      <i/>
      <sz val="11"/>
      <color rgb="FF000000"/>
      <name val="Times New Roman"/>
      <family val="1"/>
    </font>
    <font>
      <sz val="10"/>
      <color theme="4" tint="-0.249977111117893"/>
      <name val="Times New Roman"/>
      <family val="1"/>
    </font>
    <font>
      <sz val="10"/>
      <color rgb="FF009644"/>
      <name val="Times New Roman"/>
      <family val="1"/>
    </font>
    <font>
      <b/>
      <sz val="10"/>
      <color rgb="FF0F243E"/>
      <name val="Times New Roman"/>
      <family val="1"/>
    </font>
    <font>
      <b/>
      <sz val="10"/>
      <color rgb="FFFFFFFF"/>
      <name val="Times New Roman"/>
      <family val="1"/>
    </font>
    <font>
      <b/>
      <sz val="10"/>
      <color rgb="FF0000FF"/>
      <name val="Times New Roman"/>
      <family val="1"/>
    </font>
    <font>
      <sz val="10"/>
      <color rgb="FF0000FF"/>
      <name val="Times New Roman"/>
      <family val="1"/>
    </font>
    <font>
      <i/>
      <sz val="10"/>
      <name val="Times New Roman"/>
      <family val="1"/>
    </font>
    <font>
      <sz val="10"/>
      <color rgb="FFFFFFFF"/>
      <name val="Times New Roman"/>
      <family val="1"/>
    </font>
    <font>
      <sz val="10"/>
      <color rgb="FF3366FF"/>
      <name val="Times New Roman"/>
      <family val="1"/>
    </font>
    <font>
      <u/>
      <sz val="10"/>
      <color theme="10"/>
      <name val="Times New Roman"/>
      <family val="1"/>
    </font>
    <font>
      <vertAlign val="subscript"/>
      <sz val="10"/>
      <name val="Times New Roman"/>
      <family val="1"/>
    </font>
    <font>
      <sz val="12"/>
      <color theme="0"/>
      <name val="Times New Roman"/>
      <family val="1"/>
    </font>
    <font>
      <u/>
      <sz val="14"/>
      <color theme="10"/>
      <name val="Times New Roman"/>
      <family val="1"/>
    </font>
    <font>
      <sz val="14"/>
      <color theme="1"/>
      <name val="Times New Roman"/>
      <family val="1"/>
    </font>
    <font>
      <sz val="14"/>
      <color theme="0"/>
      <name val="Times New Roman"/>
      <family val="1"/>
    </font>
    <font>
      <sz val="14"/>
      <color rgb="FFA8A9AE"/>
      <name val="Times New Roman"/>
      <family val="1"/>
    </font>
    <font>
      <sz val="14"/>
      <color rgb="FF000000"/>
      <name val="Times New Roman"/>
      <family val="1"/>
    </font>
    <font>
      <sz val="10"/>
      <color theme="1"/>
      <name val="Arial"/>
      <family val="2"/>
    </font>
    <font>
      <sz val="12"/>
      <color rgb="FF0000FF"/>
      <name val="Times New Roman"/>
      <family val="1"/>
    </font>
    <font>
      <sz val="10"/>
      <color rgb="FFA8A9AE"/>
      <name val="Times New Roman"/>
      <family val="1"/>
    </font>
    <font>
      <sz val="12"/>
      <color theme="1"/>
      <name val="American Typewriter"/>
      <family val="1"/>
    </font>
    <font>
      <b/>
      <sz val="10"/>
      <color theme="0"/>
      <name val="Arial"/>
      <family val="2"/>
    </font>
    <font>
      <sz val="12"/>
      <color theme="1"/>
      <name val="Helvetica"/>
      <family val="2"/>
    </font>
    <font>
      <b/>
      <sz val="12"/>
      <color theme="1"/>
      <name val="Times New Roman"/>
      <family val="1"/>
    </font>
    <font>
      <sz val="12"/>
      <color rgb="FF36000E"/>
      <name val="Times New Roman"/>
      <family val="1"/>
    </font>
  </fonts>
  <fills count="16">
    <fill>
      <patternFill patternType="none"/>
    </fill>
    <fill>
      <patternFill patternType="gray125"/>
    </fill>
    <fill>
      <patternFill patternType="solid">
        <fgColor theme="2" tint="-9.9978637043366805E-2"/>
        <bgColor indexed="64"/>
      </patternFill>
    </fill>
    <fill>
      <patternFill patternType="solid">
        <fgColor rgb="FFFFFF00"/>
        <bgColor rgb="FFFFFF00"/>
      </patternFill>
    </fill>
    <fill>
      <patternFill patternType="solid">
        <fgColor rgb="FFFFFF00"/>
        <bgColor indexed="64"/>
      </patternFill>
    </fill>
    <fill>
      <patternFill patternType="solid">
        <fgColor theme="0" tint="-4.9989318521683403E-2"/>
        <bgColor indexed="64"/>
      </patternFill>
    </fill>
    <fill>
      <patternFill patternType="solid">
        <fgColor rgb="FF36000E"/>
        <bgColor indexed="64"/>
      </patternFill>
    </fill>
    <fill>
      <patternFill patternType="solid">
        <fgColor rgb="FFA8A9AE"/>
        <bgColor rgb="FF000000"/>
      </patternFill>
    </fill>
    <fill>
      <patternFill patternType="solid">
        <fgColor rgb="FFA8A9AE"/>
        <bgColor indexed="64"/>
      </patternFill>
    </fill>
    <fill>
      <patternFill patternType="solid">
        <fgColor rgb="FFFFFF00"/>
        <bgColor rgb="FF000000"/>
      </patternFill>
    </fill>
    <fill>
      <patternFill patternType="solid">
        <fgColor rgb="FF36000E"/>
        <bgColor rgb="FF000000"/>
      </patternFill>
    </fill>
    <fill>
      <patternFill patternType="solid">
        <fgColor rgb="FF00B0F0"/>
        <bgColor indexed="64"/>
      </patternFill>
    </fill>
    <fill>
      <patternFill patternType="solid">
        <fgColor rgb="FF36000E"/>
        <bgColor rgb="FF19375F"/>
      </patternFill>
    </fill>
    <fill>
      <patternFill patternType="solid">
        <fgColor rgb="FFA8A9AE"/>
        <bgColor rgb="FFDBE5F1"/>
      </patternFill>
    </fill>
    <fill>
      <patternFill patternType="solid">
        <fgColor rgb="FFFFC7CE"/>
        <bgColor indexed="64"/>
      </patternFill>
    </fill>
    <fill>
      <patternFill patternType="solid">
        <fgColor rgb="FFC6F0CE"/>
        <bgColor indexed="64"/>
      </patternFill>
    </fill>
  </fills>
  <borders count="5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thick">
        <color rgb="FFA5A5A5"/>
      </right>
      <top style="medium">
        <color rgb="FF000000"/>
      </top>
      <bottom style="medium">
        <color rgb="FF000000"/>
      </bottom>
      <diagonal/>
    </border>
    <border>
      <left/>
      <right style="medium">
        <color rgb="FF000000"/>
      </right>
      <top style="medium">
        <color rgb="FF000000"/>
      </top>
      <bottom style="medium">
        <color rgb="FF000000"/>
      </bottom>
      <diagonal/>
    </border>
    <border>
      <left style="thick">
        <color rgb="FF000000"/>
      </left>
      <right/>
      <top/>
      <bottom/>
      <diagonal/>
    </border>
    <border>
      <left/>
      <right style="thick">
        <color rgb="FFA5A5A5"/>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right style="thin">
        <color rgb="FF000000"/>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thin">
        <color rgb="FF000000"/>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9">
    <xf numFmtId="0" fontId="0"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6" fillId="0" borderId="0" applyNumberFormat="0" applyFill="0" applyBorder="0" applyAlignment="0" applyProtection="0"/>
    <xf numFmtId="0" fontId="12" fillId="0" borderId="0"/>
    <xf numFmtId="9" fontId="12" fillId="0" borderId="0" applyFont="0" applyFill="0" applyBorder="0" applyAlignment="0" applyProtection="0"/>
    <xf numFmtId="0" fontId="19" fillId="0" borderId="0"/>
    <xf numFmtId="0" fontId="12" fillId="0" borderId="0"/>
  </cellStyleXfs>
  <cellXfs count="545">
    <xf numFmtId="0" fontId="0" fillId="0" borderId="0" xfId="0"/>
    <xf numFmtId="0" fontId="2" fillId="0" borderId="0" xfId="0" applyFont="1"/>
    <xf numFmtId="4" fontId="2" fillId="0" borderId="0" xfId="0" applyNumberFormat="1" applyFont="1"/>
    <xf numFmtId="0" fontId="13" fillId="0" borderId="0" xfId="0" applyFont="1"/>
    <xf numFmtId="0" fontId="7" fillId="0" borderId="0" xfId="5" applyFont="1"/>
    <xf numFmtId="0" fontId="8" fillId="0" borderId="0" xfId="5" applyFont="1"/>
    <xf numFmtId="0" fontId="7" fillId="0" borderId="16" xfId="5" applyFont="1" applyBorder="1" applyAlignment="1">
      <alignment horizontal="right"/>
    </xf>
    <xf numFmtId="0" fontId="7" fillId="0" borderId="27" xfId="5" applyFont="1" applyBorder="1"/>
    <xf numFmtId="10" fontId="7" fillId="0" borderId="29" xfId="5" applyNumberFormat="1" applyFont="1" applyBorder="1"/>
    <xf numFmtId="14" fontId="8" fillId="0" borderId="0" xfId="5" applyNumberFormat="1" applyFont="1"/>
    <xf numFmtId="3" fontId="13" fillId="0" borderId="0" xfId="5" applyNumberFormat="1" applyFont="1"/>
    <xf numFmtId="0" fontId="8" fillId="0" borderId="30" xfId="5" applyFont="1" applyBorder="1"/>
    <xf numFmtId="14" fontId="8" fillId="0" borderId="31" xfId="5" applyNumberFormat="1" applyFont="1" applyBorder="1" applyAlignment="1">
      <alignment horizontal="right"/>
    </xf>
    <xf numFmtId="3" fontId="8" fillId="0" borderId="0" xfId="5" applyNumberFormat="1" applyFont="1"/>
    <xf numFmtId="0" fontId="8" fillId="0" borderId="31" xfId="5" applyFont="1" applyBorder="1"/>
    <xf numFmtId="8" fontId="5" fillId="0" borderId="0" xfId="5" applyNumberFormat="1" applyFont="1"/>
    <xf numFmtId="169" fontId="10" fillId="0" borderId="0" xfId="5" applyNumberFormat="1" applyFont="1"/>
    <xf numFmtId="0" fontId="8" fillId="0" borderId="27" xfId="5" applyFont="1" applyBorder="1"/>
    <xf numFmtId="0" fontId="8" fillId="0" borderId="28" xfId="5" applyFont="1" applyBorder="1"/>
    <xf numFmtId="10" fontId="8" fillId="0" borderId="29" xfId="5" applyNumberFormat="1" applyFont="1" applyBorder="1"/>
    <xf numFmtId="0" fontId="8" fillId="0" borderId="32" xfId="5" applyFont="1" applyBorder="1"/>
    <xf numFmtId="0" fontId="8" fillId="0" borderId="34" xfId="5" applyFont="1" applyBorder="1"/>
    <xf numFmtId="0" fontId="8" fillId="0" borderId="33" xfId="5" applyFont="1" applyBorder="1"/>
    <xf numFmtId="10" fontId="8" fillId="0" borderId="34" xfId="6" applyNumberFormat="1" applyFont="1" applyBorder="1"/>
    <xf numFmtId="2" fontId="7" fillId="0" borderId="0" xfId="5" applyNumberFormat="1" applyFont="1"/>
    <xf numFmtId="0" fontId="7" fillId="0" borderId="0" xfId="5" applyFont="1" applyAlignment="1">
      <alignment horizontal="centerContinuous"/>
    </xf>
    <xf numFmtId="170" fontId="7" fillId="0" borderId="16" xfId="5" applyNumberFormat="1" applyFont="1" applyBorder="1"/>
    <xf numFmtId="2" fontId="8" fillId="0" borderId="0" xfId="5" applyNumberFormat="1" applyFont="1"/>
    <xf numFmtId="0" fontId="7" fillId="0" borderId="16" xfId="5" applyFont="1" applyBorder="1"/>
    <xf numFmtId="0" fontId="8" fillId="0" borderId="16" xfId="5" applyFont="1" applyBorder="1"/>
    <xf numFmtId="37" fontId="8" fillId="0" borderId="16" xfId="5" applyNumberFormat="1" applyFont="1" applyBorder="1"/>
    <xf numFmtId="37" fontId="8" fillId="0" borderId="0" xfId="5" applyNumberFormat="1" applyFont="1"/>
    <xf numFmtId="168" fontId="7" fillId="0" borderId="35" xfId="5" applyNumberFormat="1" applyFont="1" applyBorder="1"/>
    <xf numFmtId="168" fontId="7" fillId="0" borderId="0" xfId="5" applyNumberFormat="1" applyFont="1"/>
    <xf numFmtId="171" fontId="8" fillId="0" borderId="0" xfId="5" applyNumberFormat="1" applyFont="1"/>
    <xf numFmtId="4" fontId="8" fillId="0" borderId="0" xfId="5" applyNumberFormat="1" applyFont="1"/>
    <xf numFmtId="3" fontId="8" fillId="0" borderId="16" xfId="5" applyNumberFormat="1" applyFont="1" applyBorder="1"/>
    <xf numFmtId="0" fontId="7" fillId="0" borderId="36" xfId="5" applyFont="1" applyBorder="1"/>
    <xf numFmtId="2" fontId="7" fillId="0" borderId="36" xfId="5" applyNumberFormat="1" applyFont="1" applyBorder="1"/>
    <xf numFmtId="0" fontId="8" fillId="0" borderId="0" xfId="5" applyFont="1" applyAlignment="1">
      <alignment horizontal="centerContinuous"/>
    </xf>
    <xf numFmtId="2" fontId="11" fillId="0" borderId="0" xfId="5" applyNumberFormat="1" applyFont="1"/>
    <xf numFmtId="10" fontId="8" fillId="0" borderId="0" xfId="5" applyNumberFormat="1" applyFont="1" applyAlignment="1">
      <alignment horizontal="center"/>
    </xf>
    <xf numFmtId="168" fontId="7" fillId="0" borderId="0" xfId="5" applyNumberFormat="1" applyFont="1" applyAlignment="1">
      <alignment horizontal="center"/>
    </xf>
    <xf numFmtId="168" fontId="8" fillId="0" borderId="0" xfId="5" applyNumberFormat="1" applyFont="1"/>
    <xf numFmtId="169" fontId="8" fillId="0" borderId="37" xfId="5" applyNumberFormat="1" applyFont="1" applyBorder="1" applyAlignment="1">
      <alignment horizontal="center"/>
    </xf>
    <xf numFmtId="169" fontId="8" fillId="0" borderId="38" xfId="5" applyNumberFormat="1" applyFont="1" applyBorder="1" applyAlignment="1">
      <alignment horizontal="center"/>
    </xf>
    <xf numFmtId="169" fontId="8" fillId="0" borderId="39" xfId="5" applyNumberFormat="1" applyFont="1" applyBorder="1" applyAlignment="1">
      <alignment horizontal="center"/>
    </xf>
    <xf numFmtId="169" fontId="8" fillId="0" borderId="40" xfId="5" applyNumberFormat="1" applyFont="1" applyBorder="1" applyAlignment="1">
      <alignment horizontal="center"/>
    </xf>
    <xf numFmtId="169" fontId="8" fillId="0" borderId="0" xfId="5" applyNumberFormat="1" applyFont="1" applyAlignment="1">
      <alignment horizontal="center"/>
    </xf>
    <xf numFmtId="169" fontId="8" fillId="0" borderId="41" xfId="5" applyNumberFormat="1" applyFont="1" applyBorder="1" applyAlignment="1">
      <alignment horizontal="center"/>
    </xf>
    <xf numFmtId="0" fontId="7" fillId="0" borderId="0" xfId="5" applyFont="1" applyAlignment="1">
      <alignment horizontal="center"/>
    </xf>
    <xf numFmtId="169" fontId="8" fillId="0" borderId="42" xfId="5" applyNumberFormat="1" applyFont="1" applyBorder="1" applyAlignment="1">
      <alignment horizontal="center"/>
    </xf>
    <xf numFmtId="169" fontId="8" fillId="0" borderId="43" xfId="5" applyNumberFormat="1" applyFont="1" applyBorder="1" applyAlignment="1">
      <alignment horizontal="center"/>
    </xf>
    <xf numFmtId="169" fontId="8" fillId="0" borderId="44" xfId="5" applyNumberFormat="1" applyFont="1" applyBorder="1" applyAlignment="1">
      <alignment horizontal="center"/>
    </xf>
    <xf numFmtId="10" fontId="8" fillId="0" borderId="0" xfId="5" applyNumberFormat="1" applyFont="1"/>
    <xf numFmtId="4" fontId="8" fillId="0" borderId="0" xfId="5" applyNumberFormat="1" applyFont="1" applyAlignment="1">
      <alignment horizontal="center"/>
    </xf>
    <xf numFmtId="4" fontId="7" fillId="0" borderId="36" xfId="5" applyNumberFormat="1" applyFont="1" applyBorder="1"/>
    <xf numFmtId="4" fontId="7" fillId="0" borderId="0" xfId="5" applyNumberFormat="1" applyFont="1"/>
    <xf numFmtId="4" fontId="11" fillId="0" borderId="0" xfId="5" applyNumberFormat="1" applyFont="1"/>
    <xf numFmtId="10" fontId="8" fillId="0" borderId="16" xfId="1" applyNumberFormat="1" applyFont="1" applyBorder="1" applyAlignment="1">
      <alignment horizontal="center"/>
    </xf>
    <xf numFmtId="168" fontId="7" fillId="0" borderId="16" xfId="1" applyNumberFormat="1" applyFont="1" applyBorder="1" applyAlignment="1">
      <alignment horizontal="center"/>
    </xf>
    <xf numFmtId="0" fontId="8" fillId="0" borderId="0" xfId="5" applyFont="1" applyAlignment="1">
      <alignment horizontal="centerContinuous" vertical="center"/>
    </xf>
    <xf numFmtId="0" fontId="7" fillId="0" borderId="0" xfId="5" applyFont="1" applyAlignment="1">
      <alignment horizontal="centerContinuous" vertical="center"/>
    </xf>
    <xf numFmtId="0" fontId="15" fillId="0" borderId="0" xfId="0" applyFont="1"/>
    <xf numFmtId="0" fontId="15" fillId="0" borderId="0" xfId="0" applyFont="1" applyAlignment="1">
      <alignment horizontal="center"/>
    </xf>
    <xf numFmtId="14" fontId="16" fillId="0" borderId="0" xfId="0" applyNumberFormat="1" applyFont="1"/>
    <xf numFmtId="0" fontId="16" fillId="5" borderId="0" xfId="0" applyFont="1" applyFill="1"/>
    <xf numFmtId="0" fontId="15" fillId="5" borderId="0" xfId="0" applyFont="1" applyFill="1" applyAlignment="1">
      <alignment horizontal="center"/>
    </xf>
    <xf numFmtId="0" fontId="15" fillId="5" borderId="0" xfId="0" applyFont="1" applyFill="1"/>
    <xf numFmtId="0" fontId="15" fillId="0" borderId="11" xfId="0" applyFont="1" applyBorder="1"/>
    <xf numFmtId="0" fontId="15" fillId="0" borderId="11" xfId="0" applyFont="1" applyBorder="1" applyAlignment="1">
      <alignment horizontal="center"/>
    </xf>
    <xf numFmtId="0" fontId="16" fillId="0" borderId="25" xfId="0" applyFont="1" applyBorder="1" applyAlignment="1">
      <alignment horizontal="center"/>
    </xf>
    <xf numFmtId="0" fontId="16" fillId="0" borderId="13" xfId="0" applyFont="1" applyBorder="1" applyAlignment="1">
      <alignment horizontal="center"/>
    </xf>
    <xf numFmtId="0" fontId="16" fillId="0" borderId="12" xfId="0" applyFont="1" applyBorder="1" applyAlignment="1">
      <alignment horizontal="center"/>
    </xf>
    <xf numFmtId="0" fontId="16" fillId="0" borderId="11" xfId="0" applyFont="1" applyBorder="1" applyAlignment="1">
      <alignment horizontal="center"/>
    </xf>
    <xf numFmtId="0" fontId="16" fillId="0" borderId="14" xfId="0" applyFont="1" applyBorder="1" applyAlignment="1">
      <alignment horizontal="center"/>
    </xf>
    <xf numFmtId="0" fontId="16" fillId="0" borderId="26" xfId="0" applyFont="1" applyBorder="1" applyAlignment="1">
      <alignment horizontal="center"/>
    </xf>
    <xf numFmtId="0" fontId="16" fillId="0" borderId="16" xfId="0" applyFont="1" applyBorder="1" applyAlignment="1">
      <alignment horizontal="center"/>
    </xf>
    <xf numFmtId="0" fontId="16" fillId="0" borderId="15" xfId="0" applyFont="1" applyBorder="1" applyAlignment="1">
      <alignment horizontal="center"/>
    </xf>
    <xf numFmtId="0" fontId="19" fillId="0" borderId="17" xfId="0" applyFont="1" applyBorder="1"/>
    <xf numFmtId="169" fontId="19" fillId="0" borderId="25" xfId="0" applyNumberFormat="1" applyFont="1" applyBorder="1"/>
    <xf numFmtId="169" fontId="19" fillId="0" borderId="13" xfId="0" applyNumberFormat="1" applyFont="1" applyBorder="1"/>
    <xf numFmtId="173" fontId="15" fillId="0" borderId="0" xfId="2" applyNumberFormat="1" applyFont="1"/>
    <xf numFmtId="174" fontId="19" fillId="0" borderId="0" xfId="2" applyNumberFormat="1" applyFont="1"/>
    <xf numFmtId="4" fontId="19" fillId="0" borderId="11" xfId="0" applyNumberFormat="1" applyFont="1" applyBorder="1"/>
    <xf numFmtId="0" fontId="19" fillId="0" borderId="0" xfId="0" applyFont="1"/>
    <xf numFmtId="169" fontId="19" fillId="0" borderId="24" xfId="0" applyNumberFormat="1" applyFont="1" applyBorder="1"/>
    <xf numFmtId="169" fontId="19" fillId="0" borderId="0" xfId="0" applyNumberFormat="1" applyFont="1"/>
    <xf numFmtId="4" fontId="19" fillId="0" borderId="17" xfId="0" applyNumberFormat="1" applyFont="1" applyBorder="1"/>
    <xf numFmtId="8" fontId="19" fillId="0" borderId="17" xfId="2" applyNumberFormat="1" applyFont="1" applyBorder="1"/>
    <xf numFmtId="0" fontId="19" fillId="4" borderId="17" xfId="0" applyFont="1" applyFill="1" applyBorder="1" applyAlignment="1">
      <alignment horizontal="center"/>
    </xf>
    <xf numFmtId="173" fontId="19" fillId="0" borderId="0" xfId="2" applyNumberFormat="1" applyFont="1"/>
    <xf numFmtId="0" fontId="19" fillId="0" borderId="20" xfId="0" applyFont="1" applyBorder="1"/>
    <xf numFmtId="0" fontId="19" fillId="4" borderId="20" xfId="0" applyFont="1" applyFill="1" applyBorder="1" applyAlignment="1">
      <alignment horizontal="center"/>
    </xf>
    <xf numFmtId="169" fontId="19" fillId="0" borderId="23" xfId="0" applyNumberFormat="1" applyFont="1" applyBorder="1"/>
    <xf numFmtId="169" fontId="19" fillId="0" borderId="22" xfId="0" applyNumberFormat="1" applyFont="1" applyBorder="1"/>
    <xf numFmtId="173" fontId="15" fillId="0" borderId="22" xfId="2" applyNumberFormat="1" applyFont="1" applyBorder="1"/>
    <xf numFmtId="4" fontId="19" fillId="0" borderId="20" xfId="0" applyNumberFormat="1" applyFont="1" applyBorder="1"/>
    <xf numFmtId="0" fontId="16" fillId="5" borderId="0" xfId="0" applyFont="1" applyFill="1" applyAlignment="1">
      <alignment horizontal="center"/>
    </xf>
    <xf numFmtId="0" fontId="13" fillId="5" borderId="0" xfId="0" applyFont="1" applyFill="1"/>
    <xf numFmtId="0" fontId="16" fillId="0" borderId="23" xfId="0" applyFont="1" applyBorder="1" applyAlignment="1">
      <alignment horizontal="centerContinuous"/>
    </xf>
    <xf numFmtId="0" fontId="16" fillId="0" borderId="22" xfId="0" applyFont="1" applyBorder="1" applyAlignment="1">
      <alignment horizontal="centerContinuous"/>
    </xf>
    <xf numFmtId="0" fontId="16" fillId="0" borderId="21" xfId="0" applyFont="1" applyBorder="1" applyAlignment="1">
      <alignment horizontal="centerContinuous"/>
    </xf>
    <xf numFmtId="0" fontId="16" fillId="0" borderId="23" xfId="0" applyFont="1" applyBorder="1" applyAlignment="1">
      <alignment horizontal="center"/>
    </xf>
    <xf numFmtId="0" fontId="16" fillId="0" borderId="22" xfId="0" applyFont="1" applyBorder="1" applyAlignment="1">
      <alignment horizontal="center"/>
    </xf>
    <xf numFmtId="0" fontId="16" fillId="0" borderId="21" xfId="0" applyFont="1" applyBorder="1" applyAlignment="1">
      <alignment horizontal="center"/>
    </xf>
    <xf numFmtId="0" fontId="15" fillId="0" borderId="17" xfId="0" applyFont="1" applyBorder="1"/>
    <xf numFmtId="0" fontId="15" fillId="0" borderId="17" xfId="0" applyFont="1" applyBorder="1" applyAlignment="1">
      <alignment horizontal="center"/>
    </xf>
    <xf numFmtId="174" fontId="15" fillId="0" borderId="0" xfId="0" applyNumberFormat="1" applyFont="1" applyAlignment="1">
      <alignment horizontal="center"/>
    </xf>
    <xf numFmtId="174" fontId="15" fillId="0" borderId="12" xfId="0" applyNumberFormat="1" applyFont="1" applyBorder="1" applyAlignment="1">
      <alignment horizontal="center"/>
    </xf>
    <xf numFmtId="169" fontId="15" fillId="0" borderId="0" xfId="0" applyNumberFormat="1" applyFont="1" applyAlignment="1">
      <alignment horizontal="center"/>
    </xf>
    <xf numFmtId="169" fontId="15" fillId="0" borderId="19" xfId="0" applyNumberFormat="1" applyFont="1" applyBorder="1" applyAlignment="1">
      <alignment horizontal="center"/>
    </xf>
    <xf numFmtId="3" fontId="15" fillId="0" borderId="0" xfId="0" applyNumberFormat="1" applyFont="1" applyAlignment="1">
      <alignment horizontal="center"/>
    </xf>
    <xf numFmtId="3" fontId="15" fillId="0" borderId="19" xfId="0" applyNumberFormat="1" applyFont="1" applyBorder="1" applyAlignment="1">
      <alignment horizontal="center"/>
    </xf>
    <xf numFmtId="3" fontId="15" fillId="0" borderId="24" xfId="0" applyNumberFormat="1" applyFont="1" applyBorder="1" applyAlignment="1">
      <alignment horizontal="center"/>
    </xf>
    <xf numFmtId="168" fontId="15" fillId="0" borderId="17" xfId="1" applyNumberFormat="1" applyFont="1" applyBorder="1" applyAlignment="1">
      <alignment horizontal="center"/>
    </xf>
    <xf numFmtId="174" fontId="15" fillId="0" borderId="19" xfId="0" applyNumberFormat="1" applyFont="1" applyBorder="1" applyAlignment="1">
      <alignment horizontal="center"/>
    </xf>
    <xf numFmtId="174" fontId="15" fillId="0" borderId="24" xfId="0" applyNumberFormat="1" applyFont="1" applyBorder="1" applyAlignment="1">
      <alignment horizontal="center"/>
    </xf>
    <xf numFmtId="169" fontId="15" fillId="0" borderId="24" xfId="0" applyNumberFormat="1" applyFont="1" applyBorder="1" applyAlignment="1">
      <alignment horizontal="center"/>
    </xf>
    <xf numFmtId="0" fontId="15" fillId="0" borderId="20" xfId="0" applyFont="1" applyBorder="1"/>
    <xf numFmtId="3" fontId="15" fillId="0" borderId="23" xfId="0" applyNumberFormat="1" applyFont="1" applyBorder="1" applyAlignment="1">
      <alignment horizontal="center"/>
    </xf>
    <xf numFmtId="3" fontId="15" fillId="0" borderId="22" xfId="0" applyNumberFormat="1" applyFont="1" applyBorder="1" applyAlignment="1">
      <alignment horizontal="center"/>
    </xf>
    <xf numFmtId="3" fontId="15" fillId="0" borderId="21" xfId="0" applyNumberFormat="1" applyFont="1" applyBorder="1" applyAlignment="1">
      <alignment horizontal="center"/>
    </xf>
    <xf numFmtId="4" fontId="15" fillId="0" borderId="23" xfId="0" applyNumberFormat="1" applyFont="1" applyBorder="1" applyAlignment="1">
      <alignment horizontal="center"/>
    </xf>
    <xf numFmtId="4" fontId="15" fillId="0" borderId="22" xfId="0" applyNumberFormat="1" applyFont="1" applyBorder="1" applyAlignment="1">
      <alignment horizontal="center"/>
    </xf>
    <xf numFmtId="4" fontId="15" fillId="0" borderId="21" xfId="0" applyNumberFormat="1" applyFont="1" applyBorder="1" applyAlignment="1">
      <alignment horizontal="center"/>
    </xf>
    <xf numFmtId="0" fontId="19" fillId="0" borderId="16" xfId="0" applyFont="1" applyBorder="1"/>
    <xf numFmtId="0" fontId="18" fillId="0" borderId="0" xfId="0" applyFont="1"/>
    <xf numFmtId="3" fontId="15" fillId="0" borderId="13" xfId="0" applyNumberFormat="1" applyFont="1" applyBorder="1" applyAlignment="1">
      <alignment horizontal="centerContinuous"/>
    </xf>
    <xf numFmtId="3" fontId="15" fillId="0" borderId="12" xfId="0" applyNumberFormat="1" applyFont="1" applyBorder="1" applyAlignment="1">
      <alignment horizontal="centerContinuous"/>
    </xf>
    <xf numFmtId="0" fontId="15" fillId="0" borderId="24" xfId="0" applyFont="1" applyBorder="1" applyAlignment="1">
      <alignment horizontal="center"/>
    </xf>
    <xf numFmtId="169" fontId="15" fillId="0" borderId="17" xfId="0" applyNumberFormat="1" applyFont="1" applyBorder="1" applyAlignment="1">
      <alignment horizontal="center"/>
    </xf>
    <xf numFmtId="175" fontId="15" fillId="0" borderId="24" xfId="2" applyNumberFormat="1" applyFont="1" applyBorder="1" applyAlignment="1">
      <alignment horizontal="center"/>
    </xf>
    <xf numFmtId="175" fontId="15" fillId="0" borderId="19" xfId="2" applyNumberFormat="1" applyFont="1" applyBorder="1" applyAlignment="1">
      <alignment horizontal="center"/>
    </xf>
    <xf numFmtId="175" fontId="15" fillId="0" borderId="24" xfId="0" applyNumberFormat="1" applyFont="1" applyBorder="1" applyAlignment="1">
      <alignment horizontal="center"/>
    </xf>
    <xf numFmtId="175" fontId="15" fillId="0" borderId="0" xfId="0" applyNumberFormat="1" applyFont="1" applyAlignment="1">
      <alignment horizontal="center"/>
    </xf>
    <xf numFmtId="175" fontId="15" fillId="0" borderId="19" xfId="0" applyNumberFormat="1" applyFont="1" applyBorder="1" applyAlignment="1">
      <alignment horizontal="center"/>
    </xf>
    <xf numFmtId="169" fontId="15" fillId="0" borderId="20" xfId="0" applyNumberFormat="1" applyFont="1" applyBorder="1" applyAlignment="1">
      <alignment horizontal="center"/>
    </xf>
    <xf numFmtId="175" fontId="15" fillId="0" borderId="23" xfId="2" applyNumberFormat="1" applyFont="1" applyBorder="1" applyAlignment="1">
      <alignment horizontal="center"/>
    </xf>
    <xf numFmtId="175" fontId="15" fillId="0" borderId="22" xfId="2" applyNumberFormat="1" applyFont="1" applyBorder="1" applyAlignment="1">
      <alignment horizontal="center"/>
    </xf>
    <xf numFmtId="175" fontId="15" fillId="0" borderId="21" xfId="2" applyNumberFormat="1" applyFont="1" applyBorder="1" applyAlignment="1">
      <alignment horizontal="center"/>
    </xf>
    <xf numFmtId="175" fontId="15" fillId="0" borderId="23" xfId="0" applyNumberFormat="1" applyFont="1" applyBorder="1" applyAlignment="1">
      <alignment horizontal="center"/>
    </xf>
    <xf numFmtId="175" fontId="15" fillId="0" borderId="22" xfId="0" applyNumberFormat="1" applyFont="1" applyBorder="1" applyAlignment="1">
      <alignment horizontal="center"/>
    </xf>
    <xf numFmtId="175" fontId="15" fillId="0" borderId="21" xfId="0" applyNumberFormat="1" applyFont="1" applyBorder="1" applyAlignment="1">
      <alignment horizontal="center"/>
    </xf>
    <xf numFmtId="175" fontId="15" fillId="0" borderId="25" xfId="2" applyNumberFormat="1" applyFont="1" applyBorder="1" applyAlignment="1">
      <alignment horizontal="center"/>
    </xf>
    <xf numFmtId="175" fontId="15" fillId="0" borderId="13" xfId="2" applyNumberFormat="1" applyFont="1" applyBorder="1" applyAlignment="1">
      <alignment horizontal="center"/>
    </xf>
    <xf numFmtId="175" fontId="15" fillId="0" borderId="12" xfId="2" applyNumberFormat="1" applyFont="1" applyBorder="1" applyAlignment="1">
      <alignment horizontal="center"/>
    </xf>
    <xf numFmtId="175" fontId="15" fillId="0" borderId="25" xfId="0" applyNumberFormat="1" applyFont="1" applyBorder="1" applyAlignment="1">
      <alignment horizontal="center"/>
    </xf>
    <xf numFmtId="175" fontId="15" fillId="0" borderId="13" xfId="0" applyNumberFormat="1" applyFont="1" applyBorder="1" applyAlignment="1">
      <alignment horizontal="center"/>
    </xf>
    <xf numFmtId="175" fontId="15" fillId="0" borderId="12" xfId="0" applyNumberFormat="1" applyFont="1" applyBorder="1" applyAlignment="1">
      <alignment horizontal="center"/>
    </xf>
    <xf numFmtId="175" fontId="15" fillId="0" borderId="26" xfId="2" applyNumberFormat="1" applyFont="1" applyBorder="1" applyAlignment="1">
      <alignment horizontal="center"/>
    </xf>
    <xf numFmtId="175" fontId="15" fillId="0" borderId="16" xfId="2" applyNumberFormat="1" applyFont="1" applyBorder="1" applyAlignment="1">
      <alignment horizontal="center"/>
    </xf>
    <xf numFmtId="175" fontId="15" fillId="0" borderId="15" xfId="2" applyNumberFormat="1" applyFont="1" applyBorder="1" applyAlignment="1">
      <alignment horizontal="center"/>
    </xf>
    <xf numFmtId="175" fontId="15" fillId="0" borderId="26" xfId="0" applyNumberFormat="1" applyFont="1" applyBorder="1" applyAlignment="1">
      <alignment horizontal="center"/>
    </xf>
    <xf numFmtId="175" fontId="15" fillId="0" borderId="16" xfId="0" applyNumberFormat="1" applyFont="1" applyBorder="1" applyAlignment="1">
      <alignment horizontal="center"/>
    </xf>
    <xf numFmtId="175" fontId="15" fillId="0" borderId="15" xfId="0" applyNumberFormat="1" applyFont="1" applyBorder="1" applyAlignment="1">
      <alignment horizontal="center"/>
    </xf>
    <xf numFmtId="44" fontId="15" fillId="0" borderId="25" xfId="3" applyFont="1" applyBorder="1" applyAlignment="1">
      <alignment horizontal="center"/>
    </xf>
    <xf numFmtId="44" fontId="15" fillId="0" borderId="13" xfId="3" applyFont="1" applyBorder="1" applyAlignment="1">
      <alignment horizontal="center"/>
    </xf>
    <xf numFmtId="44" fontId="15" fillId="0" borderId="12" xfId="3" applyFont="1" applyBorder="1" applyAlignment="1">
      <alignment horizontal="center"/>
    </xf>
    <xf numFmtId="44" fontId="15" fillId="0" borderId="26" xfId="3" applyFont="1" applyBorder="1" applyAlignment="1">
      <alignment horizontal="center"/>
    </xf>
    <xf numFmtId="44" fontId="15" fillId="0" borderId="16" xfId="3" applyFont="1" applyBorder="1" applyAlignment="1">
      <alignment horizontal="center"/>
    </xf>
    <xf numFmtId="44" fontId="15" fillId="0" borderId="15" xfId="3" applyFont="1" applyBorder="1" applyAlignment="1">
      <alignment horizontal="center"/>
    </xf>
    <xf numFmtId="0" fontId="18" fillId="0" borderId="0" xfId="0" applyFont="1" applyAlignment="1">
      <alignment horizontal="center"/>
    </xf>
    <xf numFmtId="0" fontId="18" fillId="0" borderId="0" xfId="7" applyFont="1" applyProtection="1">
      <protection locked="0"/>
    </xf>
    <xf numFmtId="169" fontId="20" fillId="0" borderId="0" xfId="7" applyNumberFormat="1" applyFont="1" applyProtection="1">
      <protection locked="0"/>
    </xf>
    <xf numFmtId="0" fontId="19" fillId="0" borderId="11" xfId="0" applyFont="1" applyBorder="1"/>
    <xf numFmtId="0" fontId="21" fillId="0" borderId="11" xfId="0" applyFont="1" applyBorder="1" applyAlignment="1">
      <alignment horizontal="center"/>
    </xf>
    <xf numFmtId="0" fontId="21" fillId="0" borderId="25" xfId="0" applyFont="1" applyBorder="1" applyAlignment="1">
      <alignment horizontal="center"/>
    </xf>
    <xf numFmtId="0" fontId="21" fillId="0" borderId="13" xfId="0" applyFont="1" applyBorder="1" applyAlignment="1">
      <alignment horizontal="center"/>
    </xf>
    <xf numFmtId="0" fontId="21" fillId="0" borderId="12" xfId="0" applyFont="1" applyBorder="1" applyAlignment="1">
      <alignment horizontal="center"/>
    </xf>
    <xf numFmtId="0" fontId="21" fillId="0" borderId="14" xfId="0" applyFont="1" applyBorder="1" applyAlignment="1">
      <alignment horizontal="center"/>
    </xf>
    <xf numFmtId="0" fontId="21" fillId="0" borderId="26" xfId="0" applyFont="1" applyBorder="1" applyAlignment="1">
      <alignment horizontal="center"/>
    </xf>
    <xf numFmtId="0" fontId="21" fillId="0" borderId="16" xfId="0" applyFont="1" applyBorder="1" applyAlignment="1">
      <alignment horizontal="center"/>
    </xf>
    <xf numFmtId="0" fontId="21" fillId="0" borderId="15" xfId="0" applyFont="1" applyBorder="1" applyAlignment="1">
      <alignment horizontal="center"/>
    </xf>
    <xf numFmtId="0" fontId="19" fillId="0" borderId="24" xfId="0" applyFont="1" applyBorder="1" applyAlignment="1">
      <alignment horizontal="center"/>
    </xf>
    <xf numFmtId="168" fontId="19" fillId="0" borderId="25" xfId="1" applyNumberFormat="1" applyFont="1" applyBorder="1" applyAlignment="1">
      <alignment horizontal="center"/>
    </xf>
    <xf numFmtId="168" fontId="19" fillId="0" borderId="13" xfId="1" applyNumberFormat="1" applyFont="1" applyBorder="1" applyAlignment="1">
      <alignment horizontal="center"/>
    </xf>
    <xf numFmtId="2" fontId="19" fillId="0" borderId="25" xfId="1" applyNumberFormat="1" applyFont="1" applyBorder="1" applyAlignment="1">
      <alignment horizontal="center"/>
    </xf>
    <xf numFmtId="2" fontId="19" fillId="0" borderId="13" xfId="1" applyNumberFormat="1" applyFont="1" applyBorder="1" applyAlignment="1">
      <alignment horizontal="center"/>
    </xf>
    <xf numFmtId="2" fontId="19" fillId="0" borderId="24" xfId="1" applyNumberFormat="1" applyFont="1" applyBorder="1" applyAlignment="1">
      <alignment horizontal="center"/>
    </xf>
    <xf numFmtId="2" fontId="19" fillId="0" borderId="19" xfId="1" applyNumberFormat="1" applyFont="1" applyBorder="1" applyAlignment="1">
      <alignment horizontal="center"/>
    </xf>
    <xf numFmtId="43" fontId="19" fillId="0" borderId="11" xfId="2" applyFont="1" applyBorder="1"/>
    <xf numFmtId="168" fontId="19" fillId="0" borderId="24" xfId="1" applyNumberFormat="1" applyFont="1" applyBorder="1" applyAlignment="1">
      <alignment horizontal="center"/>
    </xf>
    <xf numFmtId="168" fontId="19" fillId="0" borderId="0" xfId="1" applyNumberFormat="1" applyFont="1" applyAlignment="1">
      <alignment horizontal="center"/>
    </xf>
    <xf numFmtId="168" fontId="19" fillId="0" borderId="19" xfId="1" applyNumberFormat="1" applyFont="1" applyBorder="1" applyAlignment="1">
      <alignment horizontal="center"/>
    </xf>
    <xf numFmtId="2" fontId="19" fillId="0" borderId="0" xfId="1" applyNumberFormat="1" applyFont="1" applyAlignment="1">
      <alignment horizontal="center"/>
    </xf>
    <xf numFmtId="2" fontId="19" fillId="0" borderId="17" xfId="1" applyNumberFormat="1" applyFont="1" applyBorder="1" applyAlignment="1">
      <alignment horizontal="center"/>
    </xf>
    <xf numFmtId="0" fontId="19" fillId="0" borderId="20" xfId="0" applyFont="1" applyBorder="1" applyAlignment="1">
      <alignment horizontal="center"/>
    </xf>
    <xf numFmtId="168" fontId="19" fillId="0" borderId="23" xfId="1" applyNumberFormat="1" applyFont="1" applyBorder="1" applyAlignment="1">
      <alignment horizontal="center"/>
    </xf>
    <xf numFmtId="168" fontId="19" fillId="0" borderId="22" xfId="1" applyNumberFormat="1" applyFont="1" applyBorder="1" applyAlignment="1">
      <alignment horizontal="center"/>
    </xf>
    <xf numFmtId="2" fontId="19" fillId="0" borderId="23" xfId="1" applyNumberFormat="1" applyFont="1" applyBorder="1" applyAlignment="1">
      <alignment horizontal="center"/>
    </xf>
    <xf numFmtId="2" fontId="19" fillId="0" borderId="22" xfId="1" applyNumberFormat="1" applyFont="1" applyBorder="1" applyAlignment="1">
      <alignment horizontal="center"/>
    </xf>
    <xf numFmtId="2" fontId="19" fillId="0" borderId="21" xfId="1" applyNumberFormat="1" applyFont="1" applyBorder="1" applyAlignment="1">
      <alignment horizontal="center"/>
    </xf>
    <xf numFmtId="2" fontId="19" fillId="0" borderId="20" xfId="1" applyNumberFormat="1" applyFont="1" applyBorder="1" applyAlignment="1">
      <alignment horizontal="center"/>
    </xf>
    <xf numFmtId="3" fontId="22" fillId="0" borderId="0" xfId="0" applyNumberFormat="1" applyFont="1"/>
    <xf numFmtId="3" fontId="0" fillId="0" borderId="0" xfId="0" applyNumberFormat="1"/>
    <xf numFmtId="10" fontId="7" fillId="0" borderId="0" xfId="5" applyNumberFormat="1" applyFont="1"/>
    <xf numFmtId="0" fontId="3" fillId="0" borderId="0" xfId="0" applyFont="1"/>
    <xf numFmtId="0" fontId="16" fillId="0" borderId="0" xfId="0" applyFont="1"/>
    <xf numFmtId="0" fontId="15" fillId="2" borderId="0" xfId="0" applyFont="1" applyFill="1"/>
    <xf numFmtId="2" fontId="15" fillId="0" borderId="0" xfId="0" applyNumberFormat="1" applyFont="1"/>
    <xf numFmtId="2" fontId="2" fillId="0" borderId="0" xfId="0" applyNumberFormat="1" applyFont="1"/>
    <xf numFmtId="43" fontId="2" fillId="0" borderId="0" xfId="2" applyFont="1"/>
    <xf numFmtId="43" fontId="15" fillId="0" borderId="0" xfId="2" applyFont="1"/>
    <xf numFmtId="43" fontId="15" fillId="0" borderId="0" xfId="0" applyNumberFormat="1" applyFont="1"/>
    <xf numFmtId="9" fontId="15" fillId="0" borderId="0" xfId="1" applyFont="1"/>
    <xf numFmtId="168" fontId="15" fillId="0" borderId="0" xfId="0" applyNumberFormat="1" applyFont="1"/>
    <xf numFmtId="168" fontId="2" fillId="0" borderId="0" xfId="0" applyNumberFormat="1" applyFont="1"/>
    <xf numFmtId="9" fontId="15" fillId="0" borderId="0" xfId="0" applyNumberFormat="1" applyFont="1"/>
    <xf numFmtId="168" fontId="16" fillId="0" borderId="0" xfId="0" applyNumberFormat="1" applyFont="1"/>
    <xf numFmtId="10" fontId="15" fillId="0" borderId="0" xfId="0" applyNumberFormat="1" applyFont="1"/>
    <xf numFmtId="168" fontId="15" fillId="0" borderId="0" xfId="1" applyNumberFormat="1" applyFont="1"/>
    <xf numFmtId="10" fontId="15" fillId="0" borderId="0" xfId="1" applyNumberFormat="1" applyFont="1"/>
    <xf numFmtId="172" fontId="15" fillId="0" borderId="0" xfId="1" applyNumberFormat="1" applyFont="1"/>
    <xf numFmtId="0" fontId="21" fillId="0" borderId="0" xfId="0" applyFont="1" applyAlignment="1">
      <alignment horizontal="center" vertical="center" wrapText="1"/>
    </xf>
    <xf numFmtId="0" fontId="19" fillId="0" borderId="0" xfId="0" applyFont="1" applyAlignment="1">
      <alignment vertical="top"/>
    </xf>
    <xf numFmtId="164" fontId="19" fillId="0" borderId="0" xfId="0" applyNumberFormat="1" applyFont="1" applyAlignment="1">
      <alignment horizontal="right" vertical="top"/>
    </xf>
    <xf numFmtId="37" fontId="19" fillId="0" borderId="0" xfId="0" applyNumberFormat="1" applyFont="1" applyAlignment="1">
      <alignment horizontal="right" vertical="top"/>
    </xf>
    <xf numFmtId="0" fontId="19" fillId="0" borderId="45" xfId="0" applyFont="1" applyBorder="1" applyAlignment="1">
      <alignment vertical="top"/>
    </xf>
    <xf numFmtId="37" fontId="19" fillId="0" borderId="45" xfId="0" applyNumberFormat="1" applyFont="1" applyBorder="1" applyAlignment="1">
      <alignment horizontal="right" vertical="top"/>
    </xf>
    <xf numFmtId="164" fontId="19" fillId="0" borderId="45" xfId="0" applyNumberFormat="1" applyFont="1" applyBorder="1" applyAlignment="1">
      <alignment horizontal="right" vertical="top"/>
    </xf>
    <xf numFmtId="0" fontId="19" fillId="0" borderId="0" xfId="0" applyFont="1" applyAlignment="1">
      <alignment horizontal="center" vertical="top"/>
    </xf>
    <xf numFmtId="0" fontId="19" fillId="0" borderId="0" xfId="0" applyFont="1" applyAlignment="1">
      <alignment horizontal="center" vertical="top" wrapText="1"/>
    </xf>
    <xf numFmtId="0" fontId="19" fillId="0" borderId="0" xfId="0" applyFont="1" applyAlignment="1">
      <alignment vertical="top" wrapText="1"/>
    </xf>
    <xf numFmtId="165" fontId="19" fillId="0" borderId="0" xfId="0" applyNumberFormat="1" applyFont="1" applyAlignment="1">
      <alignment horizontal="right" vertical="top"/>
    </xf>
    <xf numFmtId="39" fontId="19" fillId="0" borderId="0" xfId="0" applyNumberFormat="1" applyFont="1" applyAlignment="1">
      <alignment horizontal="right" vertical="top"/>
    </xf>
    <xf numFmtId="0" fontId="21" fillId="0" borderId="0" xfId="0" applyFont="1" applyAlignment="1">
      <alignment vertical="top"/>
    </xf>
    <xf numFmtId="8" fontId="19" fillId="0" borderId="0" xfId="0" applyNumberFormat="1" applyFont="1" applyAlignment="1">
      <alignment vertical="top" wrapText="1"/>
    </xf>
    <xf numFmtId="166" fontId="19" fillId="0" borderId="0" xfId="0" applyNumberFormat="1" applyFont="1" applyAlignment="1">
      <alignment horizontal="right" vertical="top"/>
    </xf>
    <xf numFmtId="167" fontId="19" fillId="0" borderId="0" xfId="0" applyNumberFormat="1" applyFont="1" applyAlignment="1">
      <alignment horizontal="right" vertical="top"/>
    </xf>
    <xf numFmtId="168" fontId="19" fillId="0" borderId="0" xfId="1" applyNumberFormat="1" applyFont="1" applyAlignment="1">
      <alignment horizontal="right" vertical="top"/>
    </xf>
    <xf numFmtId="172" fontId="15" fillId="0" borderId="0" xfId="0" applyNumberFormat="1" applyFont="1"/>
    <xf numFmtId="1" fontId="15" fillId="0" borderId="0" xfId="0" applyNumberFormat="1" applyFont="1"/>
    <xf numFmtId="37" fontId="15" fillId="0" borderId="0" xfId="0" applyNumberFormat="1" applyFont="1"/>
    <xf numFmtId="0" fontId="21" fillId="0" borderId="0" xfId="0" applyFont="1" applyAlignment="1">
      <alignment horizontal="left" vertical="top"/>
    </xf>
    <xf numFmtId="0" fontId="21" fillId="0" borderId="0" xfId="0" applyFont="1" applyAlignment="1">
      <alignment vertical="top" wrapText="1"/>
    </xf>
    <xf numFmtId="0" fontId="21" fillId="0" borderId="0" xfId="0" applyFont="1" applyAlignment="1">
      <alignment horizontal="center" vertical="center"/>
    </xf>
    <xf numFmtId="0" fontId="25" fillId="0" borderId="0" xfId="0" applyFont="1"/>
    <xf numFmtId="0" fontId="15" fillId="0" borderId="5" xfId="0" applyFont="1" applyBorder="1"/>
    <xf numFmtId="168" fontId="15" fillId="0" borderId="0" xfId="0" applyNumberFormat="1" applyFont="1" applyAlignment="1">
      <alignment horizontal="right"/>
    </xf>
    <xf numFmtId="168" fontId="15" fillId="0" borderId="6" xfId="0" applyNumberFormat="1" applyFont="1" applyBorder="1"/>
    <xf numFmtId="0" fontId="15" fillId="0" borderId="7" xfId="0" applyFont="1" applyBorder="1"/>
    <xf numFmtId="0" fontId="15" fillId="0" borderId="6" xfId="0" applyFont="1" applyBorder="1"/>
    <xf numFmtId="43" fontId="16" fillId="0" borderId="0" xfId="0" applyNumberFormat="1" applyFont="1"/>
    <xf numFmtId="2" fontId="15" fillId="0" borderId="6" xfId="0" applyNumberFormat="1" applyFont="1" applyBorder="1"/>
    <xf numFmtId="0" fontId="15" fillId="0" borderId="7" xfId="0" applyFont="1" applyBorder="1" applyAlignment="1">
      <alignment horizontal="left"/>
    </xf>
    <xf numFmtId="2" fontId="15" fillId="0" borderId="0" xfId="0" applyNumberFormat="1" applyFont="1" applyAlignment="1">
      <alignment horizontal="right"/>
    </xf>
    <xf numFmtId="0" fontId="15" fillId="0" borderId="7" xfId="0" quotePrefix="1" applyFont="1" applyBorder="1"/>
    <xf numFmtId="0" fontId="15" fillId="0" borderId="8" xfId="0" applyFont="1" applyBorder="1"/>
    <xf numFmtId="2" fontId="15" fillId="0" borderId="9" xfId="0" applyNumberFormat="1" applyFont="1" applyBorder="1"/>
    <xf numFmtId="2" fontId="15" fillId="0" borderId="9" xfId="0" applyNumberFormat="1" applyFont="1" applyBorder="1" applyAlignment="1">
      <alignment horizontal="right"/>
    </xf>
    <xf numFmtId="0" fontId="15" fillId="0" borderId="10" xfId="0" quotePrefix="1" applyFont="1" applyBorder="1"/>
    <xf numFmtId="164" fontId="19" fillId="4" borderId="0" xfId="0" applyNumberFormat="1" applyFont="1" applyFill="1" applyAlignment="1">
      <alignment horizontal="right" vertical="top"/>
    </xf>
    <xf numFmtId="37" fontId="21" fillId="0" borderId="0" xfId="0" applyNumberFormat="1" applyFont="1" applyAlignment="1">
      <alignment horizontal="right" vertical="top"/>
    </xf>
    <xf numFmtId="37" fontId="16" fillId="0" borderId="0" xfId="0" applyNumberFormat="1" applyFont="1"/>
    <xf numFmtId="3" fontId="21" fillId="0" borderId="0" xfId="0" applyNumberFormat="1" applyFont="1" applyAlignment="1">
      <alignment vertical="top" wrapText="1"/>
    </xf>
    <xf numFmtId="10" fontId="19" fillId="0" borderId="0" xfId="1" applyNumberFormat="1" applyFont="1" applyAlignment="1">
      <alignment horizontal="right" vertical="top"/>
    </xf>
    <xf numFmtId="0" fontId="2" fillId="0" borderId="0" xfId="0" quotePrefix="1" applyFont="1"/>
    <xf numFmtId="177" fontId="15" fillId="0" borderId="0" xfId="0" applyNumberFormat="1" applyFont="1"/>
    <xf numFmtId="168" fontId="16" fillId="0" borderId="0" xfId="1" applyNumberFormat="1" applyFont="1"/>
    <xf numFmtId="176" fontId="15" fillId="0" borderId="0" xfId="2" applyNumberFormat="1" applyFont="1"/>
    <xf numFmtId="0" fontId="15" fillId="4" borderId="0" xfId="0" applyFont="1" applyFill="1"/>
    <xf numFmtId="1" fontId="15" fillId="4" borderId="0" xfId="0" applyNumberFormat="1" applyFont="1" applyFill="1"/>
    <xf numFmtId="0" fontId="21" fillId="0" borderId="0" xfId="0" applyFont="1"/>
    <xf numFmtId="0" fontId="28" fillId="0" borderId="0" xfId="0" applyFont="1"/>
    <xf numFmtId="0" fontId="30" fillId="0" borderId="0" xfId="0" applyFont="1"/>
    <xf numFmtId="0" fontId="19" fillId="0" borderId="30" xfId="0" applyFont="1" applyBorder="1"/>
    <xf numFmtId="0" fontId="32" fillId="0" borderId="0" xfId="0" applyFont="1"/>
    <xf numFmtId="0" fontId="33" fillId="0" borderId="31" xfId="4" applyFont="1" applyBorder="1"/>
    <xf numFmtId="0" fontId="2" fillId="0" borderId="31" xfId="0" applyFont="1" applyBorder="1"/>
    <xf numFmtId="10" fontId="21" fillId="0" borderId="0" xfId="0" applyNumberFormat="1" applyFont="1"/>
    <xf numFmtId="0" fontId="19" fillId="0" borderId="31" xfId="0" applyFont="1" applyBorder="1"/>
    <xf numFmtId="0" fontId="21" fillId="0" borderId="30" xfId="0" applyFont="1" applyBorder="1"/>
    <xf numFmtId="2" fontId="21" fillId="0" borderId="0" xfId="0" applyNumberFormat="1" applyFont="1"/>
    <xf numFmtId="4" fontId="21" fillId="0" borderId="0" xfId="0" applyNumberFormat="1" applyFont="1"/>
    <xf numFmtId="0" fontId="19" fillId="0" borderId="32" xfId="0" applyFont="1" applyBorder="1"/>
    <xf numFmtId="0" fontId="21" fillId="0" borderId="33" xfId="0" applyFont="1" applyBorder="1"/>
    <xf numFmtId="0" fontId="19" fillId="0" borderId="33" xfId="0" applyFont="1" applyBorder="1"/>
    <xf numFmtId="10" fontId="21" fillId="0" borderId="33" xfId="0" applyNumberFormat="1" applyFont="1" applyBorder="1"/>
    <xf numFmtId="0" fontId="19" fillId="0" borderId="34" xfId="0" applyFont="1" applyBorder="1"/>
    <xf numFmtId="43" fontId="13" fillId="0" borderId="0" xfId="2" applyFont="1"/>
    <xf numFmtId="0" fontId="15" fillId="0" borderId="16" xfId="0" applyFont="1" applyBorder="1" applyAlignment="1">
      <alignment horizontal="right"/>
    </xf>
    <xf numFmtId="0" fontId="19" fillId="0" borderId="16" xfId="0" applyFont="1" applyBorder="1" applyAlignment="1">
      <alignment horizontal="center" vertical="center" wrapText="1"/>
    </xf>
    <xf numFmtId="37" fontId="19" fillId="0" borderId="16" xfId="0" applyNumberFormat="1" applyFont="1" applyBorder="1" applyAlignment="1">
      <alignment horizontal="right" vertical="top"/>
    </xf>
    <xf numFmtId="10" fontId="24" fillId="2" borderId="0" xfId="0" applyNumberFormat="1" applyFont="1" applyFill="1"/>
    <xf numFmtId="168" fontId="15" fillId="0" borderId="0" xfId="0" applyNumberFormat="1" applyFont="1" applyAlignment="1">
      <alignment horizontal="left" indent="2"/>
    </xf>
    <xf numFmtId="37" fontId="36" fillId="0" borderId="0" xfId="4" applyNumberFormat="1" applyFont="1"/>
    <xf numFmtId="0" fontId="37" fillId="0" borderId="0" xfId="0" applyFont="1"/>
    <xf numFmtId="0" fontId="38" fillId="6" borderId="47" xfId="0" applyFont="1" applyFill="1" applyBorder="1"/>
    <xf numFmtId="0" fontId="39" fillId="6" borderId="47" xfId="0" applyFont="1" applyFill="1" applyBorder="1"/>
    <xf numFmtId="0" fontId="40" fillId="0" borderId="19" xfId="0" applyFont="1" applyBorder="1"/>
    <xf numFmtId="0" fontId="40" fillId="0" borderId="24" xfId="0" applyFont="1" applyBorder="1"/>
    <xf numFmtId="0" fontId="40" fillId="0" borderId="26" xfId="0" applyFont="1" applyBorder="1"/>
    <xf numFmtId="0" fontId="40" fillId="0" borderId="15" xfId="0" applyFont="1" applyBorder="1"/>
    <xf numFmtId="0" fontId="40" fillId="0" borderId="0" xfId="0" applyFont="1"/>
    <xf numFmtId="0" fontId="38" fillId="6" borderId="46" xfId="0" applyFont="1" applyFill="1" applyBorder="1"/>
    <xf numFmtId="0" fontId="37" fillId="0" borderId="29" xfId="0" applyFont="1" applyBorder="1"/>
    <xf numFmtId="2" fontId="37" fillId="0" borderId="31" xfId="0" applyNumberFormat="1" applyFont="1" applyBorder="1"/>
    <xf numFmtId="0" fontId="38" fillId="6" borderId="48" xfId="0" applyFont="1" applyFill="1" applyBorder="1"/>
    <xf numFmtId="0" fontId="40" fillId="7" borderId="25" xfId="0" applyFont="1" applyFill="1" applyBorder="1"/>
    <xf numFmtId="0" fontId="37" fillId="8" borderId="12" xfId="0" applyFont="1" applyFill="1" applyBorder="1"/>
    <xf numFmtId="0" fontId="40" fillId="8" borderId="26" xfId="0" applyFont="1" applyFill="1" applyBorder="1"/>
    <xf numFmtId="10" fontId="40" fillId="7" borderId="16" xfId="0" applyNumberFormat="1" applyFont="1" applyFill="1" applyBorder="1"/>
    <xf numFmtId="0" fontId="40" fillId="8" borderId="15" xfId="0" applyFont="1" applyFill="1" applyBorder="1"/>
    <xf numFmtId="0" fontId="14" fillId="6" borderId="0" xfId="5" applyFont="1" applyFill="1" applyAlignment="1">
      <alignment horizontal="centerContinuous"/>
    </xf>
    <xf numFmtId="169" fontId="14" fillId="6" borderId="0" xfId="5" applyNumberFormat="1" applyFont="1" applyFill="1" applyAlignment="1">
      <alignment horizontal="centerContinuous"/>
    </xf>
    <xf numFmtId="169" fontId="9" fillId="6" borderId="0" xfId="5" applyNumberFormat="1" applyFont="1" applyFill="1" applyAlignment="1">
      <alignment horizontal="center"/>
    </xf>
    <xf numFmtId="169" fontId="8" fillId="8" borderId="27" xfId="5" applyNumberFormat="1" applyFont="1" applyFill="1" applyBorder="1" applyAlignment="1">
      <alignment horizontal="center"/>
    </xf>
    <xf numFmtId="169" fontId="8" fillId="8" borderId="28" xfId="5" applyNumberFormat="1" applyFont="1" applyFill="1" applyBorder="1" applyAlignment="1">
      <alignment horizontal="center"/>
    </xf>
    <xf numFmtId="169" fontId="8" fillId="8" borderId="29" xfId="5" applyNumberFormat="1" applyFont="1" applyFill="1" applyBorder="1" applyAlignment="1">
      <alignment horizontal="center"/>
    </xf>
    <xf numFmtId="169" fontId="8" fillId="8" borderId="30" xfId="5" applyNumberFormat="1" applyFont="1" applyFill="1" applyBorder="1" applyAlignment="1">
      <alignment horizontal="center"/>
    </xf>
    <xf numFmtId="169" fontId="8" fillId="8" borderId="31" xfId="5" applyNumberFormat="1" applyFont="1" applyFill="1" applyBorder="1" applyAlignment="1">
      <alignment horizontal="center"/>
    </xf>
    <xf numFmtId="169" fontId="8" fillId="8" borderId="32" xfId="5" applyNumberFormat="1" applyFont="1" applyFill="1" applyBorder="1" applyAlignment="1">
      <alignment horizontal="center"/>
    </xf>
    <xf numFmtId="169" fontId="8" fillId="8" borderId="33" xfId="5" applyNumberFormat="1" applyFont="1" applyFill="1" applyBorder="1" applyAlignment="1">
      <alignment horizontal="center"/>
    </xf>
    <xf numFmtId="169" fontId="8" fillId="8" borderId="34" xfId="5" applyNumberFormat="1" applyFont="1" applyFill="1" applyBorder="1" applyAlignment="1">
      <alignment horizontal="center"/>
    </xf>
    <xf numFmtId="169" fontId="8" fillId="2" borderId="40" xfId="5" applyNumberFormat="1" applyFont="1" applyFill="1" applyBorder="1" applyAlignment="1">
      <alignment horizontal="center"/>
    </xf>
    <xf numFmtId="169" fontId="8" fillId="2" borderId="0" xfId="5" applyNumberFormat="1" applyFont="1" applyFill="1" applyAlignment="1">
      <alignment horizontal="center"/>
    </xf>
    <xf numFmtId="169" fontId="8" fillId="2" borderId="38" xfId="5" applyNumberFormat="1" applyFont="1" applyFill="1" applyBorder="1" applyAlignment="1">
      <alignment horizontal="center"/>
    </xf>
    <xf numFmtId="169" fontId="8" fillId="2" borderId="41" xfId="5" applyNumberFormat="1" applyFont="1" applyFill="1" applyBorder="1" applyAlignment="1">
      <alignment horizontal="center"/>
    </xf>
    <xf numFmtId="169" fontId="8" fillId="2" borderId="43" xfId="5" applyNumberFormat="1" applyFont="1" applyFill="1" applyBorder="1" applyAlignment="1">
      <alignment horizontal="center"/>
    </xf>
    <xf numFmtId="0" fontId="35" fillId="6" borderId="25" xfId="0" applyFont="1" applyFill="1" applyBorder="1"/>
    <xf numFmtId="0" fontId="35" fillId="6" borderId="26" xfId="0" applyFont="1" applyFill="1" applyBorder="1"/>
    <xf numFmtId="0" fontId="14" fillId="6" borderId="49" xfId="5" applyFont="1" applyFill="1" applyBorder="1" applyAlignment="1">
      <alignment horizontal="centerContinuous"/>
    </xf>
    <xf numFmtId="0" fontId="14" fillId="6" borderId="50" xfId="5" applyFont="1" applyFill="1" applyBorder="1" applyAlignment="1">
      <alignment horizontal="centerContinuous"/>
    </xf>
    <xf numFmtId="0" fontId="14" fillId="6" borderId="51" xfId="5" applyFont="1" applyFill="1" applyBorder="1" applyAlignment="1">
      <alignment horizontal="centerContinuous"/>
    </xf>
    <xf numFmtId="178" fontId="41" fillId="0" borderId="19" xfId="0" applyNumberFormat="1" applyFont="1" applyBorder="1"/>
    <xf numFmtId="178" fontId="41" fillId="0" borderId="16" xfId="0" applyNumberFormat="1" applyFont="1" applyBorder="1"/>
    <xf numFmtId="178" fontId="41" fillId="0" borderId="27" xfId="0" applyNumberFormat="1" applyFont="1" applyBorder="1"/>
    <xf numFmtId="178" fontId="41" fillId="0" borderId="28" xfId="0" applyNumberFormat="1" applyFont="1" applyBorder="1"/>
    <xf numFmtId="178" fontId="41" fillId="0" borderId="29" xfId="0" applyNumberFormat="1" applyFont="1" applyBorder="1"/>
    <xf numFmtId="178" fontId="41" fillId="0" borderId="30" xfId="0" applyNumberFormat="1" applyFont="1" applyBorder="1"/>
    <xf numFmtId="178" fontId="41" fillId="0" borderId="31" xfId="0" applyNumberFormat="1" applyFont="1" applyBorder="1"/>
    <xf numFmtId="178" fontId="41" fillId="0" borderId="32" xfId="0" applyNumberFormat="1" applyFont="1" applyBorder="1"/>
    <xf numFmtId="178" fontId="41" fillId="0" borderId="33" xfId="0" applyNumberFormat="1" applyFont="1" applyBorder="1"/>
    <xf numFmtId="178" fontId="41" fillId="0" borderId="34" xfId="0" applyNumberFormat="1" applyFont="1" applyBorder="1"/>
    <xf numFmtId="10" fontId="37" fillId="0" borderId="31" xfId="1" applyNumberFormat="1" applyFont="1" applyBorder="1"/>
    <xf numFmtId="10" fontId="37" fillId="0" borderId="34" xfId="1" applyNumberFormat="1" applyFont="1" applyBorder="1"/>
    <xf numFmtId="174" fontId="19" fillId="0" borderId="13" xfId="2" applyNumberFormat="1" applyFont="1" applyBorder="1" applyAlignment="1"/>
    <xf numFmtId="174" fontId="19" fillId="0" borderId="0" xfId="2" applyNumberFormat="1" applyFont="1" applyBorder="1" applyAlignment="1"/>
    <xf numFmtId="8" fontId="19" fillId="0" borderId="11" xfId="2" applyNumberFormat="1" applyFont="1" applyBorder="1" applyAlignment="1"/>
    <xf numFmtId="10" fontId="19" fillId="0" borderId="0" xfId="1" applyNumberFormat="1" applyFont="1" applyBorder="1"/>
    <xf numFmtId="174" fontId="19" fillId="0" borderId="0" xfId="2" applyNumberFormat="1" applyFont="1" applyFill="1" applyBorder="1" applyAlignment="1"/>
    <xf numFmtId="8" fontId="19" fillId="0" borderId="17" xfId="2" applyNumberFormat="1" applyFont="1" applyBorder="1" applyAlignment="1"/>
    <xf numFmtId="169" fontId="19" fillId="0" borderId="0" xfId="0" quotePrefix="1" applyNumberFormat="1" applyFont="1"/>
    <xf numFmtId="173" fontId="19" fillId="0" borderId="0" xfId="2" applyNumberFormat="1" applyFont="1" applyFill="1" applyBorder="1" applyAlignment="1"/>
    <xf numFmtId="174" fontId="19" fillId="0" borderId="22" xfId="2" applyNumberFormat="1" applyFont="1" applyBorder="1" applyAlignment="1"/>
    <xf numFmtId="8" fontId="19" fillId="0" borderId="20" xfId="2" applyNumberFormat="1" applyFont="1" applyBorder="1" applyAlignment="1"/>
    <xf numFmtId="174" fontId="15" fillId="0" borderId="0" xfId="0" quotePrefix="1" applyNumberFormat="1" applyFont="1" applyAlignment="1">
      <alignment horizontal="center"/>
    </xf>
    <xf numFmtId="0" fontId="15" fillId="0" borderId="0" xfId="0" quotePrefix="1" applyFont="1"/>
    <xf numFmtId="168" fontId="15" fillId="0" borderId="20" xfId="1" applyNumberFormat="1" applyFont="1" applyFill="1" applyBorder="1" applyAlignment="1">
      <alignment horizontal="center"/>
    </xf>
    <xf numFmtId="175" fontId="15" fillId="0" borderId="0" xfId="2" applyNumberFormat="1" applyFont="1" applyBorder="1" applyAlignment="1">
      <alignment horizontal="center"/>
    </xf>
    <xf numFmtId="168" fontId="19" fillId="0" borderId="0" xfId="1" applyNumberFormat="1" applyFont="1" applyBorder="1" applyAlignment="1">
      <alignment horizontal="center"/>
    </xf>
    <xf numFmtId="2" fontId="19" fillId="0" borderId="0" xfId="1" applyNumberFormat="1" applyFont="1" applyBorder="1" applyAlignment="1">
      <alignment horizontal="center"/>
    </xf>
    <xf numFmtId="0" fontId="2" fillId="3" borderId="18" xfId="0" applyFont="1" applyFill="1" applyBorder="1" applyAlignment="1">
      <alignment horizontal="center"/>
    </xf>
    <xf numFmtId="0" fontId="19" fillId="9" borderId="17" xfId="0" applyFont="1" applyFill="1" applyBorder="1" applyAlignment="1">
      <alignment horizontal="center"/>
    </xf>
    <xf numFmtId="179" fontId="7" fillId="0" borderId="28" xfId="5" applyNumberFormat="1" applyFont="1" applyBorder="1"/>
    <xf numFmtId="0" fontId="27" fillId="10" borderId="27" xfId="0" applyFont="1" applyFill="1" applyBorder="1"/>
    <xf numFmtId="0" fontId="31" fillId="10" borderId="27" xfId="0" applyFont="1" applyFill="1" applyBorder="1"/>
    <xf numFmtId="0" fontId="31" fillId="10" borderId="28" xfId="0" applyFont="1" applyFill="1" applyBorder="1"/>
    <xf numFmtId="0" fontId="27" fillId="10" borderId="28" xfId="0" applyFont="1" applyFill="1" applyBorder="1"/>
    <xf numFmtId="0" fontId="27" fillId="10" borderId="29" xfId="0" applyFont="1" applyFill="1" applyBorder="1"/>
    <xf numFmtId="0" fontId="27" fillId="10" borderId="30" xfId="0" applyFont="1" applyFill="1" applyBorder="1"/>
    <xf numFmtId="0" fontId="27" fillId="10" borderId="0" xfId="0" applyFont="1" applyFill="1"/>
    <xf numFmtId="0" fontId="31" fillId="10" borderId="0" xfId="0" applyFont="1" applyFill="1"/>
    <xf numFmtId="0" fontId="31" fillId="10" borderId="31" xfId="0" applyFont="1" applyFill="1" applyBorder="1"/>
    <xf numFmtId="0" fontId="21" fillId="8" borderId="0" xfId="0" applyFont="1" applyFill="1"/>
    <xf numFmtId="0" fontId="19" fillId="8" borderId="0" xfId="0" applyFont="1" applyFill="1"/>
    <xf numFmtId="10" fontId="21" fillId="8" borderId="0" xfId="0" applyNumberFormat="1" applyFont="1" applyFill="1"/>
    <xf numFmtId="10" fontId="28" fillId="7" borderId="0" xfId="0" applyNumberFormat="1" applyFont="1" applyFill="1"/>
    <xf numFmtId="8" fontId="28" fillId="7" borderId="0" xfId="0" applyNumberFormat="1" applyFont="1" applyFill="1"/>
    <xf numFmtId="0" fontId="28" fillId="7" borderId="0" xfId="0" applyFont="1" applyFill="1"/>
    <xf numFmtId="172" fontId="28" fillId="7" borderId="0" xfId="0" applyNumberFormat="1" applyFont="1" applyFill="1"/>
    <xf numFmtId="0" fontId="17" fillId="6" borderId="0" xfId="0" applyFont="1" applyFill="1"/>
    <xf numFmtId="0" fontId="18" fillId="6" borderId="0" xfId="0" applyFont="1" applyFill="1" applyAlignment="1">
      <alignment horizontal="center"/>
    </xf>
    <xf numFmtId="0" fontId="18" fillId="6" borderId="0" xfId="0" applyFont="1" applyFill="1"/>
    <xf numFmtId="0" fontId="16" fillId="11" borderId="0" xfId="0" applyFont="1" applyFill="1"/>
    <xf numFmtId="168" fontId="42" fillId="8" borderId="12" xfId="0" applyNumberFormat="1" applyFont="1" applyFill="1" applyBorder="1"/>
    <xf numFmtId="168" fontId="42" fillId="8" borderId="15" xfId="0" applyNumberFormat="1" applyFont="1" applyFill="1" applyBorder="1"/>
    <xf numFmtId="168" fontId="29" fillId="0" borderId="0" xfId="0" applyNumberFormat="1" applyFont="1"/>
    <xf numFmtId="168" fontId="29" fillId="0" borderId="0" xfId="1" applyNumberFormat="1" applyFont="1"/>
    <xf numFmtId="0" fontId="3" fillId="8" borderId="0" xfId="0" applyFont="1" applyFill="1"/>
    <xf numFmtId="0" fontId="2" fillId="8" borderId="0" xfId="0" applyFont="1" applyFill="1"/>
    <xf numFmtId="4" fontId="2" fillId="8" borderId="0" xfId="0" applyNumberFormat="1" applyFont="1" applyFill="1"/>
    <xf numFmtId="168" fontId="15" fillId="8" borderId="0" xfId="1" applyNumberFormat="1" applyFont="1" applyFill="1"/>
    <xf numFmtId="168" fontId="15" fillId="8" borderId="0" xfId="0" applyNumberFormat="1" applyFont="1" applyFill="1"/>
    <xf numFmtId="0" fontId="15" fillId="8" borderId="0" xfId="0" applyFont="1" applyFill="1"/>
    <xf numFmtId="0" fontId="16" fillId="8" borderId="0" xfId="0" applyFont="1" applyFill="1"/>
    <xf numFmtId="168" fontId="16" fillId="8" borderId="0" xfId="0" applyNumberFormat="1" applyFont="1" applyFill="1"/>
    <xf numFmtId="2" fontId="2" fillId="8" borderId="0" xfId="0" applyNumberFormat="1" applyFont="1" applyFill="1"/>
    <xf numFmtId="0" fontId="17" fillId="6" borderId="0" xfId="0" applyFont="1" applyFill="1" applyAlignment="1">
      <alignment horizontal="center" vertical="center" wrapText="1"/>
    </xf>
    <xf numFmtId="0" fontId="16" fillId="11" borderId="0" xfId="0" applyFont="1" applyFill="1" applyAlignment="1">
      <alignment horizontal="center" vertical="center" wrapText="1"/>
    </xf>
    <xf numFmtId="0" fontId="17" fillId="12" borderId="0" xfId="0" applyFont="1" applyFill="1"/>
    <xf numFmtId="3" fontId="15" fillId="8" borderId="0" xfId="0" applyNumberFormat="1" applyFont="1" applyFill="1"/>
    <xf numFmtId="3" fontId="2" fillId="8" borderId="45" xfId="0" applyNumberFormat="1" applyFont="1" applyFill="1" applyBorder="1"/>
    <xf numFmtId="3" fontId="15" fillId="8" borderId="45" xfId="0" applyNumberFormat="1" applyFont="1" applyFill="1" applyBorder="1"/>
    <xf numFmtId="10" fontId="15" fillId="8" borderId="0" xfId="0" applyNumberFormat="1" applyFont="1" applyFill="1"/>
    <xf numFmtId="172" fontId="15" fillId="8" borderId="0" xfId="1" applyNumberFormat="1" applyFont="1" applyFill="1"/>
    <xf numFmtId="10" fontId="15" fillId="8" borderId="0" xfId="1" applyNumberFormat="1" applyFont="1" applyFill="1"/>
    <xf numFmtId="168" fontId="19" fillId="8" borderId="0" xfId="1" applyNumberFormat="1" applyFont="1" applyFill="1" applyAlignment="1">
      <alignment horizontal="right" vertical="top"/>
    </xf>
    <xf numFmtId="37" fontId="19" fillId="8" borderId="0" xfId="0" applyNumberFormat="1" applyFont="1" applyFill="1" applyAlignment="1">
      <alignment horizontal="right" vertical="top"/>
    </xf>
    <xf numFmtId="164" fontId="19" fillId="8" borderId="0" xfId="0" applyNumberFormat="1" applyFont="1" applyFill="1" applyAlignment="1">
      <alignment horizontal="right" vertical="top"/>
    </xf>
    <xf numFmtId="165" fontId="19" fillId="8" borderId="0" xfId="0" applyNumberFormat="1" applyFont="1" applyFill="1" applyAlignment="1">
      <alignment horizontal="right" vertical="top"/>
    </xf>
    <xf numFmtId="8" fontId="19" fillId="8" borderId="0" xfId="0" applyNumberFormat="1" applyFont="1" applyFill="1" applyAlignment="1">
      <alignment vertical="top" wrapText="1"/>
    </xf>
    <xf numFmtId="0" fontId="19" fillId="8" borderId="0" xfId="0" applyFont="1" applyFill="1" applyAlignment="1">
      <alignment vertical="top" wrapText="1"/>
    </xf>
    <xf numFmtId="39" fontId="19" fillId="8" borderId="0" xfId="0" applyNumberFormat="1" applyFont="1" applyFill="1" applyAlignment="1">
      <alignment horizontal="right" vertical="top"/>
    </xf>
    <xf numFmtId="166" fontId="19" fillId="8" borderId="0" xfId="0" applyNumberFormat="1" applyFont="1" applyFill="1" applyAlignment="1">
      <alignment horizontal="right" vertical="top"/>
    </xf>
    <xf numFmtId="167" fontId="19" fillId="8" borderId="0" xfId="0" applyNumberFormat="1" applyFont="1" applyFill="1" applyAlignment="1">
      <alignment horizontal="right" vertical="top"/>
    </xf>
    <xf numFmtId="0" fontId="19" fillId="8" borderId="0" xfId="0" applyFont="1" applyFill="1" applyAlignment="1">
      <alignment vertical="top"/>
    </xf>
    <xf numFmtId="0" fontId="19" fillId="8" borderId="0" xfId="0" applyFont="1" applyFill="1" applyAlignment="1">
      <alignment horizontal="center" vertical="center" wrapText="1"/>
    </xf>
    <xf numFmtId="10" fontId="24" fillId="8" borderId="0" xfId="0" applyNumberFormat="1" applyFont="1" applyFill="1"/>
    <xf numFmtId="0" fontId="24" fillId="8" borderId="0" xfId="0" applyFont="1" applyFill="1"/>
    <xf numFmtId="9" fontId="15" fillId="8" borderId="0" xfId="0" applyNumberFormat="1" applyFont="1" applyFill="1"/>
    <xf numFmtId="10" fontId="29" fillId="0" borderId="0" xfId="0" applyNumberFormat="1" applyFont="1"/>
    <xf numFmtId="10" fontId="29" fillId="0" borderId="0" xfId="1" applyNumberFormat="1" applyFont="1"/>
    <xf numFmtId="0" fontId="15" fillId="11" borderId="0" xfId="0" applyFont="1" applyFill="1"/>
    <xf numFmtId="0" fontId="18" fillId="6" borderId="0" xfId="0" applyFont="1" applyFill="1" applyAlignment="1">
      <alignment horizontal="center" vertical="center" wrapText="1"/>
    </xf>
    <xf numFmtId="37" fontId="19" fillId="0" borderId="0" xfId="0" applyNumberFormat="1" applyFont="1" applyAlignment="1">
      <alignment horizontal="left" vertical="top"/>
    </xf>
    <xf numFmtId="37" fontId="21" fillId="0" borderId="0" xfId="0" applyNumberFormat="1" applyFont="1" applyAlignment="1">
      <alignment horizontal="left" vertical="top"/>
    </xf>
    <xf numFmtId="0" fontId="19" fillId="0" borderId="0" xfId="0" applyFont="1" applyAlignment="1">
      <alignment horizontal="left" vertical="top"/>
    </xf>
    <xf numFmtId="9" fontId="29" fillId="0" borderId="0" xfId="0" applyNumberFormat="1" applyFont="1"/>
    <xf numFmtId="0" fontId="17" fillId="10" borderId="0" xfId="0" applyFont="1" applyFill="1"/>
    <xf numFmtId="0" fontId="17" fillId="6" borderId="0" xfId="0" applyFont="1" applyFill="1" applyAlignment="1">
      <alignment vertical="top"/>
    </xf>
    <xf numFmtId="0" fontId="19" fillId="8" borderId="16" xfId="0" applyFont="1" applyFill="1" applyBorder="1" applyAlignment="1">
      <alignment horizontal="center" vertical="center" wrapText="1"/>
    </xf>
    <xf numFmtId="37" fontId="21" fillId="8" borderId="0" xfId="0" applyNumberFormat="1" applyFont="1" applyFill="1" applyAlignment="1">
      <alignment horizontal="right" vertical="top"/>
    </xf>
    <xf numFmtId="3" fontId="21" fillId="8" borderId="0" xfId="0" applyNumberFormat="1" applyFont="1" applyFill="1" applyAlignment="1">
      <alignment vertical="top" wrapText="1"/>
    </xf>
    <xf numFmtId="10" fontId="19" fillId="8" borderId="0" xfId="1" applyNumberFormat="1" applyFont="1" applyFill="1" applyAlignment="1">
      <alignment horizontal="right" vertical="top"/>
    </xf>
    <xf numFmtId="10" fontId="19" fillId="8" borderId="0" xfId="1" applyNumberFormat="1" applyFont="1" applyFill="1" applyAlignment="1">
      <alignment vertical="top" wrapText="1"/>
    </xf>
    <xf numFmtId="3" fontId="19" fillId="8" borderId="0" xfId="0" applyNumberFormat="1" applyFont="1" applyFill="1" applyAlignment="1">
      <alignment vertical="top" wrapText="1"/>
    </xf>
    <xf numFmtId="177" fontId="19" fillId="8" borderId="0" xfId="0" applyNumberFormat="1" applyFont="1" applyFill="1" applyAlignment="1">
      <alignment vertical="top" wrapText="1"/>
    </xf>
    <xf numFmtId="0" fontId="21" fillId="8" borderId="0" xfId="0" applyFont="1" applyFill="1" applyAlignment="1">
      <alignment vertical="top"/>
    </xf>
    <xf numFmtId="0" fontId="21" fillId="8" borderId="0" xfId="0" applyFont="1" applyFill="1" applyAlignment="1">
      <alignment horizontal="left" vertical="top"/>
    </xf>
    <xf numFmtId="9" fontId="19" fillId="8" borderId="0" xfId="1" applyFont="1" applyFill="1" applyAlignment="1">
      <alignment horizontal="right" vertical="top"/>
    </xf>
    <xf numFmtId="168" fontId="15" fillId="0" borderId="0" xfId="1" applyNumberFormat="1" applyFont="1" applyFill="1"/>
    <xf numFmtId="0" fontId="43" fillId="8" borderId="0" xfId="0" applyFont="1" applyFill="1"/>
    <xf numFmtId="37" fontId="43" fillId="8" borderId="0" xfId="0" applyNumberFormat="1" applyFont="1" applyFill="1"/>
    <xf numFmtId="0" fontId="17" fillId="12" borderId="1" xfId="0" applyFont="1" applyFill="1" applyBorder="1"/>
    <xf numFmtId="0" fontId="17" fillId="12" borderId="2" xfId="0" applyFont="1" applyFill="1" applyBorder="1"/>
    <xf numFmtId="0" fontId="17" fillId="12" borderId="2" xfId="0" applyFont="1" applyFill="1" applyBorder="1" applyAlignment="1">
      <alignment horizontal="center"/>
    </xf>
    <xf numFmtId="0" fontId="17" fillId="12" borderId="3" xfId="0" applyFont="1" applyFill="1" applyBorder="1" applyAlignment="1">
      <alignment horizontal="center"/>
    </xf>
    <xf numFmtId="0" fontId="18" fillId="12" borderId="2" xfId="0" applyFont="1" applyFill="1" applyBorder="1" applyAlignment="1">
      <alignment horizontal="center"/>
    </xf>
    <xf numFmtId="0" fontId="18" fillId="12" borderId="4" xfId="0" applyFont="1" applyFill="1" applyBorder="1" applyAlignment="1">
      <alignment horizontal="left"/>
    </xf>
    <xf numFmtId="0" fontId="26" fillId="13" borderId="5" xfId="0" applyFont="1" applyFill="1" applyBorder="1"/>
    <xf numFmtId="0" fontId="26" fillId="13" borderId="0" xfId="0" applyFont="1" applyFill="1"/>
    <xf numFmtId="0" fontId="26" fillId="13" borderId="6" xfId="0" applyFont="1" applyFill="1" applyBorder="1"/>
    <xf numFmtId="0" fontId="26" fillId="13" borderId="7" xfId="0" applyFont="1" applyFill="1" applyBorder="1"/>
    <xf numFmtId="0" fontId="44" fillId="0" borderId="0" xfId="0" applyFont="1"/>
    <xf numFmtId="4" fontId="0" fillId="0" borderId="0" xfId="0" applyNumberFormat="1"/>
    <xf numFmtId="44" fontId="0" fillId="0" borderId="0" xfId="3" applyFont="1"/>
    <xf numFmtId="168" fontId="0" fillId="0" borderId="0" xfId="1" applyNumberFormat="1" applyFont="1"/>
    <xf numFmtId="0" fontId="45" fillId="6" borderId="20" xfId="0" applyFont="1" applyFill="1" applyBorder="1"/>
    <xf numFmtId="0" fontId="45" fillId="6" borderId="13" xfId="0" applyFont="1" applyFill="1" applyBorder="1"/>
    <xf numFmtId="0" fontId="45" fillId="6" borderId="21" xfId="0" applyFont="1" applyFill="1" applyBorder="1"/>
    <xf numFmtId="0" fontId="45" fillId="6" borderId="24" xfId="0" applyFont="1" applyFill="1" applyBorder="1"/>
    <xf numFmtId="0" fontId="45" fillId="6" borderId="14" xfId="0" applyFont="1" applyFill="1" applyBorder="1"/>
    <xf numFmtId="0" fontId="2" fillId="0" borderId="33" xfId="0" applyFont="1" applyBorder="1"/>
    <xf numFmtId="4" fontId="2" fillId="8" borderId="33" xfId="0" applyNumberFormat="1" applyFont="1" applyFill="1" applyBorder="1"/>
    <xf numFmtId="2" fontId="2" fillId="0" borderId="33" xfId="0" applyNumberFormat="1" applyFont="1" applyBorder="1"/>
    <xf numFmtId="2" fontId="2" fillId="8" borderId="33" xfId="0" applyNumberFormat="1" applyFont="1" applyFill="1" applyBorder="1"/>
    <xf numFmtId="43" fontId="15" fillId="0" borderId="33" xfId="2" applyFont="1" applyBorder="1"/>
    <xf numFmtId="0" fontId="16" fillId="0" borderId="33" xfId="0" applyFont="1" applyBorder="1"/>
    <xf numFmtId="168" fontId="16" fillId="8" borderId="33" xfId="1" applyNumberFormat="1" applyFont="1" applyFill="1" applyBorder="1"/>
    <xf numFmtId="0" fontId="3" fillId="0" borderId="50" xfId="0" applyFont="1" applyBorder="1"/>
    <xf numFmtId="4" fontId="3" fillId="8" borderId="50" xfId="0" applyNumberFormat="1" applyFont="1" applyFill="1" applyBorder="1"/>
    <xf numFmtId="4" fontId="3" fillId="0" borderId="50" xfId="0" applyNumberFormat="1" applyFont="1" applyBorder="1"/>
    <xf numFmtId="2" fontId="3" fillId="8" borderId="50" xfId="0" applyNumberFormat="1" applyFont="1" applyFill="1" applyBorder="1"/>
    <xf numFmtId="43" fontId="3" fillId="0" borderId="50" xfId="0" applyNumberFormat="1" applyFont="1" applyBorder="1"/>
    <xf numFmtId="0" fontId="3" fillId="0" borderId="33" xfId="0" applyFont="1" applyBorder="1"/>
    <xf numFmtId="168" fontId="16" fillId="0" borderId="33" xfId="0" applyNumberFormat="1" applyFont="1" applyBorder="1"/>
    <xf numFmtId="168" fontId="3" fillId="0" borderId="33" xfId="0" applyNumberFormat="1" applyFont="1" applyBorder="1"/>
    <xf numFmtId="168" fontId="16" fillId="8" borderId="33" xfId="0" applyNumberFormat="1" applyFont="1" applyFill="1" applyBorder="1"/>
    <xf numFmtId="168" fontId="15" fillId="8" borderId="33" xfId="0" applyNumberFormat="1" applyFont="1" applyFill="1" applyBorder="1"/>
    <xf numFmtId="168" fontId="15" fillId="0" borderId="33" xfId="0" applyNumberFormat="1" applyFont="1" applyBorder="1"/>
    <xf numFmtId="168" fontId="2" fillId="0" borderId="33" xfId="0" applyNumberFormat="1" applyFont="1" applyBorder="1"/>
    <xf numFmtId="168" fontId="29" fillId="0" borderId="33" xfId="0" applyNumberFormat="1" applyFont="1" applyBorder="1"/>
    <xf numFmtId="0" fontId="16" fillId="8" borderId="33" xfId="0" applyFont="1" applyFill="1" applyBorder="1"/>
    <xf numFmtId="0" fontId="2" fillId="8" borderId="33" xfId="0" applyFont="1" applyFill="1" applyBorder="1"/>
    <xf numFmtId="0" fontId="16" fillId="0" borderId="50" xfId="0" applyFont="1" applyBorder="1"/>
    <xf numFmtId="168" fontId="16" fillId="8" borderId="50" xfId="0" applyNumberFormat="1" applyFont="1" applyFill="1" applyBorder="1"/>
    <xf numFmtId="168" fontId="16" fillId="0" borderId="50" xfId="0" applyNumberFormat="1" applyFont="1" applyBorder="1"/>
    <xf numFmtId="4" fontId="2" fillId="0" borderId="33" xfId="0" applyNumberFormat="1" applyFont="1" applyBorder="1"/>
    <xf numFmtId="4" fontId="16" fillId="0" borderId="33" xfId="0" applyNumberFormat="1" applyFont="1" applyBorder="1"/>
    <xf numFmtId="168" fontId="16" fillId="0" borderId="33" xfId="1" applyNumberFormat="1" applyFont="1" applyFill="1" applyBorder="1"/>
    <xf numFmtId="4" fontId="15" fillId="0" borderId="0" xfId="0" applyNumberFormat="1" applyFont="1"/>
    <xf numFmtId="168" fontId="15" fillId="0" borderId="33" xfId="1" applyNumberFormat="1" applyFont="1" applyFill="1" applyBorder="1"/>
    <xf numFmtId="9" fontId="16" fillId="0" borderId="33" xfId="0" applyNumberFormat="1" applyFont="1" applyBorder="1"/>
    <xf numFmtId="10" fontId="16" fillId="0" borderId="33" xfId="0" applyNumberFormat="1" applyFont="1" applyBorder="1"/>
    <xf numFmtId="0" fontId="15" fillId="0" borderId="33" xfId="0" applyFont="1" applyBorder="1"/>
    <xf numFmtId="0" fontId="3" fillId="8" borderId="33" xfId="0" applyFont="1" applyFill="1" applyBorder="1"/>
    <xf numFmtId="0" fontId="16" fillId="8" borderId="50" xfId="0" applyFont="1" applyFill="1" applyBorder="1"/>
    <xf numFmtId="0" fontId="13" fillId="0" borderId="0" xfId="0" applyFont="1" applyAlignment="1">
      <alignment horizontal="right"/>
    </xf>
    <xf numFmtId="10" fontId="3" fillId="0" borderId="0" xfId="1" applyNumberFormat="1" applyFont="1"/>
    <xf numFmtId="0" fontId="38" fillId="6" borderId="30" xfId="0" applyFont="1" applyFill="1" applyBorder="1"/>
    <xf numFmtId="0" fontId="38" fillId="6" borderId="19" xfId="0" applyFont="1" applyFill="1" applyBorder="1"/>
    <xf numFmtId="0" fontId="38" fillId="6" borderId="0" xfId="0" applyFont="1" applyFill="1"/>
    <xf numFmtId="0" fontId="46" fillId="0" borderId="0" xfId="0" applyFont="1"/>
    <xf numFmtId="3" fontId="46" fillId="0" borderId="0" xfId="0" applyNumberFormat="1" applyFont="1"/>
    <xf numFmtId="9" fontId="29" fillId="8" borderId="0" xfId="0" applyNumberFormat="1" applyFont="1" applyFill="1"/>
    <xf numFmtId="168" fontId="29" fillId="8" borderId="0" xfId="0" applyNumberFormat="1" applyFont="1" applyFill="1"/>
    <xf numFmtId="37" fontId="19" fillId="8" borderId="0" xfId="0" applyNumberFormat="1" applyFont="1" applyFill="1" applyAlignment="1">
      <alignment horizontal="left" vertical="top"/>
    </xf>
    <xf numFmtId="9" fontId="19" fillId="0" borderId="0" xfId="0" applyNumberFormat="1" applyFont="1" applyAlignment="1">
      <alignment vertical="top"/>
    </xf>
    <xf numFmtId="4" fontId="19" fillId="0" borderId="0" xfId="0" applyNumberFormat="1" applyFont="1"/>
    <xf numFmtId="10" fontId="29" fillId="8" borderId="0" xfId="0" applyNumberFormat="1" applyFont="1" applyFill="1"/>
    <xf numFmtId="3" fontId="13" fillId="0" borderId="0" xfId="0" applyNumberFormat="1" applyFont="1"/>
    <xf numFmtId="10" fontId="13" fillId="0" borderId="0" xfId="0" applyNumberFormat="1" applyFont="1"/>
    <xf numFmtId="10" fontId="13" fillId="0" borderId="0" xfId="1" applyNumberFormat="1" applyFont="1"/>
    <xf numFmtId="15" fontId="13" fillId="0" borderId="0" xfId="0" applyNumberFormat="1" applyFont="1"/>
    <xf numFmtId="10" fontId="48" fillId="8" borderId="0" xfId="1" applyNumberFormat="1" applyFont="1" applyFill="1"/>
    <xf numFmtId="10" fontId="13" fillId="8" borderId="0" xfId="1" applyNumberFormat="1" applyFont="1" applyFill="1"/>
    <xf numFmtId="168" fontId="19" fillId="15" borderId="23" xfId="1" applyNumberFormat="1" applyFont="1" applyFill="1" applyBorder="1" applyAlignment="1">
      <alignment horizontal="center"/>
    </xf>
    <xf numFmtId="168" fontId="19" fillId="15" borderId="22" xfId="1" applyNumberFormat="1" applyFont="1" applyFill="1" applyBorder="1" applyAlignment="1">
      <alignment horizontal="center"/>
    </xf>
    <xf numFmtId="168" fontId="19" fillId="15" borderId="21" xfId="1" applyNumberFormat="1" applyFont="1" applyFill="1" applyBorder="1" applyAlignment="1">
      <alignment horizontal="center"/>
    </xf>
    <xf numFmtId="2" fontId="19" fillId="15" borderId="23" xfId="1" applyNumberFormat="1" applyFont="1" applyFill="1" applyBorder="1" applyAlignment="1">
      <alignment horizontal="center"/>
    </xf>
    <xf numFmtId="2" fontId="19" fillId="15" borderId="21" xfId="1" applyNumberFormat="1" applyFont="1" applyFill="1" applyBorder="1" applyAlignment="1">
      <alignment horizontal="center"/>
    </xf>
    <xf numFmtId="2" fontId="19" fillId="15" borderId="20" xfId="1" applyNumberFormat="1" applyFont="1" applyFill="1" applyBorder="1" applyAlignment="1">
      <alignment horizontal="center"/>
    </xf>
    <xf numFmtId="2" fontId="19" fillId="14" borderId="22" xfId="1" applyNumberFormat="1" applyFont="1" applyFill="1" applyBorder="1" applyAlignment="1">
      <alignment horizontal="center"/>
    </xf>
    <xf numFmtId="2" fontId="19" fillId="14" borderId="23" xfId="1" applyNumberFormat="1" applyFont="1" applyFill="1" applyBorder="1" applyAlignment="1">
      <alignment horizontal="center"/>
    </xf>
    <xf numFmtId="0" fontId="38" fillId="6" borderId="30" xfId="0" applyFont="1" applyFill="1" applyBorder="1" applyAlignment="1">
      <alignment horizontal="left"/>
    </xf>
    <xf numFmtId="0" fontId="38" fillId="6" borderId="0" xfId="0" applyFont="1" applyFill="1" applyAlignment="1">
      <alignment horizontal="left"/>
    </xf>
    <xf numFmtId="0" fontId="38" fillId="6" borderId="19" xfId="0" applyFont="1" applyFill="1" applyBorder="1" applyAlignment="1">
      <alignment horizontal="left"/>
    </xf>
    <xf numFmtId="0" fontId="47" fillId="0" borderId="0" xfId="0" applyFont="1" applyAlignment="1">
      <alignment horizontal="center"/>
    </xf>
    <xf numFmtId="0" fontId="23" fillId="0" borderId="0" xfId="0" applyFont="1" applyAlignment="1">
      <alignment horizontal="center" wrapText="1"/>
    </xf>
    <xf numFmtId="0" fontId="21" fillId="0" borderId="0" xfId="0" applyFont="1" applyAlignment="1">
      <alignment horizontal="center" vertical="center"/>
    </xf>
    <xf numFmtId="0" fontId="15" fillId="0" borderId="0" xfId="0" applyFont="1"/>
    <xf numFmtId="0" fontId="19" fillId="0" borderId="0" xfId="0" applyFont="1" applyAlignment="1">
      <alignment horizontal="center" vertical="center"/>
    </xf>
    <xf numFmtId="168" fontId="19" fillId="0" borderId="21" xfId="1" applyNumberFormat="1" applyFont="1" applyFill="1" applyBorder="1" applyAlignment="1">
      <alignment horizontal="center"/>
    </xf>
    <xf numFmtId="2" fontId="19" fillId="0" borderId="23" xfId="1" applyNumberFormat="1" applyFont="1" applyFill="1" applyBorder="1" applyAlignment="1">
      <alignment horizontal="center"/>
    </xf>
    <xf numFmtId="2" fontId="19" fillId="0" borderId="22" xfId="1" applyNumberFormat="1" applyFont="1" applyFill="1" applyBorder="1" applyAlignment="1">
      <alignment horizontal="center"/>
    </xf>
    <xf numFmtId="0" fontId="21" fillId="0" borderId="26" xfId="0" applyFont="1" applyFill="1" applyBorder="1" applyAlignment="1">
      <alignment horizontal="center"/>
    </xf>
    <xf numFmtId="0" fontId="21" fillId="0" borderId="16" xfId="0" applyFont="1" applyFill="1" applyBorder="1" applyAlignment="1">
      <alignment horizontal="center"/>
    </xf>
    <xf numFmtId="0" fontId="21" fillId="0" borderId="15" xfId="0" applyFont="1" applyFill="1" applyBorder="1" applyAlignment="1">
      <alignment horizontal="center"/>
    </xf>
    <xf numFmtId="168" fontId="19" fillId="0" borderId="25" xfId="1" applyNumberFormat="1" applyFont="1" applyFill="1" applyBorder="1" applyAlignment="1">
      <alignment horizontal="center"/>
    </xf>
    <xf numFmtId="168" fontId="19" fillId="0" borderId="13" xfId="1" applyNumberFormat="1" applyFont="1" applyFill="1" applyBorder="1" applyAlignment="1">
      <alignment horizontal="center"/>
    </xf>
    <xf numFmtId="2" fontId="19" fillId="0" borderId="25" xfId="1" applyNumberFormat="1" applyFont="1" applyFill="1" applyBorder="1" applyAlignment="1">
      <alignment horizontal="center"/>
    </xf>
    <xf numFmtId="2" fontId="19" fillId="0" borderId="13" xfId="1" applyNumberFormat="1" applyFont="1" applyFill="1" applyBorder="1" applyAlignment="1">
      <alignment horizontal="center"/>
    </xf>
    <xf numFmtId="2" fontId="19" fillId="0" borderId="24" xfId="1" applyNumberFormat="1" applyFont="1" applyFill="1" applyBorder="1" applyAlignment="1">
      <alignment horizontal="center"/>
    </xf>
    <xf numFmtId="2" fontId="19" fillId="0" borderId="19" xfId="1" applyNumberFormat="1" applyFont="1" applyFill="1" applyBorder="1" applyAlignment="1">
      <alignment horizontal="center"/>
    </xf>
    <xf numFmtId="168" fontId="19" fillId="0" borderId="24" xfId="1" applyNumberFormat="1" applyFont="1" applyFill="1" applyBorder="1" applyAlignment="1">
      <alignment horizontal="center"/>
    </xf>
    <xf numFmtId="168" fontId="19" fillId="0" borderId="0" xfId="1" applyNumberFormat="1" applyFont="1" applyFill="1" applyBorder="1" applyAlignment="1">
      <alignment horizontal="center"/>
    </xf>
    <xf numFmtId="168" fontId="19" fillId="0" borderId="19" xfId="1" applyNumberFormat="1" applyFont="1" applyFill="1" applyBorder="1" applyAlignment="1">
      <alignment horizontal="center"/>
    </xf>
    <xf numFmtId="2" fontId="19" fillId="0" borderId="0" xfId="1" applyNumberFormat="1" applyFont="1" applyFill="1" applyBorder="1" applyAlignment="1">
      <alignment horizontal="center"/>
    </xf>
    <xf numFmtId="168" fontId="19" fillId="0" borderId="0" xfId="1" applyNumberFormat="1" applyFont="1" applyFill="1" applyAlignment="1">
      <alignment horizontal="center"/>
    </xf>
    <xf numFmtId="2" fontId="19" fillId="0" borderId="0" xfId="1" applyNumberFormat="1" applyFont="1" applyFill="1" applyAlignment="1">
      <alignment horizontal="center"/>
    </xf>
    <xf numFmtId="168" fontId="19" fillId="0" borderId="23" xfId="1" applyNumberFormat="1" applyFont="1" applyFill="1" applyBorder="1" applyAlignment="1">
      <alignment horizontal="center"/>
    </xf>
    <xf numFmtId="168" fontId="19" fillId="0" borderId="22" xfId="1" applyNumberFormat="1" applyFont="1" applyFill="1" applyBorder="1" applyAlignment="1">
      <alignment horizontal="center"/>
    </xf>
    <xf numFmtId="2" fontId="19" fillId="0" borderId="21" xfId="1" applyNumberFormat="1" applyFont="1" applyFill="1" applyBorder="1" applyAlignment="1">
      <alignment horizontal="center"/>
    </xf>
  </cellXfs>
  <cellStyles count="9">
    <cellStyle name="Comma" xfId="2" builtinId="3"/>
    <cellStyle name="Currency" xfId="3" builtinId="4"/>
    <cellStyle name="Hyperlink" xfId="4" builtinId="8"/>
    <cellStyle name="Normal" xfId="0" builtinId="0"/>
    <cellStyle name="Normal 3" xfId="5" xr:uid="{5790F559-4B8F-204A-903C-5F39F73C96F0}"/>
    <cellStyle name="Normal 4" xfId="8" xr:uid="{DE284597-401B-2145-9587-09EA5FB26DF4}"/>
    <cellStyle name="Normal_PiranhaWeb Comps Model 3" xfId="7" xr:uid="{2072F2C2-D517-8D47-AAB4-109320E013F3}"/>
    <cellStyle name="Percent" xfId="1" builtinId="5"/>
    <cellStyle name="Percent 2" xfId="6" xr:uid="{BD4AEADD-87A7-1841-AB43-632F934213DD}"/>
  </cellStyles>
  <dxfs count="7">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b/>
        <i val="0"/>
        <color rgb="FF36000E"/>
      </font>
    </dxf>
  </dxfs>
  <tableStyles count="1" defaultTableStyle="TableStyleMedium2" defaultPivotStyle="PivotStyleLight16">
    <tableStyle name="ZBT" pivot="0" count="1" xr9:uid="{F65B0907-B5C3-AD4A-8F18-ABBC432A25E0}">
      <tableStyleElement type="firstColumn" dxfId="6"/>
    </tableStyle>
  </tableStyles>
  <colors>
    <mruColors>
      <color rgb="FFC6F0CE"/>
      <color rgb="FFFFC7CE"/>
      <color rgb="FFA8A9AE"/>
      <color rgb="FF36000E"/>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236220</xdr:colOff>
      <xdr:row>12</xdr:row>
      <xdr:rowOff>0</xdr:rowOff>
    </xdr:to>
    <xdr:pic>
      <xdr:nvPicPr>
        <xdr:cNvPr id="3" name="Picture 2">
          <a:extLst>
            <a:ext uri="{FF2B5EF4-FFF2-40B4-BE49-F238E27FC236}">
              <a16:creationId xmlns:a16="http://schemas.microsoft.com/office/drawing/2014/main" id="{EA204D57-7284-0636-C3B5-4AA55872BB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0" y="228600"/>
          <a:ext cx="3576320" cy="2235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589700</xdr:colOff>
      <xdr:row>28</xdr:row>
      <xdr:rowOff>56300</xdr:rowOff>
    </xdr:from>
    <xdr:to>
      <xdr:col>5</xdr:col>
      <xdr:colOff>840042</xdr:colOff>
      <xdr:row>52</xdr:row>
      <xdr:rowOff>34964</xdr:rowOff>
    </xdr:to>
    <xdr:pic>
      <xdr:nvPicPr>
        <xdr:cNvPr id="9" name="Picture 8">
          <a:extLst>
            <a:ext uri="{FF2B5EF4-FFF2-40B4-BE49-F238E27FC236}">
              <a16:creationId xmlns:a16="http://schemas.microsoft.com/office/drawing/2014/main" id="{B9A46042-2785-F31B-50F5-8669419469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700" y="5745900"/>
          <a:ext cx="7768742" cy="4855464"/>
        </a:xfrm>
        <a:prstGeom prst="rect">
          <a:avLst/>
        </a:prstGeom>
      </xdr:spPr>
    </xdr:pic>
    <xdr:clientData/>
  </xdr:twoCellAnchor>
  <xdr:twoCellAnchor editAs="oneCell">
    <xdr:from>
      <xdr:col>0</xdr:col>
      <xdr:colOff>1323900</xdr:colOff>
      <xdr:row>80</xdr:row>
      <xdr:rowOff>53900</xdr:rowOff>
    </xdr:from>
    <xdr:to>
      <xdr:col>8</xdr:col>
      <xdr:colOff>168200</xdr:colOff>
      <xdr:row>104</xdr:row>
      <xdr:rowOff>34850</xdr:rowOff>
    </xdr:to>
    <xdr:pic>
      <xdr:nvPicPr>
        <xdr:cNvPr id="11" name="Picture 10">
          <a:extLst>
            <a:ext uri="{FF2B5EF4-FFF2-40B4-BE49-F238E27FC236}">
              <a16:creationId xmlns:a16="http://schemas.microsoft.com/office/drawing/2014/main" id="{24E802B6-6147-E74D-D5DA-D1B77C614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3900" y="16309900"/>
          <a:ext cx="7772400" cy="4857750"/>
        </a:xfrm>
        <a:prstGeom prst="rect">
          <a:avLst/>
        </a:prstGeom>
      </xdr:spPr>
    </xdr:pic>
    <xdr:clientData/>
  </xdr:twoCellAnchor>
  <xdr:twoCellAnchor editAs="oneCell">
    <xdr:from>
      <xdr:col>9</xdr:col>
      <xdr:colOff>267400</xdr:colOff>
      <xdr:row>51</xdr:row>
      <xdr:rowOff>191200</xdr:rowOff>
    </xdr:from>
    <xdr:to>
      <xdr:col>18</xdr:col>
      <xdr:colOff>280100</xdr:colOff>
      <xdr:row>75</xdr:row>
      <xdr:rowOff>172150</xdr:rowOff>
    </xdr:to>
    <xdr:pic>
      <xdr:nvPicPr>
        <xdr:cNvPr id="13" name="Picture 12">
          <a:extLst>
            <a:ext uri="{FF2B5EF4-FFF2-40B4-BE49-F238E27FC236}">
              <a16:creationId xmlns:a16="http://schemas.microsoft.com/office/drawing/2014/main" id="{B5E28E53-6A04-A36B-C0EA-D18130AE6E9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2900" y="10554400"/>
          <a:ext cx="7772400" cy="4857750"/>
        </a:xfrm>
        <a:prstGeom prst="rect">
          <a:avLst/>
        </a:prstGeom>
      </xdr:spPr>
    </xdr:pic>
    <xdr:clientData/>
  </xdr:twoCellAnchor>
  <xdr:twoCellAnchor editAs="oneCell">
    <xdr:from>
      <xdr:col>0</xdr:col>
      <xdr:colOff>1128600</xdr:colOff>
      <xdr:row>54</xdr:row>
      <xdr:rowOff>23700</xdr:rowOff>
    </xdr:from>
    <xdr:to>
      <xdr:col>7</xdr:col>
      <xdr:colOff>163400</xdr:colOff>
      <xdr:row>78</xdr:row>
      <xdr:rowOff>4650</xdr:rowOff>
    </xdr:to>
    <xdr:pic>
      <xdr:nvPicPr>
        <xdr:cNvPr id="15" name="Picture 14">
          <a:extLst>
            <a:ext uri="{FF2B5EF4-FFF2-40B4-BE49-F238E27FC236}">
              <a16:creationId xmlns:a16="http://schemas.microsoft.com/office/drawing/2014/main" id="{85794BCA-AAC1-E451-CCB1-189DE01EFA0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8600" y="10996500"/>
          <a:ext cx="7772400" cy="4857750"/>
        </a:xfrm>
        <a:prstGeom prst="rect">
          <a:avLst/>
        </a:prstGeom>
      </xdr:spPr>
    </xdr:pic>
    <xdr:clientData/>
  </xdr:twoCellAnchor>
  <xdr:twoCellAnchor editAs="oneCell">
    <xdr:from>
      <xdr:col>9</xdr:col>
      <xdr:colOff>135600</xdr:colOff>
      <xdr:row>25</xdr:row>
      <xdr:rowOff>186400</xdr:rowOff>
    </xdr:from>
    <xdr:to>
      <xdr:col>18</xdr:col>
      <xdr:colOff>148300</xdr:colOff>
      <xdr:row>49</xdr:row>
      <xdr:rowOff>167350</xdr:rowOff>
    </xdr:to>
    <xdr:pic>
      <xdr:nvPicPr>
        <xdr:cNvPr id="17" name="Picture 16">
          <a:extLst>
            <a:ext uri="{FF2B5EF4-FFF2-40B4-BE49-F238E27FC236}">
              <a16:creationId xmlns:a16="http://schemas.microsoft.com/office/drawing/2014/main" id="{06C6C400-E850-DC80-8B37-33A11850C1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851100" y="5266400"/>
          <a:ext cx="7772400" cy="4857750"/>
        </a:xfrm>
        <a:prstGeom prst="rect">
          <a:avLst/>
        </a:prstGeom>
      </xdr:spPr>
    </xdr:pic>
    <xdr:clientData/>
  </xdr:twoCellAnchor>
  <xdr:twoCellAnchor editAs="oneCell">
    <xdr:from>
      <xdr:col>8</xdr:col>
      <xdr:colOff>780900</xdr:colOff>
      <xdr:row>0</xdr:row>
      <xdr:rowOff>171300</xdr:rowOff>
    </xdr:from>
    <xdr:to>
      <xdr:col>18</xdr:col>
      <xdr:colOff>6200</xdr:colOff>
      <xdr:row>24</xdr:row>
      <xdr:rowOff>152250</xdr:rowOff>
    </xdr:to>
    <xdr:pic>
      <xdr:nvPicPr>
        <xdr:cNvPr id="19" name="Picture 18">
          <a:extLst>
            <a:ext uri="{FF2B5EF4-FFF2-40B4-BE49-F238E27FC236}">
              <a16:creationId xmlns:a16="http://schemas.microsoft.com/office/drawing/2014/main" id="{DCEF09DC-B989-6C1C-9BCB-3C51B1309D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09000" y="171300"/>
          <a:ext cx="7772400" cy="4857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18</xdr:col>
      <xdr:colOff>333374</xdr:colOff>
      <xdr:row>19</xdr:row>
      <xdr:rowOff>154781</xdr:rowOff>
    </xdr:from>
    <xdr:to>
      <xdr:col>21</xdr:col>
      <xdr:colOff>476248</xdr:colOff>
      <xdr:row>29</xdr:row>
      <xdr:rowOff>21431</xdr:rowOff>
    </xdr:to>
    <xdr:sp macro="" textlink="">
      <xdr:nvSpPr>
        <xdr:cNvPr id="2" name="Left Arrow Callout 1">
          <a:extLst>
            <a:ext uri="{FF2B5EF4-FFF2-40B4-BE49-F238E27FC236}">
              <a16:creationId xmlns:a16="http://schemas.microsoft.com/office/drawing/2014/main" id="{E86BA119-3699-2848-B268-35F0CC1B63DE}"/>
            </a:ext>
          </a:extLst>
        </xdr:cNvPr>
        <xdr:cNvSpPr/>
      </xdr:nvSpPr>
      <xdr:spPr>
        <a:xfrm>
          <a:off x="15370174" y="3774281"/>
          <a:ext cx="2238374" cy="1771650"/>
        </a:xfrm>
        <a:prstGeom prst="leftArrowCallout">
          <a:avLst>
            <a:gd name="adj1" fmla="val 23413"/>
            <a:gd name="adj2" fmla="val 25000"/>
            <a:gd name="adj3" fmla="val 17857"/>
            <a:gd name="adj4" fmla="val 82521"/>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n-US" sz="1100">
              <a:solidFill>
                <a:sysClr val="windowText" lastClr="000000"/>
              </a:solidFill>
            </a:rPr>
            <a:t>Source:Industry standard is to use I/B/E/S estimate</a:t>
          </a:r>
          <a:r>
            <a:rPr lang="en-US" sz="1100" baseline="0">
              <a:solidFill>
                <a:sysClr val="windowText" lastClr="000000"/>
              </a:solidFill>
            </a:rPr>
            <a:t>s via</a:t>
          </a:r>
          <a:r>
            <a:rPr lang="en-US" sz="1100">
              <a:solidFill>
                <a:sysClr val="windowText" lastClr="000000"/>
              </a:solidFill>
            </a:rPr>
            <a:t> Thomson</a:t>
          </a:r>
          <a:r>
            <a:rPr lang="en-US" sz="1100" baseline="0">
              <a:solidFill>
                <a:sysClr val="windowText" lastClr="000000"/>
              </a:solidFill>
            </a:rPr>
            <a:t> Reuters Eikon; Mergent Online; Yahoo!Finance, etc.</a:t>
          </a:r>
          <a:endParaRPr lang="en-US"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333374</xdr:colOff>
      <xdr:row>19</xdr:row>
      <xdr:rowOff>154781</xdr:rowOff>
    </xdr:from>
    <xdr:to>
      <xdr:col>21</xdr:col>
      <xdr:colOff>476248</xdr:colOff>
      <xdr:row>29</xdr:row>
      <xdr:rowOff>21431</xdr:rowOff>
    </xdr:to>
    <xdr:sp macro="" textlink="">
      <xdr:nvSpPr>
        <xdr:cNvPr id="2" name="Left Arrow Callout 1">
          <a:extLst>
            <a:ext uri="{FF2B5EF4-FFF2-40B4-BE49-F238E27FC236}">
              <a16:creationId xmlns:a16="http://schemas.microsoft.com/office/drawing/2014/main" id="{71645228-77B1-EE46-AAA2-B59DC07CB5DA}"/>
            </a:ext>
          </a:extLst>
        </xdr:cNvPr>
        <xdr:cNvSpPr/>
      </xdr:nvSpPr>
      <xdr:spPr>
        <a:xfrm>
          <a:off x="15586074" y="3774281"/>
          <a:ext cx="2238374" cy="1771650"/>
        </a:xfrm>
        <a:prstGeom prst="leftArrowCallout">
          <a:avLst>
            <a:gd name="adj1" fmla="val 23413"/>
            <a:gd name="adj2" fmla="val 25000"/>
            <a:gd name="adj3" fmla="val 17857"/>
            <a:gd name="adj4" fmla="val 82521"/>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n-US" sz="1100">
              <a:solidFill>
                <a:sysClr val="windowText" lastClr="000000"/>
              </a:solidFill>
            </a:rPr>
            <a:t>Source:Industry standard is to use I/B/E/S estimate</a:t>
          </a:r>
          <a:r>
            <a:rPr lang="en-US" sz="1100" baseline="0">
              <a:solidFill>
                <a:sysClr val="windowText" lastClr="000000"/>
              </a:solidFill>
            </a:rPr>
            <a:t>s via</a:t>
          </a:r>
          <a:r>
            <a:rPr lang="en-US" sz="1100">
              <a:solidFill>
                <a:sysClr val="windowText" lastClr="000000"/>
              </a:solidFill>
            </a:rPr>
            <a:t> Thomson</a:t>
          </a:r>
          <a:r>
            <a:rPr lang="en-US" sz="1100" baseline="0">
              <a:solidFill>
                <a:sysClr val="windowText" lastClr="000000"/>
              </a:solidFill>
            </a:rPr>
            <a:t> Reuters Eikon; Mergent Online; Yahoo!Finance, etc.</a:t>
          </a:r>
          <a:endParaRPr lang="en-US"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333374</xdr:colOff>
      <xdr:row>19</xdr:row>
      <xdr:rowOff>154781</xdr:rowOff>
    </xdr:from>
    <xdr:to>
      <xdr:col>21</xdr:col>
      <xdr:colOff>476248</xdr:colOff>
      <xdr:row>29</xdr:row>
      <xdr:rowOff>21431</xdr:rowOff>
    </xdr:to>
    <xdr:sp macro="" textlink="">
      <xdr:nvSpPr>
        <xdr:cNvPr id="2" name="Left Arrow Callout 1">
          <a:extLst>
            <a:ext uri="{FF2B5EF4-FFF2-40B4-BE49-F238E27FC236}">
              <a16:creationId xmlns:a16="http://schemas.microsoft.com/office/drawing/2014/main" id="{FF477865-3AB6-8C48-8EFF-6C337EE8E3AE}"/>
            </a:ext>
          </a:extLst>
        </xdr:cNvPr>
        <xdr:cNvSpPr/>
      </xdr:nvSpPr>
      <xdr:spPr>
        <a:xfrm>
          <a:off x="15586074" y="3774281"/>
          <a:ext cx="2238374" cy="1771650"/>
        </a:xfrm>
        <a:prstGeom prst="leftArrowCallout">
          <a:avLst>
            <a:gd name="adj1" fmla="val 23413"/>
            <a:gd name="adj2" fmla="val 25000"/>
            <a:gd name="adj3" fmla="val 17857"/>
            <a:gd name="adj4" fmla="val 82521"/>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n-US" sz="1100">
              <a:solidFill>
                <a:sysClr val="windowText" lastClr="000000"/>
              </a:solidFill>
            </a:rPr>
            <a:t>Source:Industry standard is to use I/B/E/S estimate</a:t>
          </a:r>
          <a:r>
            <a:rPr lang="en-US" sz="1100" baseline="0">
              <a:solidFill>
                <a:sysClr val="windowText" lastClr="000000"/>
              </a:solidFill>
            </a:rPr>
            <a:t>s via</a:t>
          </a:r>
          <a:r>
            <a:rPr lang="en-US" sz="1100">
              <a:solidFill>
                <a:sysClr val="windowText" lastClr="000000"/>
              </a:solidFill>
            </a:rPr>
            <a:t> Thomson</a:t>
          </a:r>
          <a:r>
            <a:rPr lang="en-US" sz="1100" baseline="0">
              <a:solidFill>
                <a:sysClr val="windowText" lastClr="000000"/>
              </a:solidFill>
            </a:rPr>
            <a:t> Reuters Eikon; Mergent Online; Yahoo!Finance, etc.</a:t>
          </a:r>
          <a:endParaRPr 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863600</xdr:colOff>
      <xdr:row>1</xdr:row>
      <xdr:rowOff>114300</xdr:rowOff>
    </xdr:from>
    <xdr:to>
      <xdr:col>14</xdr:col>
      <xdr:colOff>0</xdr:colOff>
      <xdr:row>20</xdr:row>
      <xdr:rowOff>99636</xdr:rowOff>
    </xdr:to>
    <xdr:pic>
      <xdr:nvPicPr>
        <xdr:cNvPr id="3" name="Picture 2">
          <a:extLst>
            <a:ext uri="{FF2B5EF4-FFF2-40B4-BE49-F238E27FC236}">
              <a16:creationId xmlns:a16="http://schemas.microsoft.com/office/drawing/2014/main" id="{18331C5C-C365-5319-1C52-8A753ABA9B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02500" y="317500"/>
          <a:ext cx="7772400" cy="3846136"/>
        </a:xfrm>
        <a:prstGeom prst="rect">
          <a:avLst/>
        </a:prstGeom>
      </xdr:spPr>
    </xdr:pic>
    <xdr:clientData/>
  </xdr:twoCellAnchor>
  <xdr:twoCellAnchor editAs="oneCell">
    <xdr:from>
      <xdr:col>6</xdr:col>
      <xdr:colOff>863600</xdr:colOff>
      <xdr:row>21</xdr:row>
      <xdr:rowOff>139700</xdr:rowOff>
    </xdr:from>
    <xdr:to>
      <xdr:col>14</xdr:col>
      <xdr:colOff>0</xdr:colOff>
      <xdr:row>44</xdr:row>
      <xdr:rowOff>114405</xdr:rowOff>
    </xdr:to>
    <xdr:pic>
      <xdr:nvPicPr>
        <xdr:cNvPr id="5" name="Picture 4">
          <a:extLst>
            <a:ext uri="{FF2B5EF4-FFF2-40B4-BE49-F238E27FC236}">
              <a16:creationId xmlns:a16="http://schemas.microsoft.com/office/drawing/2014/main" id="{3ED7E922-8A59-0B4D-9A96-BC7E9F7E8A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02500" y="4406900"/>
          <a:ext cx="7772400" cy="464830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Kshitiz Udainiya" id="{59756323-312B-B949-AB37-C6EA179EACA1}" userId="S::kshitiz@umd.edu::eaca7e6c-588a-40da-a692-4653867bbd5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3" dT="2024-10-02T18:23:54.19" personId="{59756323-312B-B949-AB37-C6EA179EACA1}" id="{D0812D1C-16B1-924E-A1E0-55DE7A55B352}">
    <text xml:space="preserve">10yr interest rate for new bonds of hersheys from Refinitiv
</text>
  </threadedComment>
</ThreadedComments>
</file>

<file path=xl/threadedComments/threadedComment2.xml><?xml version="1.0" encoding="utf-8"?>
<ThreadedComments xmlns="http://schemas.microsoft.com/office/spreadsheetml/2018/threadedcomments" xmlns:x="http://schemas.openxmlformats.org/spreadsheetml/2006/main">
  <threadedComment ref="I16" dT="2024-09-26T00:46:40.24" personId="{59756323-312B-B949-AB37-C6EA179EACA1}" id="{39BFB88F-D833-8A46-9161-ED644FEB7ED1}">
    <text>due to an increase in everyday core U.S. confection brands
Could be a effect of covid</text>
  </threadedComment>
  <threadedComment ref="M16" dT="2024-09-26T01:10:54.54" personId="{59756323-312B-B949-AB37-C6EA179EACA1}" id="{D9A8E03B-7FFA-C248-B8AE-725BDE07E263}">
    <text>primarily driven by a decrease in everyday core U.S. confection as a result of accelerated shipments in the first quarter of 2024 in anticipation of our ERP system implementation, which was completed in the beginning of the second quarter of 2024.</text>
  </threadedComment>
  <threadedComment ref="L25" dT="2024-09-26T01:05:50.29" personId="{59756323-312B-B949-AB37-C6EA179EACA1}" id="{045EF259-0F45-FC40-8A13-383FC195DDAC}">
    <text xml:space="preserve">Due to promotions
</text>
  </threadedComment>
  <threadedComment ref="J33" dT="2024-09-26T01:30:19.68" personId="{59756323-312B-B949-AB37-C6EA179EACA1}" id="{D54D6E79-121B-1C48-9143-0FB4F25E0183}">
    <text xml:space="preserve">acquisitions of Dot’s and Pretzels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B9212F7-54EB-A04C-9013-7B829C5CFE30}">
  <we:reference id="wa200000565" version="1.0.0.76" store="en-US" storeType="OMEX"/>
  <we:alternateReferences>
    <we:reference id="wa200000565" version="1.0.0.76" store="" storeType="OMEX"/>
  </we:alternateReferences>
  <we:properties>
    <we:property name="userSettings_GEDTC-893175" value="&quot;{\&quot;dex2RequestClickThrough\&quot;:true,\&quot;isKeepRICUpperCase\&quot;:false,\&quot;functionSeparator\&quot;:\&quot;;\&quot;,\&quot;instrumentsHeaderSetting\&quot;:{\&quot;isInclude\&quot;:true,\&quot;headerPosition\&quot;:\&quot;Row\&quot;},\&quot;fieldsHeaderSetting\&quot;:{\&quot;isInclude\&quot;:true,\&quot;headerPosition\&quot;:\&quot;Column\&quot;},\&quot;dateHeaderSetting\&quot;:{\&quot;isInclude\&quot;:false,\&quot;headerPosition\&quot;:\&quot;Column\&quot;},\&quot;commonUserFundamentalsType\&quot;:\&quot;PLATFORM_DEFAULT\&quot;,\&quot;pauseMode\&quot;:false}&quot;"/>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RDP.Data</we:customFunctionIds>
        <we:customFunctionIds>RDP.Price</we:customFunctionIds>
        <we:customFunctionIds>RDP.HistoricalPricing</we:customFunctionIds>
        <we:customFunctionIds>RDP.Analytics</we:customFunctionIds>
        <we:customFunctionIds>RDP.Search</we:customFunctionIds>
        <we:customFunctionIds>RDP.Now</we:customFunctionIds>
        <we:customFunctionIds>RDP.Today</we:customFunctionIds>
        <we:customFunctionIds>RDP.Aggregate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cnbc.com/quotes/US10Y" TargetMode="External"/><Relationship Id="rId1" Type="http://schemas.openxmlformats.org/officeDocument/2006/relationships/hyperlink" Target="http://www.wsj.com/mdc/public/page/2_3021-peyield.html" TargetMode="Externa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8196F-3BC8-6349-BD89-86E1583EC379}">
  <dimension ref="A1:P22"/>
  <sheetViews>
    <sheetView showGridLines="0" topLeftCell="B1" workbookViewId="0">
      <selection activeCell="H28" sqref="H28"/>
    </sheetView>
  </sheetViews>
  <sheetFormatPr baseColWidth="10" defaultRowHeight="16" customHeight="1"/>
  <cols>
    <col min="1" max="1" width="2.125" style="287" customWidth="1"/>
    <col min="2" max="2" width="10.625" style="287" customWidth="1"/>
    <col min="3" max="3" width="22.25" style="287" bestFit="1" customWidth="1"/>
    <col min="4" max="16384" width="10.625" style="287"/>
  </cols>
  <sheetData>
    <row r="1" spans="1:16" ht="16" customHeight="1">
      <c r="A1" s="286"/>
    </row>
    <row r="3" spans="1:16" ht="16" customHeight="1">
      <c r="J3" s="288" t="s">
        <v>65</v>
      </c>
      <c r="K3" s="289"/>
      <c r="L3" s="492" t="s">
        <v>201</v>
      </c>
      <c r="N3" s="288" t="s">
        <v>65</v>
      </c>
      <c r="O3" s="289"/>
      <c r="P3" s="492" t="s">
        <v>403</v>
      </c>
    </row>
    <row r="4" spans="1:16" ht="16" customHeight="1">
      <c r="J4" s="299" t="s">
        <v>369</v>
      </c>
      <c r="K4" s="300">
        <v>2</v>
      </c>
      <c r="L4" s="290" t="s">
        <v>370</v>
      </c>
      <c r="N4" s="299" t="s">
        <v>369</v>
      </c>
      <c r="O4" s="300">
        <v>2</v>
      </c>
      <c r="P4" s="290" t="s">
        <v>370</v>
      </c>
    </row>
    <row r="5" spans="1:16" ht="16" customHeight="1">
      <c r="J5" s="291" t="s">
        <v>24</v>
      </c>
      <c r="K5" s="290"/>
      <c r="L5" s="290" t="s">
        <v>371</v>
      </c>
      <c r="N5" s="291" t="s">
        <v>24</v>
      </c>
      <c r="O5" s="290"/>
      <c r="P5" s="290" t="s">
        <v>371</v>
      </c>
    </row>
    <row r="6" spans="1:16" ht="16" customHeight="1">
      <c r="J6" s="292" t="s">
        <v>24</v>
      </c>
      <c r="K6" s="293" t="s">
        <v>24</v>
      </c>
      <c r="L6" s="293" t="s">
        <v>372</v>
      </c>
      <c r="N6" s="292" t="s">
        <v>24</v>
      </c>
      <c r="O6" s="293" t="s">
        <v>24</v>
      </c>
      <c r="P6" s="293" t="s">
        <v>372</v>
      </c>
    </row>
    <row r="7" spans="1:16" ht="16" customHeight="1">
      <c r="J7" s="294"/>
      <c r="K7" s="294"/>
      <c r="L7" s="294"/>
      <c r="N7" s="294"/>
      <c r="O7" s="294"/>
      <c r="P7" s="294"/>
    </row>
    <row r="8" spans="1:16" ht="16" customHeight="1">
      <c r="J8" s="294"/>
      <c r="K8" s="294"/>
      <c r="L8" s="294"/>
      <c r="N8" s="294"/>
      <c r="O8" s="294"/>
      <c r="P8" s="294"/>
    </row>
    <row r="9" spans="1:16" ht="16" customHeight="1">
      <c r="J9" s="288" t="s">
        <v>66</v>
      </c>
      <c r="K9" s="289"/>
      <c r="L9" s="492" t="s">
        <v>201</v>
      </c>
      <c r="N9" s="288" t="s">
        <v>66</v>
      </c>
      <c r="O9" s="289"/>
      <c r="P9" s="492" t="s">
        <v>403</v>
      </c>
    </row>
    <row r="10" spans="1:16" ht="16" customHeight="1">
      <c r="J10" s="299" t="s">
        <v>369</v>
      </c>
      <c r="K10" s="300">
        <v>2</v>
      </c>
      <c r="L10" s="290" t="s">
        <v>370</v>
      </c>
      <c r="N10" s="299" t="s">
        <v>369</v>
      </c>
      <c r="O10" s="300">
        <v>2</v>
      </c>
      <c r="P10" s="290" t="s">
        <v>370</v>
      </c>
    </row>
    <row r="11" spans="1:16" ht="16" customHeight="1">
      <c r="J11" s="291" t="s">
        <v>24</v>
      </c>
      <c r="K11" s="290"/>
      <c r="L11" s="290" t="s">
        <v>371</v>
      </c>
      <c r="N11" s="291" t="s">
        <v>24</v>
      </c>
      <c r="O11" s="290"/>
      <c r="P11" s="290" t="s">
        <v>371</v>
      </c>
    </row>
    <row r="12" spans="1:16" ht="16" customHeight="1">
      <c r="J12" s="292" t="s">
        <v>24</v>
      </c>
      <c r="K12" s="293" t="s">
        <v>24</v>
      </c>
      <c r="L12" s="293" t="s">
        <v>372</v>
      </c>
      <c r="N12" s="292" t="s">
        <v>24</v>
      </c>
      <c r="O12" s="293" t="s">
        <v>24</v>
      </c>
      <c r="P12" s="293" t="s">
        <v>372</v>
      </c>
    </row>
    <row r="13" spans="1:16" ht="16" customHeight="1" thickBot="1">
      <c r="J13" s="294"/>
      <c r="K13" s="294"/>
      <c r="L13" s="294"/>
      <c r="N13" s="294"/>
      <c r="O13" s="294"/>
      <c r="P13" s="294"/>
    </row>
    <row r="14" spans="1:16" ht="16" customHeight="1">
      <c r="C14" s="295" t="s">
        <v>373</v>
      </c>
      <c r="D14" s="296">
        <v>193.36</v>
      </c>
      <c r="J14" s="294"/>
      <c r="K14" s="294"/>
      <c r="L14" s="294"/>
      <c r="N14" s="294"/>
      <c r="O14" s="294"/>
      <c r="P14" s="294"/>
    </row>
    <row r="15" spans="1:16" ht="16" customHeight="1">
      <c r="C15" s="288" t="s">
        <v>374</v>
      </c>
      <c r="D15" s="297">
        <f ca="1">'DCF FCFE'!C9</f>
        <v>215.50478944650493</v>
      </c>
      <c r="J15" s="491" t="s">
        <v>67</v>
      </c>
      <c r="K15" s="493"/>
      <c r="L15" s="492" t="s">
        <v>201</v>
      </c>
      <c r="N15" s="491" t="s">
        <v>67</v>
      </c>
      <c r="O15" s="493"/>
      <c r="P15" s="492" t="s">
        <v>403</v>
      </c>
    </row>
    <row r="16" spans="1:16" ht="16" customHeight="1">
      <c r="C16" s="288" t="s">
        <v>375</v>
      </c>
      <c r="D16" s="297">
        <f ca="1">'DCF FCFE'!C10</f>
        <v>220.81411471319103</v>
      </c>
      <c r="J16" s="299" t="s">
        <v>369</v>
      </c>
      <c r="K16" s="300">
        <v>2</v>
      </c>
      <c r="L16" s="290" t="s">
        <v>370</v>
      </c>
      <c r="N16" s="299" t="s">
        <v>369</v>
      </c>
      <c r="O16" s="300">
        <v>2</v>
      </c>
      <c r="P16" s="290" t="s">
        <v>370</v>
      </c>
    </row>
    <row r="17" spans="3:16" ht="16" customHeight="1">
      <c r="C17" s="288" t="s">
        <v>376</v>
      </c>
      <c r="D17" s="335">
        <f ca="1">'DCF FCFE'!J9</f>
        <v>0.11314457358731889</v>
      </c>
      <c r="J17" s="291" t="s">
        <v>24</v>
      </c>
      <c r="K17" s="290"/>
      <c r="L17" s="290" t="s">
        <v>371</v>
      </c>
      <c r="N17" s="291" t="s">
        <v>24</v>
      </c>
      <c r="O17" s="290"/>
      <c r="P17" s="290" t="s">
        <v>371</v>
      </c>
    </row>
    <row r="18" spans="3:16" ht="16" customHeight="1" thickBot="1">
      <c r="C18" s="298" t="s">
        <v>377</v>
      </c>
      <c r="D18" s="335">
        <f ca="1">'DCF FCFE'!J10</f>
        <v>0.14056877434499504</v>
      </c>
      <c r="J18" s="292" t="s">
        <v>24</v>
      </c>
      <c r="K18" s="293" t="s">
        <v>24</v>
      </c>
      <c r="L18" s="293" t="s">
        <v>372</v>
      </c>
      <c r="N18" s="292" t="s">
        <v>24</v>
      </c>
      <c r="O18" s="293" t="s">
        <v>24</v>
      </c>
      <c r="P18" s="293" t="s">
        <v>372</v>
      </c>
    </row>
    <row r="19" spans="3:16" ht="16" customHeight="1" thickBot="1">
      <c r="C19" s="298" t="s">
        <v>401</v>
      </c>
      <c r="D19" s="335">
        <v>2.8299999999999999E-2</v>
      </c>
      <c r="J19" s="294"/>
      <c r="K19" s="294"/>
      <c r="L19" s="294"/>
    </row>
    <row r="20" spans="3:16" ht="16" customHeight="1" thickBot="1">
      <c r="C20" s="298" t="s">
        <v>402</v>
      </c>
      <c r="D20" s="336">
        <f ca="1">D19+D18</f>
        <v>0.16886877434499503</v>
      </c>
      <c r="J20" s="294"/>
      <c r="K20" s="294"/>
      <c r="L20" s="294"/>
    </row>
    <row r="21" spans="3:16" ht="16" customHeight="1">
      <c r="J21" s="516" t="s">
        <v>293</v>
      </c>
      <c r="K21" s="517"/>
      <c r="L21" s="518"/>
    </row>
    <row r="22" spans="3:16" ht="16" customHeight="1">
      <c r="J22" s="301" t="s">
        <v>24</v>
      </c>
      <c r="K22" s="302">
        <v>0.02</v>
      </c>
      <c r="L22" s="303" t="s">
        <v>24</v>
      </c>
    </row>
  </sheetData>
  <mergeCells count="1">
    <mergeCell ref="J21:L21"/>
  </mergeCells>
  <dataValidations count="1">
    <dataValidation type="list" allowBlank="1" showInputMessage="1" showErrorMessage="1" sqref="K4 K10 K16 O4 O10 O16" xr:uid="{36913FE8-C0DE-CC46-8C53-1116A058DD0C}">
      <formula1>"1,2,3"</formula1>
    </dataValidation>
  </dataValidations>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A0875-E7BF-D64F-A4DB-42517D85481B}">
  <dimension ref="A1:K33"/>
  <sheetViews>
    <sheetView showGridLines="0" zoomScaleNormal="100" workbookViewId="0">
      <selection activeCell="I18" sqref="I18"/>
    </sheetView>
  </sheetViews>
  <sheetFormatPr baseColWidth="10" defaultRowHeight="16" customHeight="1"/>
  <cols>
    <col min="1" max="1" width="2.125" style="63" customWidth="1"/>
    <col min="2" max="2" width="3.875" style="63" customWidth="1"/>
    <col min="3" max="3" width="29.25" style="63" customWidth="1"/>
    <col min="4" max="4" width="3" style="63" customWidth="1"/>
    <col min="5" max="5" width="11.375" style="63" customWidth="1"/>
    <col min="6" max="6" width="6.625" style="63" bestFit="1" customWidth="1"/>
    <col min="7" max="7" width="24.875" style="63" customWidth="1"/>
    <col min="8" max="16384" width="10.625" style="63"/>
  </cols>
  <sheetData>
    <row r="1" spans="1:9" ht="16" customHeight="1">
      <c r="A1" s="1"/>
      <c r="H1" s="1"/>
      <c r="I1" s="1"/>
    </row>
    <row r="2" spans="1:9" ht="16" customHeight="1">
      <c r="A2" s="1"/>
      <c r="B2" s="263" t="s">
        <v>253</v>
      </c>
      <c r="C2" s="85"/>
      <c r="D2" s="85"/>
      <c r="E2" s="263" t="s">
        <v>254</v>
      </c>
      <c r="F2" s="85"/>
      <c r="G2" s="85"/>
      <c r="H2" s="1"/>
      <c r="I2" s="1"/>
    </row>
    <row r="3" spans="1:9" ht="16" customHeight="1">
      <c r="A3" s="1"/>
      <c r="B3" s="264" t="s">
        <v>280</v>
      </c>
      <c r="C3" s="264"/>
      <c r="D3" s="85"/>
      <c r="E3" s="264" t="s">
        <v>252</v>
      </c>
      <c r="F3" s="85"/>
      <c r="G3" s="85"/>
      <c r="H3" s="1"/>
      <c r="I3" s="1"/>
    </row>
    <row r="4" spans="1:9" ht="16" customHeight="1">
      <c r="A4" s="1"/>
      <c r="B4" s="263" t="s">
        <v>255</v>
      </c>
      <c r="C4" s="263"/>
      <c r="D4" s="85"/>
      <c r="E4" s="263"/>
      <c r="F4" s="85"/>
      <c r="G4" s="85"/>
      <c r="H4" s="1"/>
      <c r="I4" s="1"/>
    </row>
    <row r="5" spans="1:9" ht="16" customHeight="1">
      <c r="A5" s="1"/>
      <c r="B5" s="85" t="s">
        <v>358</v>
      </c>
      <c r="C5" s="85"/>
      <c r="D5" s="85"/>
      <c r="E5" s="263"/>
      <c r="F5" s="85"/>
      <c r="G5" s="85"/>
      <c r="H5" s="1"/>
      <c r="I5" s="1"/>
    </row>
    <row r="6" spans="1:9" ht="16" customHeight="1" thickBot="1">
      <c r="A6" s="1"/>
      <c r="B6" s="85"/>
      <c r="C6" s="265"/>
      <c r="D6" s="85"/>
      <c r="E6" s="263"/>
      <c r="F6" s="85"/>
      <c r="G6" s="85"/>
      <c r="H6" s="1"/>
      <c r="I6" s="1"/>
    </row>
    <row r="7" spans="1:9" ht="16" customHeight="1">
      <c r="A7" s="1"/>
      <c r="B7" s="356" t="s">
        <v>256</v>
      </c>
      <c r="C7" s="357"/>
      <c r="D7" s="358" t="s">
        <v>24</v>
      </c>
      <c r="E7" s="359" t="s">
        <v>24</v>
      </c>
      <c r="F7" s="358" t="s">
        <v>24</v>
      </c>
      <c r="G7" s="360" t="s">
        <v>257</v>
      </c>
      <c r="H7" s="1"/>
      <c r="I7" s="1"/>
    </row>
    <row r="8" spans="1:9" ht="16" customHeight="1">
      <c r="A8" s="1"/>
      <c r="B8" s="266" t="s">
        <v>24</v>
      </c>
      <c r="C8" s="85" t="s">
        <v>258</v>
      </c>
      <c r="D8" s="85"/>
      <c r="E8" s="370">
        <v>23.65</v>
      </c>
      <c r="F8" s="267"/>
      <c r="G8" s="268" t="s">
        <v>259</v>
      </c>
      <c r="H8" s="1"/>
      <c r="I8" s="1"/>
    </row>
    <row r="9" spans="1:9" ht="16" customHeight="1">
      <c r="A9" s="1"/>
      <c r="B9" s="266" t="s">
        <v>24</v>
      </c>
      <c r="C9" s="85" t="s">
        <v>359</v>
      </c>
      <c r="D9" s="85"/>
      <c r="E9" s="368">
        <v>0.1192</v>
      </c>
      <c r="F9" s="267"/>
      <c r="G9" s="269" t="s">
        <v>260</v>
      </c>
      <c r="H9" s="1"/>
      <c r="I9" s="1"/>
    </row>
    <row r="10" spans="1:9" ht="16" customHeight="1">
      <c r="A10" s="1"/>
      <c r="B10" s="266" t="s">
        <v>24</v>
      </c>
      <c r="C10" s="85" t="s">
        <v>360</v>
      </c>
      <c r="D10" s="85"/>
      <c r="E10" s="371">
        <v>3.764E-2</v>
      </c>
      <c r="F10" s="267"/>
      <c r="G10" s="268" t="s">
        <v>261</v>
      </c>
      <c r="H10" s="1"/>
      <c r="I10" s="1"/>
    </row>
    <row r="11" spans="1:9" ht="16" customHeight="1">
      <c r="A11" s="1"/>
      <c r="B11" s="266" t="s">
        <v>24</v>
      </c>
      <c r="C11" s="85" t="s">
        <v>361</v>
      </c>
      <c r="D11" s="85"/>
      <c r="E11" s="270">
        <f>((1+E9)/E8)+E9</f>
        <v>0.16652346723044398</v>
      </c>
      <c r="F11" s="85"/>
      <c r="G11" s="271" t="s">
        <v>262</v>
      </c>
      <c r="H11" s="1"/>
      <c r="I11" s="1"/>
    </row>
    <row r="12" spans="1:9" ht="16" customHeight="1">
      <c r="A12" s="1"/>
      <c r="B12" s="266" t="s">
        <v>24</v>
      </c>
      <c r="C12" s="85" t="s">
        <v>362</v>
      </c>
      <c r="D12" s="85"/>
      <c r="E12" s="270">
        <f>E11-E10</f>
        <v>0.12888346723044397</v>
      </c>
      <c r="F12" s="85"/>
      <c r="G12" s="271" t="s">
        <v>262</v>
      </c>
      <c r="H12" s="1"/>
      <c r="I12" s="1"/>
    </row>
    <row r="13" spans="1:9" ht="16" customHeight="1">
      <c r="A13" s="1"/>
      <c r="B13" s="266" t="s">
        <v>24</v>
      </c>
      <c r="C13" s="85"/>
      <c r="D13" s="85"/>
      <c r="E13" s="263"/>
      <c r="F13" s="85"/>
      <c r="G13" s="271" t="s">
        <v>24</v>
      </c>
      <c r="H13" s="1"/>
      <c r="I13" s="1"/>
    </row>
    <row r="14" spans="1:9" ht="16" customHeight="1">
      <c r="A14" s="1"/>
      <c r="B14" s="361" t="s">
        <v>263</v>
      </c>
      <c r="C14" s="362"/>
      <c r="D14" s="363" t="s">
        <v>24</v>
      </c>
      <c r="E14" s="362" t="s">
        <v>24</v>
      </c>
      <c r="F14" s="363" t="s">
        <v>24</v>
      </c>
      <c r="G14" s="364" t="s">
        <v>24</v>
      </c>
      <c r="H14" s="1"/>
      <c r="I14" s="1"/>
    </row>
    <row r="15" spans="1:9" ht="16" customHeight="1">
      <c r="A15" s="1"/>
      <c r="B15" s="272" t="s">
        <v>280</v>
      </c>
      <c r="C15" s="263"/>
      <c r="D15" s="85"/>
      <c r="E15" s="263"/>
      <c r="F15" s="85"/>
      <c r="G15" s="271" t="s">
        <v>24</v>
      </c>
      <c r="H15" s="1"/>
      <c r="I15" s="1"/>
    </row>
    <row r="16" spans="1:9" ht="16" customHeight="1">
      <c r="A16" s="1"/>
      <c r="B16" s="266" t="s">
        <v>24</v>
      </c>
      <c r="C16" s="85" t="s">
        <v>264</v>
      </c>
      <c r="D16" s="85"/>
      <c r="E16" s="369">
        <v>193.6</v>
      </c>
      <c r="F16" s="267"/>
      <c r="G16" s="269" t="s">
        <v>260</v>
      </c>
      <c r="H16" s="1"/>
      <c r="I16" s="1"/>
    </row>
    <row r="17" spans="1:11" ht="16" customHeight="1">
      <c r="A17" s="1"/>
      <c r="B17" s="266" t="s">
        <v>24</v>
      </c>
      <c r="C17" s="85" t="s">
        <v>265</v>
      </c>
      <c r="D17" s="85"/>
      <c r="E17" s="369">
        <v>9.32</v>
      </c>
      <c r="F17" s="267"/>
      <c r="G17" s="269" t="s">
        <v>260</v>
      </c>
      <c r="H17" s="1"/>
      <c r="I17" s="1"/>
    </row>
    <row r="18" spans="1:11" ht="16" customHeight="1">
      <c r="A18" s="1"/>
      <c r="B18" s="266" t="s">
        <v>24</v>
      </c>
      <c r="C18" s="85" t="s">
        <v>266</v>
      </c>
      <c r="D18" s="85"/>
      <c r="E18" s="273">
        <f>E16/E17</f>
        <v>20.7725321888412</v>
      </c>
      <c r="F18" s="85"/>
      <c r="G18" s="271" t="s">
        <v>262</v>
      </c>
      <c r="H18" s="1"/>
      <c r="I18" s="1"/>
    </row>
    <row r="19" spans="1:11" ht="16" customHeight="1">
      <c r="A19" s="1"/>
      <c r="B19" s="266" t="s">
        <v>24</v>
      </c>
      <c r="C19" s="85" t="s">
        <v>267</v>
      </c>
      <c r="D19" s="85"/>
      <c r="E19" s="368">
        <v>1.2800000000000001E-2</v>
      </c>
      <c r="F19" s="267"/>
      <c r="G19" s="269" t="s">
        <v>268</v>
      </c>
      <c r="H19" s="1" t="s">
        <v>422</v>
      </c>
      <c r="I19" s="1"/>
      <c r="K19" s="63" t="s">
        <v>423</v>
      </c>
    </row>
    <row r="20" spans="1:11" ht="16" customHeight="1">
      <c r="A20" s="1"/>
      <c r="B20" s="266" t="s">
        <v>24</v>
      </c>
      <c r="C20" s="85" t="s">
        <v>269</v>
      </c>
      <c r="D20" s="85"/>
      <c r="E20" s="270">
        <f>((1+E19)/E18)+E19</f>
        <v>6.1556694214876029E-2</v>
      </c>
      <c r="F20" s="85"/>
      <c r="G20" s="271" t="s">
        <v>262</v>
      </c>
      <c r="H20" s="1"/>
      <c r="I20" s="1"/>
    </row>
    <row r="21" spans="1:11" ht="16" customHeight="1">
      <c r="A21" s="1"/>
      <c r="B21" s="272" t="s">
        <v>208</v>
      </c>
      <c r="C21" s="263" t="s">
        <v>127</v>
      </c>
      <c r="D21" s="85"/>
      <c r="E21" s="263"/>
      <c r="F21" s="85"/>
      <c r="G21" s="271" t="s">
        <v>24</v>
      </c>
      <c r="H21" s="1"/>
      <c r="I21" s="1"/>
    </row>
    <row r="22" spans="1:11" ht="16" customHeight="1">
      <c r="A22" s="1"/>
      <c r="B22" s="266" t="s">
        <v>24</v>
      </c>
      <c r="C22" s="85" t="s">
        <v>270</v>
      </c>
      <c r="D22" s="1"/>
      <c r="E22" s="273">
        <f>(E20-E10)/E12</f>
        <v>0.18556836442111632</v>
      </c>
      <c r="F22" s="85"/>
      <c r="G22" s="271" t="s">
        <v>262</v>
      </c>
      <c r="H22" s="1"/>
      <c r="I22" s="1"/>
    </row>
    <row r="23" spans="1:11" ht="16" customHeight="1">
      <c r="A23" s="1"/>
      <c r="B23" s="266" t="s">
        <v>24</v>
      </c>
      <c r="C23" s="85" t="s">
        <v>271</v>
      </c>
      <c r="D23" s="1"/>
      <c r="E23" s="264">
        <v>0.36</v>
      </c>
      <c r="F23" s="267"/>
      <c r="G23" s="269" t="s">
        <v>260</v>
      </c>
      <c r="H23" s="1"/>
      <c r="I23" s="1"/>
    </row>
    <row r="24" spans="1:11" ht="16" customHeight="1">
      <c r="A24" s="1"/>
      <c r="B24" s="266" t="s">
        <v>24</v>
      </c>
      <c r="C24" s="85"/>
      <c r="D24" s="85"/>
      <c r="E24" s="263"/>
      <c r="F24" s="85"/>
      <c r="G24" s="271" t="s">
        <v>24</v>
      </c>
      <c r="H24" s="1"/>
      <c r="I24" s="1"/>
    </row>
    <row r="25" spans="1:11" ht="16" customHeight="1">
      <c r="A25" s="1"/>
      <c r="B25" s="361" t="s">
        <v>272</v>
      </c>
      <c r="C25" s="362"/>
      <c r="D25" s="363" t="s">
        <v>24</v>
      </c>
      <c r="E25" s="362" t="s">
        <v>24</v>
      </c>
      <c r="F25" s="363" t="s">
        <v>24</v>
      </c>
      <c r="G25" s="364" t="s">
        <v>24</v>
      </c>
      <c r="H25" s="1"/>
      <c r="I25" s="1"/>
    </row>
    <row r="26" spans="1:11" ht="16" customHeight="1">
      <c r="A26" s="1"/>
      <c r="B26" s="266" t="s">
        <v>24</v>
      </c>
      <c r="C26" s="85" t="s">
        <v>273</v>
      </c>
      <c r="D26" s="85"/>
      <c r="E26" s="368">
        <v>6.5000000000000002E-2</v>
      </c>
      <c r="F26" s="267"/>
      <c r="G26" s="271" t="s">
        <v>274</v>
      </c>
      <c r="H26" s="1"/>
      <c r="I26" s="1"/>
    </row>
    <row r="27" spans="1:11" ht="16" customHeight="1">
      <c r="A27" s="1"/>
      <c r="B27" s="266" t="s">
        <v>24</v>
      </c>
      <c r="C27" s="85" t="s">
        <v>275</v>
      </c>
      <c r="D27" s="85"/>
      <c r="E27" s="270">
        <f>E10+(E22*E26)</f>
        <v>4.970194368737256E-2</v>
      </c>
      <c r="F27" s="270">
        <v>0</v>
      </c>
      <c r="G27" s="271"/>
      <c r="H27" s="1"/>
      <c r="I27" s="1"/>
    </row>
    <row r="28" spans="1:11" ht="16" customHeight="1">
      <c r="A28" s="1"/>
      <c r="B28" s="266"/>
      <c r="C28" s="85" t="s">
        <v>424</v>
      </c>
      <c r="D28" s="85"/>
      <c r="E28" s="263">
        <f>E10 + E26*Comps!O7</f>
        <v>6.7540000000000003E-2</v>
      </c>
      <c r="F28" s="270">
        <f>1-F29-F27</f>
        <v>0.5</v>
      </c>
      <c r="G28" s="271"/>
      <c r="H28" s="1"/>
      <c r="I28" s="1"/>
    </row>
    <row r="29" spans="1:11" ht="16" customHeight="1">
      <c r="A29" s="1"/>
      <c r="B29" s="266" t="s">
        <v>24</v>
      </c>
      <c r="C29" s="85" t="s">
        <v>276</v>
      </c>
      <c r="D29" s="85"/>
      <c r="E29" s="270">
        <f>E10+(E23*E26)</f>
        <v>6.1039999999999997E-2</v>
      </c>
      <c r="F29" s="270">
        <v>0.5</v>
      </c>
      <c r="G29" s="271" t="s">
        <v>24</v>
      </c>
      <c r="H29" s="1"/>
      <c r="I29" s="1"/>
    </row>
    <row r="30" spans="1:11" ht="16" customHeight="1">
      <c r="A30" s="1"/>
      <c r="B30" s="266"/>
      <c r="C30" s="85" t="s">
        <v>277</v>
      </c>
      <c r="D30" s="85"/>
      <c r="E30" s="274">
        <f>(E22*F27)+(E23*F29)</f>
        <v>0.18</v>
      </c>
      <c r="F30" s="270"/>
      <c r="G30" s="271"/>
      <c r="H30" s="1"/>
      <c r="I30" s="1"/>
    </row>
    <row r="31" spans="1:11" ht="16" customHeight="1">
      <c r="A31" s="1"/>
      <c r="B31" s="266" t="s">
        <v>24</v>
      </c>
      <c r="C31" s="365" t="s">
        <v>278</v>
      </c>
      <c r="D31" s="366"/>
      <c r="E31" s="367">
        <f>SUMPRODUCT(E27:E29,F27:F29)</f>
        <v>6.429E-2</v>
      </c>
      <c r="F31" s="85"/>
      <c r="G31" s="271" t="s">
        <v>24</v>
      </c>
      <c r="H31" s="1"/>
      <c r="I31" s="1"/>
    </row>
    <row r="32" spans="1:11" ht="16" customHeight="1">
      <c r="A32" s="1"/>
      <c r="B32" s="266" t="s">
        <v>24</v>
      </c>
      <c r="C32" s="85"/>
      <c r="D32" s="85"/>
      <c r="E32" s="263"/>
      <c r="F32" s="85"/>
      <c r="G32" s="271" t="s">
        <v>24</v>
      </c>
      <c r="H32" s="1"/>
      <c r="I32" s="1"/>
    </row>
    <row r="33" spans="2:7" ht="16" customHeight="1" thickBot="1">
      <c r="B33" s="275" t="s">
        <v>24</v>
      </c>
      <c r="C33" s="276" t="s">
        <v>279</v>
      </c>
      <c r="D33" s="277" t="s">
        <v>24</v>
      </c>
      <c r="E33" s="278">
        <f>E26+E10</f>
        <v>0.10264000000000001</v>
      </c>
      <c r="F33" s="277" t="s">
        <v>24</v>
      </c>
      <c r="G33" s="279" t="s">
        <v>24</v>
      </c>
    </row>
  </sheetData>
  <hyperlinks>
    <hyperlink ref="G8" r:id="rId1" xr:uid="{A1CC23BB-93A7-524C-8C39-48074C0EE332}"/>
    <hyperlink ref="G10" r:id="rId2" xr:uid="{63CD4340-67C4-2249-B2F8-7F0A09D8A3DE}"/>
  </hyperlinks>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EFC4B-CAFB-3249-93F6-6890C05DD547}">
  <dimension ref="B1:O57"/>
  <sheetViews>
    <sheetView showGridLines="0" topLeftCell="A3" zoomScale="80" zoomScaleNormal="80" workbookViewId="0">
      <selection activeCell="K19" sqref="K19"/>
    </sheetView>
  </sheetViews>
  <sheetFormatPr baseColWidth="10" defaultRowHeight="16"/>
  <cols>
    <col min="1" max="1" width="2.125" style="3" customWidth="1"/>
    <col min="2" max="2" width="22" style="3" bestFit="1" customWidth="1"/>
    <col min="3" max="10" width="10.625" style="3"/>
    <col min="11" max="11" width="15.25" style="3" bestFit="1" customWidth="1"/>
    <col min="12" max="16384" width="10.625" style="3"/>
  </cols>
  <sheetData>
    <row r="1" spans="2:15">
      <c r="B1" s="4" t="s">
        <v>280</v>
      </c>
      <c r="C1" s="5"/>
      <c r="D1" s="5"/>
      <c r="E1" s="5"/>
      <c r="F1" s="5"/>
      <c r="G1" s="5"/>
      <c r="H1" s="5"/>
      <c r="I1" s="5"/>
      <c r="J1" s="5"/>
    </row>
    <row r="2" spans="2:15">
      <c r="B2" s="304" t="s">
        <v>280</v>
      </c>
      <c r="C2" s="304"/>
      <c r="D2" s="304"/>
      <c r="E2" s="304"/>
      <c r="F2" s="304"/>
      <c r="G2" s="304"/>
      <c r="H2" s="304"/>
      <c r="I2" s="304"/>
      <c r="J2" s="304"/>
    </row>
    <row r="3" spans="2:15" ht="17" thickBot="1">
      <c r="B3" s="4"/>
      <c r="C3" s="5"/>
      <c r="D3" s="5"/>
      <c r="E3" s="5"/>
      <c r="F3" s="5"/>
      <c r="G3" s="5"/>
      <c r="H3" s="5"/>
      <c r="I3" s="5"/>
      <c r="J3" s="6" t="s">
        <v>301</v>
      </c>
      <c r="O3" s="3" t="s">
        <v>353</v>
      </c>
    </row>
    <row r="4" spans="2:15" ht="17">
      <c r="B4" s="7" t="s">
        <v>255</v>
      </c>
      <c r="C4" s="355">
        <f>Ke!E31</f>
        <v>6.429E-2</v>
      </c>
      <c r="D4" s="8"/>
      <c r="E4" s="5"/>
      <c r="F4" s="5"/>
      <c r="G4" s="5"/>
      <c r="H4" s="9">
        <f ca="1">TODAY()</f>
        <v>45784</v>
      </c>
      <c r="I4" s="5" t="s">
        <v>281</v>
      </c>
      <c r="J4" s="10">
        <f>C5</f>
        <v>202287.788</v>
      </c>
      <c r="N4" s="3" t="s">
        <v>354</v>
      </c>
      <c r="O4" s="194">
        <v>147674274</v>
      </c>
    </row>
    <row r="5" spans="2:15" ht="17">
      <c r="B5" s="11" t="s">
        <v>304</v>
      </c>
      <c r="C5" s="10">
        <f>(O4+O5)/1000</f>
        <v>202287.788</v>
      </c>
      <c r="D5" s="12"/>
      <c r="E5" s="13"/>
      <c r="F5" s="5"/>
      <c r="G5" s="5"/>
      <c r="H5" s="9">
        <f ca="1">H4+365</f>
        <v>46149</v>
      </c>
      <c r="I5" s="5" t="s">
        <v>282</v>
      </c>
      <c r="J5" s="10">
        <f>J4-BS!L93</f>
        <v>200688.02638340517</v>
      </c>
      <c r="N5" s="3" t="s">
        <v>355</v>
      </c>
      <c r="O5" s="194">
        <v>54613514</v>
      </c>
    </row>
    <row r="6" spans="2:15">
      <c r="B6" s="11"/>
      <c r="C6" s="5"/>
      <c r="D6" s="14"/>
      <c r="E6" s="5"/>
      <c r="F6" s="5"/>
      <c r="G6" s="5"/>
      <c r="H6" s="9">
        <f ca="1">H5+366</f>
        <v>46515</v>
      </c>
      <c r="I6" s="5" t="s">
        <v>283</v>
      </c>
      <c r="J6" s="10">
        <f>J5-BS!M93</f>
        <v>199560.68213282863</v>
      </c>
    </row>
    <row r="7" spans="2:15" ht="17" thickBot="1">
      <c r="B7" s="11" t="s">
        <v>284</v>
      </c>
      <c r="C7" s="15">
        <f>Ke!E16</f>
        <v>193.6</v>
      </c>
      <c r="D7" s="14"/>
      <c r="E7" s="5"/>
      <c r="F7" s="5"/>
      <c r="G7" s="5"/>
      <c r="H7" s="5"/>
      <c r="I7" s="5"/>
      <c r="J7" s="5"/>
    </row>
    <row r="8" spans="2:15" ht="17" thickBot="1">
      <c r="B8" s="11"/>
      <c r="C8" s="16"/>
      <c r="D8" s="14"/>
      <c r="E8" s="5"/>
      <c r="F8" s="5"/>
      <c r="G8" s="5"/>
      <c r="H8" s="322" t="s">
        <v>285</v>
      </c>
      <c r="I8" s="323"/>
      <c r="J8" s="324"/>
    </row>
    <row r="9" spans="2:15">
      <c r="B9" s="11" t="s">
        <v>286</v>
      </c>
      <c r="C9" s="305">
        <f ca="1">C25</f>
        <v>215.50478944650493</v>
      </c>
      <c r="D9" s="14"/>
      <c r="E9" s="5"/>
      <c r="F9" s="5"/>
      <c r="G9" s="5"/>
      <c r="H9" s="17" t="s">
        <v>285</v>
      </c>
      <c r="I9" s="18"/>
      <c r="J9" s="19">
        <f ca="1">C9/$C$7-1</f>
        <v>0.11314457358731889</v>
      </c>
    </row>
    <row r="10" spans="2:15" ht="17" thickBot="1">
      <c r="B10" s="20" t="s">
        <v>287</v>
      </c>
      <c r="C10" s="305">
        <f ca="1">C47</f>
        <v>220.81411471319103</v>
      </c>
      <c r="D10" s="21"/>
      <c r="E10" s="5"/>
      <c r="F10" s="5"/>
      <c r="G10" s="5"/>
      <c r="H10" s="20" t="s">
        <v>288</v>
      </c>
      <c r="I10" s="22"/>
      <c r="J10" s="23">
        <f ca="1">C10/C7-1</f>
        <v>0.14056877434499504</v>
      </c>
    </row>
    <row r="11" spans="2:15">
      <c r="B11" s="5"/>
      <c r="C11" s="24"/>
      <c r="D11" s="5"/>
      <c r="E11" s="5"/>
      <c r="F11" s="5"/>
      <c r="G11" s="5"/>
      <c r="H11" s="5"/>
      <c r="I11" s="5"/>
      <c r="J11" s="5"/>
    </row>
    <row r="12" spans="2:15">
      <c r="B12" s="5"/>
      <c r="C12" s="5"/>
      <c r="D12" s="5"/>
      <c r="E12" s="5"/>
      <c r="F12" s="5"/>
      <c r="G12" s="5"/>
      <c r="H12" s="5"/>
      <c r="I12" s="5"/>
      <c r="J12" s="5"/>
    </row>
    <row r="13" spans="2:15">
      <c r="B13" s="304" t="s">
        <v>289</v>
      </c>
      <c r="C13" s="304"/>
      <c r="D13" s="304"/>
      <c r="E13" s="304"/>
      <c r="F13" s="304"/>
      <c r="G13" s="304"/>
      <c r="H13" s="304"/>
      <c r="I13" s="304"/>
      <c r="J13" s="304"/>
    </row>
    <row r="14" spans="2:15">
      <c r="B14" s="25"/>
      <c r="C14" s="25"/>
      <c r="D14" s="25"/>
      <c r="E14" s="25"/>
      <c r="F14" s="25"/>
      <c r="G14" s="25"/>
      <c r="H14" s="25"/>
      <c r="I14" s="25"/>
      <c r="J14" s="25"/>
    </row>
    <row r="15" spans="2:15">
      <c r="B15" s="5"/>
      <c r="C15" s="5"/>
      <c r="D15" s="26">
        <v>45657</v>
      </c>
      <c r="E15" s="26">
        <v>46022</v>
      </c>
      <c r="F15" s="26">
        <v>46387</v>
      </c>
      <c r="G15" s="26">
        <v>46752</v>
      </c>
      <c r="H15" s="26">
        <v>47118</v>
      </c>
      <c r="I15" s="26">
        <v>47483</v>
      </c>
      <c r="J15" s="26"/>
    </row>
    <row r="16" spans="2:15">
      <c r="B16" s="4" t="s">
        <v>290</v>
      </c>
      <c r="C16" s="5"/>
      <c r="D16" s="27">
        <f t="shared" ref="D16:I16" ca="1" si="0">MAX((D15-$H$4)/365,0)</f>
        <v>0</v>
      </c>
      <c r="E16" s="27">
        <f t="shared" ca="1" si="0"/>
        <v>0.65205479452054793</v>
      </c>
      <c r="F16" s="27">
        <f t="shared" ca="1" si="0"/>
        <v>1.6520547945205479</v>
      </c>
      <c r="G16" s="27">
        <f t="shared" ca="1" si="0"/>
        <v>2.6520547945205482</v>
      </c>
      <c r="H16" s="27">
        <f t="shared" ca="1" si="0"/>
        <v>3.6547945205479451</v>
      </c>
      <c r="I16" s="27">
        <f t="shared" ca="1" si="0"/>
        <v>4.6547945205479451</v>
      </c>
      <c r="J16" s="27"/>
    </row>
    <row r="17" spans="2:13">
      <c r="B17" s="28" t="s">
        <v>291</v>
      </c>
      <c r="C17" s="29"/>
      <c r="D17" s="30">
        <f>'Derived Cashflows'!C50</f>
        <v>1776711.7555896563</v>
      </c>
      <c r="E17" s="30">
        <f>'Derived Cashflows'!D50</f>
        <v>2037246.5012128099</v>
      </c>
      <c r="F17" s="30">
        <f>'Derived Cashflows'!E50</f>
        <v>1780096.943254445</v>
      </c>
      <c r="G17" s="30">
        <f>'Derived Cashflows'!F50</f>
        <v>1679948.4831443217</v>
      </c>
      <c r="H17" s="30">
        <f>'Derived Cashflows'!G50</f>
        <v>2179494.8020717483</v>
      </c>
      <c r="I17" s="30">
        <f>'Derived Cashflows'!H50</f>
        <v>2050704.6154181948</v>
      </c>
      <c r="J17" s="30"/>
    </row>
    <row r="18" spans="2:13">
      <c r="B18" s="4" t="s">
        <v>292</v>
      </c>
      <c r="C18" s="5"/>
      <c r="D18" s="31">
        <f ca="1">(D17*D16)/((1+$C$4)^D16)</f>
        <v>0</v>
      </c>
      <c r="E18" s="31">
        <f ca="1">E17/((1+$C$4)^E16)</f>
        <v>1956135.7484343068</v>
      </c>
      <c r="F18" s="31">
        <f ca="1">F17/((1+$C$4)^F16)</f>
        <v>1605976.1158418038</v>
      </c>
      <c r="G18" s="31">
        <f ca="1">G17/((1+$C$4)^G16)</f>
        <v>1424070.2380365904</v>
      </c>
      <c r="H18" s="31">
        <f ca="1">H17/((1+$C$4)^H16)</f>
        <v>1735630.0680449062</v>
      </c>
      <c r="I18" s="31">
        <f ca="1">I17/((1+$C$4)^I16)</f>
        <v>1534420.722091858</v>
      </c>
      <c r="J18" s="31"/>
    </row>
    <row r="19" spans="2:13" ht="17" thickBot="1">
      <c r="B19" s="5"/>
      <c r="C19" s="5"/>
      <c r="D19" s="5"/>
      <c r="E19" s="5"/>
      <c r="F19" s="5"/>
      <c r="G19" s="5"/>
      <c r="H19" s="5"/>
      <c r="I19" s="5"/>
      <c r="J19" s="5"/>
    </row>
    <row r="20" spans="2:13" ht="17" thickBot="1">
      <c r="B20" s="4" t="s">
        <v>293</v>
      </c>
      <c r="C20" s="32">
        <f>Cover!K22</f>
        <v>0.02</v>
      </c>
      <c r="D20" s="33"/>
      <c r="E20" s="33"/>
      <c r="F20" s="33"/>
      <c r="G20" s="33"/>
      <c r="H20" s="33"/>
      <c r="I20" s="5"/>
      <c r="J20" s="5"/>
    </row>
    <row r="21" spans="2:13">
      <c r="B21" s="4"/>
      <c r="C21" s="33"/>
      <c r="D21" s="33"/>
      <c r="E21" s="33"/>
      <c r="F21" s="33"/>
      <c r="G21" s="33"/>
      <c r="H21" s="33"/>
      <c r="I21" s="5"/>
      <c r="J21" s="5"/>
    </row>
    <row r="22" spans="2:13">
      <c r="B22" s="5" t="s">
        <v>294</v>
      </c>
      <c r="C22" s="13">
        <f>I17*(1+C20)/(C4-C20)</f>
        <v>47227787.485359199</v>
      </c>
      <c r="D22" s="34"/>
      <c r="E22" s="35"/>
      <c r="F22" s="13"/>
      <c r="G22" s="35"/>
      <c r="H22" s="35"/>
      <c r="I22" s="5"/>
      <c r="J22" s="5"/>
    </row>
    <row r="23" spans="2:13">
      <c r="B23" s="29" t="s">
        <v>295</v>
      </c>
      <c r="C23" s="36">
        <f ca="1">C22/(1+C4)^(I16)</f>
        <v>35337754.268089756</v>
      </c>
      <c r="D23" s="13"/>
      <c r="E23" s="35"/>
      <c r="F23" s="13"/>
      <c r="G23" s="35"/>
      <c r="H23" s="35"/>
      <c r="I23" s="5"/>
      <c r="J23" s="5"/>
    </row>
    <row r="24" spans="2:13">
      <c r="B24" s="5" t="s">
        <v>296</v>
      </c>
      <c r="C24" s="13">
        <f ca="1">SUM(D18:I18)+C23</f>
        <v>43593987.160539225</v>
      </c>
      <c r="D24" s="13"/>
      <c r="E24" s="35"/>
      <c r="F24" s="13"/>
      <c r="G24" s="35"/>
      <c r="H24" s="35"/>
      <c r="I24" s="5"/>
      <c r="J24" s="5"/>
    </row>
    <row r="25" spans="2:13" ht="17" thickBot="1">
      <c r="B25" s="37" t="s">
        <v>297</v>
      </c>
      <c r="C25" s="38">
        <f ca="1">C24/C5</f>
        <v>215.50478944650493</v>
      </c>
      <c r="D25" s="24"/>
      <c r="E25" s="24"/>
      <c r="F25" s="27"/>
      <c r="G25" s="24"/>
      <c r="H25" s="24"/>
      <c r="I25" s="5"/>
      <c r="J25" s="5"/>
    </row>
    <row r="26" spans="2:13">
      <c r="B26" s="5"/>
      <c r="C26" s="5"/>
      <c r="D26" s="39" t="s">
        <v>293</v>
      </c>
      <c r="E26" s="39"/>
      <c r="F26" s="39"/>
      <c r="G26" s="39"/>
      <c r="H26" s="39"/>
      <c r="I26" s="39"/>
      <c r="J26" s="39"/>
    </row>
    <row r="27" spans="2:13" ht="17" thickBot="1">
      <c r="B27" s="5"/>
      <c r="C27" s="40">
        <f ca="1">C25</f>
        <v>215.50478944650493</v>
      </c>
      <c r="D27" s="41">
        <f>E27-$M$27</f>
        <v>1.2500000000000001E-2</v>
      </c>
      <c r="E27" s="41">
        <f>F27-$M$27</f>
        <v>1.5000000000000001E-2</v>
      </c>
      <c r="F27" s="41">
        <f>G27-$M$27</f>
        <v>1.7500000000000002E-2</v>
      </c>
      <c r="G27" s="42">
        <v>0.02</v>
      </c>
      <c r="H27" s="41">
        <f>G27+$M$27</f>
        <v>2.2499999999999999E-2</v>
      </c>
      <c r="I27" s="41">
        <f>H27+$M$27</f>
        <v>2.4999999999999998E-2</v>
      </c>
      <c r="J27" s="41">
        <f>I27+$M$27</f>
        <v>2.7499999999999997E-2</v>
      </c>
      <c r="K27" s="489" t="s">
        <v>208</v>
      </c>
      <c r="L27" s="320" t="s">
        <v>378</v>
      </c>
      <c r="M27" s="376">
        <v>2.5000000000000001E-3</v>
      </c>
    </row>
    <row r="28" spans="2:13" ht="17" thickTop="1">
      <c r="B28" s="5"/>
      <c r="C28" s="43">
        <f>C29-$M$28</f>
        <v>5.2289999999999989E-2</v>
      </c>
      <c r="D28" s="44">
        <f t="dataTable" ref="D28:J34" dt2D="1" dtr="1" r1="C20" r2="C4" ca="1"/>
        <v>245.50379454583941</v>
      </c>
      <c r="E28" s="45">
        <v>259.68152230491199</v>
      </c>
      <c r="F28" s="45">
        <v>275.89686543608474</v>
      </c>
      <c r="G28" s="317">
        <v>294.62310096911142</v>
      </c>
      <c r="H28" s="45">
        <v>316.4923770414174</v>
      </c>
      <c r="I28" s="45">
        <v>342.36848273488607</v>
      </c>
      <c r="J28" s="46">
        <v>373.4636496815757</v>
      </c>
      <c r="K28" s="280">
        <f>(C28-Ke!$E$10)/Ke!$E$26</f>
        <v>0.22538461538461521</v>
      </c>
      <c r="L28" s="321" t="s">
        <v>379</v>
      </c>
      <c r="M28" s="377">
        <v>4.0000000000000001E-3</v>
      </c>
    </row>
    <row r="29" spans="2:13" ht="17" thickBot="1">
      <c r="B29" s="5"/>
      <c r="C29" s="43">
        <f>C30-$M$28</f>
        <v>5.6289999999999993E-2</v>
      </c>
      <c r="D29" s="47">
        <v>223.27005628225436</v>
      </c>
      <c r="E29" s="48">
        <v>234.74448390325909</v>
      </c>
      <c r="F29" s="48">
        <v>247.69795607453526</v>
      </c>
      <c r="G29" s="316">
        <v>262.43614472022256</v>
      </c>
      <c r="H29" s="48">
        <v>279.35518400895313</v>
      </c>
      <c r="I29" s="48">
        <v>298.97780899418905</v>
      </c>
      <c r="J29" s="49">
        <v>322.00832300082766</v>
      </c>
      <c r="K29" s="280">
        <f>(C29-Ke!$E$10)/Ke!$E$26</f>
        <v>0.28692307692307678</v>
      </c>
    </row>
    <row r="30" spans="2:13">
      <c r="B30" s="5"/>
      <c r="C30" s="43">
        <f>C31-$M$28</f>
        <v>6.0289999999999996E-2</v>
      </c>
      <c r="D30" s="47">
        <v>204.7591299648322</v>
      </c>
      <c r="E30" s="48">
        <v>214.21305540797459</v>
      </c>
      <c r="F30" s="307">
        <v>224.77166949836428</v>
      </c>
      <c r="G30" s="308">
        <v>236.64061048009049</v>
      </c>
      <c r="H30" s="309">
        <v>250.07993264489761</v>
      </c>
      <c r="I30" s="48">
        <v>265.42338093109998</v>
      </c>
      <c r="J30" s="49">
        <v>283.10648281385659</v>
      </c>
      <c r="K30" s="280">
        <f>(C30-Ke!$E$10)/Ke!$E$26</f>
        <v>0.34846153846153838</v>
      </c>
    </row>
    <row r="31" spans="2:13">
      <c r="B31" s="50" t="s">
        <v>298</v>
      </c>
      <c r="C31" s="196">
        <v>6.429E-2</v>
      </c>
      <c r="D31" s="315">
        <v>189.10840511006256</v>
      </c>
      <c r="E31" s="316">
        <v>197.01464614787304</v>
      </c>
      <c r="F31" s="310">
        <v>205.76575158382525</v>
      </c>
      <c r="G31" s="306">
        <v>215.50478944650493</v>
      </c>
      <c r="H31" s="311">
        <v>226.40906275578419</v>
      </c>
      <c r="I31" s="316">
        <v>238.70100128640215</v>
      </c>
      <c r="J31" s="318">
        <v>252.66349411582667</v>
      </c>
      <c r="K31" s="280">
        <f>(C31-Ke!$E$10)/Ke!$E$26</f>
        <v>0.41</v>
      </c>
    </row>
    <row r="32" spans="2:13" ht="17" thickBot="1">
      <c r="B32" s="5"/>
      <c r="C32" s="43">
        <f>C31+$M$28</f>
        <v>6.8290000000000003E-2</v>
      </c>
      <c r="D32" s="47">
        <v>175.7026592887465</v>
      </c>
      <c r="E32" s="48">
        <v>182.39870445463799</v>
      </c>
      <c r="F32" s="312">
        <v>189.75393894577962</v>
      </c>
      <c r="G32" s="313">
        <v>197.87074254969221</v>
      </c>
      <c r="H32" s="314">
        <v>206.8738536010728</v>
      </c>
      <c r="I32" s="48">
        <v>216.91682501874826</v>
      </c>
      <c r="J32" s="49">
        <v>228.19085446751907</v>
      </c>
      <c r="K32" s="280">
        <f>(C32-Ke!$E$10)/Ke!$E$26</f>
        <v>0.47153846153846157</v>
      </c>
    </row>
    <row r="33" spans="2:11">
      <c r="B33" s="5"/>
      <c r="C33" s="43">
        <f>C32+$M$28</f>
        <v>7.2290000000000007E-2</v>
      </c>
      <c r="D33" s="47">
        <v>164.09130580686733</v>
      </c>
      <c r="E33" s="48">
        <v>169.8242935046471</v>
      </c>
      <c r="F33" s="48">
        <v>176.0804594920582</v>
      </c>
      <c r="G33" s="316">
        <v>182.93484368442341</v>
      </c>
      <c r="H33" s="48">
        <v>190.47755727951667</v>
      </c>
      <c r="I33" s="48">
        <v>198.81776649684434</v>
      </c>
      <c r="J33" s="49">
        <v>208.08901045600368</v>
      </c>
      <c r="K33" s="280">
        <f>(C33-Ke!$E$10)/Ke!$E$26</f>
        <v>0.53307692307692311</v>
      </c>
    </row>
    <row r="34" spans="2:11" ht="17" thickBot="1">
      <c r="B34" s="5"/>
      <c r="C34" s="43">
        <f>C33+$M$28</f>
        <v>7.6290000000000011E-2</v>
      </c>
      <c r="D34" s="51">
        <v>153.93677566541135</v>
      </c>
      <c r="E34" s="52">
        <v>158.89169032588043</v>
      </c>
      <c r="F34" s="52">
        <v>164.26801293502018</v>
      </c>
      <c r="G34" s="319">
        <v>170.12189129199609</v>
      </c>
      <c r="H34" s="52">
        <v>176.51991153008146</v>
      </c>
      <c r="I34" s="52">
        <v>183.54164206628394</v>
      </c>
      <c r="J34" s="53">
        <v>191.28295966297051</v>
      </c>
      <c r="K34" s="280">
        <f>(C34-Ke!$E$10)/Ke!$E$26</f>
        <v>0.59461538461538477</v>
      </c>
    </row>
    <row r="35" spans="2:11" ht="17" thickTop="1">
      <c r="B35" s="5"/>
      <c r="C35" s="54"/>
      <c r="D35" s="27"/>
      <c r="E35" s="27"/>
      <c r="F35" s="27"/>
      <c r="G35" s="27"/>
      <c r="H35" s="27"/>
      <c r="I35" s="27"/>
      <c r="J35" s="27"/>
    </row>
    <row r="36" spans="2:11">
      <c r="B36" s="54"/>
      <c r="C36" s="27"/>
      <c r="D36" s="27"/>
      <c r="E36" s="27"/>
      <c r="F36" s="27"/>
      <c r="G36" s="27"/>
      <c r="H36" s="27"/>
      <c r="I36" s="27"/>
      <c r="J36" s="5"/>
    </row>
    <row r="37" spans="2:11">
      <c r="B37" s="304" t="s">
        <v>299</v>
      </c>
      <c r="C37" s="304"/>
      <c r="D37" s="304"/>
      <c r="E37" s="304"/>
      <c r="F37" s="304"/>
      <c r="G37" s="304"/>
      <c r="H37" s="304"/>
      <c r="I37" s="304"/>
      <c r="J37" s="304"/>
    </row>
    <row r="38" spans="2:11">
      <c r="B38" s="25"/>
      <c r="C38" s="25"/>
      <c r="D38" s="25"/>
      <c r="E38" s="25"/>
      <c r="F38" s="25"/>
      <c r="G38" s="25"/>
      <c r="H38" s="25"/>
      <c r="I38" s="25"/>
      <c r="J38" s="25"/>
    </row>
    <row r="39" spans="2:11">
      <c r="B39" s="5"/>
      <c r="C39" s="5"/>
      <c r="D39" s="26">
        <v>45657</v>
      </c>
      <c r="E39" s="26">
        <v>46022</v>
      </c>
      <c r="F39" s="26">
        <v>46387</v>
      </c>
      <c r="G39" s="26">
        <v>46752</v>
      </c>
      <c r="H39" s="26">
        <v>47118</v>
      </c>
      <c r="I39" s="26">
        <v>47483</v>
      </c>
      <c r="J39" s="26"/>
    </row>
    <row r="40" spans="2:11">
      <c r="B40" s="4" t="s">
        <v>300</v>
      </c>
      <c r="C40" s="5"/>
      <c r="D40" s="27">
        <f t="shared" ref="D40:I40" ca="1" si="1">MAX((D39-$H$5)/365,0)</f>
        <v>0</v>
      </c>
      <c r="E40" s="27">
        <f t="shared" ca="1" si="1"/>
        <v>0</v>
      </c>
      <c r="F40" s="27">
        <f t="shared" ca="1" si="1"/>
        <v>0.65205479452054793</v>
      </c>
      <c r="G40" s="27">
        <f t="shared" ca="1" si="1"/>
        <v>1.6520547945205479</v>
      </c>
      <c r="H40" s="27">
        <f t="shared" ca="1" si="1"/>
        <v>2.6547945205479451</v>
      </c>
      <c r="I40" s="27">
        <f t="shared" ca="1" si="1"/>
        <v>3.6547945205479451</v>
      </c>
      <c r="J40" s="27"/>
    </row>
    <row r="41" spans="2:11">
      <c r="B41" s="28" t="s">
        <v>291</v>
      </c>
      <c r="C41" s="29"/>
      <c r="D41" s="36">
        <f t="shared" ref="D41:I41" si="2">D17</f>
        <v>1776711.7555896563</v>
      </c>
      <c r="E41" s="36">
        <f t="shared" si="2"/>
        <v>2037246.5012128099</v>
      </c>
      <c r="F41" s="36">
        <f t="shared" si="2"/>
        <v>1780096.943254445</v>
      </c>
      <c r="G41" s="36">
        <f t="shared" si="2"/>
        <v>1679948.4831443217</v>
      </c>
      <c r="H41" s="36">
        <f t="shared" si="2"/>
        <v>2179494.8020717483</v>
      </c>
      <c r="I41" s="36">
        <f t="shared" si="2"/>
        <v>2050704.6154181948</v>
      </c>
      <c r="J41" s="36"/>
    </row>
    <row r="42" spans="2:11">
      <c r="B42" s="4" t="s">
        <v>292</v>
      </c>
      <c r="C42" s="5"/>
      <c r="D42" s="31">
        <f ca="1">(D41*D40)/((1+$C$4)^D40)</f>
        <v>0</v>
      </c>
      <c r="E42" s="31">
        <f ca="1">E41*E40/((1+$C$4)^E40)</f>
        <v>0</v>
      </c>
      <c r="F42" s="31">
        <f ca="1">F41/((1+$C$4)^F40)</f>
        <v>1709224.3203292736</v>
      </c>
      <c r="G42" s="31">
        <f ca="1">G41/((1+$C$4)^G40)</f>
        <v>1515623.7136399627</v>
      </c>
      <c r="H42" s="31">
        <f ca="1">H41/((1+$C$4)^H40)</f>
        <v>1847213.725119513</v>
      </c>
      <c r="I42" s="31">
        <f ca="1">I41/((1+$C$4)^I40)</f>
        <v>1633068.6303151434</v>
      </c>
      <c r="J42" s="31"/>
    </row>
    <row r="43" spans="2:11">
      <c r="B43" s="4"/>
      <c r="C43" s="55"/>
      <c r="D43" s="13"/>
      <c r="E43" s="13"/>
      <c r="F43" s="13"/>
      <c r="G43" s="13"/>
      <c r="H43" s="13"/>
      <c r="I43" s="13"/>
      <c r="J43" s="13"/>
    </row>
    <row r="44" spans="2:11">
      <c r="B44" s="5" t="s">
        <v>294</v>
      </c>
      <c r="C44" s="13">
        <f>I41*(1+C20)/(C4-C20)</f>
        <v>47227787.485359199</v>
      </c>
      <c r="D44" s="35"/>
      <c r="E44" s="13"/>
      <c r="F44" s="13"/>
      <c r="G44" s="35"/>
      <c r="H44" s="5"/>
      <c r="I44" s="5"/>
      <c r="J44" s="5"/>
    </row>
    <row r="45" spans="2:11">
      <c r="B45" s="29" t="s">
        <v>295</v>
      </c>
      <c r="C45" s="36">
        <f ca="1">C44/(1+C4)^I40</f>
        <v>37609618.489985242</v>
      </c>
      <c r="D45" s="35"/>
      <c r="E45" s="13"/>
      <c r="F45" s="13"/>
      <c r="G45" s="35"/>
      <c r="H45" s="5"/>
      <c r="I45" s="5"/>
      <c r="J45" s="5"/>
    </row>
    <row r="46" spans="2:11">
      <c r="B46" s="5" t="s">
        <v>296</v>
      </c>
      <c r="C46" s="13">
        <f ca="1">SUM(E42:I42)+C45</f>
        <v>44314748.879389137</v>
      </c>
      <c r="D46" s="35"/>
      <c r="E46" s="13"/>
      <c r="F46" s="13"/>
      <c r="G46" s="35"/>
      <c r="H46" s="5"/>
      <c r="I46" s="5"/>
      <c r="J46" s="5"/>
    </row>
    <row r="47" spans="2:11" ht="17" thickBot="1">
      <c r="B47" s="37" t="s">
        <v>297</v>
      </c>
      <c r="C47" s="56">
        <f ca="1">C46/J5</f>
        <v>220.81411471319103</v>
      </c>
      <c r="D47" s="57"/>
      <c r="E47" s="57"/>
      <c r="F47" s="57"/>
      <c r="G47" s="57"/>
      <c r="H47" s="5"/>
      <c r="I47" s="5"/>
      <c r="J47" s="5"/>
    </row>
    <row r="48" spans="2:11">
      <c r="B48" s="5"/>
      <c r="C48" s="5"/>
      <c r="D48" s="39" t="s">
        <v>293</v>
      </c>
      <c r="E48" s="39"/>
      <c r="F48" s="39"/>
      <c r="G48" s="39"/>
      <c r="H48" s="39"/>
      <c r="I48" s="39"/>
      <c r="J48" s="39"/>
    </row>
    <row r="49" spans="2:10" ht="17" thickBot="1">
      <c r="B49" s="5"/>
      <c r="C49" s="58">
        <f ca="1">C47</f>
        <v>220.81411471319103</v>
      </c>
      <c r="D49" s="59">
        <f>E49-$M$27</f>
        <v>1.2500000000000001E-2</v>
      </c>
      <c r="E49" s="59">
        <f>F49-$M$27</f>
        <v>1.5000000000000001E-2</v>
      </c>
      <c r="F49" s="59">
        <f>G49-$M$27</f>
        <v>1.7500000000000002E-2</v>
      </c>
      <c r="G49" s="60">
        <f>G27</f>
        <v>0.02</v>
      </c>
      <c r="H49" s="59">
        <f>G49+$M$27</f>
        <v>2.2499999999999999E-2</v>
      </c>
      <c r="I49" s="59">
        <f>H49+$M$27</f>
        <v>2.4999999999999998E-2</v>
      </c>
      <c r="J49" s="59">
        <f>I49+$M$27</f>
        <v>2.7499999999999997E-2</v>
      </c>
    </row>
    <row r="50" spans="2:10" ht="17" thickTop="1">
      <c r="B50" s="61"/>
      <c r="C50" s="43">
        <f t="shared" ref="C50:C56" si="3">C28</f>
        <v>5.2289999999999989E-2</v>
      </c>
      <c r="D50" s="44">
        <f t="dataTable" ref="D50:J56" dt2D="1" dtr="1" r1="C20" r2="C4" ca="1"/>
        <v>250.09031603732751</v>
      </c>
      <c r="E50" s="45">
        <v>265.1296900561216</v>
      </c>
      <c r="F50" s="45">
        <v>282.33051478184223</v>
      </c>
      <c r="G50" s="317">
        <v>302.19483048398291</v>
      </c>
      <c r="H50" s="45">
        <v>325.39320387362608</v>
      </c>
      <c r="I50" s="45">
        <v>352.84192050065354</v>
      </c>
      <c r="J50" s="46">
        <v>385.82688493466526</v>
      </c>
    </row>
    <row r="51" spans="2:10" ht="17" thickBot="1">
      <c r="B51" s="61"/>
      <c r="C51" s="43">
        <f t="shared" si="3"/>
        <v>5.6289999999999993E-2</v>
      </c>
      <c r="D51" s="47">
        <v>227.38501781337055</v>
      </c>
      <c r="E51" s="48">
        <v>239.60269434714138</v>
      </c>
      <c r="F51" s="48">
        <v>253.39521962205316</v>
      </c>
      <c r="G51" s="316">
        <v>269.0880652710228</v>
      </c>
      <c r="H51" s="48">
        <v>287.10302480708447</v>
      </c>
      <c r="I51" s="48">
        <v>307.99669312167964</v>
      </c>
      <c r="J51" s="49">
        <v>332.5189943495426</v>
      </c>
    </row>
    <row r="52" spans="2:10">
      <c r="B52" s="61"/>
      <c r="C52" s="43">
        <f t="shared" si="3"/>
        <v>6.0289999999999996E-2</v>
      </c>
      <c r="D52" s="47">
        <v>208.48073875554493</v>
      </c>
      <c r="E52" s="48">
        <v>218.58484961080717</v>
      </c>
      <c r="F52" s="307">
        <v>229.86962310398266</v>
      </c>
      <c r="G52" s="308">
        <v>242.55484006863691</v>
      </c>
      <c r="H52" s="309">
        <v>256.91843980183489</v>
      </c>
      <c r="I52" s="48">
        <v>273.31712025665348</v>
      </c>
      <c r="J52" s="49">
        <v>292.21636192751657</v>
      </c>
    </row>
    <row r="53" spans="2:10">
      <c r="B53" s="62" t="s">
        <v>298</v>
      </c>
      <c r="C53" s="43">
        <f t="shared" si="3"/>
        <v>6.429E-2</v>
      </c>
      <c r="D53" s="315">
        <v>192.49676344446701</v>
      </c>
      <c r="E53" s="316">
        <v>200.97837220683789</v>
      </c>
      <c r="F53" s="310">
        <v>210.36632941571142</v>
      </c>
      <c r="G53" s="306">
        <v>220.81411471319103</v>
      </c>
      <c r="H53" s="311">
        <v>232.5119341453296</v>
      </c>
      <c r="I53" s="316">
        <v>245.69840456145116</v>
      </c>
      <c r="J53" s="318">
        <v>260.67700197079404</v>
      </c>
    </row>
    <row r="54" spans="2:10" ht="17" thickBot="1">
      <c r="B54" s="61"/>
      <c r="C54" s="43">
        <f t="shared" si="3"/>
        <v>6.8290000000000003E-2</v>
      </c>
      <c r="D54" s="47">
        <v>178.80495654262165</v>
      </c>
      <c r="E54" s="48">
        <v>186.015081286194</v>
      </c>
      <c r="F54" s="312">
        <v>193.93500370091942</v>
      </c>
      <c r="G54" s="313">
        <v>202.67496364046625</v>
      </c>
      <c r="H54" s="314">
        <v>212.36927605211903</v>
      </c>
      <c r="I54" s="48">
        <v>223.18328266701192</v>
      </c>
      <c r="J54" s="49">
        <v>235.32286008539756</v>
      </c>
    </row>
    <row r="55" spans="2:10">
      <c r="B55" s="61"/>
      <c r="C55" s="43">
        <f t="shared" si="3"/>
        <v>7.2290000000000007E-2</v>
      </c>
      <c r="D55" s="47">
        <v>166.94527372519573</v>
      </c>
      <c r="E55" s="48">
        <v>173.14133410970663</v>
      </c>
      <c r="F55" s="48">
        <v>179.90283165286976</v>
      </c>
      <c r="G55" s="316">
        <v>187.31086749620144</v>
      </c>
      <c r="H55" s="48">
        <v>195.4628314218119</v>
      </c>
      <c r="I55" s="48">
        <v>204.47670737169915</v>
      </c>
      <c r="J55" s="49">
        <v>214.49682086901751</v>
      </c>
    </row>
    <row r="56" spans="2:10" ht="17" thickBot="1">
      <c r="B56" s="61"/>
      <c r="C56" s="43">
        <f t="shared" si="3"/>
        <v>7.6290000000000011E-2</v>
      </c>
      <c r="D56" s="51">
        <v>156.57306031513406</v>
      </c>
      <c r="E56" s="52">
        <v>161.94801851051929</v>
      </c>
      <c r="F56" s="52">
        <v>167.78010871775911</v>
      </c>
      <c r="G56" s="319">
        <v>174.13023855967995</v>
      </c>
      <c r="H56" s="52">
        <v>181.07063888328153</v>
      </c>
      <c r="I56" s="52">
        <v>188.68762336788922</v>
      </c>
      <c r="J56" s="53">
        <v>197.08519654737384</v>
      </c>
    </row>
    <row r="57" spans="2:10" ht="17" thickTop="1">
      <c r="B57" s="5"/>
      <c r="C57" s="5"/>
      <c r="D57" s="5"/>
      <c r="E57" s="5"/>
      <c r="F57" s="5"/>
      <c r="G57" s="5"/>
      <c r="H57" s="5"/>
      <c r="I57" s="5"/>
      <c r="J57" s="5"/>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80D30-028E-6645-9523-2B6FADBA473A}">
  <dimension ref="A1:J40"/>
  <sheetViews>
    <sheetView workbookViewId="0">
      <selection activeCell="G6" sqref="G6"/>
    </sheetView>
  </sheetViews>
  <sheetFormatPr baseColWidth="10" defaultRowHeight="16"/>
  <cols>
    <col min="1" max="1" width="10.625" style="3"/>
    <col min="2" max="2" width="18.25" style="3" customWidth="1"/>
    <col min="3" max="3" width="13.75" style="3" customWidth="1"/>
    <col min="4" max="4" width="12.5" style="3" bestFit="1" customWidth="1"/>
    <col min="5" max="5" width="11.125" style="3" bestFit="1" customWidth="1"/>
    <col min="6" max="16384" width="10.625" style="3"/>
  </cols>
  <sheetData>
    <row r="1" spans="1:10">
      <c r="D1" s="519" t="s">
        <v>430</v>
      </c>
      <c r="E1" s="519"/>
      <c r="F1" s="519"/>
      <c r="G1" s="519"/>
      <c r="H1" s="519"/>
      <c r="I1" s="519"/>
      <c r="J1" s="519"/>
    </row>
    <row r="2" spans="1:10">
      <c r="B2" s="3" t="s">
        <v>420</v>
      </c>
      <c r="C2" s="3" t="s">
        <v>425</v>
      </c>
      <c r="D2" s="3">
        <v>2024</v>
      </c>
      <c r="E2" s="3">
        <v>2025</v>
      </c>
      <c r="F2" s="3">
        <v>2026</v>
      </c>
      <c r="G2" s="3">
        <v>2027</v>
      </c>
      <c r="H2" s="3">
        <v>2028</v>
      </c>
      <c r="I2" s="3">
        <v>2029</v>
      </c>
      <c r="J2" s="3" t="s">
        <v>429</v>
      </c>
    </row>
    <row r="3" spans="1:10">
      <c r="A3" s="3">
        <v>2024</v>
      </c>
      <c r="B3" s="502">
        <f>B15</f>
        <v>300000</v>
      </c>
      <c r="C3" s="503">
        <f>A15</f>
        <v>2.0500000000000001E-2</v>
      </c>
      <c r="D3" s="506">
        <v>4.36E-2</v>
      </c>
      <c r="E3" s="504">
        <f>D3</f>
        <v>4.36E-2</v>
      </c>
      <c r="F3" s="504">
        <f>E3</f>
        <v>4.36E-2</v>
      </c>
      <c r="G3" s="504">
        <f>F3</f>
        <v>4.36E-2</v>
      </c>
      <c r="H3" s="504">
        <f>G3</f>
        <v>4.36E-2</v>
      </c>
      <c r="I3" s="504">
        <f>H3</f>
        <v>4.36E-2</v>
      </c>
      <c r="J3" s="503">
        <f>H3</f>
        <v>4.36E-2</v>
      </c>
    </row>
    <row r="4" spans="1:10">
      <c r="A4" s="3">
        <v>2025</v>
      </c>
      <c r="B4" s="502">
        <f>B16+B17</f>
        <v>600000</v>
      </c>
      <c r="C4" s="504">
        <f>SUMPRODUCT(B16:B17,A16:A17)/B4</f>
        <v>2.0500000000000001E-2</v>
      </c>
      <c r="D4" s="504">
        <f t="shared" ref="D4:D9" si="0">C4</f>
        <v>2.0500000000000001E-2</v>
      </c>
      <c r="E4" s="507">
        <v>4.1099999999999998E-2</v>
      </c>
      <c r="F4" s="504">
        <f>E4</f>
        <v>4.1099999999999998E-2</v>
      </c>
      <c r="G4" s="504">
        <f>F4</f>
        <v>4.1099999999999998E-2</v>
      </c>
      <c r="H4" s="504">
        <f>G4</f>
        <v>4.1099999999999998E-2</v>
      </c>
      <c r="I4" s="504">
        <f t="shared" ref="I4:I7" si="1">H4</f>
        <v>4.1099999999999998E-2</v>
      </c>
      <c r="J4" s="503">
        <f t="shared" ref="J4:J7" si="2">H4</f>
        <v>4.1099999999999998E-2</v>
      </c>
    </row>
    <row r="5" spans="1:10">
      <c r="A5" s="3">
        <v>2026</v>
      </c>
      <c r="B5" s="502">
        <f>B18</f>
        <v>500000</v>
      </c>
      <c r="C5" s="503">
        <f>A18</f>
        <v>2.3E-2</v>
      </c>
      <c r="D5" s="504">
        <f t="shared" si="0"/>
        <v>2.3E-2</v>
      </c>
      <c r="E5" s="504">
        <f>D5</f>
        <v>2.3E-2</v>
      </c>
      <c r="F5" s="507">
        <v>0.04</v>
      </c>
      <c r="G5" s="504">
        <f>F5</f>
        <v>0.04</v>
      </c>
      <c r="H5" s="504">
        <f>G5</f>
        <v>0.04</v>
      </c>
      <c r="I5" s="504">
        <f t="shared" si="1"/>
        <v>0.04</v>
      </c>
      <c r="J5" s="503">
        <f t="shared" si="2"/>
        <v>0.04</v>
      </c>
    </row>
    <row r="6" spans="1:10">
      <c r="A6" s="3">
        <v>2027</v>
      </c>
      <c r="B6" s="502">
        <f>B19</f>
        <v>193639</v>
      </c>
      <c r="C6" s="503">
        <f>A19</f>
        <v>7.1999999999999995E-2</v>
      </c>
      <c r="D6" s="504">
        <f t="shared" si="0"/>
        <v>7.1999999999999995E-2</v>
      </c>
      <c r="E6" s="504">
        <f t="shared" ref="E6:F6" si="3">D6</f>
        <v>7.1999999999999995E-2</v>
      </c>
      <c r="F6" s="504">
        <f t="shared" si="3"/>
        <v>7.1999999999999995E-2</v>
      </c>
      <c r="G6" s="507">
        <v>0.04</v>
      </c>
      <c r="H6" s="504">
        <f>G6</f>
        <v>0.04</v>
      </c>
      <c r="I6" s="504">
        <f t="shared" si="1"/>
        <v>0.04</v>
      </c>
      <c r="J6" s="503">
        <f t="shared" si="2"/>
        <v>0.04</v>
      </c>
    </row>
    <row r="7" spans="1:10">
      <c r="A7" s="3">
        <v>2028</v>
      </c>
      <c r="B7" s="502">
        <f>B20</f>
        <v>350000</v>
      </c>
      <c r="C7" s="503">
        <f>A20</f>
        <v>4.2500000000000003E-2</v>
      </c>
      <c r="D7" s="504">
        <f t="shared" si="0"/>
        <v>4.2500000000000003E-2</v>
      </c>
      <c r="E7" s="504">
        <f t="shared" ref="E7:G9" si="4">D7</f>
        <v>4.2500000000000003E-2</v>
      </c>
      <c r="F7" s="504">
        <f t="shared" si="4"/>
        <v>4.2500000000000003E-2</v>
      </c>
      <c r="G7" s="504">
        <f t="shared" si="4"/>
        <v>4.2500000000000003E-2</v>
      </c>
      <c r="H7" s="507">
        <v>3.7499999999999999E-2</v>
      </c>
      <c r="I7" s="504">
        <f t="shared" si="1"/>
        <v>3.7499999999999999E-2</v>
      </c>
      <c r="J7" s="503">
        <f t="shared" si="2"/>
        <v>3.7499999999999999E-2</v>
      </c>
    </row>
    <row r="8" spans="1:10">
      <c r="A8" s="3">
        <v>2029</v>
      </c>
      <c r="B8" s="502">
        <f>B21</f>
        <v>300000</v>
      </c>
      <c r="C8" s="503">
        <f>A21</f>
        <v>2.4500000000000001E-2</v>
      </c>
      <c r="D8" s="504">
        <f t="shared" si="0"/>
        <v>2.4500000000000001E-2</v>
      </c>
      <c r="E8" s="504">
        <f t="shared" si="4"/>
        <v>2.4500000000000001E-2</v>
      </c>
      <c r="F8" s="504">
        <f t="shared" si="4"/>
        <v>2.4500000000000001E-2</v>
      </c>
      <c r="G8" s="504">
        <f t="shared" si="4"/>
        <v>2.4500000000000001E-2</v>
      </c>
      <c r="H8" s="504">
        <f>G8</f>
        <v>2.4500000000000001E-2</v>
      </c>
      <c r="I8" s="507">
        <v>3.5000000000000003E-2</v>
      </c>
      <c r="J8" s="503">
        <f>I8</f>
        <v>3.5000000000000003E-2</v>
      </c>
    </row>
    <row r="9" spans="1:10">
      <c r="A9" s="3" t="s">
        <v>429</v>
      </c>
      <c r="B9" s="502">
        <f>SUM(B22:B26)</f>
        <v>1800000</v>
      </c>
      <c r="C9" s="504">
        <f>SUMPRODUCT(B22:B26,A22:A26)/B9</f>
        <v>3.1027777777777779E-2</v>
      </c>
      <c r="D9" s="504">
        <f t="shared" si="0"/>
        <v>3.1027777777777779E-2</v>
      </c>
      <c r="E9" s="504">
        <f t="shared" si="4"/>
        <v>3.1027777777777779E-2</v>
      </c>
      <c r="F9" s="504">
        <f t="shared" si="4"/>
        <v>3.1027777777777779E-2</v>
      </c>
      <c r="G9" s="504">
        <f t="shared" si="4"/>
        <v>3.1027777777777779E-2</v>
      </c>
      <c r="H9" s="504">
        <f>G9</f>
        <v>3.1027777777777779E-2</v>
      </c>
      <c r="I9" s="504">
        <f>H9</f>
        <v>3.1027777777777779E-2</v>
      </c>
      <c r="J9" s="503">
        <f>H9</f>
        <v>3.1027777777777779E-2</v>
      </c>
    </row>
    <row r="10" spans="1:10">
      <c r="B10" s="502">
        <f>SUM(B3:B9)</f>
        <v>4043639</v>
      </c>
      <c r="C10" s="504">
        <f>SUMPRODUCT(B3:B9,C3:C9)/B10</f>
        <v>3.0162684651127362E-2</v>
      </c>
      <c r="D10" s="504">
        <f>SUMPRODUCT(D3:D9,$B$3:$B$9)/$B$10</f>
        <v>3.1876487490599431E-2</v>
      </c>
      <c r="E10" s="504">
        <f t="shared" ref="E10:J10" si="5">SUMPRODUCT(E3:E9,$B$3:$B$9)/$B$10</f>
        <v>3.4933140173986847E-2</v>
      </c>
      <c r="F10" s="504">
        <f t="shared" si="5"/>
        <v>3.7035207148808293E-2</v>
      </c>
      <c r="G10" s="504">
        <f t="shared" si="5"/>
        <v>3.5502813183867304E-2</v>
      </c>
      <c r="H10" s="504">
        <f>SUMPRODUCT(H3:H9,$B$3:$B$9)/$B$10</f>
        <v>3.5070034689051122E-2</v>
      </c>
      <c r="I10" s="504">
        <f>SUMPRODUCT(I3:I9,$B$3:$B$9)/$B$10</f>
        <v>3.5849035979720244E-2</v>
      </c>
      <c r="J10" s="504">
        <f t="shared" si="5"/>
        <v>3.5849035979720244E-2</v>
      </c>
    </row>
    <row r="13" spans="1:10">
      <c r="A13" s="503"/>
      <c r="C13" s="505"/>
    </row>
    <row r="14" spans="1:10">
      <c r="A14" s="503" t="s">
        <v>425</v>
      </c>
      <c r="B14" s="3" t="s">
        <v>426</v>
      </c>
      <c r="C14" s="505" t="s">
        <v>427</v>
      </c>
    </row>
    <row r="15" spans="1:10">
      <c r="A15" s="503">
        <v>2.0500000000000001E-2</v>
      </c>
      <c r="B15" s="502">
        <v>300000</v>
      </c>
      <c r="C15" s="3">
        <v>24</v>
      </c>
    </row>
    <row r="16" spans="1:10">
      <c r="A16" s="503">
        <v>8.9999999999999993E-3</v>
      </c>
      <c r="B16" s="502">
        <v>300000</v>
      </c>
      <c r="C16" s="3">
        <v>25</v>
      </c>
    </row>
    <row r="17" spans="1:3">
      <c r="A17" s="503">
        <v>3.2000000000000001E-2</v>
      </c>
      <c r="B17" s="502">
        <v>300000</v>
      </c>
      <c r="C17" s="3">
        <v>25</v>
      </c>
    </row>
    <row r="18" spans="1:3">
      <c r="A18" s="503">
        <v>2.3E-2</v>
      </c>
      <c r="B18" s="502">
        <v>500000</v>
      </c>
      <c r="C18" s="3">
        <v>26</v>
      </c>
    </row>
    <row r="19" spans="1:3">
      <c r="A19" s="503">
        <v>7.1999999999999995E-2</v>
      </c>
      <c r="B19" s="502">
        <v>193639</v>
      </c>
      <c r="C19" s="3">
        <v>27</v>
      </c>
    </row>
    <row r="20" spans="1:3">
      <c r="A20" s="503">
        <v>4.2500000000000003E-2</v>
      </c>
      <c r="B20" s="502">
        <v>350000</v>
      </c>
      <c r="C20" s="3">
        <v>28</v>
      </c>
    </row>
    <row r="21" spans="1:3">
      <c r="A21" s="503">
        <v>2.4500000000000001E-2</v>
      </c>
      <c r="B21" s="502">
        <v>300000</v>
      </c>
      <c r="C21" s="3">
        <v>29</v>
      </c>
    </row>
    <row r="22" spans="1:3">
      <c r="A22" s="503">
        <v>1.7000000000000001E-2</v>
      </c>
      <c r="B22" s="502">
        <v>350000</v>
      </c>
      <c r="C22" s="3">
        <v>30</v>
      </c>
    </row>
    <row r="23" spans="1:3">
      <c r="A23" s="503">
        <v>4.4999999999999998E-2</v>
      </c>
      <c r="B23" s="502">
        <v>400000</v>
      </c>
      <c r="C23" s="3">
        <v>33</v>
      </c>
    </row>
    <row r="24" spans="1:3">
      <c r="A24" s="503">
        <v>3.3750000000000002E-2</v>
      </c>
      <c r="B24" s="502">
        <v>300000</v>
      </c>
      <c r="C24" s="3">
        <v>46</v>
      </c>
    </row>
    <row r="25" spans="1:3">
      <c r="A25" s="503">
        <v>3.125E-2</v>
      </c>
      <c r="B25" s="502">
        <v>400000</v>
      </c>
      <c r="C25" s="3">
        <v>49</v>
      </c>
    </row>
    <row r="26" spans="1:3">
      <c r="A26" s="503">
        <v>2.6499999999999999E-2</v>
      </c>
      <c r="B26" s="502">
        <v>350000</v>
      </c>
      <c r="C26" s="3">
        <v>50</v>
      </c>
    </row>
    <row r="28" spans="1:3">
      <c r="C28" s="503"/>
    </row>
    <row r="30" spans="1:3">
      <c r="C30" s="505"/>
    </row>
    <row r="32" spans="1:3">
      <c r="C32" s="505"/>
    </row>
    <row r="34" spans="3:3">
      <c r="C34" s="505"/>
    </row>
    <row r="36" spans="3:3">
      <c r="C36" s="505"/>
    </row>
    <row r="38" spans="3:3">
      <c r="C38" s="505"/>
    </row>
    <row r="40" spans="3:3">
      <c r="C40" s="505"/>
    </row>
  </sheetData>
  <mergeCells count="1">
    <mergeCell ref="D1:J1"/>
  </mergeCells>
  <pageMargins left="0.7" right="0.7" top="0.75" bottom="0.75" header="0.3" footer="0.3"/>
  <pageSetup orientation="portrait" horizontalDpi="0" verticalDpi="0"/>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6E3B0-3845-0248-90E7-4DFECB9CB063}">
  <dimension ref="B2:V47"/>
  <sheetViews>
    <sheetView zoomScaleNormal="100" workbookViewId="0">
      <pane xSplit="2" topLeftCell="I1" activePane="topRight" state="frozen"/>
      <selection pane="topRight" activeCell="T11" sqref="T11"/>
    </sheetView>
  </sheetViews>
  <sheetFormatPr baseColWidth="10" defaultRowHeight="16" customHeight="1" outlineLevelRow="1" outlineLevelCol="1"/>
  <cols>
    <col min="1" max="1" width="2.125" style="63" customWidth="1"/>
    <col min="2" max="2" width="22.875" style="63" customWidth="1"/>
    <col min="3" max="6" width="10.625" style="63" customWidth="1" outlineLevel="1"/>
    <col min="7" max="7" width="5.375" style="63" customWidth="1" outlineLevel="1"/>
    <col min="8" max="20" width="10.625" style="63" customWidth="1"/>
    <col min="21" max="16384" width="10.625" style="63"/>
  </cols>
  <sheetData>
    <row r="2" spans="2:22" ht="16" customHeight="1">
      <c r="B2" s="372" t="s">
        <v>63</v>
      </c>
      <c r="C2" s="372">
        <v>2016</v>
      </c>
      <c r="D2" s="372">
        <v>2017</v>
      </c>
      <c r="E2" s="372">
        <v>2018</v>
      </c>
      <c r="F2" s="372">
        <v>2019</v>
      </c>
      <c r="G2" s="372">
        <v>2019</v>
      </c>
      <c r="H2" s="372">
        <v>2020</v>
      </c>
      <c r="I2" s="372">
        <v>2021</v>
      </c>
      <c r="J2" s="372">
        <v>2022</v>
      </c>
      <c r="K2" s="372">
        <v>2023</v>
      </c>
      <c r="L2" s="372" t="s">
        <v>305</v>
      </c>
      <c r="M2" s="372" t="s">
        <v>312</v>
      </c>
      <c r="N2" s="375" t="s">
        <v>184</v>
      </c>
      <c r="O2" s="375" t="s">
        <v>185</v>
      </c>
      <c r="P2" s="375" t="s">
        <v>307</v>
      </c>
      <c r="Q2" s="375" t="s">
        <v>308</v>
      </c>
      <c r="R2" s="375" t="s">
        <v>309</v>
      </c>
      <c r="S2" s="375" t="s">
        <v>310</v>
      </c>
      <c r="T2" s="375" t="s">
        <v>227</v>
      </c>
    </row>
    <row r="3" spans="2:22" ht="16" customHeight="1">
      <c r="B3" s="197"/>
      <c r="C3" s="197"/>
      <c r="D3" s="197"/>
      <c r="E3" s="197"/>
      <c r="F3" s="197"/>
      <c r="G3" s="380"/>
      <c r="L3" s="385" t="s">
        <v>306</v>
      </c>
      <c r="M3" s="385" t="s">
        <v>313</v>
      </c>
    </row>
    <row r="4" spans="2:22" ht="16" customHeight="1">
      <c r="B4" s="197" t="s">
        <v>64</v>
      </c>
      <c r="C4" s="1"/>
      <c r="D4" s="1"/>
      <c r="E4" s="1"/>
      <c r="F4" s="1"/>
      <c r="G4" s="381"/>
      <c r="K4" s="200"/>
      <c r="L4" s="385"/>
      <c r="M4" s="385"/>
    </row>
    <row r="5" spans="2:22" ht="16" customHeight="1">
      <c r="B5" s="1" t="s">
        <v>65</v>
      </c>
      <c r="C5" s="2">
        <v>6532.9880000000003</v>
      </c>
      <c r="D5" s="2">
        <v>6621.1729999999998</v>
      </c>
      <c r="E5" s="2">
        <v>6901.607</v>
      </c>
      <c r="F5" s="2">
        <v>7081.7640000000001</v>
      </c>
      <c r="G5" s="382">
        <v>6815.1</v>
      </c>
      <c r="H5" s="2">
        <v>7084.9</v>
      </c>
      <c r="I5" s="2">
        <v>7682.4</v>
      </c>
      <c r="J5" s="2">
        <v>8536.5</v>
      </c>
      <c r="K5" s="201">
        <v>9123.1</v>
      </c>
      <c r="L5" s="388">
        <v>4287.1360000000004</v>
      </c>
      <c r="M5" s="388"/>
      <c r="N5" s="202">
        <f>K5*(1+N22)</f>
        <v>8849.4069999999992</v>
      </c>
      <c r="O5" s="203">
        <f>N5*(1+O22)</f>
        <v>8893.6540349999977</v>
      </c>
      <c r="P5" s="203">
        <f>O5*(1+P22)</f>
        <v>9115.9953858749977</v>
      </c>
      <c r="Q5" s="203">
        <f>P5*(1+Q22)</f>
        <v>9389.4752474512479</v>
      </c>
      <c r="R5" s="203">
        <f>Q5*(1+R22)</f>
        <v>9671.1595048747859</v>
      </c>
      <c r="S5" s="203">
        <f>R5*(1+S22)</f>
        <v>9961.2942900210292</v>
      </c>
    </row>
    <row r="6" spans="2:22" ht="16" customHeight="1">
      <c r="B6" s="1" t="s">
        <v>66</v>
      </c>
      <c r="C6" s="2"/>
      <c r="D6" s="2"/>
      <c r="E6" s="2"/>
      <c r="F6" s="2"/>
      <c r="G6" s="382">
        <v>410</v>
      </c>
      <c r="H6" s="1">
        <v>438.2</v>
      </c>
      <c r="I6" s="1">
        <v>555.4</v>
      </c>
      <c r="J6" s="2">
        <v>1029.4000000000001</v>
      </c>
      <c r="K6" s="201">
        <v>1092.7</v>
      </c>
      <c r="L6" s="388">
        <v>565</v>
      </c>
      <c r="M6" s="388"/>
      <c r="N6" s="203">
        <f>K6*(1+N34)</f>
        <v>1147.335</v>
      </c>
      <c r="O6" s="204">
        <f>N6*(1+O34)</f>
        <v>1250.5951500000001</v>
      </c>
      <c r="P6" s="204">
        <f>O6*(1+P34)</f>
        <v>1350.6427620000002</v>
      </c>
      <c r="Q6" s="204">
        <f>P6*(1+Q34)</f>
        <v>1418.1749001000003</v>
      </c>
      <c r="R6" s="204">
        <f>Q6*(1+R34)</f>
        <v>1489.0836451050004</v>
      </c>
      <c r="S6" s="204">
        <f>R6*(1+S34)</f>
        <v>1548.6469909092004</v>
      </c>
    </row>
    <row r="7" spans="2:22" s="198" customFormat="1" ht="16" customHeight="1" thickBot="1">
      <c r="B7" s="454" t="s">
        <v>67</v>
      </c>
      <c r="C7" s="479">
        <v>907.19299999999998</v>
      </c>
      <c r="D7" s="479">
        <v>894.25300000000004</v>
      </c>
      <c r="E7" s="479">
        <v>889.46199999999999</v>
      </c>
      <c r="F7" s="479">
        <v>904.48800000000006</v>
      </c>
      <c r="G7" s="455">
        <v>761.2</v>
      </c>
      <c r="H7" s="454">
        <v>626.6</v>
      </c>
      <c r="I7" s="454">
        <v>733.5</v>
      </c>
      <c r="J7" s="454">
        <v>853.4</v>
      </c>
      <c r="K7" s="456">
        <v>949.2</v>
      </c>
      <c r="L7" s="457">
        <v>475.09300000000002</v>
      </c>
      <c r="M7" s="457"/>
      <c r="N7" s="458">
        <f>K7*(1+N47)</f>
        <v>882.75600000000009</v>
      </c>
      <c r="O7" s="458">
        <f>N7*(1+O47)</f>
        <v>873.92844000000002</v>
      </c>
      <c r="P7" s="458">
        <f>O7*(1+P47)</f>
        <v>891.40700880000009</v>
      </c>
      <c r="Q7" s="458">
        <f>P7*(1+Q47)</f>
        <v>940.43439428400006</v>
      </c>
      <c r="R7" s="458">
        <f>Q7*(1+R47)</f>
        <v>992.15828596962001</v>
      </c>
      <c r="S7" s="458">
        <f>R7*(1+S47)</f>
        <v>1046.726991697949</v>
      </c>
      <c r="T7" s="63"/>
      <c r="U7" s="63"/>
    </row>
    <row r="8" spans="2:22" ht="16" customHeight="1" thickBot="1">
      <c r="B8" s="461" t="s">
        <v>68</v>
      </c>
      <c r="C8" s="463">
        <v>7440.1809999999996</v>
      </c>
      <c r="D8" s="463">
        <v>7515.4260000000004</v>
      </c>
      <c r="E8" s="463">
        <v>7791.0690000000004</v>
      </c>
      <c r="F8" s="463">
        <v>7986.2520000000004</v>
      </c>
      <c r="G8" s="462">
        <v>7986.3</v>
      </c>
      <c r="H8" s="463">
        <v>8149.7</v>
      </c>
      <c r="I8" s="463">
        <v>8971.2999999999993</v>
      </c>
      <c r="J8" s="463">
        <v>10419.299999999999</v>
      </c>
      <c r="K8" s="463">
        <v>11165</v>
      </c>
      <c r="L8" s="464">
        <v>5327.2290000000003</v>
      </c>
      <c r="M8" s="464"/>
      <c r="N8" s="465">
        <f t="shared" ref="N8:S8" si="0">SUM(N5:N7)</f>
        <v>10879.497999999998</v>
      </c>
      <c r="O8" s="465">
        <f t="shared" si="0"/>
        <v>11018.177624999997</v>
      </c>
      <c r="P8" s="465">
        <f t="shared" si="0"/>
        <v>11358.045156674998</v>
      </c>
      <c r="Q8" s="465">
        <f t="shared" si="0"/>
        <v>11748.084541835249</v>
      </c>
      <c r="R8" s="465">
        <f t="shared" si="0"/>
        <v>12152.401435949407</v>
      </c>
      <c r="S8" s="465">
        <f t="shared" si="0"/>
        <v>12556.66827262818</v>
      </c>
      <c r="T8" s="198"/>
      <c r="U8" s="198"/>
    </row>
    <row r="9" spans="2:22" ht="16" customHeight="1" thickBot="1">
      <c r="B9" s="459" t="s">
        <v>321</v>
      </c>
      <c r="C9" s="480"/>
      <c r="D9" s="481">
        <f>D8/C8 - 1</f>
        <v>1.0113329232178669E-2</v>
      </c>
      <c r="E9" s="481">
        <f t="shared" ref="E9:S9" si="1">E8/D8 - 1</f>
        <v>3.6676962822866033E-2</v>
      </c>
      <c r="F9" s="481">
        <f t="shared" si="1"/>
        <v>2.505214624591301E-2</v>
      </c>
      <c r="G9" s="460">
        <f t="shared" si="1"/>
        <v>6.0103287500279379E-6</v>
      </c>
      <c r="H9" s="460">
        <f t="shared" si="1"/>
        <v>2.0460037814757692E-2</v>
      </c>
      <c r="I9" s="460">
        <f t="shared" si="1"/>
        <v>0.10081352687828993</v>
      </c>
      <c r="J9" s="460">
        <f t="shared" si="1"/>
        <v>0.16140358699408108</v>
      </c>
      <c r="K9" s="460">
        <f t="shared" si="1"/>
        <v>7.1569107329667148E-2</v>
      </c>
      <c r="L9" s="460"/>
      <c r="M9" s="460"/>
      <c r="N9" s="460">
        <f>N8/K8 - 1</f>
        <v>-2.557115987460834E-2</v>
      </c>
      <c r="O9" s="460">
        <f>O8/N8 - 1</f>
        <v>1.274687719966483E-2</v>
      </c>
      <c r="P9" s="460">
        <f t="shared" si="1"/>
        <v>3.0846074844886218E-2</v>
      </c>
      <c r="Q9" s="460">
        <f t="shared" si="1"/>
        <v>3.4340362252480494E-2</v>
      </c>
      <c r="R9" s="460">
        <f t="shared" si="1"/>
        <v>3.4415558781039968E-2</v>
      </c>
      <c r="S9" s="460">
        <f t="shared" si="1"/>
        <v>3.3266415597732468E-2</v>
      </c>
    </row>
    <row r="10" spans="2:22" ht="16" customHeight="1">
      <c r="C10" s="482"/>
      <c r="D10" s="432"/>
      <c r="E10" s="432"/>
      <c r="F10" s="432"/>
      <c r="G10" s="383"/>
      <c r="H10" s="432"/>
      <c r="I10" s="432"/>
      <c r="J10" s="432"/>
      <c r="K10" s="432"/>
      <c r="L10" s="383"/>
      <c r="M10" s="383"/>
      <c r="N10" s="432"/>
      <c r="O10" s="432"/>
      <c r="P10" s="432"/>
      <c r="Q10" s="432"/>
      <c r="R10" s="432"/>
      <c r="S10" s="432"/>
    </row>
    <row r="11" spans="2:22" ht="16" customHeight="1">
      <c r="B11" s="197" t="s">
        <v>65</v>
      </c>
      <c r="C11" s="197"/>
      <c r="D11" s="197"/>
      <c r="E11" s="197"/>
      <c r="F11" s="197"/>
      <c r="G11" s="380"/>
      <c r="K11" s="205"/>
      <c r="L11" s="385"/>
      <c r="M11" s="385"/>
      <c r="V11" s="198"/>
    </row>
    <row r="12" spans="2:22" ht="16" customHeight="1">
      <c r="B12" s="1" t="s">
        <v>179</v>
      </c>
      <c r="C12" s="432">
        <v>-8.9999999999999993E-3</v>
      </c>
      <c r="D12" s="432">
        <v>4.0000000000000001E-3</v>
      </c>
      <c r="E12" s="432">
        <v>-1.2999999999999999E-2</v>
      </c>
      <c r="F12" s="207">
        <v>0.02</v>
      </c>
      <c r="G12" s="381"/>
      <c r="H12" s="206">
        <v>2.8000000000000001E-2</v>
      </c>
      <c r="I12" s="207">
        <v>2.1000000000000001E-2</v>
      </c>
      <c r="J12" s="207">
        <v>8.1000000000000003E-2</v>
      </c>
      <c r="K12" s="206">
        <v>0.09</v>
      </c>
      <c r="L12" s="384">
        <v>0.04</v>
      </c>
      <c r="M12" s="384">
        <v>0.01</v>
      </c>
      <c r="N12" s="378">
        <f>CHOOSE(Cover!$K$4,N13,N14,N15)</f>
        <v>0.04</v>
      </c>
      <c r="O12" s="378">
        <f>CHOOSE(Cover!$K$4,O13,O14,O15)</f>
        <v>1.4999999999999999E-2</v>
      </c>
      <c r="P12" s="378">
        <f>CHOOSE(Cover!$K$4,P13,P14,P15)</f>
        <v>1.4999999999999999E-2</v>
      </c>
      <c r="Q12" s="378">
        <f>CHOOSE(Cover!$K$4,Q13,Q14,Q15)</f>
        <v>0.02</v>
      </c>
      <c r="R12" s="378">
        <f>CHOOSE(Cover!$K$4,R13,R14,R15)</f>
        <v>0.02</v>
      </c>
      <c r="S12" s="378">
        <f>CHOOSE(Cover!$K$4,S13,S14,S15)</f>
        <v>0.02</v>
      </c>
      <c r="T12" s="206">
        <f>AVERAGE(C12:L12)</f>
        <v>2.9111111111111112E-2</v>
      </c>
      <c r="U12" s="63" t="s">
        <v>311</v>
      </c>
      <c r="V12" s="198"/>
    </row>
    <row r="13" spans="2:22" ht="16" customHeight="1" outlineLevel="1">
      <c r="B13" s="285" t="s">
        <v>366</v>
      </c>
      <c r="C13" s="432"/>
      <c r="D13" s="432"/>
      <c r="E13" s="432"/>
      <c r="F13" s="207"/>
      <c r="G13" s="381"/>
      <c r="H13" s="206"/>
      <c r="I13" s="207"/>
      <c r="J13" s="207"/>
      <c r="K13" s="206"/>
      <c r="L13" s="384"/>
      <c r="M13" s="384"/>
      <c r="N13" s="378">
        <f>N14-1%</f>
        <v>0.03</v>
      </c>
      <c r="O13" s="378">
        <f t="shared" ref="O13:S13" si="2">O14-1%</f>
        <v>4.9999999999999992E-3</v>
      </c>
      <c r="P13" s="378">
        <f t="shared" si="2"/>
        <v>4.9999999999999992E-3</v>
      </c>
      <c r="Q13" s="378">
        <f t="shared" si="2"/>
        <v>0.01</v>
      </c>
      <c r="R13" s="378">
        <f t="shared" si="2"/>
        <v>0.01</v>
      </c>
      <c r="S13" s="378">
        <f t="shared" si="2"/>
        <v>0.01</v>
      </c>
      <c r="V13" s="198"/>
    </row>
    <row r="14" spans="2:22" ht="16" customHeight="1" outlineLevel="1">
      <c r="B14" s="285" t="s">
        <v>368</v>
      </c>
      <c r="C14" s="432"/>
      <c r="D14" s="432"/>
      <c r="E14" s="432"/>
      <c r="F14" s="207"/>
      <c r="G14" s="381"/>
      <c r="H14" s="206"/>
      <c r="I14" s="207"/>
      <c r="J14" s="207"/>
      <c r="K14" s="206"/>
      <c r="L14" s="384"/>
      <c r="M14" s="384"/>
      <c r="N14" s="378">
        <v>0.04</v>
      </c>
      <c r="O14" s="378">
        <v>1.4999999999999999E-2</v>
      </c>
      <c r="P14" s="378">
        <v>1.4999999999999999E-2</v>
      </c>
      <c r="Q14" s="378">
        <v>0.02</v>
      </c>
      <c r="R14" s="378">
        <v>0.02</v>
      </c>
      <c r="S14" s="378">
        <v>0.02</v>
      </c>
      <c r="V14" s="198"/>
    </row>
    <row r="15" spans="2:22" ht="16" customHeight="1" outlineLevel="1">
      <c r="B15" s="285" t="s">
        <v>367</v>
      </c>
      <c r="C15" s="432"/>
      <c r="D15" s="432"/>
      <c r="E15" s="432"/>
      <c r="F15" s="207"/>
      <c r="G15" s="381"/>
      <c r="H15" s="206"/>
      <c r="I15" s="207"/>
      <c r="J15" s="207"/>
      <c r="K15" s="206"/>
      <c r="L15" s="384"/>
      <c r="M15" s="384"/>
      <c r="N15" s="378">
        <v>4.4999999999999998E-2</v>
      </c>
      <c r="O15" s="378">
        <v>0.01</v>
      </c>
      <c r="P15" s="378">
        <v>0.03</v>
      </c>
      <c r="Q15" s="378">
        <v>0.03</v>
      </c>
      <c r="R15" s="378">
        <v>0.02</v>
      </c>
      <c r="S15" s="378">
        <v>0.02</v>
      </c>
      <c r="V15" s="198"/>
    </row>
    <row r="16" spans="2:22" ht="16" customHeight="1">
      <c r="B16" s="63" t="s">
        <v>180</v>
      </c>
      <c r="C16" s="432">
        <v>1.4E-2</v>
      </c>
      <c r="D16" s="432">
        <v>5.0000000000000001E-3</v>
      </c>
      <c r="E16" s="432">
        <v>8.9999999999999993E-3</v>
      </c>
      <c r="F16" s="206">
        <v>-7.0000000000000001E-3</v>
      </c>
      <c r="G16" s="385"/>
      <c r="H16" s="206">
        <v>3.0000000000000001E-3</v>
      </c>
      <c r="I16" s="206">
        <v>5.0999999999999997E-2</v>
      </c>
      <c r="J16" s="206">
        <v>2.8000000000000001E-2</v>
      </c>
      <c r="K16" s="206">
        <v>-1.9E-2</v>
      </c>
      <c r="L16" s="387">
        <v>-7.0000000000000007E-2</v>
      </c>
      <c r="M16" s="387">
        <v>-0.22</v>
      </c>
      <c r="N16" s="378">
        <f>CHOOSE(Cover!$O$4,N17,N18,N19)</f>
        <v>-7.0000000000000007E-2</v>
      </c>
      <c r="O16" s="378">
        <f>CHOOSE(Cover!$O$4,O17,O18,O19)</f>
        <v>-0.01</v>
      </c>
      <c r="P16" s="378">
        <f>CHOOSE(Cover!$O$4,P17,P18,P19)</f>
        <v>0.01</v>
      </c>
      <c r="Q16" s="378">
        <f>CHOOSE(Cover!$O$4,Q17,Q18,Q19)</f>
        <v>0.01</v>
      </c>
      <c r="R16" s="378">
        <f>CHOOSE(Cover!$O$4,R17,R18,R19)</f>
        <v>0.01</v>
      </c>
      <c r="S16" s="378">
        <f>CHOOSE(Cover!$O$4,S17,S18,S19)</f>
        <v>0.01</v>
      </c>
      <c r="T16" s="206">
        <f>AVERAGE(C16:H16,J16)</f>
        <v>8.6666666666666663E-3</v>
      </c>
      <c r="U16" s="63" t="s">
        <v>314</v>
      </c>
      <c r="V16" s="198"/>
    </row>
    <row r="17" spans="2:22" ht="16" customHeight="1" outlineLevel="1">
      <c r="B17" s="285" t="s">
        <v>366</v>
      </c>
      <c r="C17" s="432"/>
      <c r="D17" s="432"/>
      <c r="E17" s="432"/>
      <c r="F17" s="206"/>
      <c r="G17" s="385"/>
      <c r="H17" s="206"/>
      <c r="I17" s="206"/>
      <c r="J17" s="206"/>
      <c r="K17" s="206"/>
      <c r="L17" s="387"/>
      <c r="M17" s="387"/>
      <c r="N17" s="378">
        <v>-0.1</v>
      </c>
      <c r="O17" s="378">
        <v>-0.02</v>
      </c>
      <c r="P17" s="378">
        <v>-5.0000000000000001E-3</v>
      </c>
      <c r="Q17" s="378">
        <v>0</v>
      </c>
      <c r="R17" s="378">
        <v>0.01</v>
      </c>
      <c r="S17" s="378">
        <v>0.01</v>
      </c>
      <c r="T17" s="206"/>
      <c r="V17" s="198"/>
    </row>
    <row r="18" spans="2:22" ht="16" customHeight="1" outlineLevel="1">
      <c r="B18" s="285" t="s">
        <v>368</v>
      </c>
      <c r="C18" s="432"/>
      <c r="D18" s="432"/>
      <c r="E18" s="432"/>
      <c r="F18" s="206"/>
      <c r="G18" s="385"/>
      <c r="H18" s="206"/>
      <c r="I18" s="206"/>
      <c r="J18" s="206"/>
      <c r="K18" s="206"/>
      <c r="L18" s="387"/>
      <c r="M18" s="387"/>
      <c r="N18" s="378">
        <v>-7.0000000000000007E-2</v>
      </c>
      <c r="O18" s="378">
        <v>-0.01</v>
      </c>
      <c r="P18" s="378">
        <v>0.01</v>
      </c>
      <c r="Q18" s="378">
        <v>0.01</v>
      </c>
      <c r="R18" s="378">
        <v>0.01</v>
      </c>
      <c r="S18" s="378">
        <v>0.01</v>
      </c>
      <c r="T18" s="206"/>
      <c r="V18" s="198"/>
    </row>
    <row r="19" spans="2:22" ht="16" customHeight="1" outlineLevel="1">
      <c r="B19" s="285" t="s">
        <v>367</v>
      </c>
      <c r="C19" s="432"/>
      <c r="D19" s="432"/>
      <c r="E19" s="432"/>
      <c r="F19" s="206"/>
      <c r="G19" s="385"/>
      <c r="H19" s="206"/>
      <c r="I19" s="206"/>
      <c r="J19" s="206"/>
      <c r="K19" s="206"/>
      <c r="L19" s="387"/>
      <c r="M19" s="387"/>
      <c r="N19" s="378">
        <v>-0.06</v>
      </c>
      <c r="O19" s="378">
        <v>0.01</v>
      </c>
      <c r="P19" s="378">
        <v>0.03</v>
      </c>
      <c r="Q19" s="378">
        <v>0.03</v>
      </c>
      <c r="R19" s="378">
        <v>0.02</v>
      </c>
      <c r="S19" s="378">
        <v>0.02</v>
      </c>
      <c r="T19" s="206"/>
    </row>
    <row r="20" spans="2:22" ht="16" customHeight="1">
      <c r="B20" s="63" t="s">
        <v>186</v>
      </c>
      <c r="C20" s="432">
        <v>-2E-3</v>
      </c>
      <c r="D20" s="432">
        <v>1E-3</v>
      </c>
      <c r="E20" s="432">
        <v>0</v>
      </c>
      <c r="F20" s="207">
        <v>1.4E-2</v>
      </c>
      <c r="G20" s="385"/>
      <c r="H20" s="206">
        <v>0</v>
      </c>
      <c r="I20" s="206">
        <v>0</v>
      </c>
      <c r="J20" s="206">
        <v>-2E-3</v>
      </c>
      <c r="K20" s="206">
        <v>-2E-3</v>
      </c>
      <c r="L20" s="384">
        <v>0</v>
      </c>
      <c r="M20" s="384">
        <v>0</v>
      </c>
      <c r="N20" s="378">
        <v>0</v>
      </c>
      <c r="O20" s="378">
        <v>0</v>
      </c>
      <c r="P20" s="378">
        <v>0</v>
      </c>
      <c r="Q20" s="378">
        <v>0</v>
      </c>
      <c r="R20" s="378">
        <v>0</v>
      </c>
      <c r="S20" s="378">
        <v>0</v>
      </c>
      <c r="T20" s="206">
        <f>AVERAGE(C20:L20)</f>
        <v>1E-3</v>
      </c>
      <c r="U20" s="63" t="s">
        <v>315</v>
      </c>
      <c r="V20" s="198"/>
    </row>
    <row r="21" spans="2:22" ht="16" customHeight="1" thickBot="1">
      <c r="B21" s="454" t="s">
        <v>181</v>
      </c>
      <c r="C21" s="483">
        <v>7.0000000000000001E-3</v>
      </c>
      <c r="D21" s="483">
        <v>3.0000000000000001E-3</v>
      </c>
      <c r="E21" s="483">
        <v>4.5999999999999999E-2</v>
      </c>
      <c r="F21" s="471">
        <v>-1E-3</v>
      </c>
      <c r="G21" s="475"/>
      <c r="H21" s="471">
        <v>8.9999999999999993E-3</v>
      </c>
      <c r="I21" s="472">
        <v>8.9999999999999993E-3</v>
      </c>
      <c r="J21" s="472">
        <v>4.0000000000000001E-3</v>
      </c>
      <c r="K21" s="471">
        <v>0</v>
      </c>
      <c r="L21" s="470">
        <v>0</v>
      </c>
      <c r="M21" s="470">
        <v>0</v>
      </c>
      <c r="N21" s="473">
        <v>0</v>
      </c>
      <c r="O21" s="473">
        <v>0</v>
      </c>
      <c r="P21" s="473">
        <v>0</v>
      </c>
      <c r="Q21" s="473">
        <v>0</v>
      </c>
      <c r="R21" s="473">
        <v>0</v>
      </c>
      <c r="S21" s="473">
        <v>0</v>
      </c>
      <c r="T21" s="206">
        <f>AVERAGE(C21:L21)</f>
        <v>8.5555555555555558E-3</v>
      </c>
      <c r="U21" s="63" t="s">
        <v>316</v>
      </c>
    </row>
    <row r="22" spans="2:22" ht="16" customHeight="1" thickBot="1">
      <c r="B22" s="466" t="s">
        <v>182</v>
      </c>
      <c r="C22" s="484">
        <v>0.01</v>
      </c>
      <c r="D22" s="485">
        <v>1.2999999999999999E-2</v>
      </c>
      <c r="E22" s="485">
        <v>4.2000000000000003E-2</v>
      </c>
      <c r="F22" s="468">
        <v>2.5999999999999999E-2</v>
      </c>
      <c r="G22" s="487"/>
      <c r="H22" s="467">
        <v>0.04</v>
      </c>
      <c r="I22" s="468">
        <v>8.4000000000000005E-2</v>
      </c>
      <c r="J22" s="468">
        <v>0.111</v>
      </c>
      <c r="K22" s="468">
        <v>6.9000000000000006E-2</v>
      </c>
      <c r="L22" s="469">
        <v>-3.5999999999999997E-2</v>
      </c>
      <c r="M22" s="469">
        <v>-0.20699999999999999</v>
      </c>
      <c r="N22" s="467">
        <f>SUM(N12,N16,N20,N21)</f>
        <v>-3.0000000000000006E-2</v>
      </c>
      <c r="O22" s="467">
        <f t="shared" ref="O22:S22" si="3">SUM(O12,O16,O20,O21)</f>
        <v>4.9999999999999992E-3</v>
      </c>
      <c r="P22" s="467">
        <f t="shared" si="3"/>
        <v>2.5000000000000001E-2</v>
      </c>
      <c r="Q22" s="467">
        <f t="shared" si="3"/>
        <v>0.03</v>
      </c>
      <c r="R22" s="467">
        <f t="shared" si="3"/>
        <v>0.03</v>
      </c>
      <c r="S22" s="467">
        <f t="shared" si="3"/>
        <v>0.03</v>
      </c>
      <c r="T22" s="206">
        <f>AVERAGE(C22:L22)</f>
        <v>3.988888888888889E-2</v>
      </c>
    </row>
    <row r="23" spans="2:22" ht="16" customHeight="1">
      <c r="D23" s="212">
        <f>D5/C5-1</f>
        <v>1.3498417569418386E-2</v>
      </c>
      <c r="E23" s="212">
        <f t="shared" ref="E23:F23" si="4">E5/D5-1</f>
        <v>4.2354126678158188E-2</v>
      </c>
      <c r="F23" s="212">
        <f t="shared" si="4"/>
        <v>2.6103630647181131E-2</v>
      </c>
      <c r="G23" s="385"/>
      <c r="H23" s="206"/>
      <c r="I23" s="206"/>
      <c r="J23" s="206"/>
      <c r="K23" s="206"/>
      <c r="L23" s="384"/>
      <c r="M23" s="384"/>
      <c r="N23" s="206"/>
      <c r="O23" s="206"/>
      <c r="P23" s="206"/>
      <c r="Q23" s="206"/>
      <c r="R23" s="206"/>
      <c r="S23" s="206"/>
      <c r="T23" s="206"/>
    </row>
    <row r="24" spans="2:22" ht="16" customHeight="1">
      <c r="B24" s="197" t="s">
        <v>66</v>
      </c>
      <c r="C24" s="197"/>
      <c r="D24" s="490">
        <f>(1+D12)*(1+D16)*(1+D20)*(1+D21) - 1</f>
        <v>1.3059107059999686E-2</v>
      </c>
      <c r="E24" s="490">
        <f t="shared" ref="E24:F24" si="5">(1+E12)*(1+E16)*(1+E20)*(1+E21) - 1</f>
        <v>4.1693617999999821E-2</v>
      </c>
      <c r="F24" s="490">
        <f t="shared" si="5"/>
        <v>2.6012999960000061E-2</v>
      </c>
      <c r="G24" s="380"/>
      <c r="H24" s="206"/>
      <c r="I24" s="206"/>
      <c r="J24" s="206"/>
      <c r="K24" s="206"/>
      <c r="L24" s="384"/>
      <c r="M24" s="384"/>
      <c r="N24" s="206"/>
      <c r="O24" s="206"/>
      <c r="P24" s="206"/>
      <c r="Q24" s="206"/>
      <c r="R24" s="206"/>
      <c r="S24" s="206"/>
      <c r="T24" s="206"/>
      <c r="V24" s="198"/>
    </row>
    <row r="25" spans="2:22" ht="16" customHeight="1">
      <c r="B25" s="1" t="s">
        <v>179</v>
      </c>
      <c r="C25" s="1"/>
      <c r="D25" s="1"/>
      <c r="E25" s="1"/>
      <c r="F25" s="1"/>
      <c r="G25" s="381"/>
      <c r="H25" s="206"/>
      <c r="I25" s="206">
        <v>5.7000000000000002E-2</v>
      </c>
      <c r="J25" s="206">
        <v>0.12</v>
      </c>
      <c r="K25" s="206">
        <v>5.3999999999999999E-2</v>
      </c>
      <c r="L25" s="384">
        <v>-0.01</v>
      </c>
      <c r="M25" s="384">
        <v>-0.03</v>
      </c>
      <c r="N25" s="378">
        <f>CHOOSE(Cover!$K$10,N26,N27,N28)</f>
        <v>-0.02</v>
      </c>
      <c r="O25" s="378">
        <f>CHOOSE(Cover!$K$10,O26,O27,O28)</f>
        <v>0.04</v>
      </c>
      <c r="P25" s="378">
        <f>CHOOSE(Cover!$K$10,P26,P27,P28)</f>
        <v>0.03</v>
      </c>
      <c r="Q25" s="378">
        <f>CHOOSE(Cover!$K$10,Q26,Q27,Q28)</f>
        <v>0.02</v>
      </c>
      <c r="R25" s="378">
        <f>CHOOSE(Cover!$K$10,R26,R27,R28)</f>
        <v>0.02</v>
      </c>
      <c r="S25" s="378">
        <f>CHOOSE(Cover!$K$10,S26,S27,S28)</f>
        <v>0.02</v>
      </c>
      <c r="T25" s="206">
        <f>AVERAGE(C25:L25)</f>
        <v>5.5249999999999994E-2</v>
      </c>
      <c r="U25" s="63" t="s">
        <v>317</v>
      </c>
      <c r="V25" s="198"/>
    </row>
    <row r="26" spans="2:22" ht="16" customHeight="1" outlineLevel="1">
      <c r="B26" s="285" t="s">
        <v>366</v>
      </c>
      <c r="C26" s="1"/>
      <c r="D26" s="1"/>
      <c r="E26" s="1"/>
      <c r="F26" s="1"/>
      <c r="G26" s="381"/>
      <c r="H26" s="206"/>
      <c r="I26" s="206"/>
      <c r="J26" s="206"/>
      <c r="K26" s="206"/>
      <c r="L26" s="384"/>
      <c r="M26" s="384"/>
      <c r="N26" s="378">
        <v>-3.5000000000000003E-2</v>
      </c>
      <c r="O26" s="378">
        <f>O27-2%</f>
        <v>0.02</v>
      </c>
      <c r="P26" s="378">
        <v>0.01</v>
      </c>
      <c r="Q26" s="378">
        <v>0.01</v>
      </c>
      <c r="R26" s="378">
        <v>0.01</v>
      </c>
      <c r="S26" s="378">
        <v>0.01</v>
      </c>
      <c r="T26" s="206"/>
      <c r="V26" s="198"/>
    </row>
    <row r="27" spans="2:22" ht="16" customHeight="1" outlineLevel="1">
      <c r="B27" s="285" t="s">
        <v>368</v>
      </c>
      <c r="C27" s="1"/>
      <c r="D27" s="1"/>
      <c r="E27" s="1"/>
      <c r="F27" s="1"/>
      <c r="G27" s="381"/>
      <c r="H27" s="206"/>
      <c r="I27" s="206"/>
      <c r="J27" s="206"/>
      <c r="K27" s="206"/>
      <c r="L27" s="384"/>
      <c r="M27" s="384"/>
      <c r="N27" s="378">
        <v>-0.02</v>
      </c>
      <c r="O27" s="378">
        <v>0.04</v>
      </c>
      <c r="P27" s="378">
        <v>0.03</v>
      </c>
      <c r="Q27" s="378">
        <v>0.02</v>
      </c>
      <c r="R27" s="378">
        <v>0.02</v>
      </c>
      <c r="S27" s="378">
        <v>0.02</v>
      </c>
      <c r="T27" s="206"/>
      <c r="V27" s="198"/>
    </row>
    <row r="28" spans="2:22" ht="16" customHeight="1" outlineLevel="1">
      <c r="B28" s="285" t="s">
        <v>367</v>
      </c>
      <c r="C28" s="1"/>
      <c r="D28" s="1"/>
      <c r="E28" s="1"/>
      <c r="F28" s="1"/>
      <c r="G28" s="381"/>
      <c r="H28" s="206"/>
      <c r="I28" s="206"/>
      <c r="J28" s="206"/>
      <c r="K28" s="206"/>
      <c r="L28" s="384"/>
      <c r="M28" s="384"/>
      <c r="N28" s="378">
        <v>0</v>
      </c>
      <c r="O28" s="378">
        <f>O27+2%</f>
        <v>0.06</v>
      </c>
      <c r="P28" s="378">
        <f>P27+2%</f>
        <v>0.05</v>
      </c>
      <c r="Q28" s="378">
        <v>0.03</v>
      </c>
      <c r="R28" s="378">
        <v>0.03</v>
      </c>
      <c r="S28" s="378">
        <v>0.02</v>
      </c>
      <c r="T28" s="206"/>
      <c r="V28" s="198"/>
    </row>
    <row r="29" spans="2:22" ht="16" customHeight="1">
      <c r="B29" s="63" t="s">
        <v>180</v>
      </c>
      <c r="C29" s="63" t="s">
        <v>187</v>
      </c>
      <c r="G29" s="385"/>
      <c r="H29" s="206">
        <v>0.106</v>
      </c>
      <c r="I29" s="206">
        <v>0.16900000000000001</v>
      </c>
      <c r="J29" s="206">
        <v>9.2999999999999999E-2</v>
      </c>
      <c r="K29" s="206">
        <v>7.0000000000000001E-3</v>
      </c>
      <c r="L29" s="384">
        <v>0.05</v>
      </c>
      <c r="M29" s="384">
        <v>0.09</v>
      </c>
      <c r="N29" s="378">
        <f>CHOOSE(Cover!$O$10,N30,N31,N32)</f>
        <v>7.0000000000000007E-2</v>
      </c>
      <c r="O29" s="378">
        <f>CHOOSE(Cover!$O$10,O30,O31,O32)</f>
        <v>0.05</v>
      </c>
      <c r="P29" s="378">
        <f>CHOOSE(Cover!$O$10,P30,P31,P32)</f>
        <v>0.05</v>
      </c>
      <c r="Q29" s="378">
        <f>CHOOSE(Cover!$O$10,Q30,Q31,Q32)</f>
        <v>0.03</v>
      </c>
      <c r="R29" s="378">
        <f>CHOOSE(Cover!$O$10,R30,R31,R32)</f>
        <v>0.03</v>
      </c>
      <c r="S29" s="378">
        <f>CHOOSE(Cover!$O$10,S30,S31,S32)</f>
        <v>0.02</v>
      </c>
      <c r="T29" s="206">
        <f>AVERAGE(C29:L29)</f>
        <v>8.4999999999999992E-2</v>
      </c>
      <c r="U29" s="63" t="s">
        <v>318</v>
      </c>
      <c r="V29" s="198"/>
    </row>
    <row r="30" spans="2:22" ht="16" customHeight="1" outlineLevel="1">
      <c r="B30" s="285" t="s">
        <v>366</v>
      </c>
      <c r="G30" s="385"/>
      <c r="H30" s="206"/>
      <c r="I30" s="206"/>
      <c r="J30" s="206"/>
      <c r="K30" s="206"/>
      <c r="L30" s="384"/>
      <c r="M30" s="384"/>
      <c r="N30" s="378">
        <v>0.04</v>
      </c>
      <c r="O30" s="378">
        <f>O31-1%</f>
        <v>0.04</v>
      </c>
      <c r="P30" s="378">
        <f t="shared" ref="P30:S30" si="6">P31-1%</f>
        <v>0.04</v>
      </c>
      <c r="Q30" s="378">
        <f t="shared" si="6"/>
        <v>1.9999999999999997E-2</v>
      </c>
      <c r="R30" s="378">
        <f t="shared" si="6"/>
        <v>1.9999999999999997E-2</v>
      </c>
      <c r="S30" s="378">
        <f t="shared" si="6"/>
        <v>0.01</v>
      </c>
      <c r="T30" s="206"/>
      <c r="V30" s="198"/>
    </row>
    <row r="31" spans="2:22" ht="16" customHeight="1" outlineLevel="1">
      <c r="B31" s="285" t="s">
        <v>368</v>
      </c>
      <c r="G31" s="385"/>
      <c r="H31" s="206"/>
      <c r="I31" s="206"/>
      <c r="J31" s="206"/>
      <c r="K31" s="206"/>
      <c r="L31" s="384"/>
      <c r="M31" s="384"/>
      <c r="N31" s="378">
        <v>7.0000000000000007E-2</v>
      </c>
      <c r="O31" s="378">
        <v>0.05</v>
      </c>
      <c r="P31" s="378">
        <v>0.05</v>
      </c>
      <c r="Q31" s="378">
        <v>0.03</v>
      </c>
      <c r="R31" s="378">
        <v>0.03</v>
      </c>
      <c r="S31" s="378">
        <v>0.02</v>
      </c>
      <c r="T31" s="206"/>
      <c r="V31" s="198"/>
    </row>
    <row r="32" spans="2:22" ht="16" customHeight="1" outlineLevel="1">
      <c r="B32" s="285" t="s">
        <v>367</v>
      </c>
      <c r="G32" s="385"/>
      <c r="H32" s="206"/>
      <c r="I32" s="206"/>
      <c r="J32" s="206"/>
      <c r="K32" s="206"/>
      <c r="L32" s="384"/>
      <c r="M32" s="384"/>
      <c r="N32" s="378">
        <v>0.09</v>
      </c>
      <c r="O32" s="378">
        <f>O31+1%</f>
        <v>6.0000000000000005E-2</v>
      </c>
      <c r="P32" s="378">
        <f t="shared" ref="P32:S32" si="7">P31+1%</f>
        <v>6.0000000000000005E-2</v>
      </c>
      <c r="Q32" s="378">
        <f t="shared" si="7"/>
        <v>0.04</v>
      </c>
      <c r="R32" s="378">
        <f t="shared" si="7"/>
        <v>0.04</v>
      </c>
      <c r="S32" s="378">
        <f t="shared" si="7"/>
        <v>0.03</v>
      </c>
      <c r="T32" s="206"/>
    </row>
    <row r="33" spans="2:21" s="198" customFormat="1" ht="16" customHeight="1" thickBot="1">
      <c r="B33" s="454" t="s">
        <v>181</v>
      </c>
      <c r="C33" s="486" t="s">
        <v>363</v>
      </c>
      <c r="D33" s="454"/>
      <c r="E33" s="454"/>
      <c r="F33" s="454"/>
      <c r="G33" s="475"/>
      <c r="H33" s="471">
        <v>-3.6999999999999998E-2</v>
      </c>
      <c r="I33" s="471">
        <v>4.1000000000000002E-2</v>
      </c>
      <c r="J33" s="471">
        <v>0.64</v>
      </c>
      <c r="K33" s="471">
        <v>0</v>
      </c>
      <c r="L33" s="470">
        <v>0</v>
      </c>
      <c r="M33" s="470">
        <v>0</v>
      </c>
      <c r="N33" s="473">
        <v>0</v>
      </c>
      <c r="O33" s="473">
        <v>0</v>
      </c>
      <c r="P33" s="473">
        <v>0</v>
      </c>
      <c r="Q33" s="473">
        <v>0</v>
      </c>
      <c r="R33" s="473">
        <v>0</v>
      </c>
      <c r="S33" s="473">
        <v>0</v>
      </c>
      <c r="T33" s="206">
        <f>AVERAGE(C33:L33)</f>
        <v>0.1288</v>
      </c>
      <c r="U33" s="63" t="s">
        <v>319</v>
      </c>
    </row>
    <row r="34" spans="2:21" ht="16" customHeight="1" thickBot="1">
      <c r="B34" s="459" t="s">
        <v>183</v>
      </c>
      <c r="C34" s="459"/>
      <c r="D34" s="459"/>
      <c r="E34" s="459"/>
      <c r="F34" s="459"/>
      <c r="G34" s="474"/>
      <c r="H34" s="467">
        <v>6.9000000000000006E-2</v>
      </c>
      <c r="I34" s="467">
        <v>0.26700000000000002</v>
      </c>
      <c r="J34" s="467">
        <v>0.85299999999999998</v>
      </c>
      <c r="K34" s="467">
        <v>6.0999999999999999E-2</v>
      </c>
      <c r="L34" s="469">
        <v>4.2000000000000003E-2</v>
      </c>
      <c r="M34" s="469">
        <v>6.4000000000000001E-2</v>
      </c>
      <c r="N34" s="467">
        <f>SUM(N25,N29,N33)</f>
        <v>0.05</v>
      </c>
      <c r="O34" s="467">
        <f t="shared" ref="O34:S34" si="8">SUM(O25,O29,O33)</f>
        <v>0.09</v>
      </c>
      <c r="P34" s="467">
        <f>SUM(P25,P29,P33)</f>
        <v>0.08</v>
      </c>
      <c r="Q34" s="467">
        <f t="shared" si="8"/>
        <v>0.05</v>
      </c>
      <c r="R34" s="467">
        <f t="shared" si="8"/>
        <v>0.05</v>
      </c>
      <c r="S34" s="467">
        <f t="shared" si="8"/>
        <v>0.04</v>
      </c>
      <c r="T34" s="206">
        <f>AVERAGE(H34:I34,K34:L34)</f>
        <v>0.10975</v>
      </c>
      <c r="U34" s="198"/>
    </row>
    <row r="35" spans="2:21" ht="16" customHeight="1">
      <c r="G35" s="385"/>
      <c r="H35" s="206"/>
      <c r="I35" s="206"/>
      <c r="J35" s="206"/>
      <c r="K35" s="206"/>
      <c r="L35" s="384"/>
      <c r="M35" s="384"/>
      <c r="N35" s="206"/>
      <c r="O35" s="206"/>
      <c r="P35" s="206"/>
      <c r="Q35" s="206"/>
      <c r="R35" s="206"/>
      <c r="S35" s="206"/>
      <c r="T35" s="206"/>
    </row>
    <row r="36" spans="2:21" ht="16" customHeight="1">
      <c r="B36" s="197" t="s">
        <v>67</v>
      </c>
      <c r="C36" s="197"/>
      <c r="D36" s="197"/>
      <c r="E36" s="197"/>
      <c r="F36" s="197"/>
      <c r="G36" s="380"/>
      <c r="H36" s="206"/>
      <c r="I36" s="206"/>
      <c r="J36" s="206"/>
      <c r="K36" s="206"/>
      <c r="L36" s="384"/>
      <c r="M36" s="384"/>
      <c r="N36" s="206"/>
      <c r="O36" s="206"/>
      <c r="P36" s="206"/>
      <c r="Q36" s="206"/>
      <c r="R36" s="206"/>
      <c r="S36" s="206"/>
      <c r="T36" s="206"/>
    </row>
    <row r="37" spans="2:21" ht="16" customHeight="1">
      <c r="B37" s="1" t="s">
        <v>179</v>
      </c>
      <c r="C37" s="207">
        <v>7.0000000000000007E-2</v>
      </c>
      <c r="D37" s="207">
        <v>2.7E-2</v>
      </c>
      <c r="E37" s="207">
        <v>0.01</v>
      </c>
      <c r="F37" s="207">
        <v>-3.0000000000000001E-3</v>
      </c>
      <c r="G37" s="381"/>
      <c r="H37" s="206">
        <v>-1.7999999999999999E-2</v>
      </c>
      <c r="I37" s="206">
        <v>0.121</v>
      </c>
      <c r="J37" s="206">
        <v>4.1000000000000002E-2</v>
      </c>
      <c r="K37" s="206">
        <v>4.7E-2</v>
      </c>
      <c r="L37" s="384">
        <v>0.04</v>
      </c>
      <c r="M37" s="384">
        <v>0.05</v>
      </c>
      <c r="N37" s="378">
        <f>CHOOSE(Cover!$K$16,N38,N39,N40)</f>
        <v>0.05</v>
      </c>
      <c r="O37" s="378">
        <f>CHOOSE(Cover!$K$16,O38,O39,O40)</f>
        <v>0.02</v>
      </c>
      <c r="P37" s="378">
        <f>CHOOSE(Cover!$K$16,P38,P39,P40)</f>
        <v>0.02</v>
      </c>
      <c r="Q37" s="378">
        <f>CHOOSE(Cover!$K$16,Q38,Q39,Q40)</f>
        <v>3.5000000000000003E-2</v>
      </c>
      <c r="R37" s="378">
        <f>CHOOSE(Cover!$K$16,R38,R39,R40)</f>
        <v>3.5000000000000003E-2</v>
      </c>
      <c r="S37" s="378">
        <f>CHOOSE(Cover!$K$16,S38,S39,S40)</f>
        <v>3.5000000000000003E-2</v>
      </c>
      <c r="T37" s="206">
        <f>AVERAGE(C37:L37)</f>
        <v>3.7222222222222219E-2</v>
      </c>
      <c r="U37" s="206" t="s">
        <v>431</v>
      </c>
    </row>
    <row r="38" spans="2:21" ht="16" customHeight="1" outlineLevel="1">
      <c r="B38" s="285" t="s">
        <v>366</v>
      </c>
      <c r="C38" s="207"/>
      <c r="D38" s="207"/>
      <c r="E38" s="207"/>
      <c r="F38" s="207"/>
      <c r="G38" s="381"/>
      <c r="H38" s="206"/>
      <c r="I38" s="206"/>
      <c r="J38" s="206"/>
      <c r="K38" s="206"/>
      <c r="L38" s="384"/>
      <c r="M38" s="384"/>
      <c r="N38" s="378">
        <v>0.03</v>
      </c>
      <c r="O38" s="378">
        <v>0.01</v>
      </c>
      <c r="P38" s="378">
        <v>0.01</v>
      </c>
      <c r="Q38" s="378">
        <v>0.02</v>
      </c>
      <c r="R38" s="378">
        <v>0.02</v>
      </c>
      <c r="S38" s="378">
        <v>0.02</v>
      </c>
      <c r="T38" s="206"/>
    </row>
    <row r="39" spans="2:21" ht="16" customHeight="1" outlineLevel="1">
      <c r="B39" s="285" t="s">
        <v>368</v>
      </c>
      <c r="C39" s="207"/>
      <c r="D39" s="207"/>
      <c r="E39" s="207"/>
      <c r="F39" s="207"/>
      <c r="G39" s="381"/>
      <c r="H39" s="206"/>
      <c r="I39" s="206"/>
      <c r="J39" s="206"/>
      <c r="K39" s="206"/>
      <c r="L39" s="384"/>
      <c r="M39" s="384"/>
      <c r="N39" s="378">
        <v>0.05</v>
      </c>
      <c r="O39" s="378">
        <v>0.02</v>
      </c>
      <c r="P39" s="378">
        <v>0.02</v>
      </c>
      <c r="Q39" s="378">
        <v>3.5000000000000003E-2</v>
      </c>
      <c r="R39" s="378">
        <f>Q39</f>
        <v>3.5000000000000003E-2</v>
      </c>
      <c r="S39" s="378">
        <f>R39</f>
        <v>3.5000000000000003E-2</v>
      </c>
    </row>
    <row r="40" spans="2:21" ht="16" customHeight="1" outlineLevel="1">
      <c r="B40" s="285" t="s">
        <v>367</v>
      </c>
      <c r="C40" s="207"/>
      <c r="D40" s="207"/>
      <c r="E40" s="207"/>
      <c r="F40" s="207"/>
      <c r="G40" s="381"/>
      <c r="H40" s="206"/>
      <c r="I40" s="206"/>
      <c r="J40" s="206"/>
      <c r="K40" s="206"/>
      <c r="L40" s="384"/>
      <c r="M40" s="384"/>
      <c r="N40" s="378">
        <v>0.06</v>
      </c>
      <c r="O40" s="378">
        <v>0.04</v>
      </c>
      <c r="P40" s="378">
        <v>0.04</v>
      </c>
      <c r="Q40" s="378">
        <v>0.04</v>
      </c>
      <c r="R40" s="378">
        <v>0.03</v>
      </c>
      <c r="S40" s="378">
        <v>0.03</v>
      </c>
      <c r="T40" s="206"/>
    </row>
    <row r="41" spans="2:21" ht="16" customHeight="1">
      <c r="B41" s="63" t="s">
        <v>180</v>
      </c>
      <c r="C41" s="206">
        <v>-3.6999999999999998E-2</v>
      </c>
      <c r="D41" s="206">
        <v>-4.7E-2</v>
      </c>
      <c r="E41" s="206">
        <v>4.7E-2</v>
      </c>
      <c r="F41" s="206">
        <v>5.7000000000000002E-2</v>
      </c>
      <c r="G41" s="385"/>
      <c r="H41" s="206">
        <v>-0.11</v>
      </c>
      <c r="I41" s="206">
        <v>4.2000000000000003E-2</v>
      </c>
      <c r="J41" s="206">
        <v>0.11899999999999999</v>
      </c>
      <c r="K41" s="206">
        <v>3.1E-2</v>
      </c>
      <c r="L41" s="384">
        <v>-0.1</v>
      </c>
      <c r="M41" s="384">
        <v>-0.16</v>
      </c>
      <c r="N41" s="378">
        <f>CHOOSE(Cover!$O$16,N42,N43,N44)</f>
        <v>-0.12</v>
      </c>
      <c r="O41" s="378">
        <f>CHOOSE(Cover!$O$16,O42,O43,O44)</f>
        <v>-0.03</v>
      </c>
      <c r="P41" s="378">
        <f>CHOOSE(Cover!$O$16,P42,P43,P44)</f>
        <v>0</v>
      </c>
      <c r="Q41" s="378">
        <f>CHOOSE(Cover!$O$16,Q42,Q43,Q44)</f>
        <v>0.02</v>
      </c>
      <c r="R41" s="378">
        <f>CHOOSE(Cover!$O$16,R42,R43,R44)</f>
        <v>0.02</v>
      </c>
      <c r="S41" s="378">
        <f>CHOOSE(Cover!$O$16,S42,S43,S44)</f>
        <v>0.02</v>
      </c>
      <c r="T41" s="206">
        <f>AVERAGE(C41:L41)</f>
        <v>2.2222222222222242E-4</v>
      </c>
    </row>
    <row r="42" spans="2:21" ht="16" customHeight="1" outlineLevel="1">
      <c r="B42" s="285" t="s">
        <v>366</v>
      </c>
      <c r="C42" s="206"/>
      <c r="D42" s="206"/>
      <c r="E42" s="206"/>
      <c r="F42" s="206"/>
      <c r="G42" s="385"/>
      <c r="H42" s="206"/>
      <c r="I42" s="206"/>
      <c r="J42" s="206"/>
      <c r="K42" s="206"/>
      <c r="L42" s="384"/>
      <c r="M42" s="384"/>
      <c r="N42" s="378">
        <v>-0.15</v>
      </c>
      <c r="O42" s="378">
        <v>-7.0000000000000007E-2</v>
      </c>
      <c r="P42" s="378">
        <v>-0.01</v>
      </c>
      <c r="Q42" s="379">
        <v>0</v>
      </c>
      <c r="R42" s="379">
        <v>0.01</v>
      </c>
      <c r="S42" s="379">
        <v>0.01</v>
      </c>
      <c r="T42" s="206"/>
    </row>
    <row r="43" spans="2:21" ht="16" customHeight="1" outlineLevel="1">
      <c r="B43" s="285" t="s">
        <v>368</v>
      </c>
      <c r="C43" s="206"/>
      <c r="D43" s="206"/>
      <c r="E43" s="206"/>
      <c r="F43" s="206"/>
      <c r="G43" s="385"/>
      <c r="H43" s="206"/>
      <c r="I43" s="206"/>
      <c r="J43" s="206"/>
      <c r="K43" s="206"/>
      <c r="L43" s="384"/>
      <c r="M43" s="384"/>
      <c r="N43" s="378">
        <v>-0.12</v>
      </c>
      <c r="O43" s="378">
        <f>-3%</f>
        <v>-0.03</v>
      </c>
      <c r="P43" s="378">
        <v>0</v>
      </c>
      <c r="Q43" s="379">
        <v>0.02</v>
      </c>
      <c r="R43" s="379">
        <f>Q43</f>
        <v>0.02</v>
      </c>
      <c r="S43" s="379">
        <f>R43</f>
        <v>0.02</v>
      </c>
      <c r="T43" s="206"/>
    </row>
    <row r="44" spans="2:21" ht="16" customHeight="1" outlineLevel="1">
      <c r="B44" s="285" t="s">
        <v>367</v>
      </c>
      <c r="C44" s="206"/>
      <c r="D44" s="206"/>
      <c r="E44" s="206"/>
      <c r="F44" s="206"/>
      <c r="G44" s="385"/>
      <c r="H44" s="206"/>
      <c r="I44" s="206"/>
      <c r="J44" s="206"/>
      <c r="K44" s="206"/>
      <c r="L44" s="384"/>
      <c r="M44" s="384"/>
      <c r="N44" s="378">
        <v>-0.09</v>
      </c>
      <c r="O44" s="378">
        <v>-0.01</v>
      </c>
      <c r="P44" s="378">
        <v>0.02</v>
      </c>
      <c r="Q44" s="379">
        <v>0.03</v>
      </c>
      <c r="R44" s="379">
        <v>0.03</v>
      </c>
      <c r="S44" s="379">
        <v>0.03</v>
      </c>
      <c r="T44" s="206"/>
    </row>
    <row r="45" spans="2:21" ht="16" customHeight="1">
      <c r="B45" s="63" t="s">
        <v>186</v>
      </c>
      <c r="C45" s="206">
        <v>-4.3999999999999997E-2</v>
      </c>
      <c r="D45" s="206">
        <v>6.0000000000000001E-3</v>
      </c>
      <c r="E45" s="206">
        <v>-1.7999999999999999E-2</v>
      </c>
      <c r="F45" s="206">
        <v>-1.4999999999999999E-2</v>
      </c>
      <c r="G45" s="385"/>
      <c r="H45" s="206">
        <v>-4.9000000000000002E-2</v>
      </c>
      <c r="I45" s="206">
        <v>8.0000000000000002E-3</v>
      </c>
      <c r="J45" s="206">
        <v>3.0000000000000001E-3</v>
      </c>
      <c r="K45" s="206">
        <v>3.4000000000000002E-2</v>
      </c>
      <c r="L45" s="384">
        <v>0.02</v>
      </c>
      <c r="M45" s="384">
        <v>0.02</v>
      </c>
      <c r="N45" s="378">
        <v>0</v>
      </c>
      <c r="O45" s="378">
        <v>0</v>
      </c>
      <c r="P45" s="378">
        <v>0</v>
      </c>
      <c r="Q45" s="378">
        <v>0</v>
      </c>
      <c r="R45" s="378">
        <v>0</v>
      </c>
      <c r="S45" s="378">
        <v>0</v>
      </c>
      <c r="T45" s="206">
        <f>AVERAGE(H45:L45)</f>
        <v>3.2000000000000006E-3</v>
      </c>
      <c r="U45" s="63" t="s">
        <v>315</v>
      </c>
    </row>
    <row r="46" spans="2:21" s="198" customFormat="1" ht="16" customHeight="1" thickBot="1">
      <c r="B46" s="454" t="s">
        <v>181</v>
      </c>
      <c r="C46" s="472">
        <v>-1E-3</v>
      </c>
      <c r="D46" s="472">
        <v>0</v>
      </c>
      <c r="E46" s="472">
        <v>-4.3999999999999997E-2</v>
      </c>
      <c r="F46" s="472">
        <v>-2.1999999999999999E-2</v>
      </c>
      <c r="G46" s="475"/>
      <c r="H46" s="471">
        <v>0</v>
      </c>
      <c r="I46" s="471">
        <v>0</v>
      </c>
      <c r="J46" s="471">
        <v>0</v>
      </c>
      <c r="K46" s="471">
        <v>0</v>
      </c>
      <c r="L46" s="470">
        <v>0</v>
      </c>
      <c r="M46" s="470">
        <v>0</v>
      </c>
      <c r="N46" s="473">
        <v>0</v>
      </c>
      <c r="O46" s="473">
        <v>0</v>
      </c>
      <c r="P46" s="473">
        <v>0</v>
      </c>
      <c r="Q46" s="473">
        <v>0</v>
      </c>
      <c r="R46" s="473">
        <v>0</v>
      </c>
      <c r="S46" s="473">
        <v>0</v>
      </c>
      <c r="T46" s="206">
        <f>AVERAGE(C46:L46)</f>
        <v>-7.4444444444444445E-3</v>
      </c>
      <c r="U46" s="63" t="s">
        <v>316</v>
      </c>
    </row>
    <row r="47" spans="2:21" ht="16" customHeight="1" thickBot="1">
      <c r="B47" s="476" t="s">
        <v>183</v>
      </c>
      <c r="C47" s="478">
        <v>-1.2E-2</v>
      </c>
      <c r="D47" s="478">
        <v>-1.4E-2</v>
      </c>
      <c r="E47" s="478">
        <v>-5.0000000000000001E-3</v>
      </c>
      <c r="F47" s="478">
        <v>1.7000000000000001E-2</v>
      </c>
      <c r="G47" s="488"/>
      <c r="H47" s="478">
        <v>-0.17699999999999999</v>
      </c>
      <c r="I47" s="478">
        <v>0.17100000000000001</v>
      </c>
      <c r="J47" s="478">
        <v>0.16300000000000001</v>
      </c>
      <c r="K47" s="478">
        <v>0.112</v>
      </c>
      <c r="L47" s="477">
        <v>-3.1E-2</v>
      </c>
      <c r="M47" s="477">
        <v>-8.8999999999999996E-2</v>
      </c>
      <c r="N47" s="478">
        <f>SUM(N37,N41,N45,N46)</f>
        <v>-6.9999999999999993E-2</v>
      </c>
      <c r="O47" s="478">
        <f t="shared" ref="O47:S47" si="9">SUM(O37,O41,O45,O46)</f>
        <v>-9.9999999999999985E-3</v>
      </c>
      <c r="P47" s="478">
        <f t="shared" si="9"/>
        <v>0.02</v>
      </c>
      <c r="Q47" s="478">
        <f t="shared" si="9"/>
        <v>5.5000000000000007E-2</v>
      </c>
      <c r="R47" s="478">
        <f t="shared" si="9"/>
        <v>5.5000000000000007E-2</v>
      </c>
      <c r="S47" s="478">
        <f t="shared" si="9"/>
        <v>5.5000000000000007E-2</v>
      </c>
      <c r="T47" s="206">
        <f>AVERAGE(C47:L47)</f>
        <v>2.4888888888888891E-2</v>
      </c>
      <c r="U47" s="198"/>
    </row>
  </sheetData>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0F8EA-15DD-9741-ACF3-2E070DA929DF}">
  <dimension ref="B1:U84"/>
  <sheetViews>
    <sheetView zoomScaleNormal="100" workbookViewId="0">
      <pane xSplit="2" topLeftCell="G1" activePane="topRight" state="frozen"/>
      <selection pane="topRight" activeCell="M11" sqref="M11:Q11"/>
    </sheetView>
  </sheetViews>
  <sheetFormatPr baseColWidth="10" defaultRowHeight="16" customHeight="1"/>
  <cols>
    <col min="1" max="1" width="2" style="63" customWidth="1"/>
    <col min="2" max="2" width="30.875" style="63" bestFit="1" customWidth="1"/>
    <col min="3" max="18" width="10.125" style="63" customWidth="1"/>
    <col min="19" max="16384" width="10.625" style="63"/>
  </cols>
  <sheetData>
    <row r="1" spans="2:21" ht="16" customHeight="1">
      <c r="K1" s="199"/>
    </row>
    <row r="2" spans="2:21" s="198" customFormat="1" ht="16" customHeight="1">
      <c r="B2" s="372"/>
      <c r="C2" s="389" t="s">
        <v>62</v>
      </c>
      <c r="D2" s="389" t="s">
        <v>61</v>
      </c>
      <c r="E2" s="389" t="s">
        <v>60</v>
      </c>
      <c r="F2" s="389" t="s">
        <v>56</v>
      </c>
      <c r="G2" s="389" t="s">
        <v>55</v>
      </c>
      <c r="H2" s="389" t="s">
        <v>23</v>
      </c>
      <c r="I2" s="389" t="s">
        <v>22</v>
      </c>
      <c r="J2" s="389" t="s">
        <v>21</v>
      </c>
      <c r="K2" s="389" t="s">
        <v>320</v>
      </c>
      <c r="L2" s="390">
        <v>2024</v>
      </c>
      <c r="M2" s="390">
        <v>2025</v>
      </c>
      <c r="N2" s="390">
        <v>2026</v>
      </c>
      <c r="O2" s="390">
        <v>2027</v>
      </c>
      <c r="P2" s="390">
        <v>2028</v>
      </c>
      <c r="Q2" s="390">
        <v>2029</v>
      </c>
      <c r="R2" s="214"/>
      <c r="S2" s="214"/>
      <c r="T2" s="214"/>
      <c r="U2" s="214"/>
    </row>
    <row r="3" spans="2:21" ht="16" customHeight="1">
      <c r="B3" s="215" t="s">
        <v>0</v>
      </c>
      <c r="C3" s="216">
        <v>7440181</v>
      </c>
      <c r="D3" s="216">
        <v>7515426</v>
      </c>
      <c r="E3" s="216">
        <v>7791069</v>
      </c>
      <c r="F3" s="216">
        <v>7986252</v>
      </c>
      <c r="G3" s="216">
        <v>8149719</v>
      </c>
      <c r="H3" s="217">
        <v>8971337</v>
      </c>
      <c r="I3" s="217">
        <v>10419294</v>
      </c>
      <c r="J3" s="217">
        <v>11164992</v>
      </c>
      <c r="K3" s="392">
        <v>5327229</v>
      </c>
      <c r="L3" s="216">
        <f>Revenue!N8*1000</f>
        <v>10879497.999999998</v>
      </c>
      <c r="M3" s="216">
        <f>Revenue!O8*1000</f>
        <v>11018177.624999996</v>
      </c>
      <c r="N3" s="216">
        <f>Revenue!P8*1000</f>
        <v>11358045.156674998</v>
      </c>
      <c r="O3" s="216">
        <f>Revenue!Q8*1000</f>
        <v>11748084.541835248</v>
      </c>
      <c r="P3" s="216">
        <f>Revenue!R8*1000</f>
        <v>12152401.435949408</v>
      </c>
      <c r="Q3" s="216">
        <f>Revenue!S8*1000</f>
        <v>12556668.272628179</v>
      </c>
      <c r="R3" s="217"/>
      <c r="U3" s="216"/>
    </row>
    <row r="4" spans="2:21" ht="16" customHeight="1">
      <c r="B4" s="218" t="s">
        <v>1</v>
      </c>
      <c r="C4" s="219">
        <v>4270642</v>
      </c>
      <c r="D4" s="219">
        <v>4060050</v>
      </c>
      <c r="E4" s="219">
        <v>4215744</v>
      </c>
      <c r="F4" s="219">
        <v>4363774</v>
      </c>
      <c r="G4" s="219">
        <v>4448450</v>
      </c>
      <c r="H4" s="220">
        <v>4922739</v>
      </c>
      <c r="I4" s="220">
        <v>5920509</v>
      </c>
      <c r="J4" s="220">
        <v>6167176</v>
      </c>
      <c r="K4" s="393">
        <v>2817403</v>
      </c>
      <c r="L4" s="219">
        <f t="shared" ref="L4:Q4" si="0">L3*L37</f>
        <v>5983723.8999999994</v>
      </c>
      <c r="M4" s="219">
        <f t="shared" si="0"/>
        <v>6004906.8056249982</v>
      </c>
      <c r="N4" s="219">
        <f t="shared" si="0"/>
        <v>6190134.6103878738</v>
      </c>
      <c r="O4" s="219">
        <f t="shared" si="0"/>
        <v>6343965.6525910348</v>
      </c>
      <c r="P4" s="219">
        <f t="shared" si="0"/>
        <v>6562296.7754126806</v>
      </c>
      <c r="Q4" s="219">
        <f t="shared" si="0"/>
        <v>6780600.8672192171</v>
      </c>
      <c r="R4" s="216"/>
      <c r="U4" s="217"/>
    </row>
    <row r="5" spans="2:21" ht="16" customHeight="1">
      <c r="B5" s="221" t="s">
        <v>2</v>
      </c>
      <c r="C5" s="217">
        <v>3169539</v>
      </c>
      <c r="D5" s="217">
        <v>3455376</v>
      </c>
      <c r="E5" s="217">
        <v>3575325</v>
      </c>
      <c r="F5" s="217">
        <v>3622478</v>
      </c>
      <c r="G5" s="217">
        <v>3701269</v>
      </c>
      <c r="H5" s="217">
        <v>4048598</v>
      </c>
      <c r="I5" s="217">
        <v>4498785</v>
      </c>
      <c r="J5" s="217">
        <v>4997816</v>
      </c>
      <c r="K5" s="392">
        <v>2509826</v>
      </c>
      <c r="L5" s="217">
        <f t="shared" ref="L5:Q5" si="1">L3-L4</f>
        <v>4895774.0999999987</v>
      </c>
      <c r="M5" s="217">
        <f t="shared" si="1"/>
        <v>5013270.8193749981</v>
      </c>
      <c r="N5" s="217">
        <f t="shared" si="1"/>
        <v>5167910.546287124</v>
      </c>
      <c r="O5" s="217">
        <f t="shared" si="1"/>
        <v>5404118.8892442137</v>
      </c>
      <c r="P5" s="217">
        <f t="shared" si="1"/>
        <v>5590104.6605367269</v>
      </c>
      <c r="Q5" s="217">
        <f t="shared" si="1"/>
        <v>5776067.4054089617</v>
      </c>
      <c r="R5" s="217"/>
      <c r="U5" s="217"/>
    </row>
    <row r="6" spans="2:21" ht="16" customHeight="1">
      <c r="B6" s="215" t="s">
        <v>3</v>
      </c>
      <c r="C6" s="217">
        <v>1891305</v>
      </c>
      <c r="D6" s="217">
        <v>1885492</v>
      </c>
      <c r="E6" s="217">
        <v>1874829</v>
      </c>
      <c r="F6" s="217">
        <v>1905929</v>
      </c>
      <c r="G6" s="217">
        <v>1890925</v>
      </c>
      <c r="H6" s="217">
        <v>2001351</v>
      </c>
      <c r="I6" s="217">
        <v>2236009</v>
      </c>
      <c r="J6" s="217">
        <v>2436508</v>
      </c>
      <c r="K6" s="392">
        <v>1158968</v>
      </c>
      <c r="L6" s="217">
        <f t="shared" ref="L6:Q6" si="2">L3*L39</f>
        <v>2371730.5639999998</v>
      </c>
      <c r="M6" s="217">
        <f t="shared" si="2"/>
        <v>2368908.1893749991</v>
      </c>
      <c r="N6" s="217">
        <f t="shared" si="2"/>
        <v>2385189.4829017497</v>
      </c>
      <c r="O6" s="217">
        <f t="shared" si="2"/>
        <v>2408357.3310762257</v>
      </c>
      <c r="P6" s="217">
        <f t="shared" si="2"/>
        <v>2491242.2943696282</v>
      </c>
      <c r="Q6" s="217">
        <f t="shared" si="2"/>
        <v>2574116.9958887766</v>
      </c>
      <c r="R6" s="217"/>
      <c r="U6" s="217"/>
    </row>
    <row r="7" spans="2:21" ht="16" customHeight="1">
      <c r="B7" s="215" t="s">
        <v>57</v>
      </c>
      <c r="C7" s="217">
        <v>4204</v>
      </c>
      <c r="D7" s="217">
        <v>208712</v>
      </c>
      <c r="E7" s="217">
        <v>57729</v>
      </c>
      <c r="F7" s="217">
        <v>112485</v>
      </c>
      <c r="G7" s="217">
        <v>9143</v>
      </c>
      <c r="H7" s="217">
        <v>0</v>
      </c>
      <c r="I7" s="217">
        <v>0</v>
      </c>
      <c r="J7" s="217">
        <v>0</v>
      </c>
      <c r="K7" s="392">
        <v>0</v>
      </c>
      <c r="L7" s="217">
        <v>0</v>
      </c>
      <c r="M7" s="217">
        <f>L7</f>
        <v>0</v>
      </c>
      <c r="N7" s="217">
        <f>M7</f>
        <v>0</v>
      </c>
      <c r="O7" s="217">
        <f>N7</f>
        <v>0</v>
      </c>
      <c r="P7" s="217">
        <f>O7</f>
        <v>0</v>
      </c>
      <c r="Q7" s="217"/>
      <c r="R7" s="217"/>
      <c r="U7" s="217"/>
    </row>
    <row r="8" spans="2:21" ht="16" customHeight="1">
      <c r="B8" s="218" t="s">
        <v>4</v>
      </c>
      <c r="C8" s="219">
        <v>18857</v>
      </c>
      <c r="D8" s="219">
        <v>47763</v>
      </c>
      <c r="E8" s="219">
        <v>19103</v>
      </c>
      <c r="F8" s="219">
        <v>8112</v>
      </c>
      <c r="G8" s="219">
        <v>18503</v>
      </c>
      <c r="H8" s="219">
        <v>3525</v>
      </c>
      <c r="I8" s="219">
        <v>1989</v>
      </c>
      <c r="J8" s="219">
        <v>441</v>
      </c>
      <c r="K8" s="394">
        <v>4937</v>
      </c>
      <c r="L8" s="219">
        <f t="shared" ref="L8:Q8" si="3">L3*L41</f>
        <v>10879.497999999998</v>
      </c>
      <c r="M8" s="219">
        <f t="shared" si="3"/>
        <v>11018.177624999997</v>
      </c>
      <c r="N8" s="219">
        <f t="shared" si="3"/>
        <v>11358.045156674998</v>
      </c>
      <c r="O8" s="219">
        <f t="shared" si="3"/>
        <v>1174.8084541835249</v>
      </c>
      <c r="P8" s="219">
        <f t="shared" si="3"/>
        <v>1215.2401435949407</v>
      </c>
      <c r="Q8" s="219">
        <f t="shared" si="3"/>
        <v>1255.6668272628178</v>
      </c>
      <c r="R8" s="217"/>
      <c r="U8" s="217"/>
    </row>
    <row r="9" spans="2:21" ht="16" customHeight="1">
      <c r="B9" s="222" t="s">
        <v>5</v>
      </c>
      <c r="C9" s="217">
        <v>1255173</v>
      </c>
      <c r="D9" s="217">
        <v>1313409</v>
      </c>
      <c r="E9" s="217">
        <v>1623664</v>
      </c>
      <c r="F9" s="217">
        <v>1595952</v>
      </c>
      <c r="G9" s="217">
        <v>1782698</v>
      </c>
      <c r="H9" s="217">
        <v>2043722</v>
      </c>
      <c r="I9" s="217">
        <v>2260787</v>
      </c>
      <c r="J9" s="217">
        <v>2560867</v>
      </c>
      <c r="K9" s="392">
        <v>1345921</v>
      </c>
      <c r="L9" s="217">
        <f t="shared" ref="L9:Q9" si="4">L5-SUM(L6:L8)</f>
        <v>2513164.0379999988</v>
      </c>
      <c r="M9" s="217">
        <f t="shared" si="4"/>
        <v>2633344.4523749989</v>
      </c>
      <c r="N9" s="217">
        <f t="shared" si="4"/>
        <v>2771363.0182286995</v>
      </c>
      <c r="O9" s="217">
        <f t="shared" si="4"/>
        <v>2994586.7497138046</v>
      </c>
      <c r="P9" s="217">
        <f t="shared" si="4"/>
        <v>3097647.126023504</v>
      </c>
      <c r="Q9" s="217">
        <f t="shared" si="4"/>
        <v>3200694.7426929222</v>
      </c>
      <c r="R9" s="217"/>
      <c r="U9" s="217"/>
    </row>
    <row r="10" spans="2:21" ht="16" customHeight="1">
      <c r="B10" s="215" t="s">
        <v>6</v>
      </c>
      <c r="C10" s="217">
        <v>90143</v>
      </c>
      <c r="D10" s="217">
        <v>98282</v>
      </c>
      <c r="E10" s="217">
        <v>138837</v>
      </c>
      <c r="F10" s="217">
        <v>144125</v>
      </c>
      <c r="G10" s="217">
        <v>149374</v>
      </c>
      <c r="H10" s="217">
        <v>127417</v>
      </c>
      <c r="I10" s="217">
        <v>137557</v>
      </c>
      <c r="J10" s="217">
        <v>151785</v>
      </c>
      <c r="K10" s="392">
        <v>81195</v>
      </c>
      <c r="L10" s="217">
        <f>(BS!L22+BS!L23+BS!L25)*L43</f>
        <v>162910.11269411934</v>
      </c>
      <c r="M10" s="217">
        <f>(BS!M22+BS!M23+BS!M25)*M43</f>
        <v>189011.58874576489</v>
      </c>
      <c r="N10" s="217">
        <f>(BS!N22+BS!N23+BS!N25)*N43</f>
        <v>196681.65244334028</v>
      </c>
      <c r="O10" s="217">
        <f>(BS!O22+BS!O23+BS!O25)*O43</f>
        <v>177666.94103290627</v>
      </c>
      <c r="P10" s="217">
        <f>(BS!P22+BS!P23+BS!P25)*P43</f>
        <v>180984.77070864139</v>
      </c>
      <c r="Q10" s="217">
        <f>(BS!Q22+BS!Q23+BS!Q25)*Q43</f>
        <v>183212.48516336892</v>
      </c>
      <c r="R10" s="217"/>
      <c r="U10" s="217"/>
    </row>
    <row r="11" spans="2:21" ht="16" customHeight="1">
      <c r="B11" s="218" t="s">
        <v>7</v>
      </c>
      <c r="C11" s="219">
        <v>65549</v>
      </c>
      <c r="D11" s="219">
        <v>104459</v>
      </c>
      <c r="E11" s="219">
        <v>74766</v>
      </c>
      <c r="F11" s="219">
        <v>71043</v>
      </c>
      <c r="G11" s="219">
        <v>138327</v>
      </c>
      <c r="H11" s="219">
        <v>119081</v>
      </c>
      <c r="I11" s="219">
        <v>206159</v>
      </c>
      <c r="J11" s="219">
        <v>237218</v>
      </c>
      <c r="K11" s="394">
        <v>32594</v>
      </c>
      <c r="L11" s="219">
        <f>J11</f>
        <v>237218</v>
      </c>
      <c r="M11" s="219">
        <f>L11</f>
        <v>237218</v>
      </c>
      <c r="N11" s="219">
        <f t="shared" ref="N11:Q11" si="5">M11</f>
        <v>237218</v>
      </c>
      <c r="O11" s="219">
        <f t="shared" si="5"/>
        <v>237218</v>
      </c>
      <c r="P11" s="219">
        <f t="shared" si="5"/>
        <v>237218</v>
      </c>
      <c r="Q11" s="219">
        <f t="shared" si="5"/>
        <v>237218</v>
      </c>
      <c r="R11" s="217"/>
      <c r="U11" s="217"/>
    </row>
    <row r="12" spans="2:21" ht="16" customHeight="1">
      <c r="B12" s="221" t="s">
        <v>8</v>
      </c>
      <c r="C12" s="217">
        <v>1099481</v>
      </c>
      <c r="D12" s="217">
        <v>1110668</v>
      </c>
      <c r="E12" s="217">
        <v>1410061</v>
      </c>
      <c r="F12" s="217">
        <v>1380784</v>
      </c>
      <c r="G12" s="217">
        <v>1494997</v>
      </c>
      <c r="H12" s="217">
        <v>1797224</v>
      </c>
      <c r="I12" s="217">
        <v>1917071</v>
      </c>
      <c r="J12" s="217">
        <v>2171864</v>
      </c>
      <c r="K12" s="392">
        <v>1232132</v>
      </c>
      <c r="L12" s="217">
        <f t="shared" ref="L12:Q12" si="6">L9-SUM(L10:L11)</f>
        <v>2113035.9253058797</v>
      </c>
      <c r="M12" s="217">
        <f t="shared" si="6"/>
        <v>2207114.863629234</v>
      </c>
      <c r="N12" s="217">
        <f t="shared" si="6"/>
        <v>2337463.3657853594</v>
      </c>
      <c r="O12" s="217">
        <f t="shared" si="6"/>
        <v>2579701.8086808985</v>
      </c>
      <c r="P12" s="217">
        <f t="shared" si="6"/>
        <v>2679444.3553148624</v>
      </c>
      <c r="Q12" s="217">
        <f t="shared" si="6"/>
        <v>2780264.2575295535</v>
      </c>
      <c r="R12" s="217"/>
      <c r="U12" s="217"/>
    </row>
    <row r="13" spans="2:21" ht="16" customHeight="1">
      <c r="B13" s="218" t="s">
        <v>9</v>
      </c>
      <c r="C13" s="219">
        <v>379437</v>
      </c>
      <c r="D13" s="219">
        <v>354131</v>
      </c>
      <c r="E13" s="219">
        <v>239010</v>
      </c>
      <c r="F13" s="219">
        <v>234032</v>
      </c>
      <c r="G13" s="219">
        <v>219584</v>
      </c>
      <c r="H13" s="219">
        <v>314405</v>
      </c>
      <c r="I13" s="219">
        <v>272254</v>
      </c>
      <c r="J13" s="219">
        <v>310077</v>
      </c>
      <c r="K13" s="394">
        <v>253785</v>
      </c>
      <c r="L13" s="219">
        <f t="shared" ref="L13:Q13" si="7">L12*L46</f>
        <v>302164.13731874077</v>
      </c>
      <c r="M13" s="219">
        <f t="shared" si="7"/>
        <v>315617.42549898045</v>
      </c>
      <c r="N13" s="219">
        <f t="shared" si="7"/>
        <v>334257.26130730635</v>
      </c>
      <c r="O13" s="219">
        <f t="shared" si="7"/>
        <v>368897.35864136845</v>
      </c>
      <c r="P13" s="219">
        <f t="shared" si="7"/>
        <v>383160.54281002528</v>
      </c>
      <c r="Q13" s="219">
        <f t="shared" si="7"/>
        <v>397577.78882672614</v>
      </c>
      <c r="R13" s="217"/>
      <c r="U13" s="216"/>
    </row>
    <row r="14" spans="2:21" ht="16" customHeight="1">
      <c r="B14" s="215" t="s">
        <v>10</v>
      </c>
      <c r="C14" s="217">
        <v>720044</v>
      </c>
      <c r="D14" s="217">
        <v>756537</v>
      </c>
      <c r="E14" s="217">
        <v>1171051</v>
      </c>
      <c r="F14" s="217">
        <v>1146752</v>
      </c>
      <c r="G14" s="217">
        <v>1275413</v>
      </c>
      <c r="H14" s="217">
        <v>1482819</v>
      </c>
      <c r="I14" s="217">
        <v>1644817</v>
      </c>
      <c r="J14" s="217">
        <v>1861787</v>
      </c>
      <c r="K14" s="392">
        <v>978347</v>
      </c>
      <c r="L14" s="217">
        <f t="shared" ref="L14:Q14" si="8">L12-L13</f>
        <v>1810871.7879871388</v>
      </c>
      <c r="M14" s="217">
        <f t="shared" si="8"/>
        <v>1891497.4381302535</v>
      </c>
      <c r="N14" s="217">
        <f t="shared" si="8"/>
        <v>2003206.1044780531</v>
      </c>
      <c r="O14" s="217">
        <f t="shared" si="8"/>
        <v>2210804.4500395302</v>
      </c>
      <c r="P14" s="217">
        <f t="shared" si="8"/>
        <v>2296283.8125048373</v>
      </c>
      <c r="Q14" s="217">
        <f t="shared" si="8"/>
        <v>2382686.4687028276</v>
      </c>
      <c r="R14" s="217"/>
      <c r="U14" s="223"/>
    </row>
    <row r="15" spans="2:21" ht="16" customHeight="1">
      <c r="B15" s="218" t="s">
        <v>11</v>
      </c>
      <c r="C15" s="219">
        <v>0</v>
      </c>
      <c r="D15" s="219">
        <v>-26444</v>
      </c>
      <c r="E15" s="219">
        <v>-6511</v>
      </c>
      <c r="F15" s="219">
        <v>-2940</v>
      </c>
      <c r="G15" s="219">
        <v>-3295</v>
      </c>
      <c r="H15" s="219">
        <v>5307</v>
      </c>
      <c r="I15" s="219">
        <v>0</v>
      </c>
      <c r="J15" s="219">
        <v>0</v>
      </c>
      <c r="K15" s="394">
        <v>0</v>
      </c>
      <c r="L15" s="219">
        <v>0</v>
      </c>
      <c r="M15" s="219">
        <f>L15</f>
        <v>0</v>
      </c>
      <c r="N15" s="219">
        <f>M15</f>
        <v>0</v>
      </c>
      <c r="O15" s="219">
        <f>N15</f>
        <v>0</v>
      </c>
      <c r="P15" s="219">
        <f>O15</f>
        <v>0</v>
      </c>
      <c r="Q15" s="219">
        <f>P15</f>
        <v>0</v>
      </c>
      <c r="R15" s="217"/>
      <c r="U15" s="223"/>
    </row>
    <row r="16" spans="2:21" ht="16" customHeight="1">
      <c r="B16" s="215" t="s">
        <v>12</v>
      </c>
      <c r="C16" s="216">
        <v>720044</v>
      </c>
      <c r="D16" s="216">
        <v>782981</v>
      </c>
      <c r="E16" s="216">
        <v>1177562</v>
      </c>
      <c r="F16" s="216">
        <v>1149692</v>
      </c>
      <c r="G16" s="216">
        <v>1278708</v>
      </c>
      <c r="H16" s="217">
        <v>1477512</v>
      </c>
      <c r="I16" s="217">
        <v>1644817</v>
      </c>
      <c r="J16" s="217">
        <v>1861787</v>
      </c>
      <c r="K16" s="392">
        <f>K14</f>
        <v>978347</v>
      </c>
      <c r="L16" s="216">
        <f t="shared" ref="L16:Q16" si="9">L14-L15</f>
        <v>1810871.7879871388</v>
      </c>
      <c r="M16" s="216">
        <f t="shared" si="9"/>
        <v>1891497.4381302535</v>
      </c>
      <c r="N16" s="216">
        <f t="shared" si="9"/>
        <v>2003206.1044780531</v>
      </c>
      <c r="O16" s="216">
        <f t="shared" si="9"/>
        <v>2210804.4500395302</v>
      </c>
      <c r="P16" s="216">
        <f t="shared" si="9"/>
        <v>2296283.8125048373</v>
      </c>
      <c r="Q16" s="216">
        <f t="shared" si="9"/>
        <v>2382686.4687028276</v>
      </c>
      <c r="R16" s="217"/>
      <c r="U16" s="224"/>
    </row>
    <row r="17" spans="2:21" ht="16" customHeight="1">
      <c r="B17" s="215" t="s">
        <v>13</v>
      </c>
      <c r="H17" s="217" t="s">
        <v>24</v>
      </c>
      <c r="I17" s="217" t="s">
        <v>24</v>
      </c>
      <c r="J17" s="217" t="s">
        <v>24</v>
      </c>
      <c r="K17" s="385"/>
      <c r="L17" s="385"/>
      <c r="M17" s="385"/>
      <c r="N17" s="385"/>
      <c r="O17" s="385"/>
      <c r="P17" s="385"/>
      <c r="Q17" s="399"/>
      <c r="R17" s="217"/>
      <c r="U17" s="223"/>
    </row>
    <row r="18" spans="2:21" ht="16" customHeight="1">
      <c r="B18" s="215" t="s">
        <v>14</v>
      </c>
      <c r="H18" s="216" t="s">
        <v>24</v>
      </c>
      <c r="I18" s="216" t="s">
        <v>24</v>
      </c>
      <c r="J18" s="216" t="s">
        <v>24</v>
      </c>
      <c r="K18" s="385"/>
      <c r="L18" s="385"/>
      <c r="M18" s="385"/>
      <c r="N18" s="385"/>
      <c r="O18" s="385"/>
      <c r="P18" s="385"/>
      <c r="Q18" s="400"/>
      <c r="R18" s="216"/>
      <c r="U18" s="225"/>
    </row>
    <row r="19" spans="2:21" ht="16" customHeight="1">
      <c r="B19" s="226" t="s">
        <v>15</v>
      </c>
      <c r="C19" s="224">
        <v>3.45</v>
      </c>
      <c r="D19" s="224">
        <v>3.79</v>
      </c>
      <c r="E19" s="224">
        <v>5.76</v>
      </c>
      <c r="F19" s="224">
        <v>5.64</v>
      </c>
      <c r="G19" s="224">
        <v>6.3</v>
      </c>
      <c r="H19" s="227">
        <v>7.34</v>
      </c>
      <c r="I19" s="227">
        <v>8.2200000000000006</v>
      </c>
      <c r="J19" s="227">
        <v>9.31</v>
      </c>
      <c r="K19" s="385">
        <v>4.93</v>
      </c>
      <c r="L19" s="401"/>
      <c r="M19" s="401"/>
      <c r="N19" s="401"/>
      <c r="O19" s="401"/>
      <c r="P19" s="401"/>
      <c r="Q19" s="402"/>
      <c r="R19" s="227"/>
      <c r="U19" s="223"/>
    </row>
    <row r="20" spans="2:21" ht="16" customHeight="1">
      <c r="B20" s="215" t="s">
        <v>16</v>
      </c>
      <c r="H20" s="223" t="s">
        <v>24</v>
      </c>
      <c r="I20" s="223" t="s">
        <v>24</v>
      </c>
      <c r="J20" s="223" t="s">
        <v>24</v>
      </c>
      <c r="K20" s="385"/>
      <c r="L20" s="385"/>
      <c r="M20" s="385"/>
      <c r="N20" s="385"/>
      <c r="O20" s="385"/>
      <c r="P20" s="385"/>
      <c r="Q20" s="403"/>
      <c r="R20" s="223"/>
      <c r="U20" s="228"/>
    </row>
    <row r="21" spans="2:21" ht="16" customHeight="1">
      <c r="B21" s="226" t="s">
        <v>17</v>
      </c>
      <c r="C21" s="225">
        <v>3.34</v>
      </c>
      <c r="D21" s="225">
        <v>3.66</v>
      </c>
      <c r="E21" s="225">
        <v>5.58</v>
      </c>
      <c r="F21" s="225">
        <v>5.46</v>
      </c>
      <c r="G21" s="225">
        <v>6.11</v>
      </c>
      <c r="H21" s="224">
        <v>7.11</v>
      </c>
      <c r="I21" s="224">
        <v>7.96</v>
      </c>
      <c r="J21" s="224">
        <v>9.06</v>
      </c>
      <c r="K21" s="385">
        <v>4.4800000000000004</v>
      </c>
      <c r="L21" s="404"/>
      <c r="M21" s="404"/>
      <c r="N21" s="404"/>
      <c r="O21" s="404"/>
      <c r="P21" s="404"/>
      <c r="Q21" s="401"/>
      <c r="R21" s="224"/>
      <c r="U21" s="223"/>
    </row>
    <row r="22" spans="2:21" ht="16" customHeight="1">
      <c r="B22" s="215" t="s">
        <v>18</v>
      </c>
      <c r="H22" s="223" t="s">
        <v>24</v>
      </c>
      <c r="I22" s="223" t="s">
        <v>24</v>
      </c>
      <c r="J22" s="223" t="s">
        <v>24</v>
      </c>
      <c r="K22" s="385"/>
      <c r="L22" s="385"/>
      <c r="M22" s="385"/>
      <c r="N22" s="385"/>
      <c r="O22" s="385"/>
      <c r="P22" s="385"/>
      <c r="Q22" s="403"/>
      <c r="R22" s="223"/>
      <c r="U22" s="223"/>
    </row>
    <row r="23" spans="2:21" ht="16" customHeight="1">
      <c r="B23" s="226" t="s">
        <v>19</v>
      </c>
      <c r="C23" s="228">
        <v>2.4020000000000001</v>
      </c>
      <c r="D23" s="228">
        <v>2.548</v>
      </c>
      <c r="E23" s="228">
        <v>2.7559999999999998</v>
      </c>
      <c r="F23" s="228">
        <v>2.99</v>
      </c>
      <c r="G23" s="228">
        <v>3.1539999999999999</v>
      </c>
      <c r="H23" s="225">
        <v>3.41</v>
      </c>
      <c r="I23" s="225">
        <v>3.8740000000000001</v>
      </c>
      <c r="J23" s="225">
        <v>4.4560000000000004</v>
      </c>
      <c r="K23" s="385">
        <v>4.8</v>
      </c>
      <c r="L23" s="405"/>
      <c r="M23" s="405"/>
      <c r="N23" s="405"/>
      <c r="O23" s="405"/>
      <c r="P23" s="405"/>
      <c r="Q23" s="404"/>
      <c r="R23" s="225"/>
      <c r="U23" s="225"/>
    </row>
    <row r="24" spans="2:21" ht="16" customHeight="1">
      <c r="B24" s="215" t="s">
        <v>20</v>
      </c>
      <c r="H24" s="223" t="s">
        <v>24</v>
      </c>
      <c r="I24" s="223" t="s">
        <v>24</v>
      </c>
      <c r="J24" s="223" t="s">
        <v>24</v>
      </c>
      <c r="K24" s="385"/>
      <c r="L24" s="385"/>
      <c r="M24" s="385"/>
      <c r="N24" s="385"/>
      <c r="O24" s="385"/>
      <c r="P24" s="385"/>
      <c r="Q24" s="403"/>
      <c r="R24" s="223"/>
      <c r="U24" s="223"/>
    </row>
    <row r="25" spans="2:21" ht="16" customHeight="1">
      <c r="B25" s="215" t="s">
        <v>14</v>
      </c>
      <c r="H25" s="228" t="s">
        <v>24</v>
      </c>
      <c r="I25" s="228" t="s">
        <v>24</v>
      </c>
      <c r="J25" s="228" t="s">
        <v>24</v>
      </c>
      <c r="K25" s="385"/>
      <c r="L25" s="385"/>
      <c r="M25" s="385"/>
      <c r="N25" s="385"/>
      <c r="O25" s="385"/>
      <c r="P25" s="385"/>
      <c r="Q25" s="405"/>
      <c r="R25" s="228"/>
      <c r="S25" s="228"/>
      <c r="T25" s="225"/>
      <c r="U25" s="225"/>
    </row>
    <row r="26" spans="2:21" ht="16" customHeight="1">
      <c r="B26" s="226" t="s">
        <v>15</v>
      </c>
      <c r="C26" s="225">
        <v>3.15</v>
      </c>
      <c r="D26" s="225">
        <v>3.44</v>
      </c>
      <c r="E26" s="225">
        <v>5.24</v>
      </c>
      <c r="F26" s="225">
        <v>5.12</v>
      </c>
      <c r="G26" s="225">
        <v>5.72</v>
      </c>
      <c r="H26" s="223">
        <v>6.68</v>
      </c>
      <c r="I26" s="223">
        <v>7.47</v>
      </c>
      <c r="J26" s="223">
        <v>8.52</v>
      </c>
      <c r="K26" s="385">
        <v>4.47</v>
      </c>
      <c r="L26" s="404"/>
      <c r="M26" s="404"/>
      <c r="N26" s="404"/>
      <c r="O26" s="404"/>
      <c r="P26" s="404"/>
      <c r="Q26" s="403"/>
      <c r="R26" s="223"/>
      <c r="S26" s="223"/>
      <c r="T26" s="223"/>
      <c r="U26" s="223"/>
    </row>
    <row r="27" spans="2:21" ht="16" customHeight="1">
      <c r="B27" s="215" t="s">
        <v>16</v>
      </c>
      <c r="H27" s="223" t="s">
        <v>24</v>
      </c>
      <c r="I27" s="223" t="s">
        <v>24</v>
      </c>
      <c r="J27" s="223" t="s">
        <v>24</v>
      </c>
      <c r="K27" s="385"/>
      <c r="L27" s="385"/>
      <c r="M27" s="385"/>
      <c r="N27" s="385"/>
      <c r="O27" s="385"/>
      <c r="P27" s="385"/>
      <c r="Q27" s="403"/>
      <c r="R27" s="223"/>
      <c r="S27" s="223"/>
      <c r="T27" s="229"/>
      <c r="U27" s="229"/>
    </row>
    <row r="28" spans="2:21" ht="16" customHeight="1">
      <c r="B28" s="226" t="s">
        <v>17</v>
      </c>
      <c r="C28" s="225">
        <v>3.14</v>
      </c>
      <c r="D28" s="225">
        <v>3.44</v>
      </c>
      <c r="E28" s="225">
        <v>5.22</v>
      </c>
      <c r="F28" s="225">
        <v>5.0999999999999996</v>
      </c>
      <c r="G28" s="225">
        <v>5.71</v>
      </c>
      <c r="H28" s="225">
        <v>6.66</v>
      </c>
      <c r="I28" s="225">
        <v>7.45</v>
      </c>
      <c r="J28" s="225">
        <v>8.5</v>
      </c>
      <c r="K28" s="385">
        <v>2.74</v>
      </c>
      <c r="L28" s="404"/>
      <c r="M28" s="404"/>
      <c r="N28" s="404"/>
      <c r="O28" s="404"/>
      <c r="P28" s="404"/>
      <c r="Q28" s="404"/>
      <c r="R28" s="225"/>
      <c r="S28" s="225"/>
    </row>
    <row r="29" spans="2:21" ht="16" customHeight="1">
      <c r="B29" s="215" t="s">
        <v>18</v>
      </c>
      <c r="H29" s="223" t="s">
        <v>24</v>
      </c>
      <c r="I29" s="223" t="s">
        <v>24</v>
      </c>
      <c r="J29" s="223" t="s">
        <v>24</v>
      </c>
      <c r="K29" s="385"/>
      <c r="L29" s="385"/>
      <c r="M29" s="385"/>
      <c r="N29" s="385"/>
      <c r="O29" s="385"/>
      <c r="P29" s="385"/>
      <c r="Q29" s="403"/>
      <c r="R29" s="223"/>
      <c r="S29" s="223"/>
    </row>
    <row r="30" spans="2:21" ht="16" customHeight="1">
      <c r="B30" s="226" t="s">
        <v>19</v>
      </c>
      <c r="C30" s="229">
        <v>2.1840000000000002</v>
      </c>
      <c r="D30" s="229">
        <v>2.3159999999999998</v>
      </c>
      <c r="E30" s="229">
        <v>2.504</v>
      </c>
      <c r="F30" s="229">
        <v>2.7160000000000002</v>
      </c>
      <c r="G30" s="229">
        <v>2.8660000000000001</v>
      </c>
      <c r="H30" s="225">
        <v>3.1</v>
      </c>
      <c r="I30" s="225">
        <v>3.5219999999999998</v>
      </c>
      <c r="J30" s="225">
        <v>4.05</v>
      </c>
      <c r="K30" s="385">
        <v>2.4900000000000002</v>
      </c>
      <c r="L30" s="406"/>
      <c r="M30" s="406"/>
      <c r="N30" s="406"/>
      <c r="O30" s="406"/>
      <c r="P30" s="406"/>
      <c r="Q30" s="404"/>
      <c r="R30" s="225"/>
      <c r="S30" s="225"/>
    </row>
    <row r="31" spans="2:21" ht="16" customHeight="1">
      <c r="B31" s="226"/>
      <c r="C31" s="229"/>
      <c r="D31" s="229"/>
      <c r="E31" s="229"/>
      <c r="F31" s="229"/>
      <c r="G31" s="229"/>
      <c r="H31" s="225"/>
      <c r="I31" s="225"/>
      <c r="J31" s="225"/>
      <c r="K31" s="385"/>
      <c r="L31" s="406"/>
      <c r="M31" s="406"/>
      <c r="N31" s="406"/>
      <c r="O31" s="406"/>
      <c r="P31" s="406"/>
      <c r="Q31" s="404"/>
      <c r="R31" s="225"/>
      <c r="S31" s="225"/>
    </row>
    <row r="32" spans="2:21" ht="16" customHeight="1">
      <c r="K32" s="385"/>
      <c r="L32" s="230"/>
      <c r="M32" s="230"/>
      <c r="N32" s="230"/>
      <c r="O32" s="230"/>
      <c r="P32" s="230"/>
      <c r="Q32" s="230"/>
      <c r="R32" s="230"/>
      <c r="S32" s="230"/>
    </row>
    <row r="33" spans="2:19" ht="16" customHeight="1">
      <c r="C33" s="229"/>
      <c r="D33" s="229"/>
      <c r="E33" s="229"/>
      <c r="K33" s="385"/>
    </row>
    <row r="34" spans="2:19" ht="16" customHeight="1">
      <c r="B34" s="391" t="s">
        <v>347</v>
      </c>
      <c r="K34" s="385"/>
    </row>
    <row r="35" spans="2:19" ht="16" customHeight="1">
      <c r="K35" s="385"/>
      <c r="L35" s="414">
        <v>2024</v>
      </c>
      <c r="M35" s="414">
        <v>2025</v>
      </c>
      <c r="N35" s="414">
        <v>2026</v>
      </c>
      <c r="O35" s="414">
        <v>2027</v>
      </c>
      <c r="P35" s="414">
        <v>2028</v>
      </c>
      <c r="Q35" s="414">
        <v>2029</v>
      </c>
      <c r="R35" s="414" t="s">
        <v>227</v>
      </c>
    </row>
    <row r="36" spans="2:19" ht="16" customHeight="1">
      <c r="B36" s="407" t="s">
        <v>0</v>
      </c>
      <c r="C36" s="395">
        <f>C3/C$3</f>
        <v>1</v>
      </c>
      <c r="D36" s="395">
        <f t="shared" ref="D36:J36" si="10">D3/D$3</f>
        <v>1</v>
      </c>
      <c r="E36" s="395">
        <f t="shared" si="10"/>
        <v>1</v>
      </c>
      <c r="F36" s="395">
        <f t="shared" si="10"/>
        <v>1</v>
      </c>
      <c r="G36" s="395">
        <f t="shared" si="10"/>
        <v>1</v>
      </c>
      <c r="H36" s="395">
        <f t="shared" si="10"/>
        <v>1</v>
      </c>
      <c r="I36" s="395">
        <f t="shared" si="10"/>
        <v>1</v>
      </c>
      <c r="J36" s="395">
        <f t="shared" si="10"/>
        <v>1</v>
      </c>
      <c r="K36" s="395">
        <v>1</v>
      </c>
      <c r="L36" s="408"/>
      <c r="M36" s="408"/>
      <c r="N36" s="408"/>
      <c r="O36" s="408"/>
      <c r="P36" s="408"/>
      <c r="Q36" s="408"/>
      <c r="R36" s="385"/>
    </row>
    <row r="37" spans="2:19" ht="16" customHeight="1">
      <c r="B37" s="215" t="s">
        <v>1</v>
      </c>
      <c r="C37" s="211">
        <f t="shared" ref="C37:J37" si="11">C4/C$3</f>
        <v>0.57399705732965367</v>
      </c>
      <c r="D37" s="211">
        <f t="shared" si="11"/>
        <v>0.54022885728633352</v>
      </c>
      <c r="E37" s="211">
        <f t="shared" si="11"/>
        <v>0.54109955899504936</v>
      </c>
      <c r="F37" s="211">
        <f t="shared" si="11"/>
        <v>0.54641075688570806</v>
      </c>
      <c r="G37" s="211">
        <f t="shared" si="11"/>
        <v>0.5458409056803063</v>
      </c>
      <c r="H37" s="211">
        <f t="shared" si="11"/>
        <v>0.54871854663357311</v>
      </c>
      <c r="I37" s="211">
        <f t="shared" si="11"/>
        <v>0.56822554388042035</v>
      </c>
      <c r="J37" s="211">
        <f t="shared" si="11"/>
        <v>0.55236725651034946</v>
      </c>
      <c r="K37" s="383">
        <f t="shared" ref="K37:K42" si="12">K4/K$3</f>
        <v>0.52886838542138892</v>
      </c>
      <c r="L37" s="412">
        <v>0.55000000000000004</v>
      </c>
      <c r="M37" s="412">
        <v>0.54500000000000004</v>
      </c>
      <c r="N37" s="412">
        <f>M37</f>
        <v>0.54500000000000004</v>
      </c>
      <c r="O37" s="412">
        <v>0.54</v>
      </c>
      <c r="P37" s="412">
        <f>O37</f>
        <v>0.54</v>
      </c>
      <c r="Q37" s="412">
        <f>P37</f>
        <v>0.54</v>
      </c>
      <c r="R37" s="206">
        <f>AVERAGE(C37:K37)</f>
        <v>0.54952854095808701</v>
      </c>
      <c r="S37" s="63" t="s">
        <v>322</v>
      </c>
    </row>
    <row r="38" spans="2:19" ht="16" customHeight="1">
      <c r="B38" s="407" t="s">
        <v>2</v>
      </c>
      <c r="C38" s="383">
        <f t="shared" ref="C38:J38" si="13">C5/C$3</f>
        <v>0.42600294267034633</v>
      </c>
      <c r="D38" s="383">
        <f t="shared" si="13"/>
        <v>0.45977114271366654</v>
      </c>
      <c r="E38" s="383">
        <f t="shared" si="13"/>
        <v>0.45890044100495064</v>
      </c>
      <c r="F38" s="383">
        <f t="shared" si="13"/>
        <v>0.45358924311429188</v>
      </c>
      <c r="G38" s="383">
        <f t="shared" si="13"/>
        <v>0.4541590943196937</v>
      </c>
      <c r="H38" s="383">
        <f t="shared" si="13"/>
        <v>0.45128145336642689</v>
      </c>
      <c r="I38" s="383">
        <f t="shared" si="13"/>
        <v>0.43177445611957971</v>
      </c>
      <c r="J38" s="383">
        <f t="shared" si="13"/>
        <v>0.44763274348965049</v>
      </c>
      <c r="K38" s="383">
        <f t="shared" si="12"/>
        <v>0.47113161457861114</v>
      </c>
      <c r="L38" s="409"/>
      <c r="M38" s="409"/>
      <c r="N38" s="409"/>
      <c r="O38" s="409"/>
      <c r="P38" s="409"/>
      <c r="Q38" s="409"/>
      <c r="R38" s="384">
        <f t="shared" ref="R38:R49" si="14">AVERAGE(C38:K38)</f>
        <v>0.45047145904191299</v>
      </c>
    </row>
    <row r="39" spans="2:19" ht="16" customHeight="1">
      <c r="B39" s="215" t="s">
        <v>3</v>
      </c>
      <c r="C39" s="211">
        <f t="shared" ref="C39:J39" si="15">C6/C$3</f>
        <v>0.25420147708772139</v>
      </c>
      <c r="D39" s="211">
        <f t="shared" si="15"/>
        <v>0.25088291734893003</v>
      </c>
      <c r="E39" s="211">
        <f t="shared" si="15"/>
        <v>0.24063822307311103</v>
      </c>
      <c r="F39" s="211">
        <f t="shared" si="15"/>
        <v>0.23865124716825864</v>
      </c>
      <c r="G39" s="211">
        <f t="shared" si="15"/>
        <v>0.23202333724635169</v>
      </c>
      <c r="H39" s="211">
        <f t="shared" si="15"/>
        <v>0.22308280248529289</v>
      </c>
      <c r="I39" s="211">
        <f t="shared" si="15"/>
        <v>0.21460273603950517</v>
      </c>
      <c r="J39" s="211">
        <f t="shared" si="15"/>
        <v>0.21822747387548508</v>
      </c>
      <c r="K39" s="383">
        <f t="shared" si="12"/>
        <v>0.21755550587369155</v>
      </c>
      <c r="L39" s="412">
        <v>0.218</v>
      </c>
      <c r="M39" s="412">
        <v>0.215</v>
      </c>
      <c r="N39" s="412">
        <v>0.21</v>
      </c>
      <c r="O39" s="412">
        <f>N39-0.5%</f>
        <v>0.20499999999999999</v>
      </c>
      <c r="P39" s="412">
        <f>O39</f>
        <v>0.20499999999999999</v>
      </c>
      <c r="Q39" s="412">
        <f>P39</f>
        <v>0.20499999999999999</v>
      </c>
      <c r="R39" s="206">
        <f t="shared" si="14"/>
        <v>0.23220730224426081</v>
      </c>
      <c r="S39" s="63" t="s">
        <v>323</v>
      </c>
    </row>
    <row r="40" spans="2:19" ht="16" customHeight="1">
      <c r="B40" s="215" t="s">
        <v>57</v>
      </c>
      <c r="C40" s="212">
        <f t="shared" ref="C40:J40" si="16">C7/C$3</f>
        <v>5.6504001717162528E-4</v>
      </c>
      <c r="D40" s="212">
        <f t="shared" si="16"/>
        <v>2.7771146971575528E-2</v>
      </c>
      <c r="E40" s="212">
        <f t="shared" si="16"/>
        <v>7.4096378815281961E-3</v>
      </c>
      <c r="F40" s="212">
        <f t="shared" si="16"/>
        <v>1.408482977997689E-2</v>
      </c>
      <c r="G40" s="212">
        <f t="shared" si="16"/>
        <v>1.121879171539534E-3</v>
      </c>
      <c r="H40" s="212">
        <f t="shared" si="16"/>
        <v>0</v>
      </c>
      <c r="I40" s="212">
        <f t="shared" si="16"/>
        <v>0</v>
      </c>
      <c r="J40" s="212">
        <f t="shared" si="16"/>
        <v>0</v>
      </c>
      <c r="K40" s="383">
        <f t="shared" si="12"/>
        <v>0</v>
      </c>
      <c r="L40" s="284"/>
      <c r="M40" s="284"/>
      <c r="N40" s="284"/>
      <c r="O40" s="284"/>
      <c r="P40" s="284"/>
      <c r="Q40" s="284"/>
      <c r="R40" s="206">
        <f t="shared" si="14"/>
        <v>5.6613926468657523E-3</v>
      </c>
    </row>
    <row r="41" spans="2:19" ht="16" customHeight="1">
      <c r="B41" s="215" t="s">
        <v>4</v>
      </c>
      <c r="C41" s="213">
        <f t="shared" ref="C41:J41" si="17">C8/C$3</f>
        <v>2.5344813519993666E-3</v>
      </c>
      <c r="D41" s="213">
        <f t="shared" si="17"/>
        <v>6.3553283606278604E-3</v>
      </c>
      <c r="E41" s="213">
        <f t="shared" si="17"/>
        <v>2.4519100010537706E-3</v>
      </c>
      <c r="F41" s="213">
        <f t="shared" si="17"/>
        <v>1.0157455587426994E-3</v>
      </c>
      <c r="G41" s="213">
        <f t="shared" si="17"/>
        <v>2.2703850279991249E-3</v>
      </c>
      <c r="H41" s="213">
        <f t="shared" si="17"/>
        <v>3.9291802325561951E-4</v>
      </c>
      <c r="I41" s="213">
        <f t="shared" si="17"/>
        <v>1.9089585148475511E-4</v>
      </c>
      <c r="J41" s="213">
        <f t="shared" si="17"/>
        <v>3.949846090350983E-5</v>
      </c>
      <c r="K41" s="396">
        <f t="shared" si="12"/>
        <v>9.2674822126099707E-4</v>
      </c>
      <c r="L41" s="412">
        <v>1E-3</v>
      </c>
      <c r="M41" s="412">
        <f>L41</f>
        <v>1E-3</v>
      </c>
      <c r="N41" s="412">
        <f>M41</f>
        <v>1E-3</v>
      </c>
      <c r="O41" s="412">
        <f>0.01%</f>
        <v>1E-4</v>
      </c>
      <c r="P41" s="412">
        <f>O41</f>
        <v>1E-4</v>
      </c>
      <c r="Q41" s="412">
        <f>P41</f>
        <v>1E-4</v>
      </c>
      <c r="R41" s="231">
        <f>AVERAGE(E41:J41)</f>
        <v>1.0602254872399133E-3</v>
      </c>
      <c r="S41" s="63" t="s">
        <v>324</v>
      </c>
    </row>
    <row r="42" spans="2:19" ht="16" customHeight="1">
      <c r="B42" s="403" t="s">
        <v>5</v>
      </c>
      <c r="C42" s="383">
        <f t="shared" ref="C42:J42" si="18">C9/C$3</f>
        <v>0.16870194421345394</v>
      </c>
      <c r="D42" s="383">
        <f t="shared" si="18"/>
        <v>0.17476175003253308</v>
      </c>
      <c r="E42" s="383">
        <f t="shared" si="18"/>
        <v>0.20840067004925769</v>
      </c>
      <c r="F42" s="383">
        <f t="shared" si="18"/>
        <v>0.19983742060731366</v>
      </c>
      <c r="G42" s="383">
        <f t="shared" si="18"/>
        <v>0.21874349287380337</v>
      </c>
      <c r="H42" s="383">
        <f t="shared" si="18"/>
        <v>0.22780573285787836</v>
      </c>
      <c r="I42" s="383">
        <f t="shared" si="18"/>
        <v>0.21698082422858977</v>
      </c>
      <c r="J42" s="383">
        <f t="shared" si="18"/>
        <v>0.2293657711532619</v>
      </c>
      <c r="K42" s="383">
        <f t="shared" si="12"/>
        <v>0.2526493604836586</v>
      </c>
      <c r="L42" s="409"/>
      <c r="M42" s="409"/>
      <c r="N42" s="409"/>
      <c r="O42" s="409"/>
      <c r="P42" s="409"/>
      <c r="Q42" s="409"/>
      <c r="R42" s="384">
        <f t="shared" si="14"/>
        <v>0.21080521849997227</v>
      </c>
    </row>
    <row r="43" spans="2:19" ht="16" customHeight="1">
      <c r="B43" s="215" t="s">
        <v>6</v>
      </c>
      <c r="C43" s="211"/>
      <c r="D43" s="211">
        <f>D10/(BS!D22+BS!D23+BS!D25)</f>
        <v>3.365268722949652E-2</v>
      </c>
      <c r="E43" s="211">
        <f>E10/(BS!E22+BS!E23+BS!E25)</f>
        <v>3.1146160396769918E-2</v>
      </c>
      <c r="F43" s="211">
        <f>F10/(BS!F22+BS!F23+BS!F25)</f>
        <v>3.3780735195365744E-2</v>
      </c>
      <c r="G43" s="211">
        <f>G10/(BS!G22+BS!G23+BS!G25)</f>
        <v>3.2454088699383501E-2</v>
      </c>
      <c r="H43" s="211">
        <f>H10/(BS!H22+BS!H23+BS!H25)</f>
        <v>2.5336982644692849E-2</v>
      </c>
      <c r="I43" s="211">
        <f>I10/(BS!I22+BS!I23+BS!I25)</f>
        <v>2.8709475105633177E-2</v>
      </c>
      <c r="J43" s="211">
        <f>J10/(BS!J22+BS!J23+BS!J25)</f>
        <v>3.1529722816376886E-2</v>
      </c>
      <c r="K43" s="397">
        <f>K10/(BS!K22+BS!K23+BS!K25)</f>
        <v>1.499212587957221E-2</v>
      </c>
      <c r="L43" s="412">
        <f>Debt!D10</f>
        <v>3.1876487490599431E-2</v>
      </c>
      <c r="M43" s="412">
        <f>Debt!E10</f>
        <v>3.4933140173986847E-2</v>
      </c>
      <c r="N43" s="412">
        <f>Debt!F10</f>
        <v>3.7035207148808293E-2</v>
      </c>
      <c r="O43" s="412">
        <f>Debt!G10</f>
        <v>3.5502813183867304E-2</v>
      </c>
      <c r="P43" s="412">
        <f>Debt!H10</f>
        <v>3.5070034689051122E-2</v>
      </c>
      <c r="Q43" s="412">
        <f>Debt!J10</f>
        <v>3.5849035979720244E-2</v>
      </c>
      <c r="R43" s="206">
        <f t="shared" si="14"/>
        <v>2.8950247245911356E-2</v>
      </c>
      <c r="S43" s="63" t="s">
        <v>325</v>
      </c>
    </row>
    <row r="44" spans="2:19" ht="16" customHeight="1">
      <c r="B44" s="215" t="s">
        <v>7</v>
      </c>
      <c r="C44" s="211">
        <f t="shared" ref="C44:J44" si="19">C11/C$3</f>
        <v>8.8101351297770851E-3</v>
      </c>
      <c r="D44" s="211">
        <f t="shared" si="19"/>
        <v>1.3899278630379701E-2</v>
      </c>
      <c r="E44" s="211">
        <f t="shared" si="19"/>
        <v>9.596372461853438E-3</v>
      </c>
      <c r="F44" s="211">
        <f t="shared" si="19"/>
        <v>8.8956621954829375E-3</v>
      </c>
      <c r="G44" s="211">
        <f t="shared" si="19"/>
        <v>1.6973223248556178E-2</v>
      </c>
      <c r="H44" s="211">
        <f t="shared" si="19"/>
        <v>1.32734953552631E-2</v>
      </c>
      <c r="I44" s="211">
        <f t="shared" si="19"/>
        <v>1.9786273426971156E-2</v>
      </c>
      <c r="J44" s="211">
        <f t="shared" si="19"/>
        <v>2.1246589339248965E-2</v>
      </c>
      <c r="K44" s="383">
        <f>K11/K$3</f>
        <v>6.1183778658661005E-3</v>
      </c>
      <c r="L44" s="412">
        <v>2.1000000000000001E-2</v>
      </c>
      <c r="M44" s="412">
        <f>L44</f>
        <v>2.1000000000000001E-2</v>
      </c>
      <c r="N44" s="412">
        <f>M44+0.1%</f>
        <v>2.2000000000000002E-2</v>
      </c>
      <c r="O44" s="412">
        <f>N44</f>
        <v>2.2000000000000002E-2</v>
      </c>
      <c r="P44" s="412">
        <f>O44+0.1%</f>
        <v>2.3000000000000003E-2</v>
      </c>
      <c r="Q44" s="412">
        <f>P44</f>
        <v>2.3000000000000003E-2</v>
      </c>
      <c r="R44" s="206">
        <f t="shared" si="14"/>
        <v>1.3177711961488741E-2</v>
      </c>
      <c r="S44" s="63" t="s">
        <v>326</v>
      </c>
    </row>
    <row r="45" spans="2:19" ht="16" customHeight="1">
      <c r="B45" s="407" t="s">
        <v>8</v>
      </c>
      <c r="C45" s="383">
        <f t="shared" ref="C45:J45" si="20">C12/C$3</f>
        <v>0.14777610921024636</v>
      </c>
      <c r="D45" s="383">
        <f t="shared" si="20"/>
        <v>0.14778510226832117</v>
      </c>
      <c r="E45" s="383">
        <f t="shared" si="20"/>
        <v>0.18098427828068267</v>
      </c>
      <c r="F45" s="383">
        <f t="shared" si="20"/>
        <v>0.17289512026417397</v>
      </c>
      <c r="G45" s="383">
        <f t="shared" si="20"/>
        <v>0.18344153951811099</v>
      </c>
      <c r="H45" s="383">
        <f t="shared" si="20"/>
        <v>0.20032956068866881</v>
      </c>
      <c r="I45" s="383">
        <f t="shared" si="20"/>
        <v>0.18399240869870837</v>
      </c>
      <c r="J45" s="383">
        <f t="shared" si="20"/>
        <v>0.19452445644385594</v>
      </c>
      <c r="K45" s="383">
        <f>K12/K$3</f>
        <v>0.2312894752600273</v>
      </c>
      <c r="L45" s="410"/>
      <c r="M45" s="410"/>
      <c r="N45" s="410"/>
      <c r="O45" s="410"/>
      <c r="P45" s="410"/>
      <c r="Q45" s="410"/>
      <c r="R45" s="384">
        <f t="shared" si="14"/>
        <v>0.18255756118142172</v>
      </c>
    </row>
    <row r="46" spans="2:19" ht="16" customHeight="1">
      <c r="B46" s="226" t="s">
        <v>125</v>
      </c>
      <c r="C46" s="230">
        <f t="shared" ref="C46:K46" si="21">C13/C12</f>
        <v>0.34510555434791507</v>
      </c>
      <c r="D46" s="230">
        <f t="shared" si="21"/>
        <v>0.31884505540809677</v>
      </c>
      <c r="E46" s="230">
        <f t="shared" si="21"/>
        <v>0.16950330517615905</v>
      </c>
      <c r="F46" s="230">
        <f t="shared" si="21"/>
        <v>0.16949211462473493</v>
      </c>
      <c r="G46" s="230">
        <f t="shared" si="21"/>
        <v>0.14687922450680502</v>
      </c>
      <c r="H46" s="230">
        <f t="shared" si="21"/>
        <v>0.17493923962733637</v>
      </c>
      <c r="I46" s="230">
        <f t="shared" si="21"/>
        <v>0.14201560609909597</v>
      </c>
      <c r="J46" s="230">
        <f>J13/J12</f>
        <v>0.1427699892810968</v>
      </c>
      <c r="K46" s="398">
        <f t="shared" si="21"/>
        <v>0.20597224972649034</v>
      </c>
      <c r="L46" s="413">
        <v>0.14299999999999999</v>
      </c>
      <c r="M46" s="412">
        <f>L46</f>
        <v>0.14299999999999999</v>
      </c>
      <c r="N46" s="412">
        <f>M46</f>
        <v>0.14299999999999999</v>
      </c>
      <c r="O46" s="412">
        <f>N46</f>
        <v>0.14299999999999999</v>
      </c>
      <c r="P46" s="412">
        <f>O46</f>
        <v>0.14299999999999999</v>
      </c>
      <c r="Q46" s="412">
        <f>P46</f>
        <v>0.14299999999999999</v>
      </c>
      <c r="R46" s="206">
        <f>AVERAGE(C46:J46)</f>
        <v>0.201193761133905</v>
      </c>
    </row>
    <row r="47" spans="2:19" ht="16" customHeight="1">
      <c r="B47" s="407" t="s">
        <v>10</v>
      </c>
      <c r="C47" s="383">
        <f t="shared" ref="C47:J47" si="22">C14/C$3</f>
        <v>9.6777753121866261E-2</v>
      </c>
      <c r="D47" s="383">
        <f t="shared" si="22"/>
        <v>0.10066455314708707</v>
      </c>
      <c r="E47" s="383">
        <f t="shared" si="22"/>
        <v>0.15030684492718521</v>
      </c>
      <c r="F47" s="383">
        <f>F14/F$3</f>
        <v>0.14359076072230129</v>
      </c>
      <c r="G47" s="383">
        <f t="shared" si="22"/>
        <v>0.15649778845135642</v>
      </c>
      <c r="H47" s="383">
        <f t="shared" si="22"/>
        <v>0.16528405966691476</v>
      </c>
      <c r="I47" s="383">
        <f t="shared" si="22"/>
        <v>0.15786261525972872</v>
      </c>
      <c r="J47" s="383">
        <f t="shared" si="22"/>
        <v>0.16675220188245546</v>
      </c>
      <c r="K47" s="383">
        <f>K14/K$3</f>
        <v>0.18365026170266005</v>
      </c>
      <c r="L47" s="385"/>
      <c r="M47" s="385"/>
      <c r="N47" s="385"/>
      <c r="O47" s="385"/>
      <c r="P47" s="385"/>
      <c r="Q47" s="385"/>
      <c r="R47" s="384">
        <f t="shared" si="14"/>
        <v>0.14682075987572837</v>
      </c>
    </row>
    <row r="48" spans="2:19" ht="16" customHeight="1">
      <c r="B48" s="407" t="s">
        <v>11</v>
      </c>
      <c r="C48" s="383">
        <f>C15/C$3</f>
        <v>0</v>
      </c>
      <c r="D48" s="383">
        <f>D15/D$3</f>
        <v>-3.5186295494094412E-3</v>
      </c>
      <c r="E48" s="383">
        <f>E15/E$3</f>
        <v>-8.3570046677805066E-4</v>
      </c>
      <c r="F48" s="383">
        <f>F15/F$3</f>
        <v>-3.6813263593485406E-4</v>
      </c>
      <c r="G48" s="383">
        <f>G15/G$3</f>
        <v>-4.0430841848657605E-4</v>
      </c>
      <c r="H48" s="383">
        <f>H15/H$3</f>
        <v>5.915506239482476E-4</v>
      </c>
      <c r="I48" s="383">
        <f>I15/I$3</f>
        <v>0</v>
      </c>
      <c r="J48" s="383">
        <f>J15/J$3</f>
        <v>0</v>
      </c>
      <c r="K48" s="383">
        <f>K15/K$3</f>
        <v>0</v>
      </c>
      <c r="L48" s="411"/>
      <c r="M48" s="385"/>
      <c r="N48" s="385"/>
      <c r="O48" s="385"/>
      <c r="P48" s="385"/>
      <c r="Q48" s="385"/>
      <c r="R48" s="384">
        <f t="shared" si="14"/>
        <v>-5.0391338296229722E-4</v>
      </c>
    </row>
    <row r="49" spans="2:18" ht="16" customHeight="1">
      <c r="B49" s="407" t="s">
        <v>12</v>
      </c>
      <c r="C49" s="383">
        <f t="shared" ref="C49:J49" si="23">C16/C$3</f>
        <v>9.6777753121866261E-2</v>
      </c>
      <c r="D49" s="383">
        <f t="shared" si="23"/>
        <v>0.10418318269649651</v>
      </c>
      <c r="E49" s="383">
        <f t="shared" si="23"/>
        <v>0.15114254539396327</v>
      </c>
      <c r="F49" s="383">
        <f t="shared" si="23"/>
        <v>0.14395889335823614</v>
      </c>
      <c r="G49" s="383">
        <f t="shared" si="23"/>
        <v>0.15690209686984299</v>
      </c>
      <c r="H49" s="383">
        <f t="shared" si="23"/>
        <v>0.16469250904296651</v>
      </c>
      <c r="I49" s="383">
        <f t="shared" si="23"/>
        <v>0.15786261525972872</v>
      </c>
      <c r="J49" s="383">
        <f t="shared" si="23"/>
        <v>0.16675220188245546</v>
      </c>
      <c r="K49" s="383">
        <f>K16/K$3</f>
        <v>0.18365026170266005</v>
      </c>
      <c r="L49" s="385"/>
      <c r="M49" s="385"/>
      <c r="N49" s="385"/>
      <c r="O49" s="385"/>
      <c r="P49" s="385"/>
      <c r="Q49" s="385"/>
      <c r="R49" s="384">
        <f t="shared" si="14"/>
        <v>0.14732467325869067</v>
      </c>
    </row>
    <row r="50" spans="2:18" ht="16" customHeight="1">
      <c r="K50" s="385"/>
    </row>
    <row r="51" spans="2:18" ht="16" customHeight="1">
      <c r="B51" s="215"/>
      <c r="K51" s="385"/>
    </row>
    <row r="52" spans="2:18" ht="16" customHeight="1">
      <c r="B52" s="391" t="s">
        <v>126</v>
      </c>
      <c r="K52" s="385"/>
    </row>
    <row r="53" spans="2:18" ht="16" customHeight="1">
      <c r="B53" s="215"/>
      <c r="K53" s="385"/>
    </row>
    <row r="54" spans="2:18" ht="16" customHeight="1">
      <c r="B54" s="215" t="s">
        <v>0</v>
      </c>
      <c r="D54" s="212">
        <f>D3/C3 - 1</f>
        <v>1.0113329232178669E-2</v>
      </c>
      <c r="E54" s="212">
        <f t="shared" ref="E54:J54" si="24">E3/D3 - 1</f>
        <v>3.6676962822866033E-2</v>
      </c>
      <c r="F54" s="212">
        <f t="shared" si="24"/>
        <v>2.505214624591301E-2</v>
      </c>
      <c r="G54" s="212">
        <f t="shared" si="24"/>
        <v>2.0468550203524671E-2</v>
      </c>
      <c r="H54" s="212">
        <f t="shared" si="24"/>
        <v>0.10081550050989496</v>
      </c>
      <c r="I54" s="212">
        <f t="shared" si="24"/>
        <v>0.16139812828344313</v>
      </c>
      <c r="J54" s="212">
        <f t="shared" si="24"/>
        <v>7.1568956591492761E-2</v>
      </c>
      <c r="K54" s="385"/>
      <c r="L54" s="212">
        <f>L3/J3 - 1</f>
        <v>-2.5570461671625244E-2</v>
      </c>
      <c r="M54" s="212">
        <f t="shared" ref="M54:Q57" si="25">M3/L3 - 1</f>
        <v>1.274687719966483E-2</v>
      </c>
      <c r="N54" s="212">
        <f t="shared" si="25"/>
        <v>3.0846074844886218E-2</v>
      </c>
      <c r="O54" s="212">
        <f t="shared" si="25"/>
        <v>3.4340362252480494E-2</v>
      </c>
      <c r="P54" s="212">
        <f t="shared" si="25"/>
        <v>3.4415558781039968E-2</v>
      </c>
      <c r="Q54" s="212">
        <f t="shared" si="25"/>
        <v>3.3266415597732246E-2</v>
      </c>
    </row>
    <row r="55" spans="2:18" ht="16" customHeight="1">
      <c r="B55" s="215" t="s">
        <v>1</v>
      </c>
      <c r="C55" s="211"/>
      <c r="D55" s="212">
        <f t="shared" ref="D55:J55" si="26">D4/C4 - 1</f>
        <v>-4.9311555499149784E-2</v>
      </c>
      <c r="E55" s="212">
        <f t="shared" si="26"/>
        <v>3.8347803598477892E-2</v>
      </c>
      <c r="F55" s="212">
        <f t="shared" si="26"/>
        <v>3.5113612211747247E-2</v>
      </c>
      <c r="G55" s="212">
        <f t="shared" si="26"/>
        <v>1.9404304622558266E-2</v>
      </c>
      <c r="H55" s="212">
        <f t="shared" si="26"/>
        <v>0.10661893468511496</v>
      </c>
      <c r="I55" s="212">
        <f t="shared" si="26"/>
        <v>0.20268594373985693</v>
      </c>
      <c r="J55" s="212">
        <f t="shared" si="26"/>
        <v>4.166314078738842E-2</v>
      </c>
      <c r="K55" s="385"/>
      <c r="L55" s="212">
        <f t="shared" ref="L55:L65" si="27">L4/J4 - 1</f>
        <v>-2.974653228641444E-2</v>
      </c>
      <c r="M55" s="212">
        <f t="shared" si="25"/>
        <v>3.5400874069404509E-3</v>
      </c>
      <c r="N55" s="212">
        <f t="shared" si="25"/>
        <v>3.0846074844886218E-2</v>
      </c>
      <c r="O55" s="212">
        <f t="shared" si="25"/>
        <v>2.485100113089822E-2</v>
      </c>
      <c r="P55" s="212">
        <f t="shared" si="25"/>
        <v>3.4415558781039968E-2</v>
      </c>
      <c r="Q55" s="212">
        <f t="shared" si="25"/>
        <v>3.3266415597732246E-2</v>
      </c>
    </row>
    <row r="56" spans="2:18" ht="16" customHeight="1">
      <c r="B56" s="215" t="s">
        <v>2</v>
      </c>
      <c r="C56" s="211"/>
      <c r="D56" s="212">
        <f t="shared" ref="D56:J56" si="28">D5/C5 - 1</f>
        <v>9.0182515501465721E-2</v>
      </c>
      <c r="E56" s="212">
        <f t="shared" si="28"/>
        <v>3.4713733035131256E-2</v>
      </c>
      <c r="F56" s="212">
        <f t="shared" si="28"/>
        <v>1.3188451399523071E-2</v>
      </c>
      <c r="G56" s="212">
        <f t="shared" si="28"/>
        <v>2.1750580679855025E-2</v>
      </c>
      <c r="H56" s="212">
        <f t="shared" si="28"/>
        <v>9.3840517941279122E-2</v>
      </c>
      <c r="I56" s="212">
        <f t="shared" si="28"/>
        <v>0.11119577690845084</v>
      </c>
      <c r="J56" s="212">
        <f t="shared" si="28"/>
        <v>0.11092572772426323</v>
      </c>
      <c r="K56" s="385"/>
      <c r="L56" s="212">
        <f t="shared" si="27"/>
        <v>-2.0417298275887119E-2</v>
      </c>
      <c r="M56" s="212">
        <f t="shared" si="25"/>
        <v>2.3999620279661071E-2</v>
      </c>
      <c r="N56" s="212">
        <f t="shared" si="25"/>
        <v>3.084607484488644E-2</v>
      </c>
      <c r="O56" s="212">
        <f t="shared" si="25"/>
        <v>4.5706739859650458E-2</v>
      </c>
      <c r="P56" s="212">
        <f t="shared" si="25"/>
        <v>3.4415558781039968E-2</v>
      </c>
      <c r="Q56" s="212">
        <f t="shared" si="25"/>
        <v>3.3266415597732246E-2</v>
      </c>
    </row>
    <row r="57" spans="2:18" ht="16" customHeight="1">
      <c r="B57" s="215" t="s">
        <v>3</v>
      </c>
      <c r="C57" s="211"/>
      <c r="D57" s="212">
        <f t="shared" ref="D57:J57" si="29">D6/C6 - 1</f>
        <v>-3.0735391700439374E-3</v>
      </c>
      <c r="E57" s="212">
        <f t="shared" si="29"/>
        <v>-5.6552878505981008E-3</v>
      </c>
      <c r="F57" s="212">
        <f t="shared" si="29"/>
        <v>1.6588179508637779E-2</v>
      </c>
      <c r="G57" s="212">
        <f t="shared" si="29"/>
        <v>-7.8722764594063577E-3</v>
      </c>
      <c r="H57" s="212">
        <f t="shared" si="29"/>
        <v>5.8397874056347998E-2</v>
      </c>
      <c r="I57" s="212">
        <f t="shared" si="29"/>
        <v>0.11724979776161204</v>
      </c>
      <c r="J57" s="212">
        <f t="shared" si="29"/>
        <v>8.966824373247162E-2</v>
      </c>
      <c r="K57" s="385"/>
      <c r="L57" s="212">
        <f t="shared" si="27"/>
        <v>-2.6586178251826076E-2</v>
      </c>
      <c r="M57" s="212">
        <f t="shared" si="25"/>
        <v>-1.1900064315234493E-3</v>
      </c>
      <c r="N57" s="212">
        <f t="shared" si="25"/>
        <v>6.8729103136100367E-3</v>
      </c>
      <c r="O57" s="212">
        <f t="shared" si="25"/>
        <v>9.7132107702784243E-3</v>
      </c>
      <c r="P57" s="212">
        <f t="shared" si="25"/>
        <v>3.4415558781039968E-2</v>
      </c>
      <c r="Q57" s="212">
        <f t="shared" si="25"/>
        <v>3.3266415597732468E-2</v>
      </c>
    </row>
    <row r="58" spans="2:18" ht="16" customHeight="1">
      <c r="B58" s="215" t="s">
        <v>57</v>
      </c>
      <c r="C58" s="211"/>
      <c r="D58" s="212">
        <f>D7/C7 - 1</f>
        <v>48.646051379638436</v>
      </c>
      <c r="E58" s="212">
        <f>E7/D7 - 1</f>
        <v>-0.72340354172256505</v>
      </c>
      <c r="F58" s="212">
        <f>F7/E7 - 1</f>
        <v>0.9485007535207608</v>
      </c>
      <c r="G58" s="212">
        <f>G7/F7 - 1</f>
        <v>-0.91871805129572837</v>
      </c>
      <c r="H58" s="212">
        <f>H7/G7 - 1</f>
        <v>-1</v>
      </c>
      <c r="I58" s="212"/>
      <c r="J58" s="212"/>
      <c r="K58" s="385"/>
      <c r="L58" s="212"/>
      <c r="M58" s="212"/>
      <c r="N58" s="212"/>
      <c r="O58" s="212"/>
      <c r="P58" s="212"/>
      <c r="Q58" s="212"/>
    </row>
    <row r="59" spans="2:18" ht="16" customHeight="1">
      <c r="B59" s="215" t="s">
        <v>4</v>
      </c>
      <c r="C59" s="211"/>
      <c r="D59" s="212">
        <f t="shared" ref="D59:J59" si="30">D8/C8 - 1</f>
        <v>1.5329055523147903</v>
      </c>
      <c r="E59" s="212">
        <f t="shared" si="30"/>
        <v>-0.60004606075832756</v>
      </c>
      <c r="F59" s="212">
        <f t="shared" si="30"/>
        <v>-0.57535465633670102</v>
      </c>
      <c r="G59" s="212">
        <f t="shared" si="30"/>
        <v>1.2809418145956606</v>
      </c>
      <c r="H59" s="212">
        <f t="shared" si="30"/>
        <v>-0.80949035291574334</v>
      </c>
      <c r="I59" s="212">
        <f t="shared" si="30"/>
        <v>-0.43574468085106388</v>
      </c>
      <c r="J59" s="212">
        <f t="shared" si="30"/>
        <v>-0.77828054298642535</v>
      </c>
      <c r="K59" s="385"/>
      <c r="L59" s="212">
        <f>L8/J8 - 1</f>
        <v>23.670063492063488</v>
      </c>
      <c r="M59" s="212">
        <f t="shared" ref="M59:M65" si="31">M8/L8 - 1</f>
        <v>1.274687719966483E-2</v>
      </c>
      <c r="N59" s="212">
        <f t="shared" ref="N59:N65" si="32">N8/M8 - 1</f>
        <v>3.0846074844886218E-2</v>
      </c>
      <c r="O59" s="212">
        <f t="shared" ref="O59:O65" si="33">O8/N8 - 1</f>
        <v>-0.89656596377475195</v>
      </c>
      <c r="P59" s="212">
        <f t="shared" ref="P59:P65" si="34">P8/O8 - 1</f>
        <v>3.4415558781039968E-2</v>
      </c>
      <c r="Q59" s="212">
        <f t="shared" ref="Q59:Q65" si="35">Q8/P8 - 1</f>
        <v>3.3266415597732246E-2</v>
      </c>
    </row>
    <row r="60" spans="2:18" ht="16" customHeight="1">
      <c r="B60" s="223" t="s">
        <v>5</v>
      </c>
      <c r="C60" s="211"/>
      <c r="D60" s="212">
        <f t="shared" ref="D60:J60" si="36">D9/C9 - 1</f>
        <v>4.6396791517981928E-2</v>
      </c>
      <c r="E60" s="212">
        <f t="shared" si="36"/>
        <v>0.23622116187722186</v>
      </c>
      <c r="F60" s="212">
        <f t="shared" si="36"/>
        <v>-1.7067570630376783E-2</v>
      </c>
      <c r="G60" s="212">
        <f t="shared" si="36"/>
        <v>0.11701229109647415</v>
      </c>
      <c r="H60" s="212">
        <f t="shared" si="36"/>
        <v>0.14642076223791123</v>
      </c>
      <c r="I60" s="212">
        <f t="shared" si="36"/>
        <v>0.10621062943003001</v>
      </c>
      <c r="J60" s="212">
        <f t="shared" si="36"/>
        <v>0.13273253959793641</v>
      </c>
      <c r="K60" s="385"/>
      <c r="L60" s="212">
        <f t="shared" si="27"/>
        <v>-1.8627660866417983E-2</v>
      </c>
      <c r="M60" s="212">
        <f t="shared" si="31"/>
        <v>4.7820362124328719E-2</v>
      </c>
      <c r="N60" s="212">
        <f t="shared" si="32"/>
        <v>5.2411892310260555E-2</v>
      </c>
      <c r="O60" s="212">
        <f t="shared" si="33"/>
        <v>8.0546550566218178E-2</v>
      </c>
      <c r="P60" s="212">
        <f t="shared" si="34"/>
        <v>3.441555878104019E-2</v>
      </c>
      <c r="Q60" s="212">
        <f t="shared" si="35"/>
        <v>3.3266415597732024E-2</v>
      </c>
    </row>
    <row r="61" spans="2:18" ht="16" customHeight="1">
      <c r="B61" s="215" t="s">
        <v>6</v>
      </c>
      <c r="C61" s="211"/>
      <c r="D61" s="212">
        <f t="shared" ref="D61:J61" si="37">D10/C10 - 1</f>
        <v>9.0289872757729484E-2</v>
      </c>
      <c r="E61" s="212">
        <f t="shared" si="37"/>
        <v>0.41263914043263261</v>
      </c>
      <c r="F61" s="212">
        <f t="shared" si="37"/>
        <v>3.8087829613143498E-2</v>
      </c>
      <c r="G61" s="212">
        <f t="shared" si="37"/>
        <v>3.641977450130085E-2</v>
      </c>
      <c r="H61" s="212">
        <f t="shared" si="37"/>
        <v>-0.14699345267583386</v>
      </c>
      <c r="I61" s="212">
        <f t="shared" si="37"/>
        <v>7.9581217576932373E-2</v>
      </c>
      <c r="J61" s="212">
        <f t="shared" si="37"/>
        <v>0.10343348575499611</v>
      </c>
      <c r="K61" s="385"/>
      <c r="L61" s="212">
        <f t="shared" si="27"/>
        <v>7.329520502104514E-2</v>
      </c>
      <c r="M61" s="212">
        <f t="shared" si="31"/>
        <v>0.16022010923688823</v>
      </c>
      <c r="N61" s="212">
        <f t="shared" si="32"/>
        <v>4.0579859406886465E-2</v>
      </c>
      <c r="O61" s="212">
        <f t="shared" si="33"/>
        <v>-9.667760654955726E-2</v>
      </c>
      <c r="P61" s="212">
        <f t="shared" si="34"/>
        <v>1.8674434627208525E-2</v>
      </c>
      <c r="Q61" s="212">
        <f t="shared" si="35"/>
        <v>1.2308850330361887E-2</v>
      </c>
    </row>
    <row r="62" spans="2:18" ht="16" customHeight="1">
      <c r="B62" s="215" t="s">
        <v>7</v>
      </c>
      <c r="C62" s="211"/>
      <c r="D62" s="212">
        <f t="shared" ref="D62:J62" si="38">D11/C11 - 1</f>
        <v>0.59360173305466146</v>
      </c>
      <c r="E62" s="212">
        <f t="shared" si="38"/>
        <v>-0.28425506658114663</v>
      </c>
      <c r="F62" s="212">
        <f t="shared" si="38"/>
        <v>-4.9795361527967263E-2</v>
      </c>
      <c r="G62" s="212">
        <f t="shared" si="38"/>
        <v>0.94708838309193033</v>
      </c>
      <c r="H62" s="212">
        <f t="shared" si="38"/>
        <v>-0.13913408083743595</v>
      </c>
      <c r="I62" s="212">
        <f t="shared" si="38"/>
        <v>0.73125015745584943</v>
      </c>
      <c r="J62" s="212">
        <f t="shared" si="38"/>
        <v>0.15065556196915963</v>
      </c>
      <c r="K62" s="385"/>
      <c r="L62" s="212">
        <f t="shared" si="27"/>
        <v>0</v>
      </c>
      <c r="M62" s="212">
        <f t="shared" si="31"/>
        <v>0</v>
      </c>
      <c r="N62" s="212">
        <f t="shared" si="32"/>
        <v>0</v>
      </c>
      <c r="O62" s="212">
        <f t="shared" si="33"/>
        <v>0</v>
      </c>
      <c r="P62" s="212">
        <f t="shared" si="34"/>
        <v>0</v>
      </c>
      <c r="Q62" s="212">
        <f t="shared" si="35"/>
        <v>0</v>
      </c>
    </row>
    <row r="63" spans="2:18" ht="16" customHeight="1">
      <c r="B63" s="215" t="s">
        <v>8</v>
      </c>
      <c r="C63" s="211"/>
      <c r="D63" s="212">
        <f t="shared" ref="D63:J63" si="39">D12/C12 - 1</f>
        <v>1.0174800655945893E-2</v>
      </c>
      <c r="E63" s="212">
        <f t="shared" si="39"/>
        <v>0.26956120100696168</v>
      </c>
      <c r="F63" s="212">
        <f t="shared" si="39"/>
        <v>-2.0762931532749329E-2</v>
      </c>
      <c r="G63" s="212">
        <f t="shared" si="39"/>
        <v>8.2716051170929061E-2</v>
      </c>
      <c r="H63" s="212">
        <f t="shared" si="39"/>
        <v>0.20215893409819552</v>
      </c>
      <c r="I63" s="212">
        <f t="shared" si="39"/>
        <v>6.6684508998321901E-2</v>
      </c>
      <c r="J63" s="212">
        <f t="shared" si="39"/>
        <v>0.13290744056949388</v>
      </c>
      <c r="K63" s="385"/>
      <c r="L63" s="212">
        <f t="shared" si="27"/>
        <v>-2.7086444958855815E-2</v>
      </c>
      <c r="M63" s="212">
        <f t="shared" si="31"/>
        <v>4.4523113495922084E-2</v>
      </c>
      <c r="N63" s="212">
        <f t="shared" si="32"/>
        <v>5.9058322837710842E-2</v>
      </c>
      <c r="O63" s="212">
        <f t="shared" si="33"/>
        <v>0.10363304359816139</v>
      </c>
      <c r="P63" s="212">
        <f t="shared" si="34"/>
        <v>3.8664370547914606E-2</v>
      </c>
      <c r="Q63" s="212">
        <f t="shared" si="35"/>
        <v>3.7627167742710466E-2</v>
      </c>
    </row>
    <row r="64" spans="2:18" ht="16" customHeight="1">
      <c r="B64" s="215" t="s">
        <v>9</v>
      </c>
      <c r="C64" s="211"/>
      <c r="D64" s="212">
        <f t="shared" ref="D64:J64" si="40">D13/C13 - 1</f>
        <v>-6.6693548599635721E-2</v>
      </c>
      <c r="E64" s="212">
        <f t="shared" si="40"/>
        <v>-0.32508026690687908</v>
      </c>
      <c r="F64" s="212">
        <f t="shared" si="40"/>
        <v>-2.0827580435964999E-2</v>
      </c>
      <c r="G64" s="212">
        <f t="shared" si="40"/>
        <v>-6.1735147330279627E-2</v>
      </c>
      <c r="H64" s="212">
        <f t="shared" si="40"/>
        <v>0.43182107986009899</v>
      </c>
      <c r="I64" s="212">
        <f t="shared" si="40"/>
        <v>-0.13406593406593403</v>
      </c>
      <c r="J64" s="212">
        <f t="shared" si="40"/>
        <v>0.13892541523724167</v>
      </c>
      <c r="K64" s="385"/>
      <c r="L64" s="212">
        <f t="shared" si="27"/>
        <v>-2.5519024891427655E-2</v>
      </c>
      <c r="M64" s="212">
        <f t="shared" si="31"/>
        <v>4.4523113495922084E-2</v>
      </c>
      <c r="N64" s="212">
        <f t="shared" si="32"/>
        <v>5.9058322837710842E-2</v>
      </c>
      <c r="O64" s="212">
        <f t="shared" si="33"/>
        <v>0.10363304359816139</v>
      </c>
      <c r="P64" s="212">
        <f t="shared" si="34"/>
        <v>3.8664370547914606E-2</v>
      </c>
      <c r="Q64" s="212">
        <f t="shared" si="35"/>
        <v>3.7627167742710688E-2</v>
      </c>
    </row>
    <row r="65" spans="2:17" ht="16" customHeight="1">
      <c r="B65" s="215" t="s">
        <v>10</v>
      </c>
      <c r="C65" s="211"/>
      <c r="D65" s="212">
        <f t="shared" ref="D65:J65" si="41">D14/C14 - 1</f>
        <v>5.0681625011804732E-2</v>
      </c>
      <c r="E65" s="212">
        <f t="shared" si="41"/>
        <v>0.54790975193546387</v>
      </c>
      <c r="F65" s="212">
        <f t="shared" si="41"/>
        <v>-2.0749736774914207E-2</v>
      </c>
      <c r="G65" s="212">
        <f t="shared" si="41"/>
        <v>0.11219601099453058</v>
      </c>
      <c r="H65" s="212">
        <f t="shared" si="41"/>
        <v>0.16261869684564911</v>
      </c>
      <c r="I65" s="212">
        <f t="shared" si="41"/>
        <v>0.10925001635398512</v>
      </c>
      <c r="J65" s="212">
        <f t="shared" si="41"/>
        <v>0.13191133116936404</v>
      </c>
      <c r="K65" s="385"/>
      <c r="L65" s="212">
        <f t="shared" si="27"/>
        <v>-2.7347495719360571E-2</v>
      </c>
      <c r="M65" s="212">
        <f t="shared" si="31"/>
        <v>4.4523113495922084E-2</v>
      </c>
      <c r="N65" s="212">
        <f t="shared" si="32"/>
        <v>5.9058322837710842E-2</v>
      </c>
      <c r="O65" s="212">
        <f t="shared" si="33"/>
        <v>0.10363304359816139</v>
      </c>
      <c r="P65" s="212">
        <f t="shared" si="34"/>
        <v>3.8664370547914606E-2</v>
      </c>
      <c r="Q65" s="212">
        <f t="shared" si="35"/>
        <v>3.7627167742710466E-2</v>
      </c>
    </row>
    <row r="66" spans="2:17" ht="16" customHeight="1">
      <c r="B66" s="215" t="s">
        <v>11</v>
      </c>
      <c r="C66" s="211"/>
      <c r="D66" s="212"/>
      <c r="E66" s="212">
        <f>E15/D15 - 1</f>
        <v>-0.75378157616094388</v>
      </c>
      <c r="F66" s="212">
        <f>F15/E15 - 1</f>
        <v>-0.54845645830133627</v>
      </c>
      <c r="G66" s="212">
        <f>G15/F15 - 1</f>
        <v>0.12074829931972797</v>
      </c>
      <c r="H66" s="212">
        <f>H15/G15 - 1</f>
        <v>-2.6106221547799695</v>
      </c>
      <c r="I66" s="212">
        <f>I15/H15 - 1</f>
        <v>-1</v>
      </c>
      <c r="J66" s="212"/>
      <c r="K66" s="385"/>
      <c r="L66" s="212"/>
      <c r="M66" s="212"/>
      <c r="N66" s="212"/>
      <c r="O66" s="212"/>
      <c r="P66" s="212"/>
      <c r="Q66" s="212"/>
    </row>
    <row r="67" spans="2:17" ht="16" customHeight="1">
      <c r="B67" s="215" t="s">
        <v>12</v>
      </c>
      <c r="C67" s="211"/>
      <c r="D67" s="212">
        <f t="shared" ref="D67:J67" si="42">D16/C16 - 1</f>
        <v>8.7407158451427991E-2</v>
      </c>
      <c r="E67" s="212">
        <f t="shared" si="42"/>
        <v>0.50394709450165465</v>
      </c>
      <c r="F67" s="212">
        <f t="shared" si="42"/>
        <v>-2.3667543619783959E-2</v>
      </c>
      <c r="G67" s="212">
        <f t="shared" si="42"/>
        <v>0.11221788096290131</v>
      </c>
      <c r="H67" s="212">
        <f t="shared" si="42"/>
        <v>0.15547255511031444</v>
      </c>
      <c r="I67" s="212">
        <f t="shared" si="42"/>
        <v>0.11323427491621052</v>
      </c>
      <c r="J67" s="212">
        <f t="shared" si="42"/>
        <v>0.13191133116936404</v>
      </c>
      <c r="K67" s="385"/>
      <c r="L67" s="212">
        <f>L16/J16 - 1</f>
        <v>-2.7347495719360571E-2</v>
      </c>
      <c r="M67" s="212">
        <f>M16/L16 - 1</f>
        <v>4.4523113495922084E-2</v>
      </c>
      <c r="N67" s="212">
        <f>N16/M16 - 1</f>
        <v>5.9058322837710842E-2</v>
      </c>
      <c r="O67" s="212">
        <f>O16/N16 - 1</f>
        <v>0.10363304359816139</v>
      </c>
      <c r="P67" s="212">
        <f>P16/O16 - 1</f>
        <v>3.8664370547914606E-2</v>
      </c>
      <c r="Q67" s="212">
        <f>Q16/P16 - 1</f>
        <v>3.7627167742710466E-2</v>
      </c>
    </row>
    <row r="68" spans="2:17" ht="16" customHeight="1">
      <c r="K68" s="385"/>
    </row>
    <row r="69" spans="2:17" ht="16" customHeight="1">
      <c r="B69" s="391" t="s">
        <v>384</v>
      </c>
      <c r="K69" s="385"/>
    </row>
    <row r="70" spans="2:17" ht="16" customHeight="1">
      <c r="B70" s="215"/>
      <c r="K70" s="385"/>
    </row>
    <row r="71" spans="2:17" ht="16" customHeight="1">
      <c r="B71" s="215" t="s">
        <v>0</v>
      </c>
      <c r="C71" s="212">
        <f>C3/C$3</f>
        <v>1</v>
      </c>
      <c r="D71" s="212">
        <f>D3/D$3</f>
        <v>1</v>
      </c>
      <c r="E71" s="212">
        <f t="shared" ref="E71:Q71" si="43">E3/E$3</f>
        <v>1</v>
      </c>
      <c r="F71" s="212">
        <f t="shared" si="43"/>
        <v>1</v>
      </c>
      <c r="G71" s="212">
        <f t="shared" si="43"/>
        <v>1</v>
      </c>
      <c r="H71" s="212">
        <f t="shared" si="43"/>
        <v>1</v>
      </c>
      <c r="I71" s="212">
        <f t="shared" si="43"/>
        <v>1</v>
      </c>
      <c r="J71" s="212">
        <f t="shared" si="43"/>
        <v>1</v>
      </c>
      <c r="K71" s="397">
        <f t="shared" si="43"/>
        <v>1</v>
      </c>
      <c r="L71" s="212">
        <f t="shared" si="43"/>
        <v>1</v>
      </c>
      <c r="M71" s="212">
        <f t="shared" si="43"/>
        <v>1</v>
      </c>
      <c r="N71" s="212">
        <f t="shared" si="43"/>
        <v>1</v>
      </c>
      <c r="O71" s="212">
        <f t="shared" si="43"/>
        <v>1</v>
      </c>
      <c r="P71" s="212">
        <f t="shared" si="43"/>
        <v>1</v>
      </c>
      <c r="Q71" s="212">
        <f t="shared" si="43"/>
        <v>1</v>
      </c>
    </row>
    <row r="72" spans="2:17" ht="16" customHeight="1">
      <c r="B72" s="215" t="s">
        <v>1</v>
      </c>
      <c r="C72" s="212">
        <f t="shared" ref="C72" si="44">C4/C$3</f>
        <v>0.57399705732965367</v>
      </c>
      <c r="D72" s="212">
        <f t="shared" ref="D72:Q84" si="45">D4/D$3</f>
        <v>0.54022885728633352</v>
      </c>
      <c r="E72" s="212">
        <f t="shared" si="45"/>
        <v>0.54109955899504936</v>
      </c>
      <c r="F72" s="212">
        <f t="shared" si="45"/>
        <v>0.54641075688570806</v>
      </c>
      <c r="G72" s="212">
        <f t="shared" si="45"/>
        <v>0.5458409056803063</v>
      </c>
      <c r="H72" s="212">
        <f t="shared" si="45"/>
        <v>0.54871854663357311</v>
      </c>
      <c r="I72" s="212">
        <f t="shared" si="45"/>
        <v>0.56822554388042035</v>
      </c>
      <c r="J72" s="212">
        <f t="shared" si="45"/>
        <v>0.55236725651034946</v>
      </c>
      <c r="K72" s="397">
        <f t="shared" si="45"/>
        <v>0.52886838542138892</v>
      </c>
      <c r="L72" s="212">
        <f t="shared" si="45"/>
        <v>0.55000000000000004</v>
      </c>
      <c r="M72" s="212">
        <f t="shared" si="45"/>
        <v>0.54500000000000004</v>
      </c>
      <c r="N72" s="212">
        <f t="shared" si="45"/>
        <v>0.54500000000000004</v>
      </c>
      <c r="O72" s="212">
        <f t="shared" si="45"/>
        <v>0.54</v>
      </c>
      <c r="P72" s="212">
        <f t="shared" si="45"/>
        <v>0.54</v>
      </c>
      <c r="Q72" s="212">
        <f t="shared" si="45"/>
        <v>0.54</v>
      </c>
    </row>
    <row r="73" spans="2:17" ht="16" customHeight="1">
      <c r="B73" s="215" t="s">
        <v>2</v>
      </c>
      <c r="C73" s="212">
        <f t="shared" ref="C73" si="46">C5/C$3</f>
        <v>0.42600294267034633</v>
      </c>
      <c r="D73" s="212">
        <f t="shared" si="45"/>
        <v>0.45977114271366654</v>
      </c>
      <c r="E73" s="212">
        <f t="shared" si="45"/>
        <v>0.45890044100495064</v>
      </c>
      <c r="F73" s="212">
        <f t="shared" si="45"/>
        <v>0.45358924311429188</v>
      </c>
      <c r="G73" s="212">
        <f t="shared" si="45"/>
        <v>0.4541590943196937</v>
      </c>
      <c r="H73" s="212">
        <f t="shared" si="45"/>
        <v>0.45128145336642689</v>
      </c>
      <c r="I73" s="212">
        <f t="shared" si="45"/>
        <v>0.43177445611957971</v>
      </c>
      <c r="J73" s="212">
        <f t="shared" si="45"/>
        <v>0.44763274348965049</v>
      </c>
      <c r="K73" s="397">
        <f t="shared" si="45"/>
        <v>0.47113161457861114</v>
      </c>
      <c r="L73" s="212">
        <f t="shared" si="45"/>
        <v>0.44999999999999996</v>
      </c>
      <c r="M73" s="212">
        <f t="shared" si="45"/>
        <v>0.45499999999999996</v>
      </c>
      <c r="N73" s="212">
        <f t="shared" si="45"/>
        <v>0.45500000000000002</v>
      </c>
      <c r="O73" s="212">
        <f t="shared" si="45"/>
        <v>0.45999999999999996</v>
      </c>
      <c r="P73" s="212">
        <f t="shared" si="45"/>
        <v>0.45999999999999996</v>
      </c>
      <c r="Q73" s="212">
        <f t="shared" si="45"/>
        <v>0.45999999999999996</v>
      </c>
    </row>
    <row r="74" spans="2:17" ht="16" customHeight="1">
      <c r="B74" s="215" t="s">
        <v>3</v>
      </c>
      <c r="C74" s="212">
        <f t="shared" ref="C74" si="47">C6/C$3</f>
        <v>0.25420147708772139</v>
      </c>
      <c r="D74" s="212">
        <f t="shared" si="45"/>
        <v>0.25088291734893003</v>
      </c>
      <c r="E74" s="212">
        <f t="shared" si="45"/>
        <v>0.24063822307311103</v>
      </c>
      <c r="F74" s="212">
        <f t="shared" si="45"/>
        <v>0.23865124716825864</v>
      </c>
      <c r="G74" s="212">
        <f t="shared" si="45"/>
        <v>0.23202333724635169</v>
      </c>
      <c r="H74" s="212">
        <f t="shared" si="45"/>
        <v>0.22308280248529289</v>
      </c>
      <c r="I74" s="212">
        <f t="shared" si="45"/>
        <v>0.21460273603950517</v>
      </c>
      <c r="J74" s="212">
        <f t="shared" si="45"/>
        <v>0.21822747387548508</v>
      </c>
      <c r="K74" s="397">
        <f t="shared" si="45"/>
        <v>0.21755550587369155</v>
      </c>
      <c r="L74" s="212">
        <f t="shared" si="45"/>
        <v>0.21800000000000003</v>
      </c>
      <c r="M74" s="212">
        <f t="shared" si="45"/>
        <v>0.215</v>
      </c>
      <c r="N74" s="212">
        <f t="shared" si="45"/>
        <v>0.21000000000000002</v>
      </c>
      <c r="O74" s="212">
        <f t="shared" si="45"/>
        <v>0.20499999999999999</v>
      </c>
      <c r="P74" s="212">
        <f t="shared" si="45"/>
        <v>0.20499999999999996</v>
      </c>
      <c r="Q74" s="212">
        <f t="shared" si="45"/>
        <v>0.20499999999999999</v>
      </c>
    </row>
    <row r="75" spans="2:17" ht="16" customHeight="1">
      <c r="B75" s="215" t="s">
        <v>57</v>
      </c>
      <c r="C75" s="212">
        <f t="shared" ref="C75" si="48">C7/C$3</f>
        <v>5.6504001717162528E-4</v>
      </c>
      <c r="D75" s="212">
        <f t="shared" si="45"/>
        <v>2.7771146971575528E-2</v>
      </c>
      <c r="E75" s="212">
        <f t="shared" si="45"/>
        <v>7.4096378815281961E-3</v>
      </c>
      <c r="F75" s="212">
        <f t="shared" si="45"/>
        <v>1.408482977997689E-2</v>
      </c>
      <c r="G75" s="212">
        <f t="shared" si="45"/>
        <v>1.121879171539534E-3</v>
      </c>
      <c r="H75" s="212">
        <f t="shared" si="45"/>
        <v>0</v>
      </c>
      <c r="I75" s="212">
        <f t="shared" si="45"/>
        <v>0</v>
      </c>
      <c r="J75" s="212">
        <f t="shared" si="45"/>
        <v>0</v>
      </c>
      <c r="K75" s="397">
        <f t="shared" si="45"/>
        <v>0</v>
      </c>
      <c r="L75" s="212">
        <f t="shared" si="45"/>
        <v>0</v>
      </c>
      <c r="M75" s="212">
        <f t="shared" si="45"/>
        <v>0</v>
      </c>
      <c r="N75" s="212">
        <f t="shared" si="45"/>
        <v>0</v>
      </c>
      <c r="O75" s="212">
        <f t="shared" si="45"/>
        <v>0</v>
      </c>
      <c r="P75" s="212">
        <f t="shared" si="45"/>
        <v>0</v>
      </c>
      <c r="Q75" s="212">
        <f t="shared" si="45"/>
        <v>0</v>
      </c>
    </row>
    <row r="76" spans="2:17" ht="16" customHeight="1">
      <c r="B76" s="215" t="s">
        <v>4</v>
      </c>
      <c r="C76" s="212">
        <f t="shared" ref="C76" si="49">C8/C$3</f>
        <v>2.5344813519993666E-3</v>
      </c>
      <c r="D76" s="212">
        <f t="shared" si="45"/>
        <v>6.3553283606278604E-3</v>
      </c>
      <c r="E76" s="212">
        <f t="shared" si="45"/>
        <v>2.4519100010537706E-3</v>
      </c>
      <c r="F76" s="212">
        <f t="shared" si="45"/>
        <v>1.0157455587426994E-3</v>
      </c>
      <c r="G76" s="212">
        <f t="shared" si="45"/>
        <v>2.2703850279991249E-3</v>
      </c>
      <c r="H76" s="212">
        <f t="shared" si="45"/>
        <v>3.9291802325561951E-4</v>
      </c>
      <c r="I76" s="212">
        <f t="shared" si="45"/>
        <v>1.9089585148475511E-4</v>
      </c>
      <c r="J76" s="212">
        <f t="shared" si="45"/>
        <v>3.949846090350983E-5</v>
      </c>
      <c r="K76" s="397">
        <f t="shared" si="45"/>
        <v>9.2674822126099707E-4</v>
      </c>
      <c r="L76" s="212">
        <f t="shared" si="45"/>
        <v>1E-3</v>
      </c>
      <c r="M76" s="212">
        <f t="shared" si="45"/>
        <v>1E-3</v>
      </c>
      <c r="N76" s="212">
        <f t="shared" si="45"/>
        <v>1E-3</v>
      </c>
      <c r="O76" s="212">
        <f t="shared" si="45"/>
        <v>1E-4</v>
      </c>
      <c r="P76" s="212">
        <f t="shared" si="45"/>
        <v>9.9999999999999991E-5</v>
      </c>
      <c r="Q76" s="212">
        <f t="shared" si="45"/>
        <v>9.9999999999999991E-5</v>
      </c>
    </row>
    <row r="77" spans="2:17" ht="16" customHeight="1">
      <c r="B77" s="223" t="s">
        <v>5</v>
      </c>
      <c r="C77" s="212">
        <f t="shared" ref="C77" si="50">C9/C$3</f>
        <v>0.16870194421345394</v>
      </c>
      <c r="D77" s="212">
        <f t="shared" si="45"/>
        <v>0.17476175003253308</v>
      </c>
      <c r="E77" s="212">
        <f t="shared" si="45"/>
        <v>0.20840067004925769</v>
      </c>
      <c r="F77" s="212">
        <f t="shared" si="45"/>
        <v>0.19983742060731366</v>
      </c>
      <c r="G77" s="212">
        <f t="shared" si="45"/>
        <v>0.21874349287380337</v>
      </c>
      <c r="H77" s="212">
        <f t="shared" si="45"/>
        <v>0.22780573285787836</v>
      </c>
      <c r="I77" s="212">
        <f t="shared" si="45"/>
        <v>0.21698082422858977</v>
      </c>
      <c r="J77" s="212">
        <f t="shared" si="45"/>
        <v>0.2293657711532619</v>
      </c>
      <c r="K77" s="397">
        <f t="shared" si="45"/>
        <v>0.2526493604836586</v>
      </c>
      <c r="L77" s="212">
        <f t="shared" si="45"/>
        <v>0.23099999999999993</v>
      </c>
      <c r="M77" s="212">
        <f t="shared" si="45"/>
        <v>0.23899999999999999</v>
      </c>
      <c r="N77" s="212">
        <f t="shared" si="45"/>
        <v>0.24399999999999999</v>
      </c>
      <c r="O77" s="212">
        <f t="shared" si="45"/>
        <v>0.25489999999999996</v>
      </c>
      <c r="P77" s="212">
        <f t="shared" si="45"/>
        <v>0.25490000000000002</v>
      </c>
      <c r="Q77" s="212">
        <f t="shared" si="45"/>
        <v>0.25489999999999996</v>
      </c>
    </row>
    <row r="78" spans="2:17" ht="16" customHeight="1">
      <c r="B78" s="215" t="s">
        <v>6</v>
      </c>
      <c r="C78" s="212">
        <f t="shared" ref="C78" si="51">C10/C$3</f>
        <v>1.2115699873430499E-2</v>
      </c>
      <c r="D78" s="212">
        <f t="shared" si="45"/>
        <v>1.3077369133832201E-2</v>
      </c>
      <c r="E78" s="212">
        <f t="shared" si="45"/>
        <v>1.7820019306721582E-2</v>
      </c>
      <c r="F78" s="212">
        <f t="shared" si="45"/>
        <v>1.8046638147656748E-2</v>
      </c>
      <c r="G78" s="212">
        <f t="shared" si="45"/>
        <v>1.8328730107136208E-2</v>
      </c>
      <c r="H78" s="212">
        <f t="shared" si="45"/>
        <v>1.4202676813946461E-2</v>
      </c>
      <c r="I78" s="212">
        <f t="shared" si="45"/>
        <v>1.3202142102910236E-2</v>
      </c>
      <c r="J78" s="212">
        <f t="shared" si="45"/>
        <v>1.3594725370157004E-2</v>
      </c>
      <c r="K78" s="397">
        <f t="shared" si="45"/>
        <v>1.5241507357765171E-2</v>
      </c>
      <c r="L78" s="212">
        <f t="shared" si="45"/>
        <v>1.497404684426794E-2</v>
      </c>
      <c r="M78" s="212">
        <f t="shared" si="45"/>
        <v>1.7154523658876389E-2</v>
      </c>
      <c r="N78" s="212">
        <f t="shared" si="45"/>
        <v>1.7316505589674701E-2</v>
      </c>
      <c r="O78" s="212">
        <f t="shared" si="45"/>
        <v>1.5123056052263623E-2</v>
      </c>
      <c r="P78" s="212">
        <f t="shared" si="45"/>
        <v>1.4892922330005463E-2</v>
      </c>
      <c r="Q78" s="212">
        <f t="shared" si="45"/>
        <v>1.4590851743909419E-2</v>
      </c>
    </row>
    <row r="79" spans="2:17" ht="16" customHeight="1">
      <c r="B79" s="215" t="s">
        <v>7</v>
      </c>
      <c r="C79" s="212">
        <f t="shared" ref="C79" si="52">C11/C$3</f>
        <v>8.8101351297770851E-3</v>
      </c>
      <c r="D79" s="212">
        <f t="shared" si="45"/>
        <v>1.3899278630379701E-2</v>
      </c>
      <c r="E79" s="212">
        <f t="shared" si="45"/>
        <v>9.596372461853438E-3</v>
      </c>
      <c r="F79" s="212">
        <f t="shared" si="45"/>
        <v>8.8956621954829375E-3</v>
      </c>
      <c r="G79" s="212">
        <f t="shared" si="45"/>
        <v>1.6973223248556178E-2</v>
      </c>
      <c r="H79" s="212">
        <f t="shared" si="45"/>
        <v>1.32734953552631E-2</v>
      </c>
      <c r="I79" s="212">
        <f t="shared" si="45"/>
        <v>1.9786273426971156E-2</v>
      </c>
      <c r="J79" s="212">
        <f t="shared" si="45"/>
        <v>2.1246589339248965E-2</v>
      </c>
      <c r="K79" s="397">
        <f t="shared" si="45"/>
        <v>6.1183778658661005E-3</v>
      </c>
      <c r="L79" s="212">
        <f t="shared" si="45"/>
        <v>2.1804131036193036E-2</v>
      </c>
      <c r="M79" s="212">
        <f t="shared" si="45"/>
        <v>2.1529694662187848E-2</v>
      </c>
      <c r="N79" s="212">
        <f t="shared" si="45"/>
        <v>2.0885460193877606E-2</v>
      </c>
      <c r="O79" s="212">
        <f t="shared" si="45"/>
        <v>2.0192057620564464E-2</v>
      </c>
      <c r="P79" s="212">
        <f t="shared" si="45"/>
        <v>1.9520257066085584E-2</v>
      </c>
      <c r="Q79" s="212">
        <f t="shared" si="45"/>
        <v>1.889179476988357E-2</v>
      </c>
    </row>
    <row r="80" spans="2:17" ht="16" customHeight="1">
      <c r="B80" s="215" t="s">
        <v>8</v>
      </c>
      <c r="C80" s="212">
        <f t="shared" ref="C80" si="53">C12/C$3</f>
        <v>0.14777610921024636</v>
      </c>
      <c r="D80" s="212">
        <f t="shared" si="45"/>
        <v>0.14778510226832117</v>
      </c>
      <c r="E80" s="212">
        <f t="shared" si="45"/>
        <v>0.18098427828068267</v>
      </c>
      <c r="F80" s="212">
        <f t="shared" si="45"/>
        <v>0.17289512026417397</v>
      </c>
      <c r="G80" s="212">
        <f t="shared" si="45"/>
        <v>0.18344153951811099</v>
      </c>
      <c r="H80" s="212">
        <f t="shared" si="45"/>
        <v>0.20032956068866881</v>
      </c>
      <c r="I80" s="212">
        <f t="shared" si="45"/>
        <v>0.18399240869870837</v>
      </c>
      <c r="J80" s="212">
        <f t="shared" si="45"/>
        <v>0.19452445644385594</v>
      </c>
      <c r="K80" s="397">
        <f t="shared" si="45"/>
        <v>0.2312894752600273</v>
      </c>
      <c r="L80" s="212">
        <f t="shared" si="45"/>
        <v>0.19422182211953898</v>
      </c>
      <c r="M80" s="212">
        <f t="shared" si="45"/>
        <v>0.20031578167893574</v>
      </c>
      <c r="N80" s="212">
        <f t="shared" si="45"/>
        <v>0.20579803421644771</v>
      </c>
      <c r="O80" s="212">
        <f t="shared" si="45"/>
        <v>0.21958488632717191</v>
      </c>
      <c r="P80" s="212">
        <f t="shared" si="45"/>
        <v>0.22048682060390895</v>
      </c>
      <c r="Q80" s="212">
        <f t="shared" si="45"/>
        <v>0.22141735348620697</v>
      </c>
    </row>
    <row r="81" spans="2:17" ht="16" customHeight="1">
      <c r="B81" s="215" t="s">
        <v>9</v>
      </c>
      <c r="C81" s="212">
        <f t="shared" ref="C81" si="54">C13/C$3</f>
        <v>5.099835608838011E-2</v>
      </c>
      <c r="D81" s="212">
        <f t="shared" si="45"/>
        <v>4.7120549121234111E-2</v>
      </c>
      <c r="E81" s="212">
        <f t="shared" si="45"/>
        <v>3.0677433353497447E-2</v>
      </c>
      <c r="F81" s="212">
        <f t="shared" si="45"/>
        <v>2.9304359541872708E-2</v>
      </c>
      <c r="G81" s="212">
        <f t="shared" si="45"/>
        <v>2.6943751066754573E-2</v>
      </c>
      <c r="H81" s="212">
        <f t="shared" si="45"/>
        <v>3.5045501021754057E-2</v>
      </c>
      <c r="I81" s="212">
        <f t="shared" si="45"/>
        <v>2.6129793438979646E-2</v>
      </c>
      <c r="J81" s="212">
        <f t="shared" si="45"/>
        <v>2.7772254561400492E-2</v>
      </c>
      <c r="K81" s="397">
        <f t="shared" si="45"/>
        <v>4.7639213557367256E-2</v>
      </c>
      <c r="L81" s="212">
        <f t="shared" si="45"/>
        <v>2.7773720563094073E-2</v>
      </c>
      <c r="M81" s="212">
        <f t="shared" si="45"/>
        <v>2.8645156780087808E-2</v>
      </c>
      <c r="N81" s="212">
        <f t="shared" si="45"/>
        <v>2.9429118892952019E-2</v>
      </c>
      <c r="O81" s="212">
        <f t="shared" si="45"/>
        <v>3.1400638744785582E-2</v>
      </c>
      <c r="P81" s="212">
        <f t="shared" si="45"/>
        <v>3.1529615346358973E-2</v>
      </c>
      <c r="Q81" s="212">
        <f t="shared" si="45"/>
        <v>3.1662681548527596E-2</v>
      </c>
    </row>
    <row r="82" spans="2:17" ht="16" customHeight="1">
      <c r="B82" s="215" t="s">
        <v>10</v>
      </c>
      <c r="C82" s="212">
        <f t="shared" ref="C82" si="55">C14/C$3</f>
        <v>9.6777753121866261E-2</v>
      </c>
      <c r="D82" s="212">
        <f t="shared" si="45"/>
        <v>0.10066455314708707</v>
      </c>
      <c r="E82" s="212">
        <f t="shared" si="45"/>
        <v>0.15030684492718521</v>
      </c>
      <c r="F82" s="212">
        <f t="shared" si="45"/>
        <v>0.14359076072230129</v>
      </c>
      <c r="G82" s="212">
        <f t="shared" si="45"/>
        <v>0.15649778845135642</v>
      </c>
      <c r="H82" s="212">
        <f t="shared" si="45"/>
        <v>0.16528405966691476</v>
      </c>
      <c r="I82" s="212">
        <f t="shared" si="45"/>
        <v>0.15786261525972872</v>
      </c>
      <c r="J82" s="212">
        <f t="shared" si="45"/>
        <v>0.16675220188245546</v>
      </c>
      <c r="K82" s="397">
        <f t="shared" si="45"/>
        <v>0.18365026170266005</v>
      </c>
      <c r="L82" s="212">
        <f t="shared" si="45"/>
        <v>0.16644810155644491</v>
      </c>
      <c r="M82" s="212">
        <f t="shared" si="45"/>
        <v>0.17167062489884793</v>
      </c>
      <c r="N82" s="212">
        <f t="shared" si="45"/>
        <v>0.17636891532349569</v>
      </c>
      <c r="O82" s="212">
        <f t="shared" si="45"/>
        <v>0.18818424758238633</v>
      </c>
      <c r="P82" s="212">
        <f t="shared" si="45"/>
        <v>0.18895720525754997</v>
      </c>
      <c r="Q82" s="212">
        <f t="shared" si="45"/>
        <v>0.18975467193767939</v>
      </c>
    </row>
    <row r="83" spans="2:17" ht="16" customHeight="1">
      <c r="B83" s="215" t="s">
        <v>11</v>
      </c>
      <c r="C83" s="212">
        <f t="shared" ref="C83" si="56">C15/C$3</f>
        <v>0</v>
      </c>
      <c r="D83" s="212">
        <f t="shared" si="45"/>
        <v>-3.5186295494094412E-3</v>
      </c>
      <c r="E83" s="212">
        <f t="shared" si="45"/>
        <v>-8.3570046677805066E-4</v>
      </c>
      <c r="F83" s="212">
        <f t="shared" si="45"/>
        <v>-3.6813263593485406E-4</v>
      </c>
      <c r="G83" s="212">
        <f t="shared" si="45"/>
        <v>-4.0430841848657605E-4</v>
      </c>
      <c r="H83" s="212">
        <f t="shared" si="45"/>
        <v>5.915506239482476E-4</v>
      </c>
      <c r="I83" s="212">
        <f t="shared" si="45"/>
        <v>0</v>
      </c>
      <c r="J83" s="212">
        <f t="shared" si="45"/>
        <v>0</v>
      </c>
      <c r="K83" s="397">
        <f t="shared" si="45"/>
        <v>0</v>
      </c>
      <c r="L83" s="212">
        <f t="shared" si="45"/>
        <v>0</v>
      </c>
      <c r="M83" s="212">
        <f t="shared" si="45"/>
        <v>0</v>
      </c>
      <c r="N83" s="212">
        <f t="shared" si="45"/>
        <v>0</v>
      </c>
      <c r="O83" s="212">
        <f t="shared" si="45"/>
        <v>0</v>
      </c>
      <c r="P83" s="212">
        <f t="shared" si="45"/>
        <v>0</v>
      </c>
      <c r="Q83" s="212">
        <f t="shared" si="45"/>
        <v>0</v>
      </c>
    </row>
    <row r="84" spans="2:17" ht="16" customHeight="1">
      <c r="B84" s="215" t="s">
        <v>12</v>
      </c>
      <c r="C84" s="212">
        <f t="shared" ref="C84" si="57">C16/C$3</f>
        <v>9.6777753121866261E-2</v>
      </c>
      <c r="D84" s="212">
        <f t="shared" si="45"/>
        <v>0.10418318269649651</v>
      </c>
      <c r="E84" s="212">
        <f t="shared" si="45"/>
        <v>0.15114254539396327</v>
      </c>
      <c r="F84" s="212">
        <f t="shared" si="45"/>
        <v>0.14395889335823614</v>
      </c>
      <c r="G84" s="212">
        <f t="shared" si="45"/>
        <v>0.15690209686984299</v>
      </c>
      <c r="H84" s="212">
        <f t="shared" si="45"/>
        <v>0.16469250904296651</v>
      </c>
      <c r="I84" s="212">
        <f t="shared" si="45"/>
        <v>0.15786261525972872</v>
      </c>
      <c r="J84" s="212">
        <f t="shared" si="45"/>
        <v>0.16675220188245546</v>
      </c>
      <c r="K84" s="397">
        <f t="shared" si="45"/>
        <v>0.18365026170266005</v>
      </c>
      <c r="L84" s="212">
        <f t="shared" si="45"/>
        <v>0.16644810155644491</v>
      </c>
      <c r="M84" s="212">
        <f t="shared" si="45"/>
        <v>0.17167062489884793</v>
      </c>
      <c r="N84" s="212">
        <f t="shared" si="45"/>
        <v>0.17636891532349569</v>
      </c>
      <c r="O84" s="212">
        <f t="shared" si="45"/>
        <v>0.18818424758238633</v>
      </c>
      <c r="P84" s="212">
        <f t="shared" si="45"/>
        <v>0.18895720525754997</v>
      </c>
      <c r="Q84" s="212">
        <f t="shared" si="45"/>
        <v>0.18975467193767939</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01F3-2CE6-9F48-8CE0-D8BF2862E755}">
  <dimension ref="A1:V168"/>
  <sheetViews>
    <sheetView topLeftCell="B76" zoomScaleNormal="100" workbookViewId="0">
      <pane xSplit="2" topLeftCell="I1" activePane="topRight" state="frozen"/>
      <selection activeCell="B1" sqref="B1"/>
      <selection pane="topRight" activeCell="N84" sqref="N84"/>
    </sheetView>
  </sheetViews>
  <sheetFormatPr baseColWidth="10" defaultRowHeight="16" customHeight="1"/>
  <cols>
    <col min="1" max="1" width="2.125" style="63" hidden="1" customWidth="1"/>
    <col min="2" max="2" width="2.125" style="63" customWidth="1"/>
    <col min="3" max="3" width="49.125" style="63" bestFit="1" customWidth="1"/>
    <col min="4" max="17" width="10.625" style="63"/>
    <col min="18" max="18" width="12.375" style="63" bestFit="1" customWidth="1"/>
    <col min="19" max="16384" width="10.625" style="63"/>
  </cols>
  <sheetData>
    <row r="1" spans="3:22" s="198" customFormat="1" ht="16" customHeight="1"/>
    <row r="2" spans="3:22" ht="16" customHeight="1">
      <c r="C2" s="372"/>
      <c r="D2" s="389" t="s">
        <v>61</v>
      </c>
      <c r="E2" s="389" t="s">
        <v>60</v>
      </c>
      <c r="F2" s="389" t="s">
        <v>56</v>
      </c>
      <c r="G2" s="389" t="s">
        <v>55</v>
      </c>
      <c r="H2" s="389" t="s">
        <v>23</v>
      </c>
      <c r="I2" s="389" t="s">
        <v>22</v>
      </c>
      <c r="J2" s="389" t="s">
        <v>21</v>
      </c>
      <c r="K2" s="389" t="s">
        <v>178</v>
      </c>
      <c r="L2" s="375">
        <v>2024</v>
      </c>
      <c r="M2" s="375">
        <v>2025</v>
      </c>
      <c r="N2" s="375">
        <v>2026</v>
      </c>
      <c r="O2" s="375">
        <v>2027</v>
      </c>
      <c r="P2" s="375">
        <v>2028</v>
      </c>
      <c r="Q2" s="375">
        <v>2029</v>
      </c>
      <c r="R2" s="375"/>
      <c r="S2" s="198"/>
    </row>
    <row r="3" spans="3:22" ht="16" customHeight="1">
      <c r="C3" s="281" t="s">
        <v>364</v>
      </c>
      <c r="D3" s="282"/>
      <c r="E3" s="282"/>
      <c r="F3" s="282"/>
      <c r="G3" s="282"/>
      <c r="H3" s="282"/>
      <c r="I3" s="282"/>
      <c r="J3" s="282"/>
      <c r="K3" s="422"/>
      <c r="L3" s="283">
        <f>IS!L3</f>
        <v>10879497.999999998</v>
      </c>
      <c r="M3" s="283">
        <f>IS!M3</f>
        <v>11018177.624999996</v>
      </c>
      <c r="N3" s="283">
        <f>IS!N3</f>
        <v>11358045.156674998</v>
      </c>
      <c r="O3" s="283">
        <f>IS!O3</f>
        <v>11748084.541835248</v>
      </c>
      <c r="P3" s="283">
        <f>IS!P3</f>
        <v>12152401.435949408</v>
      </c>
      <c r="Q3" s="283">
        <f>IS!Q3</f>
        <v>12556668.272628179</v>
      </c>
    </row>
    <row r="4" spans="3:22" ht="16" customHeight="1">
      <c r="C4" s="226" t="s">
        <v>25</v>
      </c>
      <c r="D4" s="385"/>
      <c r="E4" s="385"/>
      <c r="F4" s="385"/>
      <c r="G4" s="385"/>
      <c r="H4" s="385"/>
      <c r="I4" s="407" t="s">
        <v>24</v>
      </c>
      <c r="J4" s="407" t="s">
        <v>24</v>
      </c>
      <c r="K4" s="403" t="s">
        <v>24</v>
      </c>
      <c r="L4" s="385"/>
      <c r="M4" s="385"/>
      <c r="N4" s="385"/>
      <c r="O4" s="385"/>
      <c r="P4" s="385"/>
      <c r="Q4" s="385"/>
    </row>
    <row r="5" spans="3:22" ht="16" customHeight="1">
      <c r="C5" s="215" t="s">
        <v>26</v>
      </c>
      <c r="D5" s="216">
        <v>380179</v>
      </c>
      <c r="E5" s="216">
        <v>587998</v>
      </c>
      <c r="F5" s="216">
        <v>493262</v>
      </c>
      <c r="G5" s="216">
        <v>1143987</v>
      </c>
      <c r="H5" s="216">
        <v>329266</v>
      </c>
      <c r="I5" s="216">
        <v>463889</v>
      </c>
      <c r="J5" s="216">
        <v>401902</v>
      </c>
      <c r="K5" s="400">
        <v>467058</v>
      </c>
      <c r="L5" s="252">
        <f>'Derived Cashflows'!C46</f>
        <v>927504.01523570111</v>
      </c>
      <c r="M5" s="252">
        <f>'Derived Cashflows'!D46</f>
        <v>1775746.720527292</v>
      </c>
      <c r="N5" s="252">
        <f>'Derived Cashflows'!E46</f>
        <v>2414336.7946770522</v>
      </c>
      <c r="O5" s="252">
        <f>'Derived Cashflows'!F46</f>
        <v>2655207.1863027946</v>
      </c>
      <c r="P5" s="252">
        <f>'Derived Cashflows'!G46</f>
        <v>3455448.5964972693</v>
      </c>
      <c r="Q5" s="252">
        <f>'Derived Cashflows'!H46</f>
        <v>4186290.5716251349</v>
      </c>
      <c r="R5" s="216"/>
    </row>
    <row r="6" spans="3:22" ht="16" customHeight="1">
      <c r="C6" s="215" t="s">
        <v>27</v>
      </c>
      <c r="D6" s="217">
        <v>588262</v>
      </c>
      <c r="E6" s="217">
        <v>594145</v>
      </c>
      <c r="F6" s="217">
        <v>568509</v>
      </c>
      <c r="G6" s="217">
        <v>615233</v>
      </c>
      <c r="H6" s="217">
        <v>671464</v>
      </c>
      <c r="I6" s="217">
        <v>711203</v>
      </c>
      <c r="J6" s="217">
        <v>823617</v>
      </c>
      <c r="K6" s="399">
        <v>846440</v>
      </c>
      <c r="L6" s="217">
        <f t="shared" ref="L6:Q6" si="0">L$3*L54</f>
        <v>805082.85199999984</v>
      </c>
      <c r="M6" s="217">
        <f t="shared" si="0"/>
        <v>815345.14424999966</v>
      </c>
      <c r="N6" s="217">
        <f t="shared" si="0"/>
        <v>840495.34159394982</v>
      </c>
      <c r="O6" s="217">
        <f t="shared" si="0"/>
        <v>869358.25609580835</v>
      </c>
      <c r="P6" s="217">
        <f t="shared" si="0"/>
        <v>899277.70626025612</v>
      </c>
      <c r="Q6" s="217">
        <f t="shared" si="0"/>
        <v>929193.4521744852</v>
      </c>
      <c r="R6" s="217" t="s">
        <v>394</v>
      </c>
    </row>
    <row r="7" spans="3:22" ht="16" customHeight="1">
      <c r="C7" s="215" t="s">
        <v>28</v>
      </c>
      <c r="D7" s="217">
        <v>752836</v>
      </c>
      <c r="E7" s="217">
        <v>784879</v>
      </c>
      <c r="F7" s="217">
        <v>815251</v>
      </c>
      <c r="G7" s="217">
        <v>964207</v>
      </c>
      <c r="H7" s="217">
        <v>988511</v>
      </c>
      <c r="I7" s="217">
        <v>1173119</v>
      </c>
      <c r="J7" s="217">
        <v>1340996</v>
      </c>
      <c r="K7" s="399">
        <v>1459488</v>
      </c>
      <c r="L7" s="217">
        <f>L55*IS!L4</f>
        <v>1376256.497</v>
      </c>
      <c r="M7" s="217">
        <f>M55*IS!M4</f>
        <v>1321079.4972374996</v>
      </c>
      <c r="N7" s="217">
        <f>N55*IS!N4</f>
        <v>1238026.9220775748</v>
      </c>
      <c r="O7" s="217">
        <f>O55*IS!O4</f>
        <v>1268793.1305182071</v>
      </c>
      <c r="P7" s="217">
        <f>P55*IS!P4</f>
        <v>1312459.3550825361</v>
      </c>
      <c r="Q7" s="217">
        <f>Q55*IS!Q4</f>
        <v>1356120.1734438436</v>
      </c>
      <c r="R7" s="217" t="s">
        <v>395</v>
      </c>
    </row>
    <row r="8" spans="3:22" s="198" customFormat="1" ht="16" customHeight="1">
      <c r="C8" s="215" t="s">
        <v>29</v>
      </c>
      <c r="D8" s="217">
        <v>280633</v>
      </c>
      <c r="E8" s="217">
        <v>272159</v>
      </c>
      <c r="F8" s="217">
        <v>240080</v>
      </c>
      <c r="G8" s="217">
        <v>254478</v>
      </c>
      <c r="H8" s="217">
        <v>256965</v>
      </c>
      <c r="I8" s="217">
        <v>272195</v>
      </c>
      <c r="J8" s="217">
        <v>345588</v>
      </c>
      <c r="K8" s="399">
        <v>562641</v>
      </c>
      <c r="L8" s="217">
        <f>(IS!L4+IS!L6+IS!L7+IS!L8)*L56</f>
        <v>354732.55998879997</v>
      </c>
      <c r="M8" s="217">
        <f>(IS!M4+IS!M6+IS!M7+IS!M8)*M56</f>
        <v>355516.92651929986</v>
      </c>
      <c r="N8" s="217">
        <f>(IS!N4+IS!N6+IS!N7+IS!N8)*N56</f>
        <v>364075.32267012302</v>
      </c>
      <c r="O8" s="217">
        <f>(IS!O4+IS!O6+IS!O7+IS!O8)*O56</f>
        <v>371148.3063859492</v>
      </c>
      <c r="P8" s="217">
        <f>(IS!P4+IS!P6+IS!P7+IS!P8)*P56</f>
        <v>383921.58274085837</v>
      </c>
      <c r="Q8" s="217">
        <f>(IS!Q4+IS!Q6+IS!Q7+IS!Q8)*Q56</f>
        <v>396693.27766925492</v>
      </c>
      <c r="R8" s="217" t="s">
        <v>396</v>
      </c>
      <c r="S8" s="63"/>
      <c r="U8" s="254"/>
    </row>
    <row r="9" spans="3:22" ht="16" customHeight="1">
      <c r="C9" s="234" t="s">
        <v>30</v>
      </c>
      <c r="D9" s="253">
        <v>2001910</v>
      </c>
      <c r="E9" s="253">
        <v>2239181</v>
      </c>
      <c r="F9" s="253">
        <v>2117102</v>
      </c>
      <c r="G9" s="253">
        <v>2977905</v>
      </c>
      <c r="H9" s="253">
        <v>2246206</v>
      </c>
      <c r="I9" s="253">
        <v>2620406</v>
      </c>
      <c r="J9" s="253">
        <v>2912103</v>
      </c>
      <c r="K9" s="423">
        <v>3335627</v>
      </c>
      <c r="L9" s="253">
        <f>SUM(L5:L8)</f>
        <v>3463575.924224501</v>
      </c>
      <c r="M9" s="253">
        <f t="shared" ref="M9:Q9" si="1">SUM(M5:M8)</f>
        <v>4267688.2885340909</v>
      </c>
      <c r="N9" s="253">
        <f t="shared" si="1"/>
        <v>4856934.3810186991</v>
      </c>
      <c r="O9" s="253">
        <f t="shared" si="1"/>
        <v>5164506.8793027597</v>
      </c>
      <c r="P9" s="253">
        <f t="shared" si="1"/>
        <v>6051107.2405809201</v>
      </c>
      <c r="Q9" s="253">
        <f t="shared" si="1"/>
        <v>6868297.4749127189</v>
      </c>
      <c r="R9" s="253"/>
      <c r="S9" s="198"/>
      <c r="U9" s="233"/>
      <c r="V9" s="233"/>
    </row>
    <row r="10" spans="3:22" ht="16" customHeight="1">
      <c r="C10" s="418" t="s">
        <v>418</v>
      </c>
      <c r="D10" s="217">
        <v>4460723</v>
      </c>
      <c r="E10" s="217">
        <v>4581671</v>
      </c>
      <c r="F10" s="217">
        <v>4734403</v>
      </c>
      <c r="G10" s="217">
        <v>4964887</v>
      </c>
      <c r="H10" s="217">
        <v>5400957</v>
      </c>
      <c r="I10" s="217">
        <v>5709487</v>
      </c>
      <c r="J10" s="217">
        <v>6449071</v>
      </c>
      <c r="K10" s="399">
        <v>6609496</v>
      </c>
      <c r="L10" s="217">
        <f>J10+L3*L80</f>
        <v>6880987.0706000002</v>
      </c>
      <c r="M10" s="217">
        <f>L10+M3*M80</f>
        <v>7318408.7223124998</v>
      </c>
      <c r="N10" s="217">
        <f t="shared" ref="N10:P10" si="2">M10+N3*N80</f>
        <v>7769323.1150324969</v>
      </c>
      <c r="O10" s="217">
        <f t="shared" si="2"/>
        <v>8235722.0713433558</v>
      </c>
      <c r="P10" s="217">
        <f t="shared" si="2"/>
        <v>8718172.4083505478</v>
      </c>
      <c r="Q10" s="217">
        <f>P10+Q3*Q80</f>
        <v>9216672.1387738865</v>
      </c>
      <c r="R10" s="253"/>
      <c r="S10" s="198"/>
      <c r="U10" s="233"/>
      <c r="V10" s="233"/>
    </row>
    <row r="11" spans="3:22" ht="16" customHeight="1">
      <c r="C11" s="418" t="s">
        <v>419</v>
      </c>
      <c r="D11" s="217">
        <v>-2354026</v>
      </c>
      <c r="E11" s="217">
        <v>-2451377</v>
      </c>
      <c r="F11" s="217">
        <v>-2581264</v>
      </c>
      <c r="G11" s="217">
        <v>-2679632</v>
      </c>
      <c r="H11" s="217">
        <v>-2814770</v>
      </c>
      <c r="I11" s="217">
        <v>-2939785</v>
      </c>
      <c r="J11" s="217">
        <v>-3139393</v>
      </c>
      <c r="K11" s="399">
        <v>-3241174</v>
      </c>
      <c r="L11" s="217">
        <f>L10*L81</f>
        <v>-3371683.6645940002</v>
      </c>
      <c r="M11" s="217">
        <f t="shared" ref="M11:Q11" si="3">M10*M81</f>
        <v>-3586020.2739331247</v>
      </c>
      <c r="N11" s="217">
        <f t="shared" si="3"/>
        <v>-3806968.3263659235</v>
      </c>
      <c r="O11" s="217">
        <f t="shared" si="3"/>
        <v>-4035503.8149582441</v>
      </c>
      <c r="P11" s="217">
        <f t="shared" si="3"/>
        <v>-4271904.4800917683</v>
      </c>
      <c r="Q11" s="217">
        <f t="shared" si="3"/>
        <v>-4516169.347999204</v>
      </c>
      <c r="R11" s="253"/>
      <c r="S11" s="198"/>
      <c r="U11" s="233"/>
      <c r="V11" s="233"/>
    </row>
    <row r="12" spans="3:22" ht="16" customHeight="1">
      <c r="C12" s="226" t="s">
        <v>31</v>
      </c>
      <c r="D12" s="217">
        <v>2106697</v>
      </c>
      <c r="E12" s="217">
        <v>2130294</v>
      </c>
      <c r="F12" s="217">
        <v>2153139</v>
      </c>
      <c r="G12" s="217">
        <v>2285255</v>
      </c>
      <c r="H12" s="217">
        <v>2586187</v>
      </c>
      <c r="I12" s="217">
        <v>2769702</v>
      </c>
      <c r="J12" s="217">
        <v>3309678</v>
      </c>
      <c r="K12" s="399">
        <v>3368322</v>
      </c>
      <c r="L12" s="217">
        <f>SUM(L11+L10)</f>
        <v>3509303.406006</v>
      </c>
      <c r="M12" s="217">
        <f t="shared" ref="M12:Q12" si="4">SUM(M11+M10)</f>
        <v>3732388.448379375</v>
      </c>
      <c r="N12" s="217">
        <f t="shared" si="4"/>
        <v>3962354.7886665734</v>
      </c>
      <c r="O12" s="217">
        <f t="shared" si="4"/>
        <v>4200218.2563851122</v>
      </c>
      <c r="P12" s="217">
        <f t="shared" si="4"/>
        <v>4446267.9282587795</v>
      </c>
      <c r="Q12" s="217">
        <f t="shared" si="4"/>
        <v>4700502.7907746825</v>
      </c>
      <c r="R12" s="217" t="s">
        <v>397</v>
      </c>
      <c r="U12" s="233"/>
    </row>
    <row r="13" spans="3:22" ht="16" customHeight="1">
      <c r="C13" s="215" t="s">
        <v>32</v>
      </c>
      <c r="D13" s="217">
        <v>821061</v>
      </c>
      <c r="E13" s="217">
        <v>1801103</v>
      </c>
      <c r="F13" s="217">
        <v>1985955</v>
      </c>
      <c r="G13" s="217">
        <v>1988215</v>
      </c>
      <c r="H13" s="217">
        <v>2633174</v>
      </c>
      <c r="I13" s="217">
        <v>2606956</v>
      </c>
      <c r="J13" s="217">
        <v>2696050</v>
      </c>
      <c r="K13" s="399">
        <v>2691613</v>
      </c>
      <c r="L13" s="217">
        <f t="shared" ref="L13:Q13" si="5">K13</f>
        <v>2691613</v>
      </c>
      <c r="M13" s="217">
        <f t="shared" si="5"/>
        <v>2691613</v>
      </c>
      <c r="N13" s="217">
        <f t="shared" si="5"/>
        <v>2691613</v>
      </c>
      <c r="O13" s="217">
        <f t="shared" si="5"/>
        <v>2691613</v>
      </c>
      <c r="P13" s="217">
        <f t="shared" si="5"/>
        <v>2691613</v>
      </c>
      <c r="Q13" s="217">
        <f t="shared" si="5"/>
        <v>2691613</v>
      </c>
      <c r="R13" s="416" t="s">
        <v>330</v>
      </c>
      <c r="U13" s="233"/>
    </row>
    <row r="14" spans="3:22" ht="16" customHeight="1">
      <c r="C14" s="215" t="s">
        <v>33</v>
      </c>
      <c r="D14" s="217">
        <v>369156</v>
      </c>
      <c r="E14" s="217">
        <v>1278292</v>
      </c>
      <c r="F14" s="217">
        <v>1341166</v>
      </c>
      <c r="G14" s="217">
        <v>1295214</v>
      </c>
      <c r="H14" s="217">
        <v>2037588</v>
      </c>
      <c r="I14" s="217">
        <v>1966269</v>
      </c>
      <c r="J14" s="217">
        <v>1879229</v>
      </c>
      <c r="K14" s="399">
        <v>1838525</v>
      </c>
      <c r="L14" s="217">
        <f>J14-L51</f>
        <v>1877205</v>
      </c>
      <c r="M14" s="217">
        <f>L14-M51</f>
        <v>1875180</v>
      </c>
      <c r="N14" s="217">
        <f t="shared" ref="N14:Q14" si="6">M14-N51</f>
        <v>1873154</v>
      </c>
      <c r="O14" s="217">
        <f t="shared" si="6"/>
        <v>1871127</v>
      </c>
      <c r="P14" s="217">
        <f t="shared" si="6"/>
        <v>1869099</v>
      </c>
      <c r="Q14" s="217">
        <f t="shared" si="6"/>
        <v>1867070</v>
      </c>
      <c r="R14" s="416" t="s">
        <v>398</v>
      </c>
      <c r="U14" s="233"/>
    </row>
    <row r="15" spans="3:22" ht="16" customHeight="1">
      <c r="C15" s="215" t="s">
        <v>34</v>
      </c>
      <c r="D15" s="217">
        <v>251879</v>
      </c>
      <c r="E15" s="217">
        <v>252984</v>
      </c>
      <c r="F15" s="217">
        <v>512000</v>
      </c>
      <c r="G15" s="217">
        <v>555887</v>
      </c>
      <c r="H15" s="217">
        <v>868203</v>
      </c>
      <c r="I15" s="217">
        <v>944989</v>
      </c>
      <c r="J15" s="217">
        <v>1061427</v>
      </c>
      <c r="K15" s="399">
        <v>1140255</v>
      </c>
      <c r="L15" s="217">
        <f t="shared" ref="L15:Q15" si="7">L$3*L61</f>
        <v>1034285.8215792719</v>
      </c>
      <c r="M15" s="217">
        <f t="shared" si="7"/>
        <v>1047828.6921374997</v>
      </c>
      <c r="N15" s="217">
        <f t="shared" si="7"/>
        <v>1090372.3350407998</v>
      </c>
      <c r="O15" s="217">
        <f t="shared" si="7"/>
        <v>1127816.116016184</v>
      </c>
      <c r="P15" s="217">
        <f t="shared" si="7"/>
        <v>1178782.9392870925</v>
      </c>
      <c r="Q15" s="217">
        <f t="shared" si="7"/>
        <v>1230553.4907175617</v>
      </c>
      <c r="R15" s="416" t="s">
        <v>394</v>
      </c>
      <c r="U15" s="233"/>
    </row>
    <row r="16" spans="3:22" s="198" customFormat="1" ht="16" customHeight="1">
      <c r="C16" s="215" t="s">
        <v>35</v>
      </c>
      <c r="D16" s="217">
        <v>3023</v>
      </c>
      <c r="E16" s="217">
        <v>1166</v>
      </c>
      <c r="F16" s="217">
        <v>31033</v>
      </c>
      <c r="G16" s="217">
        <v>29369</v>
      </c>
      <c r="H16" s="217">
        <v>40873</v>
      </c>
      <c r="I16" s="217">
        <v>40498</v>
      </c>
      <c r="J16" s="217">
        <v>44454</v>
      </c>
      <c r="K16" s="399">
        <v>41332</v>
      </c>
      <c r="L16" s="217">
        <f>L62*IS!L12</f>
        <v>44988.703449492008</v>
      </c>
      <c r="M16" s="217">
        <f>M62*IS!M12</f>
        <v>46991.740599208126</v>
      </c>
      <c r="N16" s="217">
        <f>N62*IS!N12</f>
        <v>49766.993986222122</v>
      </c>
      <c r="O16" s="217">
        <f>O62*IS!O12</f>
        <v>54924.499043745709</v>
      </c>
      <c r="P16" s="217">
        <f>P62*IS!P12</f>
        <v>57048.120226931678</v>
      </c>
      <c r="Q16" s="217">
        <f>Q62*IS!Q12</f>
        <v>59194.679416116749</v>
      </c>
      <c r="R16" s="416" t="s">
        <v>399</v>
      </c>
      <c r="S16" s="63"/>
      <c r="U16" s="233"/>
    </row>
    <row r="17" spans="3:19" ht="16" customHeight="1">
      <c r="C17" s="226" t="s">
        <v>36</v>
      </c>
      <c r="D17" s="253">
        <v>5553726</v>
      </c>
      <c r="E17" s="253">
        <v>7703020</v>
      </c>
      <c r="F17" s="253">
        <v>8140395</v>
      </c>
      <c r="G17" s="253">
        <v>9131845</v>
      </c>
      <c r="H17" s="253">
        <v>10412231</v>
      </c>
      <c r="I17" s="253">
        <v>10948820</v>
      </c>
      <c r="J17" s="253">
        <v>11902941</v>
      </c>
      <c r="K17" s="423">
        <v>12415674</v>
      </c>
      <c r="L17" s="253">
        <f>SUM(L9:L16)</f>
        <v>16130275.261265265</v>
      </c>
      <c r="M17" s="253">
        <f t="shared" ref="M17:Q17" si="8">SUM(M9:M16)</f>
        <v>17394078.618029546</v>
      </c>
      <c r="N17" s="253">
        <f t="shared" si="8"/>
        <v>18486550.28737887</v>
      </c>
      <c r="O17" s="253">
        <f t="shared" si="8"/>
        <v>19310424.00713291</v>
      </c>
      <c r="P17" s="253">
        <f t="shared" si="8"/>
        <v>20740186.156612504</v>
      </c>
      <c r="Q17" s="253">
        <f t="shared" si="8"/>
        <v>22117734.226595763</v>
      </c>
      <c r="R17" s="417"/>
      <c r="S17" s="198"/>
    </row>
    <row r="18" spans="3:19" ht="16" customHeight="1">
      <c r="C18" s="226" t="s">
        <v>37</v>
      </c>
      <c r="D18" s="385"/>
      <c r="E18" s="385"/>
      <c r="F18" s="385"/>
      <c r="G18" s="385"/>
      <c r="H18" s="385"/>
      <c r="I18" s="407" t="s">
        <v>24</v>
      </c>
      <c r="J18" s="407" t="s">
        <v>24</v>
      </c>
      <c r="K18" s="403" t="s">
        <v>24</v>
      </c>
      <c r="L18" s="385"/>
      <c r="M18" s="385"/>
      <c r="N18" s="385"/>
      <c r="O18" s="385"/>
      <c r="P18" s="385"/>
      <c r="Q18" s="407"/>
      <c r="R18" s="418"/>
    </row>
    <row r="19" spans="3:19" ht="16" customHeight="1">
      <c r="C19" s="215" t="s">
        <v>38</v>
      </c>
      <c r="D19" s="217">
        <v>523229</v>
      </c>
      <c r="E19" s="217">
        <v>502314</v>
      </c>
      <c r="F19" s="217">
        <v>550828</v>
      </c>
      <c r="G19" s="217">
        <v>580058</v>
      </c>
      <c r="H19" s="217">
        <v>692338</v>
      </c>
      <c r="I19" s="217">
        <v>970558</v>
      </c>
      <c r="J19" s="217">
        <v>1086183</v>
      </c>
      <c r="K19" s="399">
        <v>1138226</v>
      </c>
      <c r="L19" s="217">
        <f>IS!L4*BS!L65</f>
        <v>1071086.5780999998</v>
      </c>
      <c r="M19" s="217">
        <f>IS!M4*BS!M65</f>
        <v>1074878.3182068747</v>
      </c>
      <c r="N19" s="217">
        <f>IS!N4*BS!N65</f>
        <v>1108034.0952594294</v>
      </c>
      <c r="O19" s="217">
        <f>IS!O4*BS!O65</f>
        <v>1135569.8518137953</v>
      </c>
      <c r="P19" s="217">
        <f>IS!P4*BS!P65</f>
        <v>1174651.1227988699</v>
      </c>
      <c r="Q19" s="217">
        <f>IS!Q4*BS!Q65</f>
        <v>1213727.5552322399</v>
      </c>
      <c r="R19" s="416" t="s">
        <v>395</v>
      </c>
    </row>
    <row r="20" spans="3:19" ht="16" customHeight="1">
      <c r="C20" s="215" t="s">
        <v>39</v>
      </c>
      <c r="D20" s="217">
        <v>676134</v>
      </c>
      <c r="E20" s="217">
        <v>679163</v>
      </c>
      <c r="F20" s="217">
        <v>702372</v>
      </c>
      <c r="G20" s="217">
        <v>781766</v>
      </c>
      <c r="H20" s="217">
        <v>855638</v>
      </c>
      <c r="I20" s="217">
        <v>832518</v>
      </c>
      <c r="J20" s="217">
        <v>867815</v>
      </c>
      <c r="K20" s="399">
        <v>783723</v>
      </c>
      <c r="L20" s="217">
        <f t="shared" ref="L20:Q20" si="9">L3*L66</f>
        <v>815962.34999999986</v>
      </c>
      <c r="M20" s="217">
        <f t="shared" si="9"/>
        <v>826363.32187499967</v>
      </c>
      <c r="N20" s="217">
        <f t="shared" si="9"/>
        <v>851853.38675062486</v>
      </c>
      <c r="O20" s="217">
        <f t="shared" si="9"/>
        <v>881106.34063764359</v>
      </c>
      <c r="P20" s="217">
        <f t="shared" si="9"/>
        <v>911430.10769620549</v>
      </c>
      <c r="Q20" s="217">
        <f t="shared" si="9"/>
        <v>941750.12044711341</v>
      </c>
      <c r="R20" s="416" t="s">
        <v>394</v>
      </c>
    </row>
    <row r="21" spans="3:19" ht="16" customHeight="1">
      <c r="C21" s="215" t="s">
        <v>40</v>
      </c>
      <c r="D21" s="217">
        <v>17723</v>
      </c>
      <c r="E21" s="217">
        <v>33773</v>
      </c>
      <c r="F21" s="217">
        <v>19921</v>
      </c>
      <c r="G21" s="217">
        <v>17051</v>
      </c>
      <c r="H21" s="217">
        <v>3070</v>
      </c>
      <c r="I21" s="217">
        <v>6710</v>
      </c>
      <c r="J21" s="217">
        <v>29457</v>
      </c>
      <c r="K21" s="399">
        <v>37232</v>
      </c>
      <c r="L21" s="217">
        <f>L67*IS!L12</f>
        <v>25356.431103670555</v>
      </c>
      <c r="M21" s="217">
        <f>M67*IS!M12</f>
        <v>26485.378363550808</v>
      </c>
      <c r="N21" s="217">
        <f>N67*IS!N12</f>
        <v>28049.560389424314</v>
      </c>
      <c r="O21" s="217">
        <f>O67*IS!O12</f>
        <v>30956.421704170782</v>
      </c>
      <c r="P21" s="217">
        <f>P67*IS!P12</f>
        <v>32153.332263778349</v>
      </c>
      <c r="Q21" s="217">
        <f>Q67*IS!Q12</f>
        <v>33363.171090354641</v>
      </c>
      <c r="R21" s="416" t="s">
        <v>399</v>
      </c>
    </row>
    <row r="22" spans="3:19" ht="16" customHeight="1">
      <c r="C22" s="215" t="s">
        <v>41</v>
      </c>
      <c r="D22" s="217">
        <v>559359</v>
      </c>
      <c r="E22" s="217">
        <v>1197929</v>
      </c>
      <c r="F22" s="217">
        <v>32282</v>
      </c>
      <c r="G22" s="217">
        <v>74041</v>
      </c>
      <c r="H22" s="217">
        <v>939423</v>
      </c>
      <c r="I22" s="217">
        <v>693790</v>
      </c>
      <c r="J22" s="217">
        <v>719839</v>
      </c>
      <c r="K22" s="399">
        <v>1321274</v>
      </c>
      <c r="L22" s="217">
        <f>K22</f>
        <v>1321274</v>
      </c>
      <c r="M22" s="217">
        <f t="shared" ref="M22:Q22" si="10">L22</f>
        <v>1321274</v>
      </c>
      <c r="N22" s="217">
        <f t="shared" si="10"/>
        <v>1321274</v>
      </c>
      <c r="O22" s="217">
        <f t="shared" si="10"/>
        <v>1321274</v>
      </c>
      <c r="P22" s="217">
        <f t="shared" si="10"/>
        <v>1321274</v>
      </c>
      <c r="Q22" s="217">
        <f t="shared" si="10"/>
        <v>1321274</v>
      </c>
      <c r="R22" s="416" t="s">
        <v>428</v>
      </c>
    </row>
    <row r="23" spans="3:19" s="198" customFormat="1" ht="16" customHeight="1">
      <c r="C23" s="215" t="s">
        <v>42</v>
      </c>
      <c r="D23" s="217">
        <v>300098</v>
      </c>
      <c r="E23" s="217">
        <v>5387</v>
      </c>
      <c r="F23" s="217">
        <v>703390</v>
      </c>
      <c r="G23" s="217">
        <v>438829</v>
      </c>
      <c r="H23" s="217">
        <v>2844</v>
      </c>
      <c r="I23" s="217">
        <v>753578</v>
      </c>
      <c r="J23" s="217">
        <v>305058</v>
      </c>
      <c r="K23" s="399">
        <v>605176</v>
      </c>
      <c r="L23" s="217">
        <v>300000</v>
      </c>
      <c r="M23" s="217">
        <v>600000</v>
      </c>
      <c r="N23" s="217">
        <v>500000</v>
      </c>
      <c r="O23" s="217">
        <v>193639</v>
      </c>
      <c r="P23" s="217">
        <v>350000</v>
      </c>
      <c r="Q23" s="217">
        <v>300000</v>
      </c>
      <c r="R23" s="416" t="s">
        <v>346</v>
      </c>
      <c r="S23" s="63"/>
    </row>
    <row r="24" spans="3:19" ht="16" customHeight="1">
      <c r="C24" s="226" t="s">
        <v>43</v>
      </c>
      <c r="D24" s="253">
        <v>2076543</v>
      </c>
      <c r="E24" s="253">
        <v>2418566</v>
      </c>
      <c r="F24" s="253">
        <v>2008793</v>
      </c>
      <c r="G24" s="253">
        <v>1891745</v>
      </c>
      <c r="H24" s="253">
        <v>2493313</v>
      </c>
      <c r="I24" s="253">
        <v>3257154</v>
      </c>
      <c r="J24" s="253">
        <v>3008352</v>
      </c>
      <c r="K24" s="423">
        <v>3885631</v>
      </c>
      <c r="L24" s="253">
        <f t="shared" ref="L24:Q24" si="11">SUM(L19:L23)</f>
        <v>3533679.3592036702</v>
      </c>
      <c r="M24" s="253">
        <f t="shared" si="11"/>
        <v>3849001.0184454252</v>
      </c>
      <c r="N24" s="253">
        <f t="shared" si="11"/>
        <v>3809211.0423994786</v>
      </c>
      <c r="O24" s="253">
        <f t="shared" si="11"/>
        <v>3562545.6141556096</v>
      </c>
      <c r="P24" s="253">
        <f t="shared" si="11"/>
        <v>3789508.5627588537</v>
      </c>
      <c r="Q24" s="253">
        <f t="shared" si="11"/>
        <v>3810114.8467697077</v>
      </c>
      <c r="R24" s="253"/>
      <c r="S24" s="198"/>
    </row>
    <row r="25" spans="3:19" ht="16" customHeight="1">
      <c r="C25" s="215" t="s">
        <v>44</v>
      </c>
      <c r="D25" s="217">
        <v>2061023</v>
      </c>
      <c r="E25" s="217">
        <v>3254280</v>
      </c>
      <c r="F25" s="217">
        <v>3530813</v>
      </c>
      <c r="G25" s="217">
        <v>4089755</v>
      </c>
      <c r="H25" s="217">
        <v>4086627</v>
      </c>
      <c r="I25" s="217">
        <v>3343977</v>
      </c>
      <c r="J25" s="217">
        <v>3789132</v>
      </c>
      <c r="K25" s="399">
        <v>3489393</v>
      </c>
      <c r="L25" s="217">
        <f t="shared" ref="L25:Q25" si="12">K25</f>
        <v>3489393</v>
      </c>
      <c r="M25" s="217">
        <f t="shared" si="12"/>
        <v>3489393</v>
      </c>
      <c r="N25" s="217">
        <f t="shared" si="12"/>
        <v>3489393</v>
      </c>
      <c r="O25" s="217">
        <f t="shared" si="12"/>
        <v>3489393</v>
      </c>
      <c r="P25" s="217">
        <f t="shared" si="12"/>
        <v>3489393</v>
      </c>
      <c r="Q25" s="217">
        <f t="shared" si="12"/>
        <v>3489393</v>
      </c>
      <c r="R25" s="217" t="s">
        <v>400</v>
      </c>
    </row>
    <row r="26" spans="3:19" ht="16" customHeight="1">
      <c r="C26" s="215" t="s">
        <v>45</v>
      </c>
      <c r="D26" s="217">
        <v>438939</v>
      </c>
      <c r="E26" s="217">
        <v>446048</v>
      </c>
      <c r="F26" s="217">
        <v>655777</v>
      </c>
      <c r="G26" s="217">
        <v>683434</v>
      </c>
      <c r="H26" s="217">
        <v>787058</v>
      </c>
      <c r="I26" s="217">
        <v>719742</v>
      </c>
      <c r="J26" s="217">
        <v>660673</v>
      </c>
      <c r="K26" s="399">
        <v>700065</v>
      </c>
      <c r="L26" s="217">
        <f t="shared" ref="L26:Q26" si="13">L72*L$3</f>
        <v>652769.87999999989</v>
      </c>
      <c r="M26" s="217">
        <f t="shared" si="13"/>
        <v>661090.65749999974</v>
      </c>
      <c r="N26" s="217">
        <f t="shared" si="13"/>
        <v>681482.70940049982</v>
      </c>
      <c r="O26" s="217">
        <f t="shared" si="13"/>
        <v>704885.07251011487</v>
      </c>
      <c r="P26" s="217">
        <f t="shared" si="13"/>
        <v>729144.08615696442</v>
      </c>
      <c r="Q26" s="217">
        <f t="shared" si="13"/>
        <v>753400.09635769075</v>
      </c>
      <c r="R26" s="217" t="s">
        <v>394</v>
      </c>
    </row>
    <row r="27" spans="3:19" ht="16" customHeight="1">
      <c r="C27" s="215" t="s">
        <v>35</v>
      </c>
      <c r="D27" s="217">
        <v>45656</v>
      </c>
      <c r="E27" s="217">
        <v>176860</v>
      </c>
      <c r="F27" s="217">
        <v>200018</v>
      </c>
      <c r="G27" s="217">
        <v>229028</v>
      </c>
      <c r="H27" s="217">
        <v>288004</v>
      </c>
      <c r="I27" s="217">
        <v>328403</v>
      </c>
      <c r="J27" s="217">
        <v>345698</v>
      </c>
      <c r="K27" s="399">
        <v>330719</v>
      </c>
      <c r="L27" s="217">
        <f>L73*IS!L12</f>
        <v>327520.56842241134</v>
      </c>
      <c r="M27" s="217">
        <f>M73*IS!M12</f>
        <v>342102.80386253126</v>
      </c>
      <c r="N27" s="217">
        <f>N73*IS!N12</f>
        <v>362306.82169673068</v>
      </c>
      <c r="O27" s="217">
        <f>O73*IS!O12</f>
        <v>399853.78034553927</v>
      </c>
      <c r="P27" s="217">
        <f>P73*IS!P12</f>
        <v>415313.87507380371</v>
      </c>
      <c r="Q27" s="217">
        <f>Q73*IS!Q12</f>
        <v>430940.95991708076</v>
      </c>
      <c r="R27" s="217" t="s">
        <v>399</v>
      </c>
    </row>
    <row r="28" spans="3:19" ht="16" customHeight="1">
      <c r="C28" s="226" t="s">
        <v>46</v>
      </c>
      <c r="D28" s="253">
        <v>4622161</v>
      </c>
      <c r="E28" s="253">
        <v>6295754</v>
      </c>
      <c r="F28" s="253"/>
      <c r="G28" s="253">
        <v>6893962</v>
      </c>
      <c r="H28" s="253">
        <v>7655002</v>
      </c>
      <c r="I28" s="253">
        <v>7649276</v>
      </c>
      <c r="J28" s="253">
        <v>7803855</v>
      </c>
      <c r="K28" s="423">
        <v>8405808</v>
      </c>
      <c r="L28" s="253">
        <f t="shared" ref="L28:Q28" si="14">SUM(L24:L27)</f>
        <v>8003362.8076260816</v>
      </c>
      <c r="M28" s="253">
        <f t="shared" si="14"/>
        <v>8341587.4798079561</v>
      </c>
      <c r="N28" s="253">
        <f t="shared" si="14"/>
        <v>8342393.5734967096</v>
      </c>
      <c r="O28" s="253">
        <f t="shared" si="14"/>
        <v>8156677.4670112636</v>
      </c>
      <c r="P28" s="253">
        <f t="shared" si="14"/>
        <v>8423359.5239896215</v>
      </c>
      <c r="Q28" s="253">
        <f t="shared" si="14"/>
        <v>8483848.903044479</v>
      </c>
      <c r="R28" s="253"/>
    </row>
    <row r="29" spans="3:19" ht="16" customHeight="1">
      <c r="C29" s="226" t="s">
        <v>47</v>
      </c>
      <c r="D29" s="385"/>
      <c r="E29" s="385"/>
      <c r="F29" s="385"/>
      <c r="G29" s="385"/>
      <c r="H29" s="385"/>
      <c r="I29" s="407" t="s">
        <v>24</v>
      </c>
      <c r="J29" s="407" t="s">
        <v>24</v>
      </c>
      <c r="K29" s="403" t="s">
        <v>24</v>
      </c>
      <c r="L29" s="403"/>
      <c r="M29" s="403"/>
      <c r="N29" s="403"/>
      <c r="O29" s="403"/>
      <c r="P29" s="403"/>
      <c r="Q29" s="403"/>
    </row>
    <row r="30" spans="3:19" ht="16" customHeight="1">
      <c r="C30" s="215" t="s">
        <v>328</v>
      </c>
      <c r="D30" s="217">
        <v>299281</v>
      </c>
      <c r="E30" s="217">
        <v>299287</v>
      </c>
      <c r="F30" s="217">
        <v>160939</v>
      </c>
      <c r="G30" s="217">
        <v>160939</v>
      </c>
      <c r="H30" s="217">
        <v>160939</v>
      </c>
      <c r="I30" s="217">
        <v>163439</v>
      </c>
      <c r="J30" s="217">
        <v>166939</v>
      </c>
      <c r="K30" s="399">
        <v>166939</v>
      </c>
      <c r="L30" s="217">
        <f t="shared" ref="L30:Q31" si="15">K30</f>
        <v>166939</v>
      </c>
      <c r="M30" s="217">
        <f t="shared" si="15"/>
        <v>166939</v>
      </c>
      <c r="N30" s="217">
        <f t="shared" si="15"/>
        <v>166939</v>
      </c>
      <c r="O30" s="217">
        <f t="shared" si="15"/>
        <v>166939</v>
      </c>
      <c r="P30" s="217">
        <f t="shared" si="15"/>
        <v>166939</v>
      </c>
      <c r="Q30" s="217">
        <f t="shared" si="15"/>
        <v>166939</v>
      </c>
      <c r="R30" s="63" t="s">
        <v>330</v>
      </c>
    </row>
    <row r="31" spans="3:19" ht="16" customHeight="1">
      <c r="C31" s="215" t="s">
        <v>329</v>
      </c>
      <c r="D31" s="216">
        <v>60620</v>
      </c>
      <c r="E31" s="216">
        <v>60614</v>
      </c>
      <c r="F31" s="216">
        <v>60614</v>
      </c>
      <c r="G31" s="216">
        <v>60614</v>
      </c>
      <c r="H31" s="216">
        <v>60614</v>
      </c>
      <c r="I31" s="216">
        <v>58114</v>
      </c>
      <c r="J31" s="216">
        <v>54614</v>
      </c>
      <c r="K31" s="399">
        <v>54614</v>
      </c>
      <c r="L31" s="223">
        <f t="shared" si="15"/>
        <v>54614</v>
      </c>
      <c r="M31" s="223">
        <f t="shared" si="15"/>
        <v>54614</v>
      </c>
      <c r="N31" s="223">
        <f t="shared" si="15"/>
        <v>54614</v>
      </c>
      <c r="O31" s="223">
        <f t="shared" si="15"/>
        <v>54614</v>
      </c>
      <c r="P31" s="223">
        <f t="shared" si="15"/>
        <v>54614</v>
      </c>
      <c r="Q31" s="223">
        <f t="shared" si="15"/>
        <v>54614</v>
      </c>
      <c r="R31" s="63" t="s">
        <v>330</v>
      </c>
    </row>
    <row r="32" spans="3:19" ht="16" customHeight="1">
      <c r="C32" s="215" t="s">
        <v>48</v>
      </c>
      <c r="D32" s="217">
        <v>0</v>
      </c>
      <c r="E32" s="217">
        <v>0</v>
      </c>
      <c r="F32" s="217">
        <v>0</v>
      </c>
      <c r="G32" s="217">
        <v>0</v>
      </c>
      <c r="H32" s="217">
        <v>0</v>
      </c>
      <c r="I32" s="217">
        <v>0</v>
      </c>
      <c r="J32" s="217">
        <v>0</v>
      </c>
      <c r="K32" s="399">
        <v>0</v>
      </c>
      <c r="L32" s="223">
        <v>0</v>
      </c>
      <c r="M32" s="223">
        <v>0</v>
      </c>
      <c r="N32" s="223">
        <v>0</v>
      </c>
      <c r="O32" s="223">
        <v>0</v>
      </c>
      <c r="P32" s="223">
        <v>0</v>
      </c>
      <c r="Q32" s="223">
        <v>0</v>
      </c>
    </row>
    <row r="33" spans="3:18" ht="16" customHeight="1">
      <c r="C33" s="215" t="s">
        <v>49</v>
      </c>
      <c r="D33" s="217">
        <v>924978</v>
      </c>
      <c r="E33" s="217">
        <v>982205</v>
      </c>
      <c r="F33" s="217">
        <v>1142210</v>
      </c>
      <c r="G33" s="217">
        <v>1191200</v>
      </c>
      <c r="H33" s="217">
        <v>1260331</v>
      </c>
      <c r="I33" s="217">
        <v>1296572</v>
      </c>
      <c r="J33" s="217">
        <v>1345580</v>
      </c>
      <c r="K33" s="399">
        <v>1325876</v>
      </c>
      <c r="L33" s="217">
        <f t="shared" ref="L33:Q33" si="16">K33</f>
        <v>1325876</v>
      </c>
      <c r="M33" s="217">
        <f t="shared" si="16"/>
        <v>1325876</v>
      </c>
      <c r="N33" s="217">
        <f t="shared" si="16"/>
        <v>1325876</v>
      </c>
      <c r="O33" s="217">
        <f t="shared" si="16"/>
        <v>1325876</v>
      </c>
      <c r="P33" s="217">
        <f t="shared" si="16"/>
        <v>1325876</v>
      </c>
      <c r="Q33" s="217">
        <f t="shared" si="16"/>
        <v>1325876</v>
      </c>
      <c r="R33" s="63" t="s">
        <v>330</v>
      </c>
    </row>
    <row r="34" spans="3:18" ht="16" customHeight="1">
      <c r="C34" s="215" t="s">
        <v>50</v>
      </c>
      <c r="D34" s="217">
        <v>6371082</v>
      </c>
      <c r="E34" s="217">
        <v>7032020</v>
      </c>
      <c r="F34" s="217">
        <v>1290461</v>
      </c>
      <c r="G34" s="217">
        <v>1928673</v>
      </c>
      <c r="H34" s="217">
        <v>2719936</v>
      </c>
      <c r="I34" s="217">
        <v>3589781</v>
      </c>
      <c r="J34" s="217">
        <v>4562263</v>
      </c>
      <c r="K34" s="399">
        <v>4997269</v>
      </c>
      <c r="L34" s="217">
        <f t="shared" ref="L34:Q34" si="17">L90</f>
        <v>5122025.0476331841</v>
      </c>
      <c r="M34" s="217">
        <f t="shared" si="17"/>
        <v>5824518.6898422185</v>
      </c>
      <c r="N34" s="217">
        <f t="shared" si="17"/>
        <v>6686217.9252155861</v>
      </c>
      <c r="O34" s="217">
        <f t="shared" si="17"/>
        <v>7457944.2837365363</v>
      </c>
      <c r="P34" s="217">
        <f t="shared" si="17"/>
        <v>8374974.7043641005</v>
      </c>
      <c r="Q34" s="217">
        <f t="shared" si="17"/>
        <v>9437798.5327765997</v>
      </c>
    </row>
    <row r="35" spans="3:18" ht="16" customHeight="1">
      <c r="C35" s="215" t="s">
        <v>51</v>
      </c>
      <c r="D35" s="217">
        <v>-6426877</v>
      </c>
      <c r="E35" s="217">
        <v>-6618625</v>
      </c>
      <c r="F35" s="217">
        <v>-591036</v>
      </c>
      <c r="G35" s="217">
        <v>-768992</v>
      </c>
      <c r="H35" s="217">
        <v>-1195376</v>
      </c>
      <c r="I35" s="217">
        <v>-1556029</v>
      </c>
      <c r="J35" s="217">
        <v>-1800232</v>
      </c>
      <c r="K35" s="399">
        <v>-2283219</v>
      </c>
      <c r="L35" s="217">
        <f>J35</f>
        <v>-1800232</v>
      </c>
      <c r="M35" s="217">
        <f t="shared" ref="M35:Q36" si="18">L35</f>
        <v>-1800232</v>
      </c>
      <c r="N35" s="217">
        <f t="shared" si="18"/>
        <v>-1800232</v>
      </c>
      <c r="O35" s="217">
        <f t="shared" si="18"/>
        <v>-1800232</v>
      </c>
      <c r="P35" s="217">
        <f t="shared" si="18"/>
        <v>-1800232</v>
      </c>
      <c r="Q35" s="217">
        <f t="shared" si="18"/>
        <v>-1800232</v>
      </c>
      <c r="R35" s="63" t="s">
        <v>330</v>
      </c>
    </row>
    <row r="36" spans="3:18" ht="16" customHeight="1">
      <c r="C36" s="215" t="s">
        <v>52</v>
      </c>
      <c r="D36" s="217">
        <v>-313746</v>
      </c>
      <c r="E36" s="217">
        <v>-356780</v>
      </c>
      <c r="F36" s="217">
        <v>-323966</v>
      </c>
      <c r="G36" s="217">
        <v>-338082</v>
      </c>
      <c r="H36" s="217">
        <v>-249215</v>
      </c>
      <c r="I36" s="217">
        <v>-252333</v>
      </c>
      <c r="J36" s="217">
        <v>-230078</v>
      </c>
      <c r="K36" s="399">
        <v>-251613</v>
      </c>
      <c r="L36" s="217">
        <f>K36</f>
        <v>-251613</v>
      </c>
      <c r="M36" s="217">
        <f t="shared" si="18"/>
        <v>-251613</v>
      </c>
      <c r="N36" s="217">
        <f t="shared" si="18"/>
        <v>-251613</v>
      </c>
      <c r="O36" s="217">
        <f t="shared" si="18"/>
        <v>-251613</v>
      </c>
      <c r="P36" s="217">
        <f t="shared" si="18"/>
        <v>-251613</v>
      </c>
      <c r="Q36" s="217">
        <f t="shared" si="18"/>
        <v>-251613</v>
      </c>
      <c r="R36" s="63" t="s">
        <v>330</v>
      </c>
    </row>
    <row r="37" spans="3:18" ht="16" customHeight="1">
      <c r="C37" s="235" t="s">
        <v>58</v>
      </c>
      <c r="D37" s="253">
        <v>915338</v>
      </c>
      <c r="E37" s="253">
        <v>1398721</v>
      </c>
      <c r="F37" s="253">
        <v>1739222</v>
      </c>
      <c r="G37" s="253">
        <v>2234352</v>
      </c>
      <c r="H37" s="253">
        <v>2757229</v>
      </c>
      <c r="I37" s="253">
        <f>I39</f>
        <v>3299544</v>
      </c>
      <c r="J37" s="253">
        <f>J39</f>
        <v>4099086</v>
      </c>
      <c r="K37" s="424">
        <v>4009866</v>
      </c>
      <c r="L37" s="255">
        <f t="shared" ref="L37:Q37" si="19">SUM(L30:L36)</f>
        <v>4617609.0476331841</v>
      </c>
      <c r="M37" s="255">
        <f t="shared" si="19"/>
        <v>5320102.6898422185</v>
      </c>
      <c r="N37" s="255">
        <f t="shared" si="19"/>
        <v>6181801.9252155861</v>
      </c>
      <c r="O37" s="255">
        <f t="shared" si="19"/>
        <v>6953528.2837365363</v>
      </c>
      <c r="P37" s="255">
        <f t="shared" si="19"/>
        <v>7870558.7043641005</v>
      </c>
      <c r="Q37" s="255">
        <f t="shared" si="19"/>
        <v>8933382.5327765997</v>
      </c>
    </row>
    <row r="38" spans="3:18" ht="16" customHeight="1">
      <c r="C38" s="223" t="s">
        <v>59</v>
      </c>
      <c r="D38" s="217">
        <v>16227</v>
      </c>
      <c r="E38" s="217">
        <v>8545</v>
      </c>
      <c r="F38" s="217">
        <v>5772</v>
      </c>
      <c r="G38" s="217">
        <v>3531</v>
      </c>
      <c r="H38" s="217">
        <v>0</v>
      </c>
      <c r="I38" s="217">
        <v>0</v>
      </c>
      <c r="J38" s="217">
        <v>0</v>
      </c>
      <c r="K38" s="403">
        <v>0</v>
      </c>
      <c r="L38" s="223">
        <v>0</v>
      </c>
      <c r="M38" s="223">
        <v>0</v>
      </c>
      <c r="N38" s="223">
        <v>0</v>
      </c>
      <c r="O38" s="223">
        <v>0</v>
      </c>
      <c r="P38" s="223">
        <v>0</v>
      </c>
      <c r="Q38" s="223">
        <v>0</v>
      </c>
    </row>
    <row r="39" spans="3:18" ht="16" customHeight="1">
      <c r="C39" s="226" t="s">
        <v>53</v>
      </c>
      <c r="D39" s="253">
        <v>931565</v>
      </c>
      <c r="E39" s="253">
        <v>1407266</v>
      </c>
      <c r="F39" s="253">
        <v>1744994</v>
      </c>
      <c r="G39" s="253">
        <v>2237883</v>
      </c>
      <c r="H39" s="253">
        <v>2757229</v>
      </c>
      <c r="I39" s="253">
        <v>3299544</v>
      </c>
      <c r="J39" s="253">
        <v>4099086</v>
      </c>
      <c r="K39" s="423">
        <v>4009866</v>
      </c>
      <c r="L39" s="253">
        <f t="shared" ref="L39:Q39" si="20">L37-L38</f>
        <v>4617609.0476331841</v>
      </c>
      <c r="M39" s="253">
        <f t="shared" si="20"/>
        <v>5320102.6898422185</v>
      </c>
      <c r="N39" s="253">
        <f t="shared" si="20"/>
        <v>6181801.9252155861</v>
      </c>
      <c r="O39" s="253">
        <f t="shared" si="20"/>
        <v>6953528.2837365363</v>
      </c>
      <c r="P39" s="253">
        <f t="shared" si="20"/>
        <v>7870558.7043641005</v>
      </c>
      <c r="Q39" s="253">
        <f t="shared" si="20"/>
        <v>8933382.5327765997</v>
      </c>
    </row>
    <row r="40" spans="3:18" ht="16" customHeight="1">
      <c r="C40" s="226" t="s">
        <v>54</v>
      </c>
      <c r="D40" s="253">
        <v>5553726</v>
      </c>
      <c r="E40" s="253">
        <v>7703020</v>
      </c>
      <c r="F40" s="253">
        <v>8140395</v>
      </c>
      <c r="G40" s="253">
        <v>9131845</v>
      </c>
      <c r="H40" s="253">
        <v>10412231</v>
      </c>
      <c r="I40" s="253">
        <v>10948820</v>
      </c>
      <c r="J40" s="253">
        <v>11902941</v>
      </c>
      <c r="K40" s="423">
        <v>12415674</v>
      </c>
      <c r="L40" s="253">
        <f t="shared" ref="L40:Q40" si="21">L28+L39</f>
        <v>12620971.855259266</v>
      </c>
      <c r="M40" s="253">
        <f t="shared" si="21"/>
        <v>13661690.169650175</v>
      </c>
      <c r="N40" s="253">
        <f t="shared" si="21"/>
        <v>14524195.498712296</v>
      </c>
      <c r="O40" s="253">
        <f t="shared" si="21"/>
        <v>15110205.7507478</v>
      </c>
      <c r="P40" s="253">
        <f t="shared" si="21"/>
        <v>16293918.228353722</v>
      </c>
      <c r="Q40" s="253">
        <f t="shared" si="21"/>
        <v>17417231.435821079</v>
      </c>
    </row>
    <row r="41" spans="3:18" ht="16" customHeight="1">
      <c r="C41" s="226"/>
      <c r="D41" s="253"/>
      <c r="E41" s="253"/>
      <c r="F41" s="253"/>
      <c r="G41" s="253"/>
      <c r="H41" s="253"/>
      <c r="I41" s="253"/>
      <c r="J41" s="253"/>
      <c r="K41" s="423"/>
      <c r="L41" s="253"/>
      <c r="M41" s="253"/>
      <c r="N41" s="253"/>
      <c r="O41" s="253"/>
      <c r="P41" s="253"/>
      <c r="Q41" s="253"/>
    </row>
    <row r="42" spans="3:18" ht="16" customHeight="1">
      <c r="C42" s="374" t="s">
        <v>411</v>
      </c>
      <c r="D42" s="415" t="s">
        <v>61</v>
      </c>
      <c r="E42" s="415" t="s">
        <v>60</v>
      </c>
      <c r="F42" s="415" t="s">
        <v>56</v>
      </c>
      <c r="G42" s="415" t="s">
        <v>55</v>
      </c>
      <c r="H42" s="415" t="s">
        <v>23</v>
      </c>
      <c r="I42" s="415" t="s">
        <v>22</v>
      </c>
      <c r="J42" s="415" t="s">
        <v>21</v>
      </c>
      <c r="K42" s="423"/>
      <c r="L42" s="253"/>
      <c r="M42" s="253"/>
      <c r="N42" s="253"/>
      <c r="O42" s="253"/>
      <c r="P42" s="253"/>
      <c r="Q42" s="253"/>
    </row>
    <row r="43" spans="3:18" ht="16" customHeight="1">
      <c r="C43" s="416" t="s">
        <v>405</v>
      </c>
      <c r="D43" s="217">
        <v>108300</v>
      </c>
      <c r="E43" s="217">
        <v>102074</v>
      </c>
      <c r="F43" s="217">
        <v>105627</v>
      </c>
      <c r="G43" s="217">
        <v>131513</v>
      </c>
      <c r="H43" s="217">
        <v>154494</v>
      </c>
      <c r="I43" s="217">
        <v>155963</v>
      </c>
      <c r="J43" s="217">
        <v>180751</v>
      </c>
      <c r="K43" s="399">
        <v>179988</v>
      </c>
      <c r="L43" s="253"/>
      <c r="M43" s="253"/>
      <c r="N43" s="253"/>
      <c r="O43" s="253"/>
      <c r="P43" s="253"/>
      <c r="Q43" s="253"/>
    </row>
    <row r="44" spans="3:18" ht="16" customHeight="1">
      <c r="C44" s="416" t="s">
        <v>406</v>
      </c>
      <c r="D44" s="217">
        <v>1214158</v>
      </c>
      <c r="E44" s="217">
        <v>1211011</v>
      </c>
      <c r="F44" s="217">
        <v>1298985</v>
      </c>
      <c r="G44" s="217">
        <v>1387106</v>
      </c>
      <c r="H44" s="217">
        <v>1508139</v>
      </c>
      <c r="I44" s="217">
        <v>1545053</v>
      </c>
      <c r="J44" s="217">
        <v>1763070</v>
      </c>
      <c r="K44" s="399">
        <v>1780525</v>
      </c>
      <c r="L44" s="253"/>
      <c r="M44" s="253"/>
      <c r="N44" s="253"/>
      <c r="O44" s="253"/>
      <c r="P44" s="253"/>
      <c r="Q44" s="253"/>
    </row>
    <row r="45" spans="3:18" ht="16" customHeight="1">
      <c r="C45" s="416" t="s">
        <v>412</v>
      </c>
      <c r="D45" s="217">
        <v>2925353</v>
      </c>
      <c r="E45" s="217">
        <v>2988027</v>
      </c>
      <c r="F45" s="217">
        <v>3120003</v>
      </c>
      <c r="G45" s="217">
        <v>3169754</v>
      </c>
      <c r="H45" s="217">
        <v>3443500</v>
      </c>
      <c r="I45" s="217">
        <v>3592251</v>
      </c>
      <c r="J45" s="217">
        <v>3861006</v>
      </c>
      <c r="K45" s="399">
        <v>3970754</v>
      </c>
      <c r="L45" s="253"/>
      <c r="M45" s="253"/>
      <c r="N45" s="253"/>
      <c r="O45" s="253"/>
      <c r="P45" s="253"/>
      <c r="Q45" s="253"/>
    </row>
    <row r="46" spans="3:18" ht="16" customHeight="1">
      <c r="C46" s="416" t="s">
        <v>408</v>
      </c>
      <c r="D46" s="217">
        <v>212912</v>
      </c>
      <c r="E46" s="217">
        <v>280559</v>
      </c>
      <c r="F46" s="217">
        <v>209788</v>
      </c>
      <c r="G46" s="217">
        <v>276514</v>
      </c>
      <c r="H46" s="217">
        <v>294824</v>
      </c>
      <c r="I46" s="217">
        <v>416220</v>
      </c>
      <c r="J46" s="217">
        <v>644244</v>
      </c>
      <c r="K46" s="399">
        <v>678229</v>
      </c>
      <c r="L46" s="253"/>
      <c r="M46" s="253"/>
      <c r="N46" s="253"/>
      <c r="O46" s="253"/>
      <c r="P46" s="253"/>
      <c r="Q46" s="253"/>
    </row>
    <row r="47" spans="3:18" ht="16" customHeight="1">
      <c r="C47" s="416" t="s">
        <v>409</v>
      </c>
      <c r="D47" s="217">
        <v>4460723</v>
      </c>
      <c r="E47" s="217">
        <v>4581671</v>
      </c>
      <c r="F47" s="217">
        <v>4734403</v>
      </c>
      <c r="G47" s="217">
        <v>4964887</v>
      </c>
      <c r="H47" s="217">
        <v>5400957</v>
      </c>
      <c r="I47" s="217">
        <v>5709487</v>
      </c>
      <c r="J47" s="217">
        <v>6449071</v>
      </c>
      <c r="K47" s="399">
        <v>6609496</v>
      </c>
      <c r="L47" s="253"/>
      <c r="M47" s="253"/>
      <c r="N47" s="253"/>
      <c r="O47" s="253"/>
      <c r="P47" s="253"/>
      <c r="Q47" s="253"/>
    </row>
    <row r="48" spans="3:18" ht="16" customHeight="1">
      <c r="C48" s="416" t="s">
        <v>410</v>
      </c>
      <c r="D48" s="217">
        <v>-2354026</v>
      </c>
      <c r="E48" s="217">
        <v>-2451377</v>
      </c>
      <c r="F48" s="217">
        <v>-2581264</v>
      </c>
      <c r="G48" s="217">
        <v>-2679632</v>
      </c>
      <c r="H48" s="217">
        <v>-2814770</v>
      </c>
      <c r="I48" s="217">
        <v>-2939785</v>
      </c>
      <c r="J48" s="217">
        <v>-3139393</v>
      </c>
      <c r="K48" s="399">
        <v>-3241174</v>
      </c>
      <c r="L48" s="253"/>
      <c r="M48" s="253"/>
      <c r="N48" s="253"/>
      <c r="O48" s="253"/>
      <c r="P48" s="253"/>
      <c r="Q48" s="253"/>
    </row>
    <row r="49" spans="3:19" ht="16" customHeight="1">
      <c r="C49" s="416" t="s">
        <v>31</v>
      </c>
      <c r="D49" s="217">
        <v>2106697</v>
      </c>
      <c r="E49" s="217">
        <v>2130294</v>
      </c>
      <c r="F49" s="217">
        <v>2153139</v>
      </c>
      <c r="G49" s="217">
        <v>2285255</v>
      </c>
      <c r="H49" s="217">
        <v>2586187</v>
      </c>
      <c r="I49" s="217">
        <v>2769702</v>
      </c>
      <c r="J49" s="217">
        <v>3309678</v>
      </c>
      <c r="K49" s="403">
        <v>3368322</v>
      </c>
    </row>
    <row r="50" spans="3:19" ht="16" customHeight="1">
      <c r="C50" s="494"/>
      <c r="D50" s="495"/>
      <c r="E50" s="495"/>
      <c r="F50" s="495"/>
      <c r="G50" s="495"/>
      <c r="H50" s="495"/>
      <c r="I50" s="495"/>
      <c r="J50" s="495"/>
      <c r="K50" s="403"/>
    </row>
    <row r="51" spans="3:19" ht="16" customHeight="1">
      <c r="C51" s="374" t="s">
        <v>327</v>
      </c>
      <c r="D51" s="415" t="s">
        <v>61</v>
      </c>
      <c r="E51" s="415" t="s">
        <v>60</v>
      </c>
      <c r="F51" s="415" t="s">
        <v>56</v>
      </c>
      <c r="G51" s="415" t="s">
        <v>55</v>
      </c>
      <c r="H51" s="415" t="s">
        <v>23</v>
      </c>
      <c r="I51" s="415" t="s">
        <v>22</v>
      </c>
      <c r="J51" s="415" t="s">
        <v>21</v>
      </c>
      <c r="K51" s="415" t="s">
        <v>178</v>
      </c>
      <c r="L51" s="414">
        <v>2024</v>
      </c>
      <c r="M51" s="414">
        <v>2025</v>
      </c>
      <c r="N51" s="414">
        <v>2026</v>
      </c>
      <c r="O51" s="414">
        <v>2027</v>
      </c>
      <c r="P51" s="414">
        <v>2028</v>
      </c>
      <c r="Q51" s="414">
        <v>2029</v>
      </c>
      <c r="R51" s="414" t="s">
        <v>227</v>
      </c>
    </row>
    <row r="52" spans="3:19" ht="16" customHeight="1">
      <c r="C52" s="226" t="s">
        <v>25</v>
      </c>
      <c r="D52" s="385"/>
      <c r="E52" s="385"/>
      <c r="F52" s="385"/>
      <c r="G52" s="385"/>
      <c r="H52" s="385"/>
      <c r="I52" s="407" t="s">
        <v>24</v>
      </c>
      <c r="J52" s="407" t="s">
        <v>24</v>
      </c>
      <c r="K52" s="403" t="s">
        <v>24</v>
      </c>
    </row>
    <row r="53" spans="3:19" ht="16" customHeight="1">
      <c r="C53" s="407" t="s">
        <v>26</v>
      </c>
      <c r="D53" s="425">
        <f>D5/IS!D$3</f>
        <v>5.0586487046775527E-2</v>
      </c>
      <c r="E53" s="425">
        <f>E5/IS!E$3</f>
        <v>7.5470773009454803E-2</v>
      </c>
      <c r="F53" s="425">
        <f>F5/IS!F$3</f>
        <v>6.1763891247108155E-2</v>
      </c>
      <c r="G53" s="425">
        <f>G5/IS!G$3</f>
        <v>0.1403713428647049</v>
      </c>
      <c r="H53" s="425">
        <f>H5/IS!H$3</f>
        <v>3.6701998821357398E-2</v>
      </c>
      <c r="I53" s="425">
        <f>I5/IS!I$3</f>
        <v>4.4522114454203905E-2</v>
      </c>
      <c r="J53" s="425">
        <f>J5/IS!J$3</f>
        <v>3.5996622299415887E-2</v>
      </c>
      <c r="K53" s="425">
        <f>K5/IS!K$3</f>
        <v>8.7673723055644873E-2</v>
      </c>
      <c r="L53" s="385"/>
      <c r="M53" s="385"/>
      <c r="N53" s="385"/>
      <c r="O53" s="385"/>
      <c r="P53" s="385"/>
      <c r="Q53" s="385"/>
      <c r="R53" s="395">
        <f>AVERAGE(D53:K53)</f>
        <v>6.6635869099833184E-2</v>
      </c>
      <c r="S53" s="385"/>
    </row>
    <row r="54" spans="3:19" ht="16" customHeight="1">
      <c r="C54" s="215" t="s">
        <v>27</v>
      </c>
      <c r="D54" s="256">
        <f>D6/IS!D$3</f>
        <v>7.8273939494580877E-2</v>
      </c>
      <c r="E54" s="256">
        <f>E6/IS!E$3</f>
        <v>7.6259753314981554E-2</v>
      </c>
      <c r="F54" s="256">
        <f>F6/IS!F$3</f>
        <v>7.1185958068941471E-2</v>
      </c>
      <c r="G54" s="256">
        <f>G6/IS!G$3</f>
        <v>7.5491314485812339E-2</v>
      </c>
      <c r="H54" s="256">
        <f>H6/IS!H$3</f>
        <v>7.4845477324059953E-2</v>
      </c>
      <c r="I54" s="256">
        <f>I6/IS!I$3</f>
        <v>6.8258271625697475E-2</v>
      </c>
      <c r="J54" s="256">
        <f>J6/IS!J$3</f>
        <v>7.3767809238018262E-2</v>
      </c>
      <c r="K54" s="425">
        <f>K6/IS!K$3</f>
        <v>0.15888935880173352</v>
      </c>
      <c r="L54" s="412">
        <v>7.3999999999999996E-2</v>
      </c>
      <c r="M54" s="412">
        <f t="shared" ref="M54:Q55" si="22">L54</f>
        <v>7.3999999999999996E-2</v>
      </c>
      <c r="N54" s="412">
        <f t="shared" si="22"/>
        <v>7.3999999999999996E-2</v>
      </c>
      <c r="O54" s="412">
        <f t="shared" si="22"/>
        <v>7.3999999999999996E-2</v>
      </c>
      <c r="P54" s="412">
        <f t="shared" si="22"/>
        <v>7.3999999999999996E-2</v>
      </c>
      <c r="Q54" s="412">
        <f t="shared" si="22"/>
        <v>7.3999999999999996E-2</v>
      </c>
      <c r="R54" s="395">
        <f>AVERAGE(D54:J54)</f>
        <v>7.401178907887028E-2</v>
      </c>
      <c r="S54" s="63" t="s">
        <v>340</v>
      </c>
    </row>
    <row r="55" spans="3:19" ht="16" customHeight="1">
      <c r="C55" s="215" t="s">
        <v>28</v>
      </c>
      <c r="D55" s="256">
        <f>D7/IS!D$4</f>
        <v>0.1854253026440561</v>
      </c>
      <c r="E55" s="256">
        <f>E7/IS!E$4</f>
        <v>0.18617805065962259</v>
      </c>
      <c r="F55" s="256">
        <f>F7/IS!F$4</f>
        <v>0.18682246147486098</v>
      </c>
      <c r="G55" s="256">
        <f>G7/IS!G$4</f>
        <v>0.21675122795580484</v>
      </c>
      <c r="H55" s="256">
        <f>H7/IS!H$4</f>
        <v>0.2008050802612123</v>
      </c>
      <c r="I55" s="256">
        <f>I7/IS!I$4</f>
        <v>0.19814495679341085</v>
      </c>
      <c r="J55" s="256">
        <f>J7/IS!J$4</f>
        <v>0.21744085137184346</v>
      </c>
      <c r="K55" s="425">
        <f>K7/IS!K$4</f>
        <v>0.51802599770071944</v>
      </c>
      <c r="L55" s="419">
        <v>0.23</v>
      </c>
      <c r="M55" s="419">
        <f>L55-1%</f>
        <v>0.22</v>
      </c>
      <c r="N55" s="419">
        <v>0.2</v>
      </c>
      <c r="O55" s="419">
        <f t="shared" si="22"/>
        <v>0.2</v>
      </c>
      <c r="P55" s="419">
        <f t="shared" si="22"/>
        <v>0.2</v>
      </c>
      <c r="Q55" s="419">
        <f t="shared" si="22"/>
        <v>0.2</v>
      </c>
      <c r="R55" s="395">
        <f>AVERAGE(D55:J55)</f>
        <v>0.19879541873725873</v>
      </c>
      <c r="S55" s="63" t="s">
        <v>340</v>
      </c>
    </row>
    <row r="56" spans="3:19" s="198" customFormat="1" ht="16" customHeight="1">
      <c r="C56" s="215" t="s">
        <v>29</v>
      </c>
      <c r="D56" s="256">
        <f>D8/(IS!C4+IS!C6+IS!C7+IS!C8)</f>
        <v>4.5373102185154814E-2</v>
      </c>
      <c r="E56" s="256">
        <f>E8/(IS!D4+IS!D6+IS!D7+IS!D8)</f>
        <v>4.3882336988112093E-2</v>
      </c>
      <c r="F56" s="256">
        <f>F8/(IS!E4+IS!E6+IS!E7+IS!E8)</f>
        <v>3.8927231145027774E-2</v>
      </c>
      <c r="G56" s="256">
        <f>G8/(IS!F4+IS!F6+IS!F7+IS!F8)</f>
        <v>3.9822543542556689E-2</v>
      </c>
      <c r="H56" s="256">
        <f>H8/(IS!G4+IS!G6+IS!G7+IS!G8)</f>
        <v>4.0358748620430179E-2</v>
      </c>
      <c r="I56" s="256">
        <f>I8/(IS!H4+IS!H6+IS!H7+IS!H8)</f>
        <v>3.9291300108334544E-2</v>
      </c>
      <c r="J56" s="256">
        <f>J8/(IS!I4+IS!I6+IS!I7+IS!I8)</f>
        <v>4.2359220872152221E-2</v>
      </c>
      <c r="K56" s="425"/>
      <c r="L56" s="412">
        <v>4.24E-2</v>
      </c>
      <c r="M56" s="412">
        <f>L56</f>
        <v>4.24E-2</v>
      </c>
      <c r="N56" s="412">
        <f t="shared" ref="N56:Q56" si="23">M56</f>
        <v>4.24E-2</v>
      </c>
      <c r="O56" s="412">
        <f t="shared" si="23"/>
        <v>4.24E-2</v>
      </c>
      <c r="P56" s="412">
        <f t="shared" si="23"/>
        <v>4.24E-2</v>
      </c>
      <c r="Q56" s="412">
        <f t="shared" si="23"/>
        <v>4.24E-2</v>
      </c>
      <c r="R56" s="395">
        <f t="shared" ref="R56:R81" si="24">AVERAGE(D56:J56)</f>
        <v>4.1430640494538325E-2</v>
      </c>
      <c r="S56" s="63" t="s">
        <v>340</v>
      </c>
    </row>
    <row r="57" spans="3:19" ht="16" customHeight="1">
      <c r="C57" s="430" t="s">
        <v>30</v>
      </c>
      <c r="D57" s="425">
        <f>D9/IS!D$3</f>
        <v>0.26637345640819299</v>
      </c>
      <c r="E57" s="425">
        <f>E9/IS!E$3</f>
        <v>0.28740356426056551</v>
      </c>
      <c r="F57" s="425">
        <f>F9/IS!F$3</f>
        <v>0.26509331285814675</v>
      </c>
      <c r="G57" s="425">
        <f>G9/IS!G$3</f>
        <v>0.36539971500857882</v>
      </c>
      <c r="H57" s="425">
        <f>H9/IS!H$3</f>
        <v>0.25037583584252826</v>
      </c>
      <c r="I57" s="425">
        <f>I9/IS!I$3</f>
        <v>0.25149554278821579</v>
      </c>
      <c r="J57" s="425">
        <f>J9/IS!J$3</f>
        <v>0.26082445916665231</v>
      </c>
      <c r="K57" s="425">
        <f>K9/IS!K$3</f>
        <v>0.62614672656272141</v>
      </c>
      <c r="L57" s="386"/>
      <c r="M57" s="386"/>
      <c r="N57" s="386"/>
      <c r="O57" s="386"/>
      <c r="P57" s="386"/>
      <c r="Q57" s="386"/>
      <c r="R57" s="395">
        <f t="shared" si="24"/>
        <v>0.27813798376184007</v>
      </c>
      <c r="S57" s="386"/>
    </row>
    <row r="58" spans="3:19" ht="16" customHeight="1">
      <c r="C58" s="407" t="s">
        <v>413</v>
      </c>
      <c r="D58" s="425"/>
      <c r="E58" s="425"/>
      <c r="F58" s="425"/>
      <c r="G58" s="425"/>
      <c r="H58" s="425"/>
      <c r="I58" s="425"/>
      <c r="J58" s="425"/>
      <c r="K58" s="425"/>
      <c r="L58" s="496"/>
      <c r="M58" s="497"/>
      <c r="N58" s="496"/>
      <c r="O58" s="496"/>
      <c r="P58" s="496"/>
      <c r="Q58" s="496"/>
      <c r="R58" s="395"/>
      <c r="S58" s="385"/>
    </row>
    <row r="59" spans="3:19" ht="16" customHeight="1">
      <c r="C59" s="407" t="s">
        <v>32</v>
      </c>
      <c r="D59" s="425">
        <f>D13/IS!D$3</f>
        <v>0.1092500944058261</v>
      </c>
      <c r="E59" s="425">
        <f>E13/IS!E$3</f>
        <v>0.23117533678626129</v>
      </c>
      <c r="F59" s="425">
        <f>F13/IS!F$3</f>
        <v>0.24867171734625954</v>
      </c>
      <c r="G59" s="425">
        <f>G13/IS!G$3</f>
        <v>0.2439611721582057</v>
      </c>
      <c r="H59" s="425">
        <f>H13/IS!H$3</f>
        <v>0.29350965190584188</v>
      </c>
      <c r="I59" s="425">
        <f>I13/IS!I$3</f>
        <v>0.25020466837772309</v>
      </c>
      <c r="J59" s="425">
        <f>J13/IS!J$3</f>
        <v>0.2414735272537589</v>
      </c>
      <c r="K59" s="425">
        <f>K13/IS!K$3</f>
        <v>0.50525573426635118</v>
      </c>
      <c r="L59" s="385"/>
      <c r="M59" s="385"/>
      <c r="N59" s="385"/>
      <c r="O59" s="385"/>
      <c r="P59" s="385"/>
      <c r="Q59" s="385"/>
      <c r="R59" s="395">
        <f t="shared" si="24"/>
        <v>0.23117802403341092</v>
      </c>
      <c r="S59" s="385"/>
    </row>
    <row r="60" spans="3:19" ht="16" customHeight="1">
      <c r="C60" s="407" t="s">
        <v>33</v>
      </c>
      <c r="D60" s="425">
        <f>D14/IS!D$3</f>
        <v>4.9119770456125839E-2</v>
      </c>
      <c r="E60" s="425">
        <f>E14/IS!E$3</f>
        <v>0.16407145155562092</v>
      </c>
      <c r="F60" s="425">
        <f>F14/IS!F$3</f>
        <v>0.1679343451721784</v>
      </c>
      <c r="G60" s="425">
        <f>G14/IS!G$3</f>
        <v>0.15892744277440732</v>
      </c>
      <c r="H60" s="425">
        <f>H14/IS!H$3</f>
        <v>0.22712199976436065</v>
      </c>
      <c r="I60" s="425">
        <f>I14/IS!I$3</f>
        <v>0.18871422574312616</v>
      </c>
      <c r="J60" s="425">
        <f>J14/IS!J$3</f>
        <v>0.16831440631574121</v>
      </c>
      <c r="K60" s="425">
        <f>K14/IS!K$3</f>
        <v>0.34511844713264628</v>
      </c>
      <c r="L60" s="392">
        <v>78276</v>
      </c>
      <c r="M60" s="392">
        <v>78276</v>
      </c>
      <c r="N60" s="392">
        <v>78276</v>
      </c>
      <c r="O60" s="385">
        <v>77136</v>
      </c>
      <c r="P60" s="385">
        <v>77136</v>
      </c>
      <c r="Q60" s="385">
        <f>P60</f>
        <v>77136</v>
      </c>
      <c r="R60" s="395">
        <f t="shared" si="24"/>
        <v>0.16060052025450863</v>
      </c>
      <c r="S60" s="385"/>
    </row>
    <row r="61" spans="3:19" ht="16" customHeight="1">
      <c r="C61" s="215" t="s">
        <v>34</v>
      </c>
      <c r="D61" s="256">
        <f>D15/IS!D$3</f>
        <v>3.3514933152159303E-2</v>
      </c>
      <c r="E61" s="256">
        <f>E15/IS!E$3</f>
        <v>3.2471025478018486E-2</v>
      </c>
      <c r="F61" s="256">
        <f>F15/IS!F$3</f>
        <v>6.4110173332872541E-2</v>
      </c>
      <c r="G61" s="256">
        <f>G15/IS!G$3</f>
        <v>6.8209345622836814E-2</v>
      </c>
      <c r="H61" s="256">
        <f>H15/IS!H$3</f>
        <v>9.6775207530382601E-2</v>
      </c>
      <c r="I61" s="256">
        <f>I15/IS!I$3</f>
        <v>9.0696068274875433E-2</v>
      </c>
      <c r="J61" s="256">
        <f>J15/IS!J$3</f>
        <v>9.5067421454489182E-2</v>
      </c>
      <c r="K61" s="425">
        <f>K15/IS!K$3</f>
        <v>0.21404279785982544</v>
      </c>
      <c r="L61" s="412">
        <f>J61</f>
        <v>9.5067421454489182E-2</v>
      </c>
      <c r="M61" s="412">
        <v>9.5100000000000004E-2</v>
      </c>
      <c r="N61" s="412">
        <v>9.6000000000000002E-2</v>
      </c>
      <c r="O61" s="412">
        <v>9.6000000000000002E-2</v>
      </c>
      <c r="P61" s="412">
        <v>9.7000000000000003E-2</v>
      </c>
      <c r="Q61" s="412">
        <v>9.8000000000000004E-2</v>
      </c>
      <c r="R61" s="395">
        <f t="shared" si="24"/>
        <v>6.8692024977947769E-2</v>
      </c>
      <c r="S61" s="63" t="s">
        <v>341</v>
      </c>
    </row>
    <row r="62" spans="3:19" s="198" customFormat="1" ht="16" customHeight="1">
      <c r="C62" s="215" t="s">
        <v>35</v>
      </c>
      <c r="D62" s="256">
        <f>D16/IS!D$12</f>
        <v>2.7217854480366772E-3</v>
      </c>
      <c r="E62" s="256">
        <f>E16/IS!E$12</f>
        <v>8.2691458029120722E-4</v>
      </c>
      <c r="F62" s="256">
        <f>F16/IS!F$12</f>
        <v>2.2474912803161103E-2</v>
      </c>
      <c r="G62" s="256">
        <f>G16/IS!G$12</f>
        <v>1.9644855474626372E-2</v>
      </c>
      <c r="H62" s="256">
        <f>H16/IS!H$12</f>
        <v>2.2742295896337909E-2</v>
      </c>
      <c r="I62" s="256">
        <f>I16/IS!I$12</f>
        <v>2.1124934861567465E-2</v>
      </c>
      <c r="J62" s="256">
        <f>J16/IS!J$12</f>
        <v>2.0468132442915395E-2</v>
      </c>
      <c r="K62" s="425">
        <f>K16/IS!K$12</f>
        <v>3.3545107180074862E-2</v>
      </c>
      <c r="L62" s="412">
        <f>AVERAGE(F62:J62)</f>
        <v>2.129102629572165E-2</v>
      </c>
      <c r="M62" s="412">
        <f>L62</f>
        <v>2.129102629572165E-2</v>
      </c>
      <c r="N62" s="412">
        <f>M62</f>
        <v>2.129102629572165E-2</v>
      </c>
      <c r="O62" s="412">
        <f>N62</f>
        <v>2.129102629572165E-2</v>
      </c>
      <c r="P62" s="412">
        <f>O62</f>
        <v>2.129102629572165E-2</v>
      </c>
      <c r="Q62" s="412">
        <f>P62</f>
        <v>2.129102629572165E-2</v>
      </c>
      <c r="R62" s="395">
        <f>AVERAGE(D62:J62)</f>
        <v>1.5714833072419446E-2</v>
      </c>
      <c r="S62" s="63" t="s">
        <v>340</v>
      </c>
    </row>
    <row r="63" spans="3:19" ht="16" customHeight="1">
      <c r="C63" s="429" t="s">
        <v>36</v>
      </c>
      <c r="D63" s="425">
        <f>D17/IS!D$3</f>
        <v>0.73897687236891163</v>
      </c>
      <c r="E63" s="425">
        <f>E17/IS!E$3</f>
        <v>0.98869872670874814</v>
      </c>
      <c r="F63" s="425">
        <f>F17/IS!F$3</f>
        <v>1.0193010438438457</v>
      </c>
      <c r="G63" s="425">
        <f>G17/IS!G$3</f>
        <v>1.1205104126903025</v>
      </c>
      <c r="H63" s="425">
        <f>H17/IS!H$3</f>
        <v>1.1606108431775555</v>
      </c>
      <c r="I63" s="425">
        <f>I17/IS!I$3</f>
        <v>1.0508216775532009</v>
      </c>
      <c r="J63" s="425">
        <f>J17/IS!J$3</f>
        <v>1.0660948973362452</v>
      </c>
      <c r="K63" s="425">
        <f>K17/IS!K$3</f>
        <v>2.3306063996873423</v>
      </c>
      <c r="L63" s="386"/>
      <c r="M63" s="386"/>
      <c r="N63" s="386"/>
      <c r="O63" s="386"/>
      <c r="P63" s="386"/>
      <c r="Q63" s="386"/>
      <c r="R63" s="395">
        <f t="shared" si="24"/>
        <v>1.0207163533826871</v>
      </c>
      <c r="S63" s="386"/>
    </row>
    <row r="64" spans="3:19" ht="16" customHeight="1">
      <c r="C64" s="429" t="s">
        <v>37</v>
      </c>
      <c r="D64" s="425"/>
      <c r="E64" s="425"/>
      <c r="F64" s="425"/>
      <c r="G64" s="425"/>
      <c r="H64" s="425"/>
      <c r="I64" s="425"/>
      <c r="J64" s="425"/>
      <c r="K64" s="425"/>
      <c r="L64" s="385"/>
      <c r="M64" s="385"/>
      <c r="N64" s="385"/>
      <c r="O64" s="385"/>
      <c r="P64" s="385"/>
      <c r="Q64" s="385"/>
      <c r="R64" s="395"/>
      <c r="S64" s="385"/>
    </row>
    <row r="65" spans="3:19" ht="16" customHeight="1">
      <c r="C65" s="215" t="s">
        <v>38</v>
      </c>
      <c r="D65" s="256">
        <f>D19/IS!D$4</f>
        <v>0.1288725508306548</v>
      </c>
      <c r="E65" s="256">
        <f>E19/IS!E$4</f>
        <v>0.11915192193833402</v>
      </c>
      <c r="F65" s="256">
        <f>F19/IS!F$4</f>
        <v>0.12622743524298005</v>
      </c>
      <c r="G65" s="256">
        <f>G19/IS!G$4</f>
        <v>0.13039553102766133</v>
      </c>
      <c r="H65" s="256">
        <f>H19/IS!H$4</f>
        <v>0.14064080992309363</v>
      </c>
      <c r="I65" s="256">
        <f>I19/IS!I$4</f>
        <v>0.16393151332089859</v>
      </c>
      <c r="J65" s="256">
        <f>J19/IS!J$4</f>
        <v>0.17612323695642867</v>
      </c>
      <c r="K65" s="425">
        <f>K19/IS!K$4</f>
        <v>0.40399829204412718</v>
      </c>
      <c r="L65" s="419">
        <v>0.17899999999999999</v>
      </c>
      <c r="M65" s="419">
        <v>0.17899999999999999</v>
      </c>
      <c r="N65" s="419">
        <v>0.17899999999999999</v>
      </c>
      <c r="O65" s="419">
        <v>0.17899999999999999</v>
      </c>
      <c r="P65" s="419">
        <v>0.17899999999999999</v>
      </c>
      <c r="Q65" s="419">
        <v>0.17899999999999999</v>
      </c>
      <c r="R65" s="395">
        <f t="shared" si="24"/>
        <v>0.14076328560572157</v>
      </c>
      <c r="S65" s="63" t="s">
        <v>342</v>
      </c>
    </row>
    <row r="66" spans="3:19" ht="16" customHeight="1">
      <c r="C66" s="215" t="s">
        <v>39</v>
      </c>
      <c r="D66" s="256">
        <f>D20/IS!D$3</f>
        <v>8.9966157607033859E-2</v>
      </c>
      <c r="E66" s="256">
        <f>E20/IS!E$3</f>
        <v>8.7171991417352351E-2</v>
      </c>
      <c r="F66" s="256">
        <f>F20/IS!F$3</f>
        <v>8.7947638015930377E-2</v>
      </c>
      <c r="G66" s="256">
        <f>G20/IS!G$3</f>
        <v>9.592551595950731E-2</v>
      </c>
      <c r="H66" s="256">
        <f>H20/IS!H$3</f>
        <v>9.5374635909898378E-2</v>
      </c>
      <c r="I66" s="256">
        <f>I20/IS!I$3</f>
        <v>7.9901574905171122E-2</v>
      </c>
      <c r="J66" s="256">
        <f>J20/IS!J$3</f>
        <v>7.772643276412558E-2</v>
      </c>
      <c r="K66" s="425">
        <f>K20/IS!K$3</f>
        <v>0.14711644646776026</v>
      </c>
      <c r="L66" s="379">
        <f>7.5%</f>
        <v>7.4999999999999997E-2</v>
      </c>
      <c r="M66" s="379">
        <f t="shared" ref="M66:Q66" si="25">7.5%</f>
        <v>7.4999999999999997E-2</v>
      </c>
      <c r="N66" s="379">
        <f t="shared" si="25"/>
        <v>7.4999999999999997E-2</v>
      </c>
      <c r="O66" s="379">
        <f t="shared" si="25"/>
        <v>7.4999999999999997E-2</v>
      </c>
      <c r="P66" s="379">
        <f t="shared" si="25"/>
        <v>7.4999999999999997E-2</v>
      </c>
      <c r="Q66" s="379">
        <f t="shared" si="25"/>
        <v>7.4999999999999997E-2</v>
      </c>
      <c r="R66" s="395">
        <f t="shared" si="24"/>
        <v>8.7716278082716995E-2</v>
      </c>
      <c r="S66" s="63" t="s">
        <v>343</v>
      </c>
    </row>
    <row r="67" spans="3:19" ht="16" customHeight="1">
      <c r="C67" s="215" t="s">
        <v>40</v>
      </c>
      <c r="D67" s="256">
        <f>D21/IS!D$12</f>
        <v>1.5957063676994385E-2</v>
      </c>
      <c r="E67" s="256">
        <f>E21/IS!E$12</f>
        <v>2.3951446072191202E-2</v>
      </c>
      <c r="F67" s="256">
        <f>F21/IS!F$12</f>
        <v>1.4427310861076027E-2</v>
      </c>
      <c r="G67" s="256">
        <f>G21/IS!G$12</f>
        <v>1.1405374057606804E-2</v>
      </c>
      <c r="H67" s="256">
        <f>H21/IS!H$12</f>
        <v>1.7081899640779335E-3</v>
      </c>
      <c r="I67" s="256">
        <f>I21/IS!I$12</f>
        <v>3.5001311897159782E-3</v>
      </c>
      <c r="J67" s="256">
        <f>J21/IS!J$12</f>
        <v>1.3563003944998398E-2</v>
      </c>
      <c r="K67" s="425">
        <f>K21/IS!K$12</f>
        <v>3.0217541627033467E-2</v>
      </c>
      <c r="L67" s="412">
        <v>1.2E-2</v>
      </c>
      <c r="M67" s="412">
        <f t="shared" ref="M67:Q67" si="26">L67</f>
        <v>1.2E-2</v>
      </c>
      <c r="N67" s="412">
        <f t="shared" si="26"/>
        <v>1.2E-2</v>
      </c>
      <c r="O67" s="412">
        <f t="shared" si="26"/>
        <v>1.2E-2</v>
      </c>
      <c r="P67" s="412">
        <f t="shared" si="26"/>
        <v>1.2E-2</v>
      </c>
      <c r="Q67" s="412">
        <f t="shared" si="26"/>
        <v>1.2E-2</v>
      </c>
      <c r="R67" s="395">
        <f t="shared" si="24"/>
        <v>1.2073217109522961E-2</v>
      </c>
      <c r="S67" s="63" t="s">
        <v>227</v>
      </c>
    </row>
    <row r="68" spans="3:19" ht="16" customHeight="1">
      <c r="C68" s="407" t="s">
        <v>41</v>
      </c>
      <c r="D68" s="425">
        <f>D22/IS!D$3</f>
        <v>7.4428116250495974E-2</v>
      </c>
      <c r="E68" s="425">
        <f>E22/IS!E$3</f>
        <v>0.15375669243848308</v>
      </c>
      <c r="F68" s="425">
        <f>F22/IS!F$3</f>
        <v>4.0421965147105299E-3</v>
      </c>
      <c r="G68" s="425">
        <f>G22/IS!G$3</f>
        <v>9.0850985168936492E-3</v>
      </c>
      <c r="H68" s="425">
        <f>H22/IS!H$3</f>
        <v>0.10471382359173444</v>
      </c>
      <c r="I68" s="425">
        <f>I22/IS!I$3</f>
        <v>6.6587045149124308E-2</v>
      </c>
      <c r="J68" s="425">
        <f>J22/IS!J$3</f>
        <v>6.447286303474288E-2</v>
      </c>
      <c r="K68" s="425">
        <f>K22/IS!K$3</f>
        <v>0.24802275254170603</v>
      </c>
      <c r="L68" s="501"/>
      <c r="M68" s="501"/>
      <c r="N68" s="501"/>
      <c r="O68" s="501"/>
      <c r="P68" s="501"/>
      <c r="Q68" s="501"/>
      <c r="R68" s="395">
        <f t="shared" si="24"/>
        <v>6.8155119356597835E-2</v>
      </c>
    </row>
    <row r="69" spans="3:19" s="198" customFormat="1" ht="16" customHeight="1">
      <c r="C69" s="407" t="s">
        <v>42</v>
      </c>
      <c r="D69" s="425">
        <f>D23/IS!D$3</f>
        <v>3.9930936716029139E-2</v>
      </c>
      <c r="E69" s="425">
        <f>E23/IS!E$3</f>
        <v>6.9143271610096126E-4</v>
      </c>
      <c r="F69" s="425">
        <f>F23/IS!F$3</f>
        <v>8.8075107071502373E-2</v>
      </c>
      <c r="G69" s="425">
        <f>G23/IS!G$3</f>
        <v>5.3845905607297628E-2</v>
      </c>
      <c r="H69" s="425">
        <f>H23/IS!H$3</f>
        <v>3.1700960514581051E-4</v>
      </c>
      <c r="I69" s="425">
        <f>I23/IS!I$3</f>
        <v>7.2325245837193963E-2</v>
      </c>
      <c r="J69" s="425">
        <f>J23/IS!J$3</f>
        <v>2.7322724458736736E-2</v>
      </c>
      <c r="K69" s="425">
        <f>K23/IS!K$3</f>
        <v>0.11360052289849</v>
      </c>
      <c r="L69" s="411"/>
      <c r="M69" s="411"/>
      <c r="N69" s="411"/>
      <c r="O69" s="411"/>
      <c r="P69" s="411"/>
      <c r="Q69" s="411"/>
      <c r="R69" s="395">
        <f t="shared" si="24"/>
        <v>4.0358337430286655E-2</v>
      </c>
      <c r="S69" s="385"/>
    </row>
    <row r="70" spans="3:19" ht="16" customHeight="1">
      <c r="C70" s="429" t="s">
        <v>43</v>
      </c>
      <c r="D70" s="425">
        <f>D24/IS!D$3</f>
        <v>0.27630409773178527</v>
      </c>
      <c r="E70" s="425">
        <f>E24/IS!E$3</f>
        <v>0.31042800416733568</v>
      </c>
      <c r="F70" s="425">
        <f>F24/IS!F$3</f>
        <v>0.25153138167941608</v>
      </c>
      <c r="G70" s="425">
        <f>G24/IS!G$3</f>
        <v>0.23212395421240903</v>
      </c>
      <c r="H70" s="425">
        <f>H24/IS!H$3</f>
        <v>0.27791989087022367</v>
      </c>
      <c r="I70" s="425">
        <f>I24/IS!I$3</f>
        <v>0.31260793677575466</v>
      </c>
      <c r="J70" s="425">
        <f>J24/IS!J$3</f>
        <v>0.2694450654330966</v>
      </c>
      <c r="K70" s="425">
        <f>K24/IS!K$3</f>
        <v>0.72939064568089718</v>
      </c>
      <c r="L70" s="386"/>
      <c r="M70" s="386"/>
      <c r="N70" s="386"/>
      <c r="O70" s="386"/>
      <c r="P70" s="386"/>
      <c r="Q70" s="386"/>
      <c r="R70" s="395">
        <f t="shared" si="24"/>
        <v>0.27576576155286009</v>
      </c>
      <c r="S70" s="386"/>
    </row>
    <row r="71" spans="3:19" ht="16" customHeight="1">
      <c r="C71" s="407" t="s">
        <v>365</v>
      </c>
      <c r="D71" s="431">
        <f t="shared" ref="D71:J71" si="27">D25/(D39)</f>
        <v>2.2124306945838454</v>
      </c>
      <c r="E71" s="431">
        <f t="shared" si="27"/>
        <v>2.3124839227267624</v>
      </c>
      <c r="F71" s="431">
        <f t="shared" si="27"/>
        <v>2.0233954959157452</v>
      </c>
      <c r="G71" s="431">
        <f t="shared" si="27"/>
        <v>1.8275106428709633</v>
      </c>
      <c r="H71" s="431">
        <f t="shared" si="27"/>
        <v>1.4821500136550139</v>
      </c>
      <c r="I71" s="431">
        <f t="shared" si="27"/>
        <v>1.0134664062670478</v>
      </c>
      <c r="J71" s="431">
        <f t="shared" si="27"/>
        <v>0.92438460671476519</v>
      </c>
      <c r="K71" s="426">
        <f>K25/(K17-K5)</f>
        <v>0.29203323631791328</v>
      </c>
      <c r="L71" s="395"/>
      <c r="M71" s="395"/>
      <c r="N71" s="395"/>
      <c r="O71" s="395"/>
      <c r="P71" s="395"/>
      <c r="Q71" s="395"/>
      <c r="R71" s="395">
        <f t="shared" si="24"/>
        <v>1.6851173975334492</v>
      </c>
      <c r="S71" s="385"/>
    </row>
    <row r="72" spans="3:19" ht="16" customHeight="1">
      <c r="C72" s="215" t="s">
        <v>45</v>
      </c>
      <c r="D72" s="256">
        <f>D26/IS!D$3</f>
        <v>5.840507244699103E-2</v>
      </c>
      <c r="E72" s="256">
        <f>E26/IS!E$3</f>
        <v>5.7251193642361531E-2</v>
      </c>
      <c r="F72" s="256">
        <f>F26/IS!F$3</f>
        <v>8.2113236597092104E-2</v>
      </c>
      <c r="G72" s="256">
        <f>G26/IS!G$3</f>
        <v>8.3859823878590173E-2</v>
      </c>
      <c r="H72" s="256">
        <f>H26/IS!H$3</f>
        <v>8.7730290368091171E-2</v>
      </c>
      <c r="I72" s="256">
        <f>I26/IS!I$3</f>
        <v>6.9077808918723282E-2</v>
      </c>
      <c r="J72" s="256">
        <f>J26/IS!J$3</f>
        <v>5.9173620545361787E-2</v>
      </c>
      <c r="K72" s="425">
        <f>K26/IS!K$3</f>
        <v>0.13141259743104716</v>
      </c>
      <c r="L72" s="419">
        <v>0.06</v>
      </c>
      <c r="M72" s="419">
        <f t="shared" ref="M72:Q72" si="28">L72</f>
        <v>0.06</v>
      </c>
      <c r="N72" s="412">
        <f t="shared" si="28"/>
        <v>0.06</v>
      </c>
      <c r="O72" s="412">
        <f t="shared" si="28"/>
        <v>0.06</v>
      </c>
      <c r="P72" s="412">
        <f t="shared" si="28"/>
        <v>0.06</v>
      </c>
      <c r="Q72" s="412">
        <f t="shared" si="28"/>
        <v>0.06</v>
      </c>
      <c r="R72" s="395">
        <f t="shared" si="24"/>
        <v>7.1087292342458724E-2</v>
      </c>
      <c r="S72" s="63" t="s">
        <v>345</v>
      </c>
    </row>
    <row r="73" spans="3:19" ht="16" customHeight="1">
      <c r="C73" s="215" t="s">
        <v>35</v>
      </c>
      <c r="D73" s="256">
        <f>D27/IS!D$12</f>
        <v>4.1106793389203616E-2</v>
      </c>
      <c r="E73" s="256">
        <f>E27/IS!E$12</f>
        <v>0.12542719783044848</v>
      </c>
      <c r="F73" s="256">
        <f>F27/IS!F$12</f>
        <v>0.14485828341000476</v>
      </c>
      <c r="G73" s="256">
        <f>G27/IS!G$12</f>
        <v>0.15319629403938603</v>
      </c>
      <c r="H73" s="256">
        <f>H27/IS!H$12</f>
        <v>0.16024936234993523</v>
      </c>
      <c r="I73" s="256">
        <f>I27/IS!I$12</f>
        <v>0.17130455783849424</v>
      </c>
      <c r="J73" s="256">
        <f>J27/IS!J$12</f>
        <v>0.15917110831985798</v>
      </c>
      <c r="K73" s="425">
        <f>K27/IS!K$12</f>
        <v>0.26841198832592611</v>
      </c>
      <c r="L73" s="412">
        <v>0.155</v>
      </c>
      <c r="M73" s="412">
        <v>0.155</v>
      </c>
      <c r="N73" s="412">
        <v>0.155</v>
      </c>
      <c r="O73" s="412">
        <v>0.155</v>
      </c>
      <c r="P73" s="412">
        <v>0.155</v>
      </c>
      <c r="Q73" s="412">
        <v>0.155</v>
      </c>
      <c r="R73" s="395">
        <f t="shared" si="24"/>
        <v>0.13647337102533291</v>
      </c>
    </row>
    <row r="74" spans="3:19" ht="16" customHeight="1">
      <c r="C74" s="429" t="s">
        <v>46</v>
      </c>
      <c r="D74" s="425">
        <f>D28/IS!D$3</f>
        <v>0.61502315371078098</v>
      </c>
      <c r="E74" s="425">
        <f>E28/IS!E$3</f>
        <v>0.80807319252338805</v>
      </c>
      <c r="F74" s="425">
        <f>F28/IS!F$3</f>
        <v>0</v>
      </c>
      <c r="G74" s="425">
        <f>G28/IS!G$3</f>
        <v>0.84591407384720874</v>
      </c>
      <c r="H74" s="425">
        <f>H28/IS!H$3</f>
        <v>0.85327326350576282</v>
      </c>
      <c r="I74" s="425">
        <f>I28/IS!I$3</f>
        <v>0.73414532692906065</v>
      </c>
      <c r="J74" s="425">
        <f>J28/IS!J$3</f>
        <v>0.69895750932916034</v>
      </c>
      <c r="K74" s="425">
        <f>K28/IS!K$3</f>
        <v>1.5778949994453026</v>
      </c>
      <c r="L74" s="385"/>
      <c r="M74" s="385"/>
      <c r="N74" s="385"/>
      <c r="O74" s="385"/>
      <c r="P74" s="385"/>
      <c r="Q74" s="385"/>
      <c r="R74" s="395">
        <f t="shared" si="24"/>
        <v>0.65076950283505164</v>
      </c>
      <c r="S74" s="385"/>
    </row>
    <row r="75" spans="3:19" ht="16" customHeight="1">
      <c r="C75" s="226"/>
      <c r="I75" s="215" t="s">
        <v>24</v>
      </c>
      <c r="J75" s="215" t="s">
        <v>24</v>
      </c>
      <c r="K75" s="403" t="s">
        <v>24</v>
      </c>
      <c r="R75" s="395"/>
    </row>
    <row r="76" spans="3:19" ht="16" customHeight="1">
      <c r="C76" s="416" t="s">
        <v>405</v>
      </c>
      <c r="E76" s="212">
        <f>(E43-D43)/IS!D$3</f>
        <v>-8.2842941970288843E-4</v>
      </c>
      <c r="F76" s="212">
        <f>(F43-E43)/IS!E$3</f>
        <v>4.5603498056556811E-4</v>
      </c>
      <c r="G76" s="212">
        <f>(G43-F43)/IS!F$3</f>
        <v>3.2413202087787862E-3</v>
      </c>
      <c r="H76" s="212">
        <f>(H43-G43)/IS!G$3</f>
        <v>2.8198518255660105E-3</v>
      </c>
      <c r="I76" s="212">
        <f>(I43-H43)/IS!H$3</f>
        <v>1.6374370954964684E-4</v>
      </c>
      <c r="J76" s="212">
        <f>(J43-I43)/IS!I$3</f>
        <v>2.3790479470106132E-3</v>
      </c>
      <c r="K76" s="426">
        <f>(K43-J43)/IS!J$3</f>
        <v>-6.8338606960040817E-5</v>
      </c>
      <c r="L76" s="210">
        <v>2E-3</v>
      </c>
      <c r="M76" s="210">
        <f>L76</f>
        <v>2E-3</v>
      </c>
      <c r="N76" s="210">
        <f t="shared" ref="N76:Q76" si="29">M76</f>
        <v>2E-3</v>
      </c>
      <c r="O76" s="210">
        <f t="shared" si="29"/>
        <v>2E-3</v>
      </c>
      <c r="P76" s="210">
        <f t="shared" si="29"/>
        <v>2E-3</v>
      </c>
      <c r="Q76" s="210">
        <f t="shared" si="29"/>
        <v>2E-3</v>
      </c>
      <c r="R76" s="395">
        <f t="shared" si="24"/>
        <v>1.371928208627956E-3</v>
      </c>
    </row>
    <row r="77" spans="3:19" ht="16" customHeight="1">
      <c r="C77" s="416" t="s">
        <v>406</v>
      </c>
      <c r="E77" s="212">
        <f>(E44-D44)/IS!D$3</f>
        <v>-4.1873873816334565E-4</v>
      </c>
      <c r="F77" s="212">
        <f>(F44-E44)/IS!E$3</f>
        <v>1.1291646884400588E-2</v>
      </c>
      <c r="G77" s="212">
        <f>(G44-F44)/IS!F$3</f>
        <v>1.1034087078644651E-2</v>
      </c>
      <c r="H77" s="212">
        <f>(H44-G44)/IS!G$3</f>
        <v>1.4851186893683083E-2</v>
      </c>
      <c r="I77" s="212">
        <f>(I44-H44)/IS!H$3</f>
        <v>4.1146598327540251E-3</v>
      </c>
      <c r="J77" s="212">
        <f>(J44-I44)/IS!I$3</f>
        <v>2.0924354375641958E-2</v>
      </c>
      <c r="K77" s="426">
        <f>(K44-J44)/IS!J$3</f>
        <v>1.5633687870085353E-3</v>
      </c>
      <c r="L77" s="210">
        <v>1.2E-2</v>
      </c>
      <c r="M77" s="210">
        <v>1.2E-2</v>
      </c>
      <c r="N77" s="210">
        <v>1.2E-2</v>
      </c>
      <c r="O77" s="210">
        <v>1.2E-2</v>
      </c>
      <c r="P77" s="210">
        <v>1.2E-2</v>
      </c>
      <c r="Q77" s="210">
        <v>1.2E-2</v>
      </c>
      <c r="R77" s="395">
        <f t="shared" si="24"/>
        <v>1.0299532721160159E-2</v>
      </c>
      <c r="S77" s="63" t="s">
        <v>416</v>
      </c>
    </row>
    <row r="78" spans="3:19" ht="16" customHeight="1">
      <c r="C78" s="416" t="s">
        <v>412</v>
      </c>
      <c r="E78" s="212">
        <f>(E45-D45)/IS!D$3</f>
        <v>8.3393808947090954E-3</v>
      </c>
      <c r="F78" s="212">
        <f>(F45-E45)/IS!E$3</f>
        <v>1.6939395607971128E-2</v>
      </c>
      <c r="G78" s="212">
        <f>(G45-F45)/IS!F$3</f>
        <v>6.2295805341479335E-3</v>
      </c>
      <c r="H78" s="212">
        <f>(H45-G45)/IS!G$3</f>
        <v>3.3589624378460164E-2</v>
      </c>
      <c r="I78" s="212">
        <f>(I45-H45)/IS!H$3</f>
        <v>1.6580694716963593E-2</v>
      </c>
      <c r="J78" s="212">
        <f>(J45-I45)/IS!I$3</f>
        <v>2.5793974140666344E-2</v>
      </c>
      <c r="K78" s="426">
        <f>(K45-J45)/IS!J$3</f>
        <v>9.8296532590439831E-3</v>
      </c>
      <c r="L78" s="210">
        <v>1.7999999999999999E-2</v>
      </c>
      <c r="M78" s="210">
        <f>L78</f>
        <v>1.7999999999999999E-2</v>
      </c>
      <c r="N78" s="210">
        <f t="shared" ref="N78:Q78" si="30">M78</f>
        <v>1.7999999999999999E-2</v>
      </c>
      <c r="O78" s="210">
        <f t="shared" si="30"/>
        <v>1.7999999999999999E-2</v>
      </c>
      <c r="P78" s="210">
        <f t="shared" si="30"/>
        <v>1.7999999999999999E-2</v>
      </c>
      <c r="Q78" s="210">
        <f t="shared" si="30"/>
        <v>1.7999999999999999E-2</v>
      </c>
      <c r="R78" s="395">
        <f t="shared" si="24"/>
        <v>1.7912108378819711E-2</v>
      </c>
    </row>
    <row r="79" spans="3:19" ht="16" customHeight="1">
      <c r="C79" s="416" t="s">
        <v>408</v>
      </c>
      <c r="E79" s="212">
        <f>(E46-D46)/IS!D$3</f>
        <v>9.0010865651527945E-3</v>
      </c>
      <c r="F79" s="212">
        <f>(F46-E46)/IS!E$3</f>
        <v>-9.0836058569112917E-3</v>
      </c>
      <c r="G79" s="212">
        <f>(G46-F46)/IS!F$3</f>
        <v>8.3551082535336975E-3</v>
      </c>
      <c r="H79" s="212">
        <f>(H46-G46)/IS!G$3</f>
        <v>2.246703229890503E-3</v>
      </c>
      <c r="I79" s="212">
        <f>(I46-H46)/IS!H$3</f>
        <v>1.3531539390394096E-2</v>
      </c>
      <c r="J79" s="212">
        <f>(J46-I46)/IS!I$3</f>
        <v>2.1884784132207038E-2</v>
      </c>
      <c r="K79" s="426">
        <f>(K46-J46)/IS!J$3</f>
        <v>3.0438893283577812E-3</v>
      </c>
      <c r="L79" s="210">
        <v>7.7000000000000002E-3</v>
      </c>
      <c r="M79" s="210">
        <f>L79</f>
        <v>7.7000000000000002E-3</v>
      </c>
      <c r="N79" s="210">
        <f t="shared" ref="N79:Q79" si="31">M79</f>
        <v>7.7000000000000002E-3</v>
      </c>
      <c r="O79" s="210">
        <f t="shared" si="31"/>
        <v>7.7000000000000002E-3</v>
      </c>
      <c r="P79" s="210">
        <f t="shared" si="31"/>
        <v>7.7000000000000002E-3</v>
      </c>
      <c r="Q79" s="210">
        <f t="shared" si="31"/>
        <v>7.7000000000000002E-3</v>
      </c>
      <c r="R79" s="395">
        <f t="shared" si="24"/>
        <v>7.6559359523778068E-3</v>
      </c>
      <c r="S79" s="63" t="s">
        <v>415</v>
      </c>
    </row>
    <row r="80" spans="3:19" ht="16" customHeight="1">
      <c r="C80" s="498" t="s">
        <v>409</v>
      </c>
      <c r="D80" s="385"/>
      <c r="E80" s="397">
        <f>(E47-D47)/IS!D$3</f>
        <v>1.6093299301995656E-2</v>
      </c>
      <c r="F80" s="397">
        <f>(F47-E47)/IS!E$3</f>
        <v>1.9603471616025991E-2</v>
      </c>
      <c r="G80" s="397">
        <f>(G47-F47)/IS!F$3</f>
        <v>2.886009607510507E-2</v>
      </c>
      <c r="H80" s="397">
        <f>(H47-G47)/IS!G$3</f>
        <v>5.350736632759976E-2</v>
      </c>
      <c r="I80" s="397">
        <f>(I47-H47)/IS!H$3</f>
        <v>3.4390637649661361E-2</v>
      </c>
      <c r="J80" s="397">
        <f>(J47-I47)/IS!I$3</f>
        <v>7.098216059552595E-2</v>
      </c>
      <c r="K80" s="426">
        <f>(K47-J47)/IS!J$3</f>
        <v>1.4368572767450259E-2</v>
      </c>
      <c r="L80" s="397">
        <f>SUM(L76:L79)</f>
        <v>3.9699999999999999E-2</v>
      </c>
      <c r="M80" s="397">
        <f t="shared" ref="M80:Q80" si="32">SUM(M76:M79)</f>
        <v>3.9699999999999999E-2</v>
      </c>
      <c r="N80" s="397">
        <f t="shared" si="32"/>
        <v>3.9699999999999999E-2</v>
      </c>
      <c r="O80" s="397">
        <f t="shared" si="32"/>
        <v>3.9699999999999999E-2</v>
      </c>
      <c r="P80" s="397">
        <f t="shared" si="32"/>
        <v>3.9699999999999999E-2</v>
      </c>
      <c r="Q80" s="397">
        <f t="shared" si="32"/>
        <v>3.9699999999999999E-2</v>
      </c>
      <c r="R80" s="395"/>
      <c r="S80" s="385"/>
    </row>
    <row r="81" spans="3:19" ht="16" customHeight="1">
      <c r="C81" s="416" t="s">
        <v>410</v>
      </c>
      <c r="D81" s="212">
        <f>D48/D47</f>
        <v>-0.52772297226256815</v>
      </c>
      <c r="E81" s="212">
        <f>E48/E47</f>
        <v>-0.53503994503315488</v>
      </c>
      <c r="F81" s="212">
        <f t="shared" ref="F81:J81" si="33">F48/F47</f>
        <v>-0.5452142540463919</v>
      </c>
      <c r="G81" s="212">
        <f>G48/G47</f>
        <v>-0.53971661389272307</v>
      </c>
      <c r="H81" s="212">
        <f t="shared" si="33"/>
        <v>-0.52116134233247924</v>
      </c>
      <c r="I81" s="212">
        <f t="shared" si="33"/>
        <v>-0.51489477075611167</v>
      </c>
      <c r="J81" s="212">
        <f t="shared" si="33"/>
        <v>-0.4867977108640919</v>
      </c>
      <c r="K81" s="426">
        <f t="shared" ref="K81" si="34">K48/K47</f>
        <v>-0.49038141486128445</v>
      </c>
      <c r="L81" s="208">
        <v>-0.49</v>
      </c>
      <c r="M81" s="208">
        <f>L81</f>
        <v>-0.49</v>
      </c>
      <c r="N81" s="208">
        <f t="shared" ref="N81:Q81" si="35">M81</f>
        <v>-0.49</v>
      </c>
      <c r="O81" s="208">
        <f t="shared" si="35"/>
        <v>-0.49</v>
      </c>
      <c r="P81" s="208">
        <f t="shared" si="35"/>
        <v>-0.49</v>
      </c>
      <c r="Q81" s="208">
        <f t="shared" si="35"/>
        <v>-0.49</v>
      </c>
      <c r="R81" s="395">
        <f t="shared" si="24"/>
        <v>-0.52436394416964582</v>
      </c>
      <c r="S81" s="63" t="s">
        <v>417</v>
      </c>
    </row>
    <row r="82" spans="3:19" ht="16" customHeight="1">
      <c r="C82" s="498" t="s">
        <v>31</v>
      </c>
      <c r="D82" s="385"/>
      <c r="E82" s="397">
        <f>(E49-D49)/IS!D$3</f>
        <v>3.1398087081158143E-3</v>
      </c>
      <c r="F82" s="397">
        <f>(F49-E49)/IS!E$3</f>
        <v>2.9322035268844367E-3</v>
      </c>
      <c r="G82" s="397">
        <f>(G49-F49)/IS!F$3</f>
        <v>1.6542929023526932E-2</v>
      </c>
      <c r="H82" s="397">
        <f>(H49-G49)/IS!G$3</f>
        <v>3.6925444914112988E-2</v>
      </c>
      <c r="I82" s="397">
        <f>(I49-H49)/IS!H$3</f>
        <v>2.0455702422058162E-2</v>
      </c>
      <c r="J82" s="397">
        <f>(J49-I49)/IS!I$3</f>
        <v>5.1824624585888449E-2</v>
      </c>
      <c r="K82" s="426">
        <f>(K49-J49)/IS!J$3</f>
        <v>5.2524892091279597E-3</v>
      </c>
      <c r="L82" s="385"/>
      <c r="M82" s="397">
        <f>(M12-L12)/IS!L$3</f>
        <v>2.0505086022661621E-2</v>
      </c>
      <c r="N82" s="397">
        <f>(N12-M12)/IS!M$3</f>
        <v>2.0871540477384379E-2</v>
      </c>
      <c r="O82" s="397">
        <f>(O12-N12)/IS!N$3</f>
        <v>2.0942289314526019E-2</v>
      </c>
      <c r="P82" s="397">
        <f>(P12-O12)/IS!O$3</f>
        <v>2.0943811818639687E-2</v>
      </c>
      <c r="Q82" s="397">
        <f>(Q12-P12)/IS!P$3</f>
        <v>2.0920545116607313E-2</v>
      </c>
      <c r="R82" s="395"/>
      <c r="S82" s="385"/>
    </row>
    <row r="83" spans="3:19" ht="16" customHeight="1">
      <c r="C83" s="226" t="s">
        <v>414</v>
      </c>
      <c r="H83" s="210">
        <v>5.5E-2</v>
      </c>
      <c r="I83" s="499">
        <v>0.05</v>
      </c>
      <c r="J83" s="499">
        <v>7.0000000000000007E-2</v>
      </c>
      <c r="K83" s="403"/>
      <c r="L83" s="208">
        <v>0.04</v>
      </c>
      <c r="M83" s="208">
        <v>0.04</v>
      </c>
      <c r="N83" s="208">
        <v>0.04</v>
      </c>
      <c r="O83" s="208">
        <v>0.04</v>
      </c>
      <c r="P83" s="208">
        <v>0.04</v>
      </c>
      <c r="Q83" s="208">
        <v>0.04</v>
      </c>
    </row>
    <row r="84" spans="3:19" ht="16" customHeight="1">
      <c r="C84" s="226"/>
      <c r="I84" s="215"/>
      <c r="J84" s="215"/>
      <c r="K84" s="403"/>
    </row>
    <row r="85" spans="3:19" ht="16" customHeight="1">
      <c r="C85" s="420" t="s">
        <v>331</v>
      </c>
      <c r="D85" s="389" t="s">
        <v>61</v>
      </c>
      <c r="E85" s="389" t="s">
        <v>60</v>
      </c>
      <c r="F85" s="389" t="s">
        <v>56</v>
      </c>
      <c r="G85" s="389" t="s">
        <v>55</v>
      </c>
      <c r="H85" s="389" t="s">
        <v>23</v>
      </c>
      <c r="I85" s="389" t="s">
        <v>22</v>
      </c>
      <c r="J85" s="389" t="s">
        <v>21</v>
      </c>
      <c r="K85" s="389" t="s">
        <v>178</v>
      </c>
      <c r="L85" s="375">
        <v>2024</v>
      </c>
      <c r="M85" s="375">
        <v>2025</v>
      </c>
      <c r="N85" s="375">
        <v>2026</v>
      </c>
      <c r="O85" s="375">
        <v>2027</v>
      </c>
      <c r="P85" s="375">
        <v>2028</v>
      </c>
      <c r="Q85" s="375">
        <v>2029</v>
      </c>
      <c r="R85" s="375"/>
    </row>
    <row r="86" spans="3:19" ht="16" customHeight="1">
      <c r="C86" s="1" t="s">
        <v>332</v>
      </c>
      <c r="I86" s="215"/>
      <c r="J86" s="215"/>
      <c r="K86" s="403"/>
      <c r="L86" s="233">
        <f>J34</f>
        <v>4562263</v>
      </c>
      <c r="M86" s="233">
        <f>L90</f>
        <v>5122025.0476331841</v>
      </c>
      <c r="N86" s="233">
        <f>M90</f>
        <v>5824518.6898422185</v>
      </c>
      <c r="O86" s="233">
        <f>N90</f>
        <v>6686217.9252155861</v>
      </c>
      <c r="P86" s="233">
        <f>O90</f>
        <v>7457944.2837365363</v>
      </c>
      <c r="Q86" s="233">
        <f>P90</f>
        <v>8374974.7043641005</v>
      </c>
    </row>
    <row r="87" spans="3:19" ht="16" customHeight="1">
      <c r="C87" s="257" t="s">
        <v>333</v>
      </c>
      <c r="I87" s="215"/>
      <c r="J87" s="215"/>
      <c r="K87" s="403"/>
      <c r="L87" s="233">
        <f>IS!L16</f>
        <v>1810871.7879871388</v>
      </c>
      <c r="M87" s="233">
        <f>IS!M16</f>
        <v>1891497.4381302535</v>
      </c>
      <c r="N87" s="233">
        <f>IS!N16</f>
        <v>2003206.1044780531</v>
      </c>
      <c r="O87" s="233">
        <f>IS!O16</f>
        <v>2210804.4500395302</v>
      </c>
      <c r="P87" s="233">
        <f>IS!P16</f>
        <v>2296283.8125048373</v>
      </c>
      <c r="Q87" s="233">
        <f>IS!Q16</f>
        <v>2382686.4687028276</v>
      </c>
    </row>
    <row r="88" spans="3:19" ht="16" customHeight="1">
      <c r="C88" s="257" t="s">
        <v>334</v>
      </c>
      <c r="I88" s="215"/>
      <c r="J88" s="215"/>
      <c r="K88" s="403"/>
      <c r="L88" s="233">
        <f t="shared" ref="L88:Q88" si="36">L92</f>
        <v>-851109.74035395519</v>
      </c>
      <c r="M88" s="233">
        <f t="shared" si="36"/>
        <v>-889003.79592121905</v>
      </c>
      <c r="N88" s="233">
        <f t="shared" si="36"/>
        <v>-941506.86910468491</v>
      </c>
      <c r="O88" s="233">
        <f t="shared" si="36"/>
        <v>-1039078.0915185792</v>
      </c>
      <c r="P88" s="233">
        <f t="shared" si="36"/>
        <v>-1079253.3918772736</v>
      </c>
      <c r="Q88" s="233">
        <f t="shared" si="36"/>
        <v>-1119862.640290329</v>
      </c>
    </row>
    <row r="89" spans="3:19" ht="16" customHeight="1">
      <c r="C89" s="257" t="s">
        <v>335</v>
      </c>
      <c r="D89" s="233">
        <f>'Historical Cashflows'!C33</f>
        <v>-300312</v>
      </c>
      <c r="E89" s="233">
        <f>'Historical Cashflows'!D33</f>
        <v>-247500</v>
      </c>
      <c r="F89" s="233">
        <f>'Historical Cashflows'!E33</f>
        <v>-527211</v>
      </c>
      <c r="G89" s="233">
        <f>'Historical Cashflows'!F33</f>
        <v>-211196</v>
      </c>
      <c r="H89" s="233">
        <f>'Historical Cashflows'!G33</f>
        <v>-457946</v>
      </c>
      <c r="I89" s="233">
        <f>'Historical Cashflows'!H33</f>
        <v>-388964</v>
      </c>
      <c r="J89" s="233">
        <f>'Historical Cashflows'!I33</f>
        <v>-264913</v>
      </c>
      <c r="K89" s="427">
        <v>-482987</v>
      </c>
      <c r="L89" s="233">
        <v>-400000</v>
      </c>
      <c r="M89" s="233">
        <v>-300000</v>
      </c>
      <c r="N89" s="233">
        <v>-200000</v>
      </c>
      <c r="O89" s="233">
        <v>-400000</v>
      </c>
      <c r="P89" s="233">
        <v>-300000</v>
      </c>
      <c r="Q89" s="233">
        <f>-200000</f>
        <v>-200000</v>
      </c>
      <c r="R89" s="233">
        <f>AVERAGE(D89:K89)</f>
        <v>-360128.625</v>
      </c>
      <c r="S89" s="63" t="s">
        <v>352</v>
      </c>
    </row>
    <row r="90" spans="3:19" ht="16" customHeight="1">
      <c r="C90" s="257" t="s">
        <v>336</v>
      </c>
      <c r="I90" s="215"/>
      <c r="J90" s="215"/>
      <c r="K90" s="403"/>
      <c r="L90" s="233">
        <f t="shared" ref="L90:Q90" si="37">SUM(L86:L89)</f>
        <v>5122025.0476331841</v>
      </c>
      <c r="M90" s="233">
        <f t="shared" si="37"/>
        <v>5824518.6898422185</v>
      </c>
      <c r="N90" s="233">
        <f t="shared" si="37"/>
        <v>6686217.9252155861</v>
      </c>
      <c r="O90" s="233">
        <f t="shared" si="37"/>
        <v>7457944.2837365363</v>
      </c>
      <c r="P90" s="233">
        <f t="shared" si="37"/>
        <v>8374974.7043641005</v>
      </c>
      <c r="Q90" s="233">
        <f t="shared" si="37"/>
        <v>9437798.5327765997</v>
      </c>
    </row>
    <row r="91" spans="3:19" ht="16" customHeight="1">
      <c r="C91" s="1"/>
      <c r="I91" s="215"/>
      <c r="J91" s="215"/>
      <c r="K91" s="403"/>
      <c r="L91" s="233"/>
      <c r="M91" s="233"/>
      <c r="N91" s="233"/>
      <c r="O91" s="233"/>
      <c r="P91" s="233"/>
      <c r="Q91" s="233"/>
    </row>
    <row r="92" spans="3:19" ht="16" customHeight="1">
      <c r="C92" s="1" t="s">
        <v>337</v>
      </c>
      <c r="D92" s="233">
        <f>'Historical Cashflows'!C32</f>
        <v>-526272</v>
      </c>
      <c r="E92" s="233">
        <f>'Historical Cashflows'!D32</f>
        <v>-562521</v>
      </c>
      <c r="F92" s="233">
        <f>'Historical Cashflows'!E32</f>
        <v>-610312</v>
      </c>
      <c r="G92" s="233">
        <f>'Historical Cashflows'!F32</f>
        <v>-640732</v>
      </c>
      <c r="H92" s="233">
        <f>'Historical Cashflows'!G32</f>
        <v>-685987</v>
      </c>
      <c r="I92" s="233">
        <f>'Historical Cashflows'!H32</f>
        <v>-775030</v>
      </c>
      <c r="J92" s="233">
        <f>'Historical Cashflows'!I32</f>
        <v>-889071</v>
      </c>
      <c r="K92" s="403"/>
      <c r="L92" s="233">
        <f t="shared" ref="L92:Q92" si="38">-L87*L95</f>
        <v>-851109.74035395519</v>
      </c>
      <c r="M92" s="233">
        <f t="shared" si="38"/>
        <v>-889003.79592121905</v>
      </c>
      <c r="N92" s="233">
        <f t="shared" si="38"/>
        <v>-941506.86910468491</v>
      </c>
      <c r="O92" s="233">
        <f t="shared" si="38"/>
        <v>-1039078.0915185792</v>
      </c>
      <c r="P92" s="233">
        <f t="shared" si="38"/>
        <v>-1079253.3918772736</v>
      </c>
      <c r="Q92" s="233">
        <f t="shared" si="38"/>
        <v>-1119862.640290329</v>
      </c>
    </row>
    <row r="93" spans="3:19" ht="16" customHeight="1">
      <c r="C93" s="1" t="s">
        <v>344</v>
      </c>
      <c r="D93" s="233"/>
      <c r="F93" s="233"/>
      <c r="G93" s="233"/>
      <c r="H93" s="258">
        <f>(871144+2005500)/1000</f>
        <v>2876.6439999999998</v>
      </c>
      <c r="I93" s="258">
        <f>(1000000+824701)/1000</f>
        <v>1824.701</v>
      </c>
      <c r="J93" s="258">
        <f>(1000000+127609)/1000</f>
        <v>1127.6089999999999</v>
      </c>
      <c r="K93" s="428"/>
      <c r="L93" s="258">
        <f t="shared" ref="L93:Q93" si="39">-L89/L94</f>
        <v>1599.7616165948191</v>
      </c>
      <c r="M93" s="258">
        <f t="shared" si="39"/>
        <v>1127.3442505765481</v>
      </c>
      <c r="N93" s="258">
        <f t="shared" si="39"/>
        <v>706.16357733108339</v>
      </c>
      <c r="O93" s="258">
        <f t="shared" si="39"/>
        <v>1327.0134593599178</v>
      </c>
      <c r="P93" s="258">
        <f t="shared" si="39"/>
        <v>935.13994730753677</v>
      </c>
      <c r="Q93" s="258">
        <f t="shared" si="39"/>
        <v>585.76763056907225</v>
      </c>
    </row>
    <row r="94" spans="3:19" ht="16" customHeight="1">
      <c r="C94" s="1" t="s">
        <v>338</v>
      </c>
      <c r="H94" s="258">
        <f>-H89/H93</f>
        <v>159.19453363016072</v>
      </c>
      <c r="I94" s="258">
        <f>-I89/I93</f>
        <v>213.16588306796567</v>
      </c>
      <c r="J94" s="258">
        <f>-J89/J93</f>
        <v>234.93338559731257</v>
      </c>
      <c r="K94" s="428"/>
      <c r="L94" s="258">
        <f>J94*(1+'DCF FCFE'!$C$4)</f>
        <v>250.03725295736379</v>
      </c>
      <c r="M94" s="258">
        <f>L94*(1+'DCF FCFE'!$C$4)</f>
        <v>266.11214794999267</v>
      </c>
      <c r="N94" s="258">
        <f>M94*(1+'DCF FCFE'!$C$4)</f>
        <v>283.22049794169772</v>
      </c>
      <c r="O94" s="258">
        <f>N94*(1+'DCF FCFE'!$C$4)</f>
        <v>301.42874375436946</v>
      </c>
      <c r="P94" s="258">
        <f>O94*(1+'DCF FCFE'!$C$4)</f>
        <v>320.80759769033784</v>
      </c>
      <c r="Q94" s="258">
        <f>P94*(1+'DCF FCFE'!$C$4)</f>
        <v>341.43231814584965</v>
      </c>
      <c r="R94" s="63" t="s">
        <v>356</v>
      </c>
    </row>
    <row r="95" spans="3:19" ht="16" customHeight="1">
      <c r="C95" s="1" t="s">
        <v>339</v>
      </c>
      <c r="D95" s="210">
        <f>-D92/IS!D16</f>
        <v>0.67213891524826275</v>
      </c>
      <c r="E95" s="210">
        <f>-E92/IS!E16</f>
        <v>0.4776996879994429</v>
      </c>
      <c r="F95" s="210">
        <f>-F92/IS!F16</f>
        <v>0.53084826196929269</v>
      </c>
      <c r="G95" s="210">
        <f>-G92/IS!G16</f>
        <v>0.50107765025322437</v>
      </c>
      <c r="H95" s="210">
        <f>-H92/IS!H16</f>
        <v>0.46428523084753287</v>
      </c>
      <c r="I95" s="210">
        <f>-I92/IS!I16</f>
        <v>0.4711952758270373</v>
      </c>
      <c r="J95" s="210">
        <f>-J92/IS!J16</f>
        <v>0.47753636694208307</v>
      </c>
      <c r="K95" s="403"/>
      <c r="L95" s="208">
        <v>0.47</v>
      </c>
      <c r="M95" s="208">
        <v>0.47</v>
      </c>
      <c r="N95" s="208">
        <v>0.47</v>
      </c>
      <c r="O95" s="208">
        <v>0.47</v>
      </c>
      <c r="P95" s="208">
        <v>0.47</v>
      </c>
      <c r="Q95" s="208">
        <v>0.47</v>
      </c>
    </row>
    <row r="96" spans="3:19" ht="16" customHeight="1">
      <c r="C96" s="226"/>
      <c r="I96" s="215" t="s">
        <v>24</v>
      </c>
      <c r="J96" s="215" t="s">
        <v>24</v>
      </c>
      <c r="K96" s="400"/>
    </row>
    <row r="97" spans="3:18" ht="16" customHeight="1">
      <c r="C97" s="421" t="s">
        <v>386</v>
      </c>
      <c r="D97" s="389" t="s">
        <v>61</v>
      </c>
      <c r="E97" s="389" t="s">
        <v>60</v>
      </c>
      <c r="F97" s="389" t="s">
        <v>56</v>
      </c>
      <c r="G97" s="389" t="s">
        <v>55</v>
      </c>
      <c r="H97" s="389" t="s">
        <v>23</v>
      </c>
      <c r="I97" s="389" t="s">
        <v>22</v>
      </c>
      <c r="J97" s="389" t="s">
        <v>21</v>
      </c>
      <c r="K97" s="389" t="s">
        <v>178</v>
      </c>
      <c r="L97" s="375">
        <v>2024</v>
      </c>
      <c r="M97" s="375">
        <v>2025</v>
      </c>
      <c r="N97" s="375">
        <v>2026</v>
      </c>
      <c r="O97" s="375">
        <v>2027</v>
      </c>
      <c r="P97" s="375">
        <v>2028</v>
      </c>
      <c r="Q97" s="375">
        <v>2029</v>
      </c>
      <c r="R97" s="375"/>
    </row>
    <row r="98" spans="3:18" ht="16" customHeight="1">
      <c r="C98" s="226" t="s">
        <v>25</v>
      </c>
      <c r="D98" s="385"/>
      <c r="E98" s="385"/>
      <c r="F98" s="385"/>
      <c r="G98" s="385"/>
      <c r="H98" s="385"/>
      <c r="I98" s="407"/>
      <c r="J98" s="407"/>
      <c r="K98" s="403"/>
      <c r="L98" s="403"/>
      <c r="M98" s="403"/>
      <c r="N98" s="403"/>
      <c r="O98" s="403"/>
      <c r="P98" s="403"/>
      <c r="Q98" s="403"/>
    </row>
    <row r="99" spans="3:18" ht="16" customHeight="1">
      <c r="C99" s="215" t="s">
        <v>26</v>
      </c>
      <c r="D99" s="211">
        <f t="shared" ref="D99:Q99" si="40">D5/D$17</f>
        <v>6.8454763522723297E-2</v>
      </c>
      <c r="E99" s="211">
        <f t="shared" si="40"/>
        <v>7.6333438054165773E-2</v>
      </c>
      <c r="F99" s="211">
        <f t="shared" si="40"/>
        <v>6.0594356907742189E-2</v>
      </c>
      <c r="G99" s="211">
        <f t="shared" si="40"/>
        <v>0.12527446534626901</v>
      </c>
      <c r="H99" s="211">
        <f t="shared" si="40"/>
        <v>3.1623001833132589E-2</v>
      </c>
      <c r="I99" s="211">
        <f t="shared" si="40"/>
        <v>4.2368858013922962E-2</v>
      </c>
      <c r="J99" s="211">
        <f t="shared" si="40"/>
        <v>3.376493254902297E-2</v>
      </c>
      <c r="K99" s="383">
        <f t="shared" si="40"/>
        <v>3.761841684954035E-2</v>
      </c>
      <c r="L99" s="211">
        <f t="shared" si="40"/>
        <v>5.7500817575195387E-2</v>
      </c>
      <c r="M99" s="211">
        <f t="shared" si="40"/>
        <v>0.10208915111414242</v>
      </c>
      <c r="N99" s="211">
        <f t="shared" si="40"/>
        <v>0.13059963904273514</v>
      </c>
      <c r="O99" s="211">
        <f t="shared" si="40"/>
        <v>0.13750123691338992</v>
      </c>
      <c r="P99" s="211">
        <f t="shared" si="40"/>
        <v>0.16660644077177597</v>
      </c>
      <c r="Q99" s="211">
        <f t="shared" si="40"/>
        <v>0.18927302990155628</v>
      </c>
    </row>
    <row r="100" spans="3:18" ht="16" customHeight="1">
      <c r="C100" s="215" t="s">
        <v>27</v>
      </c>
      <c r="D100" s="211">
        <f t="shared" ref="D100:Q100" si="41">D6/D$17</f>
        <v>0.10592204224695277</v>
      </c>
      <c r="E100" s="211">
        <f t="shared" si="41"/>
        <v>7.7131436761166405E-2</v>
      </c>
      <c r="F100" s="211">
        <f t="shared" si="41"/>
        <v>6.9838011546122764E-2</v>
      </c>
      <c r="G100" s="211">
        <f t="shared" si="41"/>
        <v>6.7372256099397218E-2</v>
      </c>
      <c r="H100" s="211">
        <f t="shared" si="41"/>
        <v>6.448800454004526E-2</v>
      </c>
      <c r="I100" s="211">
        <f t="shared" si="41"/>
        <v>6.4957045599434465E-2</v>
      </c>
      <c r="J100" s="211">
        <f t="shared" si="41"/>
        <v>6.9194411700436054E-2</v>
      </c>
      <c r="K100" s="383">
        <f t="shared" si="41"/>
        <v>6.8175114778303625E-2</v>
      </c>
      <c r="L100" s="211">
        <f t="shared" si="41"/>
        <v>4.9911290350593114E-2</v>
      </c>
      <c r="M100" s="211">
        <f t="shared" si="41"/>
        <v>4.6874868290227634E-2</v>
      </c>
      <c r="N100" s="211">
        <f t="shared" si="41"/>
        <v>4.5465234374623832E-2</v>
      </c>
      <c r="O100" s="211">
        <f t="shared" si="41"/>
        <v>4.5020153662844668E-2</v>
      </c>
      <c r="P100" s="211">
        <f t="shared" si="41"/>
        <v>4.3359191642238143E-2</v>
      </c>
      <c r="Q100" s="211">
        <f t="shared" si="41"/>
        <v>4.2011240512021535E-2</v>
      </c>
    </row>
    <row r="101" spans="3:18" ht="16" customHeight="1">
      <c r="C101" s="215" t="s">
        <v>28</v>
      </c>
      <c r="D101" s="211">
        <f t="shared" ref="D101:Q101" si="42">D7/D$17</f>
        <v>0.13555512101245182</v>
      </c>
      <c r="E101" s="211">
        <f t="shared" si="42"/>
        <v>0.101892374679022</v>
      </c>
      <c r="F101" s="211">
        <f t="shared" si="42"/>
        <v>0.1001488257019469</v>
      </c>
      <c r="G101" s="211">
        <f t="shared" si="42"/>
        <v>0.10558731559723145</v>
      </c>
      <c r="H101" s="211">
        <f t="shared" si="42"/>
        <v>9.4937482658615624E-2</v>
      </c>
      <c r="I101" s="211">
        <f t="shared" si="42"/>
        <v>0.10714570154592001</v>
      </c>
      <c r="J101" s="211">
        <f t="shared" si="42"/>
        <v>0.11266089616003305</v>
      </c>
      <c r="K101" s="383">
        <f t="shared" si="42"/>
        <v>0.11755205557104673</v>
      </c>
      <c r="L101" s="211">
        <f t="shared" si="42"/>
        <v>8.5321327423649049E-2</v>
      </c>
      <c r="M101" s="211">
        <f t="shared" si="42"/>
        <v>7.5949955513490458E-2</v>
      </c>
      <c r="N101" s="211">
        <f t="shared" si="42"/>
        <v>6.6969061443702668E-2</v>
      </c>
      <c r="O101" s="211">
        <f t="shared" si="42"/>
        <v>6.5705089129557109E-2</v>
      </c>
      <c r="P101" s="211">
        <f t="shared" si="42"/>
        <v>6.3280982396779997E-2</v>
      </c>
      <c r="Q101" s="211">
        <f t="shared" si="42"/>
        <v>6.1313702368896307E-2</v>
      </c>
    </row>
    <row r="102" spans="3:18" ht="16" customHeight="1">
      <c r="C102" s="215" t="s">
        <v>29</v>
      </c>
      <c r="D102" s="211">
        <f t="shared" ref="D102:Q102" si="43">D8/D$17</f>
        <v>5.0530580730846285E-2</v>
      </c>
      <c r="E102" s="211">
        <f t="shared" si="43"/>
        <v>3.5331467398500849E-2</v>
      </c>
      <c r="F102" s="211">
        <f t="shared" si="43"/>
        <v>2.9492426350318381E-2</v>
      </c>
      <c r="G102" s="211">
        <f t="shared" si="43"/>
        <v>2.7867095860694087E-2</v>
      </c>
      <c r="H102" s="211">
        <f t="shared" si="43"/>
        <v>2.4679148973932676E-2</v>
      </c>
      <c r="I102" s="211">
        <f t="shared" si="43"/>
        <v>2.486066991694082E-2</v>
      </c>
      <c r="J102" s="211">
        <f t="shared" si="43"/>
        <v>2.903383289894489E-2</v>
      </c>
      <c r="K102" s="383">
        <f t="shared" si="43"/>
        <v>4.5316992053753988E-2</v>
      </c>
      <c r="L102" s="211">
        <f t="shared" si="43"/>
        <v>2.1991723900747284E-2</v>
      </c>
      <c r="M102" s="211">
        <f t="shared" si="43"/>
        <v>2.0438962840537849E-2</v>
      </c>
      <c r="N102" s="211">
        <f t="shared" si="43"/>
        <v>1.969406498294516E-2</v>
      </c>
      <c r="O102" s="211">
        <f t="shared" si="43"/>
        <v>1.922010134261443E-2</v>
      </c>
      <c r="P102" s="211">
        <f t="shared" si="43"/>
        <v>1.8510999845507862E-2</v>
      </c>
      <c r="Q102" s="211">
        <f t="shared" si="43"/>
        <v>1.7935529634506859E-2</v>
      </c>
    </row>
    <row r="103" spans="3:18" ht="16" customHeight="1">
      <c r="C103" s="234" t="s">
        <v>30</v>
      </c>
      <c r="D103" s="211">
        <f t="shared" ref="D103:Q103" si="44">D9/D$17</f>
        <v>0.36046250751297415</v>
      </c>
      <c r="E103" s="211">
        <f t="shared" si="44"/>
        <v>0.29068871689285503</v>
      </c>
      <c r="F103" s="211">
        <f t="shared" si="44"/>
        <v>0.26007362050613025</v>
      </c>
      <c r="G103" s="211">
        <f t="shared" si="44"/>
        <v>0.32610113290359177</v>
      </c>
      <c r="H103" s="211">
        <f t="shared" si="44"/>
        <v>0.21572763800572614</v>
      </c>
      <c r="I103" s="211">
        <f t="shared" si="44"/>
        <v>0.23933227507621826</v>
      </c>
      <c r="J103" s="211">
        <f t="shared" si="44"/>
        <v>0.24465407330843697</v>
      </c>
      <c r="K103" s="383">
        <f t="shared" si="44"/>
        <v>0.2686625792526447</v>
      </c>
      <c r="L103" s="211">
        <f t="shared" si="44"/>
        <v>0.21472515925018484</v>
      </c>
      <c r="M103" s="211">
        <f t="shared" si="44"/>
        <v>0.24535293775839837</v>
      </c>
      <c r="N103" s="211">
        <f t="shared" si="44"/>
        <v>0.2627279998440068</v>
      </c>
      <c r="O103" s="211">
        <f t="shared" si="44"/>
        <v>0.26744658104840613</v>
      </c>
      <c r="P103" s="211">
        <f t="shared" si="44"/>
        <v>0.29175761465630201</v>
      </c>
      <c r="Q103" s="211">
        <f t="shared" si="44"/>
        <v>0.31053350241698102</v>
      </c>
    </row>
    <row r="104" spans="3:18" ht="16" customHeight="1">
      <c r="C104" s="215" t="s">
        <v>31</v>
      </c>
      <c r="D104" s="211">
        <f t="shared" ref="D104:Q104" si="45">D12/D$17</f>
        <v>0.37933038108109762</v>
      </c>
      <c r="E104" s="211">
        <f t="shared" si="45"/>
        <v>0.2765530921638526</v>
      </c>
      <c r="F104" s="211">
        <f t="shared" si="45"/>
        <v>0.26450055556272145</v>
      </c>
      <c r="G104" s="211">
        <f t="shared" si="45"/>
        <v>0.2502511814425234</v>
      </c>
      <c r="H104" s="211">
        <f t="shared" si="45"/>
        <v>0.24837971804505682</v>
      </c>
      <c r="I104" s="211">
        <f t="shared" si="45"/>
        <v>0.25296808240522722</v>
      </c>
      <c r="J104" s="211">
        <f t="shared" si="45"/>
        <v>0.27805548225434368</v>
      </c>
      <c r="K104" s="383">
        <f t="shared" si="45"/>
        <v>0.27129594414286329</v>
      </c>
      <c r="L104" s="211">
        <f t="shared" si="45"/>
        <v>0.21756004464679723</v>
      </c>
      <c r="M104" s="211">
        <f t="shared" si="45"/>
        <v>0.21457810616715445</v>
      </c>
      <c r="N104" s="211">
        <f t="shared" si="45"/>
        <v>0.21433716551063345</v>
      </c>
      <c r="O104" s="211">
        <f t="shared" si="45"/>
        <v>0.217510410689772</v>
      </c>
      <c r="P104" s="211">
        <f t="shared" si="45"/>
        <v>0.21437936451892428</v>
      </c>
      <c r="Q104" s="211">
        <f t="shared" si="45"/>
        <v>0.21252189499241295</v>
      </c>
    </row>
    <row r="105" spans="3:18" ht="16" customHeight="1">
      <c r="C105" s="215" t="s">
        <v>32</v>
      </c>
      <c r="D105" s="211">
        <f t="shared" ref="D105:Q105" si="46">D13/D$17</f>
        <v>0.1478396665589912</v>
      </c>
      <c r="E105" s="211">
        <f t="shared" si="46"/>
        <v>0.23381777536602527</v>
      </c>
      <c r="F105" s="211">
        <f t="shared" si="46"/>
        <v>0.24396297722653507</v>
      </c>
      <c r="G105" s="211">
        <f t="shared" si="46"/>
        <v>0.21772325307755441</v>
      </c>
      <c r="H105" s="211">
        <f t="shared" si="46"/>
        <v>0.25289239164978189</v>
      </c>
      <c r="I105" s="211">
        <f t="shared" si="46"/>
        <v>0.23810383219378892</v>
      </c>
      <c r="J105" s="211">
        <f t="shared" si="46"/>
        <v>0.2265028449691551</v>
      </c>
      <c r="K105" s="383">
        <f t="shared" si="46"/>
        <v>0.21679153302511003</v>
      </c>
      <c r="L105" s="211">
        <f t="shared" si="46"/>
        <v>0.16686714618339804</v>
      </c>
      <c r="M105" s="211">
        <f t="shared" si="46"/>
        <v>0.15474306280357114</v>
      </c>
      <c r="N105" s="211">
        <f t="shared" si="46"/>
        <v>0.14559844633845054</v>
      </c>
      <c r="O105" s="211">
        <f t="shared" si="46"/>
        <v>0.13938653024945327</v>
      </c>
      <c r="P105" s="211">
        <f t="shared" si="46"/>
        <v>0.1297776683234757</v>
      </c>
      <c r="Q105" s="211">
        <f t="shared" si="46"/>
        <v>0.12169478900616476</v>
      </c>
    </row>
    <row r="106" spans="3:18" ht="16" customHeight="1">
      <c r="C106" s="215" t="s">
        <v>33</v>
      </c>
      <c r="D106" s="211">
        <f t="shared" ref="D106:Q106" si="47">D14/D$17</f>
        <v>6.6469969890484329E-2</v>
      </c>
      <c r="E106" s="211">
        <f t="shared" si="47"/>
        <v>0.16594686239942255</v>
      </c>
      <c r="F106" s="211">
        <f t="shared" si="47"/>
        <v>0.16475441302295527</v>
      </c>
      <c r="G106" s="211">
        <f t="shared" si="47"/>
        <v>0.14183486469601708</v>
      </c>
      <c r="H106" s="211">
        <f t="shared" si="47"/>
        <v>0.19569177825578399</v>
      </c>
      <c r="I106" s="211">
        <f t="shared" si="47"/>
        <v>0.17958729799192971</v>
      </c>
      <c r="J106" s="211">
        <f t="shared" si="47"/>
        <v>0.15787938459915074</v>
      </c>
      <c r="K106" s="383">
        <f t="shared" si="47"/>
        <v>0.14808096604340609</v>
      </c>
      <c r="L106" s="211">
        <f t="shared" si="47"/>
        <v>0.11637774120990117</v>
      </c>
      <c r="M106" s="211">
        <f t="shared" si="47"/>
        <v>0.10780565278440865</v>
      </c>
      <c r="N106" s="211">
        <f t="shared" si="47"/>
        <v>0.10132523217589379</v>
      </c>
      <c r="O106" s="211">
        <f t="shared" si="47"/>
        <v>9.6897250899764836E-2</v>
      </c>
      <c r="P106" s="211">
        <f t="shared" si="47"/>
        <v>9.0119682913457511E-2</v>
      </c>
      <c r="Q106" s="211">
        <f t="shared" si="47"/>
        <v>8.4415066248283099E-2</v>
      </c>
    </row>
    <row r="107" spans="3:18" ht="16" customHeight="1">
      <c r="C107" s="215" t="s">
        <v>34</v>
      </c>
      <c r="D107" s="211">
        <f t="shared" ref="D107:Q107" si="48">D15/D$17</f>
        <v>4.5353155701235534E-2</v>
      </c>
      <c r="E107" s="211">
        <f t="shared" si="48"/>
        <v>3.2842183974596977E-2</v>
      </c>
      <c r="F107" s="211">
        <f t="shared" si="48"/>
        <v>6.2896210810409081E-2</v>
      </c>
      <c r="G107" s="211">
        <f t="shared" si="48"/>
        <v>6.0873459853950651E-2</v>
      </c>
      <c r="H107" s="211">
        <f t="shared" si="48"/>
        <v>8.3382994480241557E-2</v>
      </c>
      <c r="I107" s="211">
        <f t="shared" si="48"/>
        <v>8.6309666247138955E-2</v>
      </c>
      <c r="J107" s="211">
        <f t="shared" si="48"/>
        <v>8.9173507623031986E-2</v>
      </c>
      <c r="K107" s="383">
        <f t="shared" si="48"/>
        <v>9.1839959715437111E-2</v>
      </c>
      <c r="L107" s="211">
        <f t="shared" si="48"/>
        <v>6.412077939320561E-2</v>
      </c>
      <c r="M107" s="211">
        <f t="shared" si="48"/>
        <v>6.0240540194603356E-2</v>
      </c>
      <c r="N107" s="211">
        <f t="shared" si="48"/>
        <v>5.8981925675187674E-2</v>
      </c>
      <c r="O107" s="211">
        <f t="shared" si="48"/>
        <v>5.8404523670717419E-2</v>
      </c>
      <c r="P107" s="211">
        <f t="shared" si="48"/>
        <v>5.6835697152663511E-2</v>
      </c>
      <c r="Q107" s="211">
        <f t="shared" si="48"/>
        <v>5.5636507705109611E-2</v>
      </c>
    </row>
    <row r="108" spans="3:18" ht="16" customHeight="1">
      <c r="C108" s="215" t="s">
        <v>35</v>
      </c>
      <c r="D108" s="211">
        <f t="shared" ref="D108:Q108" si="49">D16/D$17</f>
        <v>5.4431925521712806E-4</v>
      </c>
      <c r="E108" s="211">
        <f t="shared" si="49"/>
        <v>1.5136920324755745E-4</v>
      </c>
      <c r="F108" s="211">
        <f t="shared" si="49"/>
        <v>3.812222871248877E-3</v>
      </c>
      <c r="G108" s="211">
        <f t="shared" si="49"/>
        <v>3.2161080263626903E-3</v>
      </c>
      <c r="H108" s="211">
        <f t="shared" si="49"/>
        <v>3.9254795634096097E-3</v>
      </c>
      <c r="I108" s="211">
        <f t="shared" si="49"/>
        <v>3.6988460856969062E-3</v>
      </c>
      <c r="J108" s="211">
        <f t="shared" si="49"/>
        <v>3.7347072458815012E-3</v>
      </c>
      <c r="K108" s="383">
        <f t="shared" si="49"/>
        <v>3.3290178205387802E-3</v>
      </c>
      <c r="L108" s="211">
        <f t="shared" si="49"/>
        <v>2.7890846697158642E-3</v>
      </c>
      <c r="M108" s="211">
        <f t="shared" si="49"/>
        <v>2.7015941247097511E-3</v>
      </c>
      <c r="N108" s="211">
        <f t="shared" si="49"/>
        <v>2.6920649451941839E-3</v>
      </c>
      <c r="O108" s="211">
        <f t="shared" si="49"/>
        <v>2.8442927521144861E-3</v>
      </c>
      <c r="P108" s="211">
        <f t="shared" si="49"/>
        <v>2.7506079162526354E-3</v>
      </c>
      <c r="Q108" s="211">
        <f t="shared" si="49"/>
        <v>2.6763446386356029E-3</v>
      </c>
    </row>
    <row r="109" spans="3:18" ht="16" customHeight="1">
      <c r="C109" s="226" t="s">
        <v>36</v>
      </c>
      <c r="D109" s="211">
        <f t="shared" ref="D109:Q109" si="50">D17/D$17</f>
        <v>1</v>
      </c>
      <c r="E109" s="211">
        <f t="shared" si="50"/>
        <v>1</v>
      </c>
      <c r="F109" s="211">
        <f t="shared" si="50"/>
        <v>1</v>
      </c>
      <c r="G109" s="211">
        <f t="shared" si="50"/>
        <v>1</v>
      </c>
      <c r="H109" s="211">
        <f t="shared" si="50"/>
        <v>1</v>
      </c>
      <c r="I109" s="211">
        <f t="shared" si="50"/>
        <v>1</v>
      </c>
      <c r="J109" s="211">
        <f t="shared" si="50"/>
        <v>1</v>
      </c>
      <c r="K109" s="383">
        <f t="shared" si="50"/>
        <v>1</v>
      </c>
      <c r="L109" s="211">
        <f t="shared" si="50"/>
        <v>1</v>
      </c>
      <c r="M109" s="211">
        <f t="shared" si="50"/>
        <v>1</v>
      </c>
      <c r="N109" s="211">
        <f t="shared" si="50"/>
        <v>1</v>
      </c>
      <c r="O109" s="211">
        <f t="shared" si="50"/>
        <v>1</v>
      </c>
      <c r="P109" s="211">
        <f t="shared" si="50"/>
        <v>1</v>
      </c>
      <c r="Q109" s="211">
        <f t="shared" si="50"/>
        <v>1</v>
      </c>
    </row>
    <row r="110" spans="3:18" ht="16" customHeight="1">
      <c r="C110" s="226" t="s">
        <v>37</v>
      </c>
      <c r="D110" s="385"/>
      <c r="E110" s="385"/>
      <c r="F110" s="385"/>
      <c r="G110" s="385"/>
      <c r="H110" s="385"/>
      <c r="I110" s="407"/>
      <c r="J110" s="407"/>
      <c r="K110" s="407"/>
      <c r="L110" s="407"/>
      <c r="M110" s="407"/>
      <c r="N110" s="407"/>
      <c r="O110" s="407"/>
      <c r="P110" s="407"/>
      <c r="Q110" s="407"/>
    </row>
    <row r="111" spans="3:18" ht="16" customHeight="1">
      <c r="C111" s="215" t="s">
        <v>38</v>
      </c>
      <c r="D111" s="211">
        <f t="shared" ref="D111:Q111" si="51">D19/D$17</f>
        <v>9.4212245976845091E-2</v>
      </c>
      <c r="E111" s="211">
        <f t="shared" si="51"/>
        <v>6.5210008542104264E-2</v>
      </c>
      <c r="F111" s="211">
        <f t="shared" si="51"/>
        <v>6.7666003922414078E-2</v>
      </c>
      <c r="G111" s="211">
        <f t="shared" si="51"/>
        <v>6.3520351035305567E-2</v>
      </c>
      <c r="H111" s="211">
        <f t="shared" si="51"/>
        <v>6.6492762213977E-2</v>
      </c>
      <c r="I111" s="211">
        <f t="shared" si="51"/>
        <v>8.8644986400360948E-2</v>
      </c>
      <c r="J111" s="211">
        <f t="shared" si="51"/>
        <v>9.1253329744304376E-2</v>
      </c>
      <c r="K111" s="383">
        <f t="shared" si="51"/>
        <v>9.1676537254441443E-2</v>
      </c>
      <c r="L111" s="211">
        <f t="shared" si="51"/>
        <v>6.6402250473187735E-2</v>
      </c>
      <c r="M111" s="211">
        <f t="shared" si="51"/>
        <v>6.1795645622339961E-2</v>
      </c>
      <c r="N111" s="211">
        <f t="shared" si="51"/>
        <v>5.9937309992113885E-2</v>
      </c>
      <c r="O111" s="211">
        <f t="shared" si="51"/>
        <v>5.8806054770953603E-2</v>
      </c>
      <c r="P111" s="211">
        <f t="shared" si="51"/>
        <v>5.6636479245118103E-2</v>
      </c>
      <c r="Q111" s="211">
        <f t="shared" si="51"/>
        <v>5.4875763620162187E-2</v>
      </c>
    </row>
    <row r="112" spans="3:18" ht="16" customHeight="1">
      <c r="C112" s="215" t="s">
        <v>39</v>
      </c>
      <c r="D112" s="211">
        <f t="shared" ref="D112:Q112" si="52">D20/D$17</f>
        <v>0.12174421280416067</v>
      </c>
      <c r="E112" s="211">
        <f t="shared" si="52"/>
        <v>8.8168406676861807E-2</v>
      </c>
      <c r="F112" s="211">
        <f t="shared" si="52"/>
        <v>8.6282299569001256E-2</v>
      </c>
      <c r="G112" s="211">
        <f t="shared" si="52"/>
        <v>8.5608767998142765E-2</v>
      </c>
      <c r="H112" s="211">
        <f t="shared" si="52"/>
        <v>8.2176240615483842E-2</v>
      </c>
      <c r="I112" s="211">
        <f t="shared" si="52"/>
        <v>7.6037235062773892E-2</v>
      </c>
      <c r="J112" s="211">
        <f t="shared" si="52"/>
        <v>7.2907611656648552E-2</v>
      </c>
      <c r="K112" s="383">
        <f t="shared" si="52"/>
        <v>6.3123677377482687E-2</v>
      </c>
      <c r="L112" s="211">
        <f t="shared" si="52"/>
        <v>5.0585767247222753E-2</v>
      </c>
      <c r="M112" s="211">
        <f t="shared" si="52"/>
        <v>4.7508312456311791E-2</v>
      </c>
      <c r="N112" s="211">
        <f t="shared" si="52"/>
        <v>4.6079629433740367E-2</v>
      </c>
      <c r="O112" s="211">
        <f t="shared" si="52"/>
        <v>4.5628534117747976E-2</v>
      </c>
      <c r="P112" s="211">
        <f t="shared" si="52"/>
        <v>4.3945126664430546E-2</v>
      </c>
      <c r="Q112" s="211">
        <f t="shared" si="52"/>
        <v>4.2578959978400208E-2</v>
      </c>
    </row>
    <row r="113" spans="3:17" ht="16" customHeight="1">
      <c r="C113" s="215" t="s">
        <v>40</v>
      </c>
      <c r="D113" s="211">
        <f t="shared" ref="D113:Q113" si="53">D21/D$17</f>
        <v>3.1911909229947605E-3</v>
      </c>
      <c r="E113" s="211">
        <f t="shared" si="53"/>
        <v>4.3843843064148864E-3</v>
      </c>
      <c r="F113" s="211">
        <f t="shared" si="53"/>
        <v>2.447178546004217E-3</v>
      </c>
      <c r="G113" s="211">
        <f t="shared" si="53"/>
        <v>1.867202082383133E-3</v>
      </c>
      <c r="H113" s="211">
        <f t="shared" si="53"/>
        <v>2.9484555231246791E-4</v>
      </c>
      <c r="I113" s="211">
        <f t="shared" si="53"/>
        <v>6.1285143056512021E-4</v>
      </c>
      <c r="J113" s="211">
        <f t="shared" si="53"/>
        <v>2.4747665303894223E-3</v>
      </c>
      <c r="K113" s="383">
        <f t="shared" si="53"/>
        <v>2.9987900777678281E-3</v>
      </c>
      <c r="L113" s="211">
        <f t="shared" si="53"/>
        <v>1.5719775820912797E-3</v>
      </c>
      <c r="M113" s="211">
        <f t="shared" si="53"/>
        <v>1.5226663593493146E-3</v>
      </c>
      <c r="N113" s="211">
        <f t="shared" si="53"/>
        <v>1.517295544781781E-3</v>
      </c>
      <c r="O113" s="211">
        <f t="shared" si="53"/>
        <v>1.6030938364033881E-3</v>
      </c>
      <c r="P113" s="211">
        <f t="shared" si="53"/>
        <v>1.5502914014842166E-3</v>
      </c>
      <c r="Q113" s="211">
        <f t="shared" si="53"/>
        <v>1.5084353012179996E-3</v>
      </c>
    </row>
    <row r="114" spans="3:17" ht="16" customHeight="1">
      <c r="C114" s="215" t="s">
        <v>41</v>
      </c>
      <c r="D114" s="211">
        <f t="shared" ref="D114:Q114" si="54">D22/D$17</f>
        <v>0.10071778838206999</v>
      </c>
      <c r="E114" s="211">
        <f t="shared" si="54"/>
        <v>0.15551420092379353</v>
      </c>
      <c r="F114" s="211">
        <f t="shared" si="54"/>
        <v>3.965655229260988E-3</v>
      </c>
      <c r="G114" s="211">
        <f t="shared" si="54"/>
        <v>8.1080000810351029E-3</v>
      </c>
      <c r="H114" s="211">
        <f t="shared" si="54"/>
        <v>9.0223027130304737E-2</v>
      </c>
      <c r="I114" s="211">
        <f t="shared" si="54"/>
        <v>6.336664590339415E-2</v>
      </c>
      <c r="J114" s="211">
        <f t="shared" si="54"/>
        <v>6.0475726125165198E-2</v>
      </c>
      <c r="K114" s="383">
        <f t="shared" si="54"/>
        <v>0.10641983673218224</v>
      </c>
      <c r="L114" s="211">
        <f t="shared" si="54"/>
        <v>8.1912675301509932E-2</v>
      </c>
      <c r="M114" s="211">
        <f t="shared" si="54"/>
        <v>7.5961137638555637E-2</v>
      </c>
      <c r="N114" s="211">
        <f t="shared" si="54"/>
        <v>7.147217731055315E-2</v>
      </c>
      <c r="O114" s="211">
        <f t="shared" si="54"/>
        <v>6.8422837298235714E-2</v>
      </c>
      <c r="P114" s="211">
        <f t="shared" si="54"/>
        <v>6.3705985569408402E-2</v>
      </c>
      <c r="Q114" s="211">
        <f t="shared" si="54"/>
        <v>5.9738216693607633E-2</v>
      </c>
    </row>
    <row r="115" spans="3:17" ht="16" customHeight="1">
      <c r="C115" s="215" t="s">
        <v>42</v>
      </c>
      <c r="D115" s="211">
        <f t="shared" ref="D115:Q115" si="55">D23/D$17</f>
        <v>5.403543494943755E-2</v>
      </c>
      <c r="E115" s="211">
        <f t="shared" si="55"/>
        <v>6.9933610454081649E-4</v>
      </c>
      <c r="F115" s="211">
        <f t="shared" si="55"/>
        <v>8.6407354925651644E-2</v>
      </c>
      <c r="G115" s="211">
        <f t="shared" si="55"/>
        <v>4.8054801630995708E-2</v>
      </c>
      <c r="H115" s="211">
        <f t="shared" si="55"/>
        <v>2.7314030969923734E-4</v>
      </c>
      <c r="I115" s="211">
        <f t="shared" si="55"/>
        <v>6.8827325684411647E-2</v>
      </c>
      <c r="J115" s="211">
        <f t="shared" si="55"/>
        <v>2.5628792077521008E-2</v>
      </c>
      <c r="K115" s="383">
        <f t="shared" si="55"/>
        <v>4.8742903526622881E-2</v>
      </c>
      <c r="L115" s="211">
        <f t="shared" si="55"/>
        <v>1.8598566679169485E-2</v>
      </c>
      <c r="M115" s="211">
        <f t="shared" si="55"/>
        <v>3.4494497419258523E-2</v>
      </c>
      <c r="N115" s="211">
        <f t="shared" si="55"/>
        <v>2.7046690281710362E-2</v>
      </c>
      <c r="O115" s="211">
        <f t="shared" si="55"/>
        <v>1.0027692811326844E-2</v>
      </c>
      <c r="P115" s="211">
        <f t="shared" si="55"/>
        <v>1.6875451230625092E-2</v>
      </c>
      <c r="Q115" s="211">
        <f t="shared" si="55"/>
        <v>1.3563776331088245E-2</v>
      </c>
    </row>
    <row r="116" spans="3:17" ht="16" customHeight="1">
      <c r="C116" s="226" t="s">
        <v>43</v>
      </c>
      <c r="D116" s="211">
        <f t="shared" ref="D116:Q116" si="56">D24/D$17</f>
        <v>0.37390087303550806</v>
      </c>
      <c r="E116" s="211">
        <f t="shared" si="56"/>
        <v>0.31397633655371532</v>
      </c>
      <c r="F116" s="211">
        <f t="shared" si="56"/>
        <v>0.24676849219233218</v>
      </c>
      <c r="G116" s="211">
        <f t="shared" si="56"/>
        <v>0.20715912282786228</v>
      </c>
      <c r="H116" s="211">
        <f t="shared" si="56"/>
        <v>0.23946001582177728</v>
      </c>
      <c r="I116" s="211">
        <f t="shared" si="56"/>
        <v>0.29748904448150576</v>
      </c>
      <c r="J116" s="211">
        <f t="shared" si="56"/>
        <v>0.25274022613402858</v>
      </c>
      <c r="K116" s="383">
        <f t="shared" si="56"/>
        <v>0.3129617449684971</v>
      </c>
      <c r="L116" s="211">
        <f t="shared" si="56"/>
        <v>0.21907123728318117</v>
      </c>
      <c r="M116" s="211">
        <f t="shared" si="56"/>
        <v>0.22128225949581523</v>
      </c>
      <c r="N116" s="211">
        <f t="shared" si="56"/>
        <v>0.20605310256289955</v>
      </c>
      <c r="O116" s="211">
        <f t="shared" si="56"/>
        <v>0.18448821283466751</v>
      </c>
      <c r="P116" s="211">
        <f t="shared" si="56"/>
        <v>0.18271333411106636</v>
      </c>
      <c r="Q116" s="211">
        <f t="shared" si="56"/>
        <v>0.17226515192447628</v>
      </c>
    </row>
    <row r="117" spans="3:17" ht="16" customHeight="1">
      <c r="C117" s="215" t="s">
        <v>44</v>
      </c>
      <c r="D117" s="211">
        <f t="shared" ref="D117:Q117" si="57">D25/D$17</f>
        <v>0.37110635274408565</v>
      </c>
      <c r="E117" s="211">
        <f t="shared" si="57"/>
        <v>0.422468070964375</v>
      </c>
      <c r="F117" s="211">
        <f t="shared" si="57"/>
        <v>0.43373976324244706</v>
      </c>
      <c r="G117" s="211">
        <f t="shared" si="57"/>
        <v>0.44785637513558324</v>
      </c>
      <c r="H117" s="211">
        <f t="shared" si="57"/>
        <v>0.39248332081760384</v>
      </c>
      <c r="I117" s="211">
        <f t="shared" si="57"/>
        <v>0.3054189401232279</v>
      </c>
      <c r="J117" s="211">
        <f t="shared" si="57"/>
        <v>0.31833577936746893</v>
      </c>
      <c r="K117" s="383">
        <f t="shared" si="57"/>
        <v>0.28104740830018571</v>
      </c>
      <c r="L117" s="211">
        <f t="shared" si="57"/>
        <v>0.2163256946010908</v>
      </c>
      <c r="M117" s="211">
        <f t="shared" si="57"/>
        <v>0.20060809638879792</v>
      </c>
      <c r="N117" s="211">
        <f t="shared" si="57"/>
        <v>0.18875306348433635</v>
      </c>
      <c r="O117" s="211">
        <f t="shared" si="57"/>
        <v>0.1806999679919552</v>
      </c>
      <c r="P117" s="211">
        <f t="shared" si="57"/>
        <v>0.1682430897028131</v>
      </c>
      <c r="Q117" s="211">
        <f t="shared" si="57"/>
        <v>0.15776448727755002</v>
      </c>
    </row>
    <row r="118" spans="3:17" ht="16" customHeight="1">
      <c r="C118" s="215" t="s">
        <v>45</v>
      </c>
      <c r="D118" s="211">
        <f t="shared" ref="D118:Q118" si="58">D26/D$17</f>
        <v>7.9035047821948728E-2</v>
      </c>
      <c r="E118" s="211">
        <f t="shared" si="58"/>
        <v>5.7905600660520161E-2</v>
      </c>
      <c r="F118" s="211">
        <f t="shared" si="58"/>
        <v>8.0558375852768815E-2</v>
      </c>
      <c r="G118" s="211">
        <f t="shared" si="58"/>
        <v>7.4840735908241987E-2</v>
      </c>
      <c r="H118" s="211">
        <f t="shared" si="58"/>
        <v>7.5589755932230079E-2</v>
      </c>
      <c r="I118" s="211">
        <f t="shared" si="58"/>
        <v>6.5736946995201315E-2</v>
      </c>
      <c r="J118" s="211">
        <f t="shared" si="58"/>
        <v>5.5505021826118439E-2</v>
      </c>
      <c r="K118" s="383">
        <f t="shared" si="58"/>
        <v>5.6385581644621145E-2</v>
      </c>
      <c r="L118" s="211">
        <f t="shared" si="58"/>
        <v>4.0468613797778205E-2</v>
      </c>
      <c r="M118" s="211">
        <f t="shared" si="58"/>
        <v>3.8006649965049433E-2</v>
      </c>
      <c r="N118" s="211">
        <f t="shared" si="58"/>
        <v>3.6863703546992289E-2</v>
      </c>
      <c r="O118" s="211">
        <f t="shared" si="58"/>
        <v>3.6502827294198383E-2</v>
      </c>
      <c r="P118" s="211">
        <f t="shared" si="58"/>
        <v>3.515610133154444E-2</v>
      </c>
      <c r="Q118" s="211">
        <f t="shared" si="58"/>
        <v>3.4063167982720167E-2</v>
      </c>
    </row>
    <row r="119" spans="3:17" ht="16" customHeight="1">
      <c r="C119" s="215" t="s">
        <v>35</v>
      </c>
      <c r="D119" s="211">
        <f t="shared" ref="D119:Q119" si="59">D27/D$17</f>
        <v>8.2207872696636458E-3</v>
      </c>
      <c r="E119" s="211">
        <f t="shared" si="59"/>
        <v>2.295982614610893E-2</v>
      </c>
      <c r="F119" s="211">
        <f t="shared" si="59"/>
        <v>2.457104354272735E-2</v>
      </c>
      <c r="G119" s="211">
        <f t="shared" si="59"/>
        <v>2.5080145359453649E-2</v>
      </c>
      <c r="H119" s="211">
        <f t="shared" si="59"/>
        <v>2.7660162360977202E-2</v>
      </c>
      <c r="I119" s="211">
        <f t="shared" si="59"/>
        <v>2.9994373822932519E-2</v>
      </c>
      <c r="J119" s="211">
        <f t="shared" si="59"/>
        <v>2.9043074312474538E-2</v>
      </c>
      <c r="K119" s="383">
        <f t="shared" si="59"/>
        <v>2.6637216795479649E-2</v>
      </c>
      <c r="L119" s="211">
        <f t="shared" si="59"/>
        <v>2.0304710435345697E-2</v>
      </c>
      <c r="M119" s="211">
        <f t="shared" si="59"/>
        <v>1.9667773808261981E-2</v>
      </c>
      <c r="N119" s="211">
        <f t="shared" si="59"/>
        <v>1.9598400786764669E-2</v>
      </c>
      <c r="O119" s="211">
        <f t="shared" si="59"/>
        <v>2.0706628720210427E-2</v>
      </c>
      <c r="P119" s="211">
        <f t="shared" si="59"/>
        <v>2.0024597269171135E-2</v>
      </c>
      <c r="Q119" s="211">
        <f t="shared" si="59"/>
        <v>1.9483955974065829E-2</v>
      </c>
    </row>
    <row r="120" spans="3:17" ht="16" customHeight="1">
      <c r="C120" s="226" t="s">
        <v>46</v>
      </c>
      <c r="D120" s="211">
        <f t="shared" ref="D120:Q120" si="60">D28/D$17</f>
        <v>0.83226306087120605</v>
      </c>
      <c r="E120" s="211">
        <f t="shared" si="60"/>
        <v>0.81730983432471938</v>
      </c>
      <c r="F120" s="211">
        <f t="shared" si="60"/>
        <v>0</v>
      </c>
      <c r="G120" s="211">
        <f t="shared" si="60"/>
        <v>0.7549363792311411</v>
      </c>
      <c r="H120" s="211">
        <f t="shared" si="60"/>
        <v>0.73519325493258847</v>
      </c>
      <c r="I120" s="211">
        <f t="shared" si="60"/>
        <v>0.69863930542286745</v>
      </c>
      <c r="J120" s="211">
        <f t="shared" si="60"/>
        <v>0.65562410164009044</v>
      </c>
      <c r="K120" s="383">
        <f t="shared" si="60"/>
        <v>0.67703195170878361</v>
      </c>
      <c r="L120" s="211">
        <f t="shared" si="60"/>
        <v>0.4961702561173959</v>
      </c>
      <c r="M120" s="211">
        <f t="shared" si="60"/>
        <v>0.47956477965792454</v>
      </c>
      <c r="N120" s="211">
        <f t="shared" si="60"/>
        <v>0.45126827038099288</v>
      </c>
      <c r="O120" s="211">
        <f t="shared" si="60"/>
        <v>0.42239763684103154</v>
      </c>
      <c r="P120" s="211">
        <f t="shared" si="60"/>
        <v>0.40613712241459504</v>
      </c>
      <c r="Q120" s="211">
        <f t="shared" si="60"/>
        <v>0.38357676315881228</v>
      </c>
    </row>
    <row r="121" spans="3:17" ht="16" customHeight="1">
      <c r="C121" s="226" t="s">
        <v>47</v>
      </c>
      <c r="D121" s="385"/>
      <c r="E121" s="385"/>
      <c r="F121" s="385"/>
      <c r="G121" s="385"/>
      <c r="H121" s="385"/>
      <c r="I121" s="407"/>
      <c r="J121" s="407"/>
      <c r="K121" s="407"/>
      <c r="L121" s="407"/>
      <c r="M121" s="407"/>
      <c r="N121" s="407"/>
      <c r="O121" s="407"/>
      <c r="P121" s="407"/>
      <c r="Q121" s="407"/>
    </row>
    <row r="122" spans="3:17" ht="16" customHeight="1">
      <c r="C122" s="215" t="s">
        <v>13</v>
      </c>
      <c r="D122" s="211">
        <f t="shared" ref="D122:Q122" si="61">D30/D$17</f>
        <v>5.3888326503684192E-2</v>
      </c>
      <c r="E122" s="211">
        <f t="shared" si="61"/>
        <v>3.8853203029461172E-2</v>
      </c>
      <c r="F122" s="211">
        <f t="shared" si="61"/>
        <v>1.9770416546125835E-2</v>
      </c>
      <c r="G122" s="211">
        <f t="shared" si="61"/>
        <v>1.7623930322952262E-2</v>
      </c>
      <c r="H122" s="211">
        <f t="shared" si="61"/>
        <v>1.5456725844826148E-2</v>
      </c>
      <c r="I122" s="211">
        <f t="shared" si="61"/>
        <v>1.4927544703447496E-2</v>
      </c>
      <c r="J122" s="211">
        <f t="shared" si="61"/>
        <v>1.4025021211144371E-2</v>
      </c>
      <c r="K122" s="383">
        <f t="shared" si="61"/>
        <v>1.3445826622058536E-2</v>
      </c>
      <c r="L122" s="211">
        <f t="shared" si="61"/>
        <v>1.0349420409512915E-2</v>
      </c>
      <c r="M122" s="211">
        <f t="shared" si="61"/>
        <v>9.5974615077893313E-3</v>
      </c>
      <c r="N122" s="211">
        <f t="shared" si="61"/>
        <v>9.0302948578768923E-3</v>
      </c>
      <c r="O122" s="211">
        <f t="shared" si="61"/>
        <v>8.6450199093679059E-3</v>
      </c>
      <c r="P122" s="211">
        <f t="shared" si="61"/>
        <v>8.0490598656837789E-3</v>
      </c>
      <c r="Q122" s="211">
        <f t="shared" si="61"/>
        <v>7.5477441897851359E-3</v>
      </c>
    </row>
    <row r="123" spans="3:17" ht="16" customHeight="1">
      <c r="C123" s="215" t="s">
        <v>20</v>
      </c>
      <c r="D123" s="211">
        <f t="shared" ref="D123:Q123" si="62">D31/D$17</f>
        <v>1.0915194591882999E-2</v>
      </c>
      <c r="E123" s="211">
        <f t="shared" si="62"/>
        <v>7.8688618230252552E-3</v>
      </c>
      <c r="F123" s="211">
        <f t="shared" si="62"/>
        <v>7.4460760196526088E-3</v>
      </c>
      <c r="G123" s="211">
        <f t="shared" si="62"/>
        <v>6.6376509894769346E-3</v>
      </c>
      <c r="H123" s="211">
        <f t="shared" si="62"/>
        <v>5.8214229015856444E-3</v>
      </c>
      <c r="I123" s="211">
        <f t="shared" si="62"/>
        <v>5.3077865925277795E-3</v>
      </c>
      <c r="J123" s="211">
        <f t="shared" si="62"/>
        <v>4.5882778046198837E-3</v>
      </c>
      <c r="K123" s="383">
        <f t="shared" si="62"/>
        <v>4.3987946204128749E-3</v>
      </c>
      <c r="L123" s="211">
        <f t="shared" si="62"/>
        <v>3.3858070687205408E-3</v>
      </c>
      <c r="M123" s="211">
        <f t="shared" si="62"/>
        <v>3.1398041367589748E-3</v>
      </c>
      <c r="N123" s="211">
        <f t="shared" si="62"/>
        <v>2.9542558860906594E-3</v>
      </c>
      <c r="O123" s="211">
        <f t="shared" si="62"/>
        <v>2.8282134032803531E-3</v>
      </c>
      <c r="P123" s="211">
        <f t="shared" si="62"/>
        <v>2.6332454100267393E-3</v>
      </c>
      <c r="Q123" s="211">
        <f t="shared" si="62"/>
        <v>2.4692402684868449E-3</v>
      </c>
    </row>
    <row r="124" spans="3:17" ht="16" customHeight="1">
      <c r="C124" s="215" t="s">
        <v>48</v>
      </c>
      <c r="D124" s="211">
        <f t="shared" ref="D124:Q124" si="63">D32/D$17</f>
        <v>0</v>
      </c>
      <c r="E124" s="211">
        <f t="shared" si="63"/>
        <v>0</v>
      </c>
      <c r="F124" s="211">
        <f t="shared" si="63"/>
        <v>0</v>
      </c>
      <c r="G124" s="211">
        <f t="shared" si="63"/>
        <v>0</v>
      </c>
      <c r="H124" s="211">
        <f t="shared" si="63"/>
        <v>0</v>
      </c>
      <c r="I124" s="211">
        <f t="shared" si="63"/>
        <v>0</v>
      </c>
      <c r="J124" s="211">
        <f t="shared" si="63"/>
        <v>0</v>
      </c>
      <c r="K124" s="383">
        <f t="shared" si="63"/>
        <v>0</v>
      </c>
      <c r="L124" s="211">
        <f t="shared" si="63"/>
        <v>0</v>
      </c>
      <c r="M124" s="211">
        <f t="shared" si="63"/>
        <v>0</v>
      </c>
      <c r="N124" s="211">
        <f t="shared" si="63"/>
        <v>0</v>
      </c>
      <c r="O124" s="211">
        <f t="shared" si="63"/>
        <v>0</v>
      </c>
      <c r="P124" s="211">
        <f t="shared" si="63"/>
        <v>0</v>
      </c>
      <c r="Q124" s="211">
        <f t="shared" si="63"/>
        <v>0</v>
      </c>
    </row>
    <row r="125" spans="3:17" ht="16" customHeight="1">
      <c r="C125" s="215" t="s">
        <v>49</v>
      </c>
      <c r="D125" s="211">
        <f t="shared" ref="D125:Q125" si="64">D33/D$17</f>
        <v>0.16655088853861352</v>
      </c>
      <c r="E125" s="211">
        <f t="shared" si="64"/>
        <v>0.12750908085400273</v>
      </c>
      <c r="F125" s="211">
        <f t="shared" si="64"/>
        <v>0.14031382997999484</v>
      </c>
      <c r="G125" s="211">
        <f t="shared" si="64"/>
        <v>0.13044461442348179</v>
      </c>
      <c r="H125" s="211">
        <f t="shared" si="64"/>
        <v>0.12104331915033387</v>
      </c>
      <c r="I125" s="211">
        <f t="shared" si="64"/>
        <v>0.1184211631938419</v>
      </c>
      <c r="J125" s="211">
        <f t="shared" si="64"/>
        <v>0.11304601106566856</v>
      </c>
      <c r="K125" s="383">
        <f t="shared" si="64"/>
        <v>0.10679049723760466</v>
      </c>
      <c r="L125" s="211">
        <f t="shared" si="64"/>
        <v>8.2197977314368398E-2</v>
      </c>
      <c r="M125" s="211">
        <f t="shared" si="64"/>
        <v>7.6225710433761348E-2</v>
      </c>
      <c r="N125" s="211">
        <f t="shared" si="64"/>
        <v>7.1721115047906014E-2</v>
      </c>
      <c r="O125" s="211">
        <f t="shared" si="64"/>
        <v>6.8661154178191325E-2</v>
      </c>
      <c r="P125" s="211">
        <f t="shared" si="64"/>
        <v>6.392787364530364E-2</v>
      </c>
      <c r="Q125" s="211">
        <f t="shared" si="64"/>
        <v>5.9946285022526531E-2</v>
      </c>
    </row>
    <row r="126" spans="3:17" ht="16" customHeight="1">
      <c r="C126" s="215" t="s">
        <v>50</v>
      </c>
      <c r="D126" s="211">
        <f t="shared" ref="D126:Q126" si="65">D34/D$17</f>
        <v>1.1471725468631329</v>
      </c>
      <c r="E126" s="211">
        <f t="shared" si="65"/>
        <v>0.91289130756508485</v>
      </c>
      <c r="F126" s="211">
        <f t="shared" si="65"/>
        <v>0.1585255998019752</v>
      </c>
      <c r="G126" s="211">
        <f t="shared" si="65"/>
        <v>0.21120299348050695</v>
      </c>
      <c r="H126" s="211">
        <f t="shared" si="65"/>
        <v>0.26122509191353899</v>
      </c>
      <c r="I126" s="211">
        <f t="shared" si="65"/>
        <v>0.32786921330335139</v>
      </c>
      <c r="J126" s="211">
        <f t="shared" si="65"/>
        <v>0.3832887183091977</v>
      </c>
      <c r="K126" s="383">
        <f t="shared" si="65"/>
        <v>0.40249679558274487</v>
      </c>
      <c r="L126" s="211">
        <f t="shared" si="65"/>
        <v>0.31754108126927344</v>
      </c>
      <c r="M126" s="211">
        <f t="shared" si="65"/>
        <v>0.33485640819197571</v>
      </c>
      <c r="N126" s="211">
        <f t="shared" si="65"/>
        <v>0.36168013075865202</v>
      </c>
      <c r="O126" s="211">
        <f t="shared" si="65"/>
        <v>0.38621338821880402</v>
      </c>
      <c r="P126" s="211">
        <f t="shared" si="65"/>
        <v>0.40380422051775766</v>
      </c>
      <c r="Q126" s="211">
        <f t="shared" si="65"/>
        <v>0.4267072945215154</v>
      </c>
    </row>
    <row r="127" spans="3:17" ht="16" customHeight="1">
      <c r="C127" s="215" t="s">
        <v>51</v>
      </c>
      <c r="D127" s="211">
        <f t="shared" ref="D127:Q127" si="66">D35/D$17</f>
        <v>-1.1572189553463748</v>
      </c>
      <c r="E127" s="211">
        <f t="shared" si="66"/>
        <v>-0.85922469369156518</v>
      </c>
      <c r="F127" s="211">
        <f t="shared" si="66"/>
        <v>-7.2605321977619028E-2</v>
      </c>
      <c r="G127" s="211">
        <f t="shared" si="66"/>
        <v>-8.4209926909622312E-2</v>
      </c>
      <c r="H127" s="211">
        <f t="shared" si="66"/>
        <v>-0.11480498271696046</v>
      </c>
      <c r="I127" s="211">
        <f t="shared" si="66"/>
        <v>-0.14211842006718534</v>
      </c>
      <c r="J127" s="211">
        <f t="shared" si="66"/>
        <v>-0.15124262146640902</v>
      </c>
      <c r="K127" s="383">
        <f t="shared" si="66"/>
        <v>-0.18389811137115875</v>
      </c>
      <c r="L127" s="211">
        <f t="shared" si="66"/>
        <v>-0.11160578296658213</v>
      </c>
      <c r="M127" s="211">
        <f t="shared" si="66"/>
        <v>-0.10349683013011102</v>
      </c>
      <c r="N127" s="211">
        <f t="shared" si="66"/>
        <v>-9.7380634678448014E-2</v>
      </c>
      <c r="O127" s="211">
        <f t="shared" si="66"/>
        <v>-9.3225917739301209E-2</v>
      </c>
      <c r="P127" s="211">
        <f t="shared" si="66"/>
        <v>-8.6799220913744771E-2</v>
      </c>
      <c r="Q127" s="211">
        <f t="shared" si="66"/>
        <v>-8.1393147306892177E-2</v>
      </c>
    </row>
    <row r="128" spans="3:17" ht="16" customHeight="1">
      <c r="C128" s="215" t="s">
        <v>52</v>
      </c>
      <c r="D128" s="211">
        <f t="shared" ref="D128:Q128" si="67">D36/D$17</f>
        <v>-5.6492884236636808E-2</v>
      </c>
      <c r="E128" s="211">
        <f t="shared" si="67"/>
        <v>-4.6316899086332373E-2</v>
      </c>
      <c r="F128" s="211">
        <f t="shared" si="67"/>
        <v>-3.9797331701962868E-2</v>
      </c>
      <c r="G128" s="211">
        <f t="shared" si="67"/>
        <v>-3.7022310387440874E-2</v>
      </c>
      <c r="H128" s="211">
        <f t="shared" si="67"/>
        <v>-2.3934832025912602E-2</v>
      </c>
      <c r="I128" s="211">
        <f t="shared" si="67"/>
        <v>-2.3046593148850745E-2</v>
      </c>
      <c r="J128" s="211">
        <f t="shared" si="67"/>
        <v>-1.9329508564311964E-2</v>
      </c>
      <c r="K128" s="383">
        <f t="shared" si="67"/>
        <v>-2.026575440044576E-2</v>
      </c>
      <c r="L128" s="211">
        <f t="shared" si="67"/>
        <v>-1.5598803859486239E-2</v>
      </c>
      <c r="M128" s="211">
        <f t="shared" si="67"/>
        <v>-1.4465439965253157E-2</v>
      </c>
      <c r="N128" s="211">
        <f t="shared" si="67"/>
        <v>-1.3610597763703979E-2</v>
      </c>
      <c r="O128" s="211">
        <f t="shared" si="67"/>
        <v>-1.302990550114585E-2</v>
      </c>
      <c r="P128" s="211">
        <f t="shared" si="67"/>
        <v>-1.2131665458546491E-2</v>
      </c>
      <c r="Q128" s="211">
        <f t="shared" si="67"/>
        <v>-1.1376074846647023E-2</v>
      </c>
    </row>
    <row r="129" spans="3:18" ht="16" customHeight="1">
      <c r="C129" s="235" t="s">
        <v>58</v>
      </c>
      <c r="D129" s="211">
        <f t="shared" ref="D129:L129" si="68">D37/D$17</f>
        <v>0.16481511691430223</v>
      </c>
      <c r="E129" s="211">
        <f t="shared" si="68"/>
        <v>0.1815808604936765</v>
      </c>
      <c r="F129" s="211">
        <f t="shared" si="68"/>
        <v>0.21365326866816658</v>
      </c>
      <c r="G129" s="211">
        <f t="shared" si="68"/>
        <v>0.24467695191935473</v>
      </c>
      <c r="H129" s="211">
        <f t="shared" si="68"/>
        <v>0.26480674506741159</v>
      </c>
      <c r="I129" s="211">
        <f t="shared" si="68"/>
        <v>0.30136069457713249</v>
      </c>
      <c r="J129" s="211">
        <f t="shared" si="68"/>
        <v>0.34437589835990956</v>
      </c>
      <c r="K129" s="383">
        <f t="shared" si="68"/>
        <v>0.32296804829121639</v>
      </c>
      <c r="L129" s="211">
        <f t="shared" si="68"/>
        <v>0.28626969923580692</v>
      </c>
      <c r="M129" s="211">
        <f t="shared" ref="M129:Q129" si="69">M37/M$17</f>
        <v>0.30585711417492123</v>
      </c>
      <c r="N129" s="211">
        <f t="shared" si="69"/>
        <v>0.33439456410837359</v>
      </c>
      <c r="O129" s="211">
        <f t="shared" si="69"/>
        <v>0.36009195246919656</v>
      </c>
      <c r="P129" s="211">
        <f t="shared" si="69"/>
        <v>0.37948351306648054</v>
      </c>
      <c r="Q129" s="211">
        <f t="shared" si="69"/>
        <v>0.40390134184877469</v>
      </c>
    </row>
    <row r="130" spans="3:18" ht="16" customHeight="1">
      <c r="C130" s="223" t="s">
        <v>59</v>
      </c>
      <c r="D130" s="211">
        <f t="shared" ref="D130:L130" si="70">D38/D$17</f>
        <v>2.9218222144916763E-3</v>
      </c>
      <c r="E130" s="211">
        <f t="shared" si="70"/>
        <v>1.1093051816040982E-3</v>
      </c>
      <c r="F130" s="211">
        <f t="shared" si="70"/>
        <v>7.0905650155797105E-4</v>
      </c>
      <c r="G130" s="211">
        <f t="shared" si="70"/>
        <v>3.8666884950412542E-4</v>
      </c>
      <c r="H130" s="211">
        <f t="shared" si="70"/>
        <v>0</v>
      </c>
      <c r="I130" s="211">
        <f t="shared" si="70"/>
        <v>0</v>
      </c>
      <c r="J130" s="211">
        <f t="shared" si="70"/>
        <v>0</v>
      </c>
      <c r="K130" s="383">
        <f t="shared" si="70"/>
        <v>0</v>
      </c>
      <c r="L130" s="211">
        <f t="shared" si="70"/>
        <v>0</v>
      </c>
      <c r="M130" s="211">
        <f t="shared" ref="M130:Q130" si="71">M38/M$17</f>
        <v>0</v>
      </c>
      <c r="N130" s="211">
        <f t="shared" si="71"/>
        <v>0</v>
      </c>
      <c r="O130" s="211">
        <f t="shared" si="71"/>
        <v>0</v>
      </c>
      <c r="P130" s="211">
        <f t="shared" si="71"/>
        <v>0</v>
      </c>
      <c r="Q130" s="211">
        <f t="shared" si="71"/>
        <v>0</v>
      </c>
    </row>
    <row r="131" spans="3:18" ht="16" customHeight="1">
      <c r="C131" s="226" t="s">
        <v>53</v>
      </c>
      <c r="D131" s="211">
        <f t="shared" ref="D131:L131" si="72">D39/D$17</f>
        <v>0.16773693912879389</v>
      </c>
      <c r="E131" s="211">
        <f t="shared" si="72"/>
        <v>0.1826901656752806</v>
      </c>
      <c r="F131" s="211">
        <f t="shared" si="72"/>
        <v>0.21436232516972456</v>
      </c>
      <c r="G131" s="211">
        <f t="shared" si="72"/>
        <v>0.24506362076885888</v>
      </c>
      <c r="H131" s="211">
        <f t="shared" si="72"/>
        <v>0.26480674506741159</v>
      </c>
      <c r="I131" s="211">
        <f t="shared" si="72"/>
        <v>0.30136069457713249</v>
      </c>
      <c r="J131" s="211">
        <f t="shared" si="72"/>
        <v>0.34437589835990956</v>
      </c>
      <c r="K131" s="383">
        <f t="shared" si="72"/>
        <v>0.32296804829121639</v>
      </c>
      <c r="L131" s="211">
        <f t="shared" si="72"/>
        <v>0.28626969923580692</v>
      </c>
      <c r="M131" s="211">
        <f t="shared" ref="M131:Q131" si="73">M39/M$17</f>
        <v>0.30585711417492123</v>
      </c>
      <c r="N131" s="211">
        <f t="shared" si="73"/>
        <v>0.33439456410837359</v>
      </c>
      <c r="O131" s="211">
        <f t="shared" si="73"/>
        <v>0.36009195246919656</v>
      </c>
      <c r="P131" s="211">
        <f t="shared" si="73"/>
        <v>0.37948351306648054</v>
      </c>
      <c r="Q131" s="211">
        <f t="shared" si="73"/>
        <v>0.40390134184877469</v>
      </c>
    </row>
    <row r="132" spans="3:18" ht="16" customHeight="1">
      <c r="C132" s="226" t="s">
        <v>54</v>
      </c>
      <c r="D132" s="211">
        <f t="shared" ref="D132:L132" si="74">D40/D$17</f>
        <v>1</v>
      </c>
      <c r="E132" s="211">
        <f t="shared" si="74"/>
        <v>1</v>
      </c>
      <c r="F132" s="211">
        <f t="shared" si="74"/>
        <v>1</v>
      </c>
      <c r="G132" s="211">
        <f t="shared" si="74"/>
        <v>1</v>
      </c>
      <c r="H132" s="211">
        <f t="shared" si="74"/>
        <v>1</v>
      </c>
      <c r="I132" s="211">
        <f t="shared" si="74"/>
        <v>1</v>
      </c>
      <c r="J132" s="211">
        <f t="shared" si="74"/>
        <v>1</v>
      </c>
      <c r="K132" s="383">
        <f t="shared" si="74"/>
        <v>1</v>
      </c>
      <c r="L132" s="211">
        <f t="shared" si="74"/>
        <v>0.78243995535320277</v>
      </c>
      <c r="M132" s="211">
        <f t="shared" ref="M132:Q132" si="75">M40/M$17</f>
        <v>0.78542189383284577</v>
      </c>
      <c r="N132" s="211">
        <f t="shared" si="75"/>
        <v>0.78566283448936647</v>
      </c>
      <c r="O132" s="211">
        <f t="shared" si="75"/>
        <v>0.78248958931022805</v>
      </c>
      <c r="P132" s="211">
        <f t="shared" si="75"/>
        <v>0.78562063548107552</v>
      </c>
      <c r="Q132" s="211">
        <f t="shared" si="75"/>
        <v>0.78747810500758697</v>
      </c>
    </row>
    <row r="133" spans="3:18" ht="16" customHeight="1">
      <c r="C133" s="372" t="s">
        <v>385</v>
      </c>
      <c r="D133" s="389" t="s">
        <v>61</v>
      </c>
      <c r="E133" s="389" t="s">
        <v>60</v>
      </c>
      <c r="F133" s="389" t="s">
        <v>56</v>
      </c>
      <c r="G133" s="389" t="s">
        <v>55</v>
      </c>
      <c r="H133" s="389" t="s">
        <v>23</v>
      </c>
      <c r="I133" s="389" t="s">
        <v>22</v>
      </c>
      <c r="J133" s="389" t="s">
        <v>21</v>
      </c>
      <c r="K133" s="389" t="s">
        <v>178</v>
      </c>
      <c r="L133" s="375">
        <v>2024</v>
      </c>
      <c r="M133" s="375">
        <v>2025</v>
      </c>
      <c r="N133" s="375">
        <v>2026</v>
      </c>
      <c r="O133" s="375">
        <v>2027</v>
      </c>
      <c r="P133" s="375">
        <v>2028</v>
      </c>
      <c r="Q133" s="375">
        <v>2029</v>
      </c>
      <c r="R133" s="375"/>
    </row>
    <row r="134" spans="3:18" ht="16" customHeight="1">
      <c r="C134" s="226" t="s">
        <v>25</v>
      </c>
      <c r="D134" s="385"/>
      <c r="E134" s="385"/>
      <c r="F134" s="385"/>
      <c r="G134" s="385"/>
      <c r="H134" s="385"/>
      <c r="I134" s="407"/>
      <c r="J134" s="407"/>
      <c r="K134" s="407"/>
      <c r="L134" s="385"/>
      <c r="M134" s="385"/>
      <c r="N134" s="385"/>
      <c r="O134" s="385"/>
      <c r="P134" s="385"/>
      <c r="Q134" s="385"/>
    </row>
    <row r="135" spans="3:18" ht="16" customHeight="1">
      <c r="C135" s="215" t="s">
        <v>26</v>
      </c>
      <c r="E135" s="211">
        <f t="shared" ref="E135:K139" si="76">E5/D5 -1</f>
        <v>0.5466346115908558</v>
      </c>
      <c r="F135" s="211">
        <f t="shared" si="76"/>
        <v>-0.16111619427276969</v>
      </c>
      <c r="G135" s="259">
        <f t="shared" si="76"/>
        <v>1.3192279153877657</v>
      </c>
      <c r="H135" s="211">
        <f t="shared" si="76"/>
        <v>-0.71217679921187915</v>
      </c>
      <c r="I135" s="211">
        <f t="shared" si="76"/>
        <v>0.40885788389933975</v>
      </c>
      <c r="J135" s="211">
        <f t="shared" si="76"/>
        <v>-0.13362463865278118</v>
      </c>
      <c r="K135" s="383">
        <f t="shared" si="76"/>
        <v>0.16211912356743685</v>
      </c>
      <c r="L135" s="212">
        <f>L5/J5-1</f>
        <v>1.3077865132188968</v>
      </c>
      <c r="M135" s="211">
        <f t="shared" ref="M135:Q139" si="77">M5/L5 -1</f>
        <v>0.91454343200447696</v>
      </c>
      <c r="N135" s="211">
        <f t="shared" si="77"/>
        <v>0.359617769115258</v>
      </c>
      <c r="O135" s="211">
        <f t="shared" si="77"/>
        <v>9.9766690445506789E-2</v>
      </c>
      <c r="P135" s="211">
        <f t="shared" si="77"/>
        <v>0.30138567503229741</v>
      </c>
      <c r="Q135" s="211">
        <f t="shared" si="77"/>
        <v>0.21150422433391358</v>
      </c>
      <c r="R135" s="211"/>
    </row>
    <row r="136" spans="3:18" ht="16" customHeight="1">
      <c r="C136" s="215" t="s">
        <v>27</v>
      </c>
      <c r="E136" s="211">
        <f t="shared" si="76"/>
        <v>1.0000645970672961E-2</v>
      </c>
      <c r="F136" s="211">
        <f t="shared" si="76"/>
        <v>-4.3147716466519159E-2</v>
      </c>
      <c r="G136" s="211">
        <f t="shared" si="76"/>
        <v>8.2186913487737323E-2</v>
      </c>
      <c r="H136" s="211">
        <f t="shared" si="76"/>
        <v>9.139789315592628E-2</v>
      </c>
      <c r="I136" s="211">
        <f t="shared" si="76"/>
        <v>5.9182621853144823E-2</v>
      </c>
      <c r="J136" s="211">
        <f t="shared" si="76"/>
        <v>0.15806176295656793</v>
      </c>
      <c r="K136" s="383">
        <f t="shared" si="76"/>
        <v>2.7710695626729454E-2</v>
      </c>
      <c r="L136" s="212">
        <f>L6/J6-1</f>
        <v>-2.2503357750022324E-2</v>
      </c>
      <c r="M136" s="211">
        <f t="shared" si="77"/>
        <v>1.2746877199664608E-2</v>
      </c>
      <c r="N136" s="211">
        <f t="shared" si="77"/>
        <v>3.084607484488644E-2</v>
      </c>
      <c r="O136" s="211">
        <f t="shared" si="77"/>
        <v>3.4340362252480494E-2</v>
      </c>
      <c r="P136" s="211">
        <f t="shared" si="77"/>
        <v>3.4415558781039968E-2</v>
      </c>
      <c r="Q136" s="211">
        <f t="shared" si="77"/>
        <v>3.3266415597732246E-2</v>
      </c>
      <c r="R136" s="211"/>
    </row>
    <row r="137" spans="3:18" ht="16" customHeight="1">
      <c r="C137" s="215" t="s">
        <v>28</v>
      </c>
      <c r="E137" s="211">
        <f t="shared" si="76"/>
        <v>4.2563054901731512E-2</v>
      </c>
      <c r="F137" s="211">
        <f t="shared" si="76"/>
        <v>3.8696410529521108E-2</v>
      </c>
      <c r="G137" s="211">
        <f t="shared" si="76"/>
        <v>0.1827118274003956</v>
      </c>
      <c r="H137" s="211">
        <f t="shared" si="76"/>
        <v>2.5206205721385544E-2</v>
      </c>
      <c r="I137" s="211">
        <f t="shared" si="76"/>
        <v>0.1867536122511535</v>
      </c>
      <c r="J137" s="211">
        <f t="shared" si="76"/>
        <v>0.14310312935004887</v>
      </c>
      <c r="K137" s="383">
        <f t="shared" si="76"/>
        <v>8.8361188251120826E-2</v>
      </c>
      <c r="L137" s="212">
        <f>L7/J7-1</f>
        <v>2.629425963984966E-2</v>
      </c>
      <c r="M137" s="211">
        <f t="shared" si="77"/>
        <v>-4.0092090306404815E-2</v>
      </c>
      <c r="N137" s="211">
        <f t="shared" si="77"/>
        <v>-6.2867204686467004E-2</v>
      </c>
      <c r="O137" s="211">
        <f t="shared" si="77"/>
        <v>2.485100113089822E-2</v>
      </c>
      <c r="P137" s="211">
        <f t="shared" si="77"/>
        <v>3.4415558781039968E-2</v>
      </c>
      <c r="Q137" s="211">
        <f t="shared" si="77"/>
        <v>3.3266415597732468E-2</v>
      </c>
      <c r="R137" s="211"/>
    </row>
    <row r="138" spans="3:18" ht="16" customHeight="1">
      <c r="C138" s="215" t="s">
        <v>29</v>
      </c>
      <c r="E138" s="211">
        <f t="shared" si="76"/>
        <v>-3.019602113792752E-2</v>
      </c>
      <c r="F138" s="211">
        <f t="shared" si="76"/>
        <v>-0.11786859887051315</v>
      </c>
      <c r="G138" s="211">
        <f t="shared" si="76"/>
        <v>5.9971676107964056E-2</v>
      </c>
      <c r="H138" s="211">
        <f t="shared" si="76"/>
        <v>9.7729469738052632E-3</v>
      </c>
      <c r="I138" s="211">
        <f t="shared" si="76"/>
        <v>5.9268772011752624E-2</v>
      </c>
      <c r="J138" s="211">
        <f t="shared" si="76"/>
        <v>0.2696339021657268</v>
      </c>
      <c r="K138" s="383">
        <f t="shared" si="76"/>
        <v>0.62806868294037987</v>
      </c>
      <c r="L138" s="212">
        <f>L8/J8-1</f>
        <v>2.6460872451589568E-2</v>
      </c>
      <c r="M138" s="211">
        <f t="shared" si="77"/>
        <v>2.2111489583156452E-3</v>
      </c>
      <c r="N138" s="211">
        <f t="shared" si="77"/>
        <v>2.4073104576523008E-2</v>
      </c>
      <c r="O138" s="211">
        <f t="shared" si="77"/>
        <v>1.9427253854924942E-2</v>
      </c>
      <c r="P138" s="211">
        <f t="shared" si="77"/>
        <v>3.441555878104019E-2</v>
      </c>
      <c r="Q138" s="211">
        <f t="shared" si="77"/>
        <v>3.3266415597732246E-2</v>
      </c>
      <c r="R138" s="211"/>
    </row>
    <row r="139" spans="3:18" ht="16" customHeight="1">
      <c r="C139" s="234" t="s">
        <v>30</v>
      </c>
      <c r="E139" s="211">
        <f t="shared" si="76"/>
        <v>0.11852231119281087</v>
      </c>
      <c r="F139" s="211">
        <f t="shared" si="76"/>
        <v>-5.4519487258957611E-2</v>
      </c>
      <c r="G139" s="211">
        <f t="shared" si="76"/>
        <v>0.40659495858017225</v>
      </c>
      <c r="H139" s="211">
        <f t="shared" si="76"/>
        <v>-0.24570931577736699</v>
      </c>
      <c r="I139" s="211">
        <f t="shared" si="76"/>
        <v>0.16659202228112657</v>
      </c>
      <c r="J139" s="211">
        <f t="shared" si="76"/>
        <v>0.11131748286334253</v>
      </c>
      <c r="K139" s="383">
        <f t="shared" si="76"/>
        <v>0.14543578987419048</v>
      </c>
      <c r="L139" s="212">
        <f>L9/J9-1</f>
        <v>0.18937273998361359</v>
      </c>
      <c r="M139" s="211">
        <f t="shared" si="77"/>
        <v>0.23216247655654665</v>
      </c>
      <c r="N139" s="211">
        <f t="shared" si="77"/>
        <v>0.13807149272539965</v>
      </c>
      <c r="O139" s="211">
        <f t="shared" si="77"/>
        <v>6.3326467717183643E-2</v>
      </c>
      <c r="P139" s="211">
        <f t="shared" si="77"/>
        <v>0.17167183276128339</v>
      </c>
      <c r="Q139" s="211">
        <f t="shared" si="77"/>
        <v>0.13504805019012456</v>
      </c>
      <c r="R139" s="211"/>
    </row>
    <row r="140" spans="3:18" ht="16" customHeight="1">
      <c r="C140" s="215" t="s">
        <v>31</v>
      </c>
      <c r="E140" s="211">
        <f t="shared" ref="E140:K145" si="78">E12/D12 -1</f>
        <v>1.120094631548807E-2</v>
      </c>
      <c r="F140" s="211">
        <f t="shared" si="78"/>
        <v>1.0723871916270777E-2</v>
      </c>
      <c r="G140" s="211">
        <f t="shared" si="78"/>
        <v>6.1359717138559144E-2</v>
      </c>
      <c r="H140" s="211">
        <f t="shared" si="78"/>
        <v>0.1316842102960063</v>
      </c>
      <c r="I140" s="211">
        <f t="shared" si="78"/>
        <v>7.0959679249799068E-2</v>
      </c>
      <c r="J140" s="211">
        <f t="shared" si="78"/>
        <v>0.19495815795345495</v>
      </c>
      <c r="K140" s="383">
        <f t="shared" si="78"/>
        <v>1.7718944259834446E-2</v>
      </c>
      <c r="L140" s="212">
        <f t="shared" ref="L140:L145" si="79">L12/J12-1</f>
        <v>6.0315657899650654E-2</v>
      </c>
      <c r="M140" s="211">
        <f t="shared" ref="M140:Q145" si="80">M12/L12 -1</f>
        <v>6.3569608142623357E-2</v>
      </c>
      <c r="N140" s="211">
        <f t="shared" si="80"/>
        <v>6.1613720937072181E-2</v>
      </c>
      <c r="O140" s="211">
        <f t="shared" si="80"/>
        <v>6.0030835299982099E-2</v>
      </c>
      <c r="P140" s="211">
        <f t="shared" si="80"/>
        <v>5.8580211040135E-2</v>
      </c>
      <c r="Q140" s="211">
        <f t="shared" si="80"/>
        <v>5.7179384287681767E-2</v>
      </c>
      <c r="R140" s="211"/>
    </row>
    <row r="141" spans="3:18" ht="16" customHeight="1">
      <c r="C141" s="215" t="s">
        <v>32</v>
      </c>
      <c r="E141" s="259">
        <f t="shared" si="78"/>
        <v>1.1936287316045946</v>
      </c>
      <c r="F141" s="211">
        <f t="shared" si="78"/>
        <v>0.10263266453945175</v>
      </c>
      <c r="G141" s="211">
        <f t="shared" si="78"/>
        <v>1.1379915456291023E-3</v>
      </c>
      <c r="H141" s="211">
        <f t="shared" si="78"/>
        <v>0.32439097381319426</v>
      </c>
      <c r="I141" s="211">
        <f t="shared" si="78"/>
        <v>-9.956804981364642E-3</v>
      </c>
      <c r="J141" s="211">
        <f t="shared" si="78"/>
        <v>3.417549049542834E-2</v>
      </c>
      <c r="K141" s="383">
        <f t="shared" si="78"/>
        <v>-1.6457409914504284E-3</v>
      </c>
      <c r="L141" s="212">
        <f t="shared" si="79"/>
        <v>-1.6457409914504284E-3</v>
      </c>
      <c r="M141" s="211">
        <f t="shared" si="80"/>
        <v>0</v>
      </c>
      <c r="N141" s="211">
        <f t="shared" si="80"/>
        <v>0</v>
      </c>
      <c r="O141" s="211">
        <f t="shared" si="80"/>
        <v>0</v>
      </c>
      <c r="P141" s="211">
        <f t="shared" si="80"/>
        <v>0</v>
      </c>
      <c r="Q141" s="211">
        <f t="shared" si="80"/>
        <v>0</v>
      </c>
      <c r="R141" s="211"/>
    </row>
    <row r="142" spans="3:18" ht="16" customHeight="1">
      <c r="C142" s="215" t="s">
        <v>33</v>
      </c>
      <c r="E142" s="259">
        <f t="shared" si="78"/>
        <v>2.4627420385961489</v>
      </c>
      <c r="F142" s="211">
        <f t="shared" si="78"/>
        <v>4.9185944995353115E-2</v>
      </c>
      <c r="G142" s="211">
        <f t="shared" si="78"/>
        <v>-3.4262723630035352E-2</v>
      </c>
      <c r="H142" s="211">
        <f t="shared" si="78"/>
        <v>0.5731670596519185</v>
      </c>
      <c r="I142" s="211">
        <f t="shared" si="78"/>
        <v>-3.5001678455114593E-2</v>
      </c>
      <c r="J142" s="211">
        <f t="shared" si="78"/>
        <v>-4.4266577970765941E-2</v>
      </c>
      <c r="K142" s="383">
        <f t="shared" si="78"/>
        <v>-2.1659946712188849E-2</v>
      </c>
      <c r="L142" s="212">
        <f t="shared" si="79"/>
        <v>-1.0770374446116282E-3</v>
      </c>
      <c r="M142" s="211">
        <f t="shared" si="80"/>
        <v>-1.0787314118596569E-3</v>
      </c>
      <c r="N142" s="211">
        <f t="shared" si="80"/>
        <v>-1.0804296120905388E-3</v>
      </c>
      <c r="O142" s="211">
        <f t="shared" si="80"/>
        <v>-1.0821320617525609E-3</v>
      </c>
      <c r="P142" s="211">
        <f t="shared" si="80"/>
        <v>-1.0838387773784985E-3</v>
      </c>
      <c r="Q142" s="211">
        <f t="shared" si="80"/>
        <v>-1.085549775587058E-3</v>
      </c>
      <c r="R142" s="211"/>
    </row>
    <row r="143" spans="3:18" ht="16" customHeight="1">
      <c r="C143" s="215" t="s">
        <v>34</v>
      </c>
      <c r="E143" s="211">
        <f t="shared" si="78"/>
        <v>4.3870271042842912E-3</v>
      </c>
      <c r="F143" s="211">
        <f t="shared" si="78"/>
        <v>1.023843405116529</v>
      </c>
      <c r="G143" s="211">
        <f t="shared" si="78"/>
        <v>8.571679687499989E-2</v>
      </c>
      <c r="H143" s="211">
        <f t="shared" si="78"/>
        <v>0.56183361006823329</v>
      </c>
      <c r="I143" s="211">
        <f t="shared" si="78"/>
        <v>8.8442449519294364E-2</v>
      </c>
      <c r="J143" s="211">
        <f t="shared" si="78"/>
        <v>0.12321624907803153</v>
      </c>
      <c r="K143" s="383">
        <f t="shared" si="78"/>
        <v>7.4266058805739776E-2</v>
      </c>
      <c r="L143" s="212">
        <f t="shared" si="79"/>
        <v>-2.5570461671625133E-2</v>
      </c>
      <c r="M143" s="211">
        <f t="shared" si="80"/>
        <v>1.3093934264272189E-2</v>
      </c>
      <c r="N143" s="211">
        <f t="shared" si="80"/>
        <v>4.060171593174644E-2</v>
      </c>
      <c r="O143" s="211">
        <f t="shared" si="80"/>
        <v>3.4340362252480494E-2</v>
      </c>
      <c r="P143" s="211">
        <f t="shared" si="80"/>
        <v>4.5190720851675747E-2</v>
      </c>
      <c r="Q143" s="211">
        <f t="shared" si="80"/>
        <v>4.3918646686368801E-2</v>
      </c>
      <c r="R143" s="211"/>
    </row>
    <row r="144" spans="3:18" ht="16" customHeight="1">
      <c r="C144" s="215" t="s">
        <v>35</v>
      </c>
      <c r="E144" s="211">
        <f t="shared" si="78"/>
        <v>-0.61429043996030441</v>
      </c>
      <c r="F144" s="211">
        <f t="shared" si="78"/>
        <v>25.614922813036021</v>
      </c>
      <c r="G144" s="211">
        <f t="shared" si="78"/>
        <v>-5.3620339638449366E-2</v>
      </c>
      <c r="H144" s="211">
        <f t="shared" si="78"/>
        <v>0.39170553985494916</v>
      </c>
      <c r="I144" s="211">
        <f t="shared" si="78"/>
        <v>-9.1747608445673645E-3</v>
      </c>
      <c r="J144" s="211">
        <f t="shared" si="78"/>
        <v>9.7683836238826594E-2</v>
      </c>
      <c r="K144" s="383">
        <f t="shared" si="78"/>
        <v>-7.0229900571377124E-2</v>
      </c>
      <c r="L144" s="212">
        <f t="shared" si="79"/>
        <v>1.202824154163884E-2</v>
      </c>
      <c r="M144" s="211">
        <f t="shared" si="80"/>
        <v>4.4523113495922084E-2</v>
      </c>
      <c r="N144" s="211">
        <f t="shared" si="80"/>
        <v>5.9058322837710842E-2</v>
      </c>
      <c r="O144" s="211">
        <f t="shared" si="80"/>
        <v>0.10363304359816139</v>
      </c>
      <c r="P144" s="211">
        <f t="shared" si="80"/>
        <v>3.8664370547914606E-2</v>
      </c>
      <c r="Q144" s="211">
        <f t="shared" si="80"/>
        <v>3.7627167742710466E-2</v>
      </c>
      <c r="R144" s="211"/>
    </row>
    <row r="145" spans="3:18" ht="16" customHeight="1">
      <c r="C145" s="226" t="s">
        <v>36</v>
      </c>
      <c r="E145" s="259">
        <f t="shared" si="78"/>
        <v>0.3870003669608475</v>
      </c>
      <c r="F145" s="211">
        <f t="shared" si="78"/>
        <v>5.6779678619554463E-2</v>
      </c>
      <c r="G145" s="259">
        <f t="shared" si="78"/>
        <v>0.1217938441562112</v>
      </c>
      <c r="H145" s="211">
        <f t="shared" si="78"/>
        <v>0.14021109644327079</v>
      </c>
      <c r="I145" s="211">
        <f t="shared" si="78"/>
        <v>5.1534488622082986E-2</v>
      </c>
      <c r="J145" s="211">
        <f t="shared" si="78"/>
        <v>8.7143728730584735E-2</v>
      </c>
      <c r="K145" s="383">
        <f t="shared" si="78"/>
        <v>4.3076160757244741E-2</v>
      </c>
      <c r="L145" s="212">
        <f t="shared" si="79"/>
        <v>0.35515040033091516</v>
      </c>
      <c r="M145" s="211">
        <f t="shared" si="80"/>
        <v>7.8349770000462282E-2</v>
      </c>
      <c r="N145" s="211">
        <f t="shared" si="80"/>
        <v>6.2807101964972079E-2</v>
      </c>
      <c r="O145" s="211">
        <f t="shared" si="80"/>
        <v>4.4566114658856293E-2</v>
      </c>
      <c r="P145" s="211">
        <f t="shared" si="80"/>
        <v>7.4040950574232101E-2</v>
      </c>
      <c r="Q145" s="211">
        <f t="shared" si="80"/>
        <v>6.6419272208126268E-2</v>
      </c>
      <c r="R145" s="211"/>
    </row>
    <row r="146" spans="3:18" ht="16" customHeight="1">
      <c r="C146" s="226" t="s">
        <v>37</v>
      </c>
      <c r="D146" s="385"/>
      <c r="E146" s="385"/>
      <c r="F146" s="385"/>
      <c r="G146" s="385"/>
      <c r="H146" s="385"/>
      <c r="I146" s="407"/>
      <c r="J146" s="407"/>
      <c r="K146" s="407"/>
      <c r="L146" s="397"/>
      <c r="M146" s="407"/>
      <c r="N146" s="407"/>
      <c r="O146" s="407"/>
      <c r="P146" s="407"/>
      <c r="Q146" s="407"/>
    </row>
    <row r="147" spans="3:18" ht="16" customHeight="1">
      <c r="C147" s="215" t="s">
        <v>38</v>
      </c>
      <c r="E147" s="211">
        <f t="shared" ref="E147:K156" si="81">E19/D19 -1</f>
        <v>-3.9972937279852627E-2</v>
      </c>
      <c r="F147" s="211">
        <f t="shared" si="81"/>
        <v>9.6581023025438251E-2</v>
      </c>
      <c r="G147" s="211">
        <f t="shared" si="81"/>
        <v>5.3065566746788528E-2</v>
      </c>
      <c r="H147" s="211">
        <f t="shared" si="81"/>
        <v>0.19356685021153064</v>
      </c>
      <c r="I147" s="211">
        <f t="shared" si="81"/>
        <v>0.40185574098200583</v>
      </c>
      <c r="J147" s="211">
        <f t="shared" si="81"/>
        <v>0.1191324990366367</v>
      </c>
      <c r="K147" s="383">
        <f t="shared" si="81"/>
        <v>4.7913657275063137E-2</v>
      </c>
      <c r="L147" s="212">
        <f t="shared" ref="L147:L156" si="82">L19/J19-1</f>
        <v>-1.3898598946954777E-2</v>
      </c>
      <c r="M147" s="211">
        <f t="shared" ref="M147:Q150" si="83">M19/L19 -1</f>
        <v>3.5400874069404509E-3</v>
      </c>
      <c r="N147" s="211">
        <f t="shared" si="83"/>
        <v>3.0846074844886218E-2</v>
      </c>
      <c r="O147" s="211">
        <f t="shared" si="83"/>
        <v>2.485100113089822E-2</v>
      </c>
      <c r="P147" s="211">
        <f t="shared" si="83"/>
        <v>3.4415558781039968E-2</v>
      </c>
      <c r="Q147" s="211">
        <f t="shared" si="83"/>
        <v>3.3266415597732246E-2</v>
      </c>
      <c r="R147" s="211"/>
    </row>
    <row r="148" spans="3:18" ht="16" customHeight="1">
      <c r="C148" s="215" t="s">
        <v>39</v>
      </c>
      <c r="E148" s="211">
        <f t="shared" si="81"/>
        <v>4.47988120697973E-3</v>
      </c>
      <c r="F148" s="211">
        <f t="shared" si="81"/>
        <v>3.4172945228170493E-2</v>
      </c>
      <c r="G148" s="211">
        <f t="shared" si="81"/>
        <v>0.11303696616607728</v>
      </c>
      <c r="H148" s="211">
        <f t="shared" si="81"/>
        <v>9.4493748768813113E-2</v>
      </c>
      <c r="I148" s="211">
        <f t="shared" si="81"/>
        <v>-2.7020772803451942E-2</v>
      </c>
      <c r="J148" s="211">
        <f t="shared" si="81"/>
        <v>4.2397882087834793E-2</v>
      </c>
      <c r="K148" s="383">
        <f t="shared" si="81"/>
        <v>-9.6900837159993758E-2</v>
      </c>
      <c r="L148" s="212">
        <f t="shared" si="82"/>
        <v>-5.9750810944729116E-2</v>
      </c>
      <c r="M148" s="211">
        <f t="shared" si="83"/>
        <v>1.2746877199664608E-2</v>
      </c>
      <c r="N148" s="211">
        <f t="shared" si="83"/>
        <v>3.084607484488644E-2</v>
      </c>
      <c r="O148" s="211">
        <f t="shared" si="83"/>
        <v>3.4340362252480272E-2</v>
      </c>
      <c r="P148" s="211">
        <f t="shared" si="83"/>
        <v>3.4415558781039968E-2</v>
      </c>
      <c r="Q148" s="211">
        <f t="shared" si="83"/>
        <v>3.3266415597732246E-2</v>
      </c>
      <c r="R148" s="211"/>
    </row>
    <row r="149" spans="3:18" ht="16" customHeight="1">
      <c r="C149" s="215" t="s">
        <v>40</v>
      </c>
      <c r="E149" s="211">
        <f t="shared" si="81"/>
        <v>0.90560288890142759</v>
      </c>
      <c r="F149" s="211">
        <f t="shared" si="81"/>
        <v>-0.41015011991827788</v>
      </c>
      <c r="G149" s="211">
        <f t="shared" si="81"/>
        <v>-0.14406907283770898</v>
      </c>
      <c r="H149" s="211">
        <f t="shared" si="81"/>
        <v>-0.81995190897894554</v>
      </c>
      <c r="I149" s="211">
        <f t="shared" si="81"/>
        <v>1.1856677524429968</v>
      </c>
      <c r="J149" s="211">
        <f t="shared" si="81"/>
        <v>3.3900149031296571</v>
      </c>
      <c r="K149" s="383">
        <f t="shared" si="81"/>
        <v>0.26394405404487897</v>
      </c>
      <c r="L149" s="212">
        <f t="shared" si="82"/>
        <v>-0.13920524480868535</v>
      </c>
      <c r="M149" s="211">
        <f t="shared" si="83"/>
        <v>4.4523113495922084E-2</v>
      </c>
      <c r="N149" s="211">
        <f t="shared" si="83"/>
        <v>5.9058322837710842E-2</v>
      </c>
      <c r="O149" s="211">
        <f t="shared" si="83"/>
        <v>0.10363304359816117</v>
      </c>
      <c r="P149" s="211">
        <f t="shared" si="83"/>
        <v>3.8664370547914606E-2</v>
      </c>
      <c r="Q149" s="211">
        <f t="shared" si="83"/>
        <v>3.7627167742710466E-2</v>
      </c>
      <c r="R149" s="211"/>
    </row>
    <row r="150" spans="3:18" ht="16" customHeight="1">
      <c r="C150" s="215" t="s">
        <v>41</v>
      </c>
      <c r="E150" s="211">
        <f t="shared" si="81"/>
        <v>1.1416103075127064</v>
      </c>
      <c r="F150" s="211">
        <f t="shared" si="81"/>
        <v>-0.97305182527512069</v>
      </c>
      <c r="G150" s="211">
        <f t="shared" si="81"/>
        <v>1.2935691716746174</v>
      </c>
      <c r="H150" s="259">
        <f t="shared" si="81"/>
        <v>11.687875636471684</v>
      </c>
      <c r="I150" s="211">
        <f t="shared" si="81"/>
        <v>-0.26147220155350681</v>
      </c>
      <c r="J150" s="211">
        <f t="shared" si="81"/>
        <v>3.7545943296963147E-2</v>
      </c>
      <c r="K150" s="383">
        <f t="shared" si="81"/>
        <v>0.83551321892812136</v>
      </c>
      <c r="L150" s="212">
        <f t="shared" si="82"/>
        <v>0.83551321892812136</v>
      </c>
      <c r="M150" s="211">
        <f t="shared" si="83"/>
        <v>0</v>
      </c>
      <c r="N150" s="211">
        <f t="shared" si="83"/>
        <v>0</v>
      </c>
      <c r="O150" s="211">
        <f t="shared" si="83"/>
        <v>0</v>
      </c>
      <c r="P150" s="211">
        <f t="shared" si="83"/>
        <v>0</v>
      </c>
      <c r="Q150" s="211">
        <f t="shared" si="83"/>
        <v>0</v>
      </c>
      <c r="R150" s="211"/>
    </row>
    <row r="151" spans="3:18" ht="16" customHeight="1">
      <c r="C151" s="215" t="s">
        <v>42</v>
      </c>
      <c r="E151" s="259">
        <f t="shared" si="81"/>
        <v>-0.98204919726222772</v>
      </c>
      <c r="F151" s="259">
        <f t="shared" si="81"/>
        <v>129.57174679784666</v>
      </c>
      <c r="G151" s="211">
        <f t="shared" si="81"/>
        <v>-0.37612277683788509</v>
      </c>
      <c r="H151" s="211">
        <f t="shared" si="81"/>
        <v>-0.99351911564641349</v>
      </c>
      <c r="I151" s="259">
        <f t="shared" si="81"/>
        <v>263.97116736990154</v>
      </c>
      <c r="J151" s="211">
        <f t="shared" si="81"/>
        <v>-0.59518722680333025</v>
      </c>
      <c r="K151" s="383">
        <f t="shared" si="81"/>
        <v>0.98380635813517436</v>
      </c>
      <c r="L151" s="212">
        <f t="shared" si="82"/>
        <v>-1.6580453553094787E-2</v>
      </c>
      <c r="M151" s="211"/>
      <c r="N151" s="211"/>
      <c r="O151" s="211"/>
      <c r="P151" s="211"/>
      <c r="Q151" s="211"/>
      <c r="R151" s="211"/>
    </row>
    <row r="152" spans="3:18" ht="16" customHeight="1">
      <c r="C152" s="226" t="s">
        <v>43</v>
      </c>
      <c r="E152" s="211">
        <f t="shared" si="81"/>
        <v>0.16470788228319866</v>
      </c>
      <c r="F152" s="211">
        <f t="shared" si="81"/>
        <v>-0.1694280825910891</v>
      </c>
      <c r="G152" s="211">
        <f t="shared" si="81"/>
        <v>-5.8267825505166515E-2</v>
      </c>
      <c r="H152" s="211">
        <f t="shared" si="81"/>
        <v>0.31799634728782156</v>
      </c>
      <c r="I152" s="211">
        <f t="shared" si="81"/>
        <v>0.30635584060244336</v>
      </c>
      <c r="J152" s="211">
        <f t="shared" si="81"/>
        <v>-7.638631762575554E-2</v>
      </c>
      <c r="K152" s="383">
        <f t="shared" si="81"/>
        <v>0.2916144786248418</v>
      </c>
      <c r="L152" s="212">
        <f t="shared" si="82"/>
        <v>0.17462296938778121</v>
      </c>
      <c r="M152" s="211">
        <f t="shared" ref="M152:Q156" si="84">M24/L24 -1</f>
        <v>8.9233240254377177E-2</v>
      </c>
      <c r="N152" s="211">
        <f t="shared" si="84"/>
        <v>-1.0337741106137055E-2</v>
      </c>
      <c r="O152" s="211">
        <f t="shared" si="84"/>
        <v>-6.4754991387531713E-2</v>
      </c>
      <c r="P152" s="211">
        <f t="shared" si="84"/>
        <v>6.3708082136946453E-2</v>
      </c>
      <c r="Q152" s="211">
        <f t="shared" si="84"/>
        <v>5.4377193426506931E-3</v>
      </c>
      <c r="R152" s="211"/>
    </row>
    <row r="153" spans="3:18" ht="16" customHeight="1">
      <c r="C153" s="215" t="s">
        <v>44</v>
      </c>
      <c r="E153" s="259">
        <f t="shared" si="81"/>
        <v>0.57896345649708914</v>
      </c>
      <c r="F153" s="211">
        <f t="shared" si="81"/>
        <v>8.4975171159211937E-2</v>
      </c>
      <c r="G153" s="211">
        <f t="shared" si="81"/>
        <v>0.15830405065348963</v>
      </c>
      <c r="H153" s="259">
        <f t="shared" si="81"/>
        <v>-7.648379915178305E-4</v>
      </c>
      <c r="I153" s="259">
        <f t="shared" si="81"/>
        <v>-0.18172688625607381</v>
      </c>
      <c r="J153" s="211">
        <f t="shared" si="81"/>
        <v>0.13312142996198828</v>
      </c>
      <c r="K153" s="383">
        <f t="shared" si="81"/>
        <v>-7.9104924294007173E-2</v>
      </c>
      <c r="L153" s="212">
        <f t="shared" si="82"/>
        <v>-7.9104924294007173E-2</v>
      </c>
      <c r="M153" s="211">
        <f t="shared" si="84"/>
        <v>0</v>
      </c>
      <c r="N153" s="211">
        <f t="shared" si="84"/>
        <v>0</v>
      </c>
      <c r="O153" s="211">
        <f t="shared" si="84"/>
        <v>0</v>
      </c>
      <c r="P153" s="211">
        <f t="shared" si="84"/>
        <v>0</v>
      </c>
      <c r="Q153" s="211">
        <f t="shared" si="84"/>
        <v>0</v>
      </c>
      <c r="R153" s="211"/>
    </row>
    <row r="154" spans="3:18" ht="16" customHeight="1">
      <c r="C154" s="215" t="s">
        <v>45</v>
      </c>
      <c r="E154" s="211">
        <f t="shared" si="81"/>
        <v>1.6195872319388238E-2</v>
      </c>
      <c r="F154" s="211">
        <f t="shared" si="81"/>
        <v>0.47019379080278356</v>
      </c>
      <c r="G154" s="211">
        <f t="shared" si="81"/>
        <v>4.2174397699217936E-2</v>
      </c>
      <c r="H154" s="211">
        <f t="shared" si="81"/>
        <v>0.15162254145974585</v>
      </c>
      <c r="I154" s="211">
        <f t="shared" si="81"/>
        <v>-8.5528639566588516E-2</v>
      </c>
      <c r="J154" s="211">
        <f t="shared" si="81"/>
        <v>-8.2069686081957194E-2</v>
      </c>
      <c r="K154" s="383">
        <f t="shared" si="81"/>
        <v>5.9624050021720221E-2</v>
      </c>
      <c r="L154" s="212">
        <f t="shared" si="82"/>
        <v>-1.1962226396417197E-2</v>
      </c>
      <c r="M154" s="211">
        <f t="shared" si="84"/>
        <v>1.2746877199664608E-2</v>
      </c>
      <c r="N154" s="211">
        <f t="shared" si="84"/>
        <v>3.0846074844886218E-2</v>
      </c>
      <c r="O154" s="211">
        <f t="shared" si="84"/>
        <v>3.4340362252480494E-2</v>
      </c>
      <c r="P154" s="211">
        <f t="shared" si="84"/>
        <v>3.4415558781039968E-2</v>
      </c>
      <c r="Q154" s="211">
        <f t="shared" si="84"/>
        <v>3.3266415597732246E-2</v>
      </c>
      <c r="R154" s="211"/>
    </row>
    <row r="155" spans="3:18" ht="16" customHeight="1">
      <c r="C155" s="215" t="s">
        <v>35</v>
      </c>
      <c r="E155" s="259">
        <f t="shared" si="81"/>
        <v>2.8737515332048362</v>
      </c>
      <c r="F155" s="211">
        <f t="shared" si="81"/>
        <v>0.13093972633721584</v>
      </c>
      <c r="G155" s="211">
        <f t="shared" si="81"/>
        <v>0.14503694667479916</v>
      </c>
      <c r="H155" s="211">
        <f t="shared" si="81"/>
        <v>0.25750563249908298</v>
      </c>
      <c r="I155" s="211">
        <f t="shared" si="81"/>
        <v>0.1402723573283704</v>
      </c>
      <c r="J155" s="211">
        <f t="shared" si="81"/>
        <v>5.2663952521749158E-2</v>
      </c>
      <c r="K155" s="383">
        <f t="shared" si="81"/>
        <v>-4.3329727102846993E-2</v>
      </c>
      <c r="L155" s="212">
        <f t="shared" si="82"/>
        <v>-5.2581824533519561E-2</v>
      </c>
      <c r="M155" s="211">
        <f t="shared" si="84"/>
        <v>4.4523113495922084E-2</v>
      </c>
      <c r="N155" s="211">
        <f t="shared" si="84"/>
        <v>5.9058322837710842E-2</v>
      </c>
      <c r="O155" s="211">
        <f t="shared" si="84"/>
        <v>0.10363304359816139</v>
      </c>
      <c r="P155" s="211">
        <f t="shared" si="84"/>
        <v>3.8664370547914828E-2</v>
      </c>
      <c r="Q155" s="211">
        <f t="shared" si="84"/>
        <v>3.7627167742710244E-2</v>
      </c>
      <c r="R155" s="211"/>
    </row>
    <row r="156" spans="3:18" ht="16" customHeight="1">
      <c r="C156" s="226" t="s">
        <v>46</v>
      </c>
      <c r="E156" s="259">
        <f t="shared" si="81"/>
        <v>0.36208020447578515</v>
      </c>
      <c r="F156" s="211">
        <f t="shared" si="81"/>
        <v>-1</v>
      </c>
      <c r="G156" s="211" t="e">
        <f t="shared" si="81"/>
        <v>#DIV/0!</v>
      </c>
      <c r="H156" s="211">
        <f t="shared" si="81"/>
        <v>0.1103922533950723</v>
      </c>
      <c r="I156" s="211">
        <f t="shared" si="81"/>
        <v>-7.4800764258453611E-4</v>
      </c>
      <c r="J156" s="211">
        <f t="shared" si="81"/>
        <v>2.0208317754516925E-2</v>
      </c>
      <c r="K156" s="383">
        <f t="shared" si="81"/>
        <v>7.7135338880591764E-2</v>
      </c>
      <c r="L156" s="212">
        <f t="shared" si="82"/>
        <v>2.5565288902226202E-2</v>
      </c>
      <c r="M156" s="211">
        <f t="shared" si="84"/>
        <v>4.2260319856997297E-2</v>
      </c>
      <c r="N156" s="211">
        <f t="shared" si="84"/>
        <v>9.6635525396626676E-5</v>
      </c>
      <c r="O156" s="211">
        <f t="shared" si="84"/>
        <v>-2.22617291847097E-2</v>
      </c>
      <c r="P156" s="211">
        <f t="shared" si="84"/>
        <v>3.2694937130580692E-2</v>
      </c>
      <c r="Q156" s="211">
        <f t="shared" si="84"/>
        <v>7.1811465345370529E-3</v>
      </c>
      <c r="R156" s="211"/>
    </row>
    <row r="157" spans="3:18" ht="16" customHeight="1">
      <c r="C157" s="226" t="s">
        <v>47</v>
      </c>
      <c r="D157" s="385"/>
      <c r="E157" s="385"/>
      <c r="F157" s="385"/>
      <c r="G157" s="385"/>
      <c r="H157" s="385"/>
      <c r="I157" s="407"/>
      <c r="J157" s="407"/>
      <c r="K157" s="407"/>
      <c r="L157" s="385"/>
      <c r="M157" s="407"/>
      <c r="N157" s="385"/>
      <c r="O157" s="385"/>
      <c r="P157" s="385"/>
      <c r="Q157" s="385"/>
    </row>
    <row r="158" spans="3:18" ht="16" customHeight="1">
      <c r="C158" s="215" t="s">
        <v>13</v>
      </c>
      <c r="E158" s="211">
        <f t="shared" ref="E158:Q158" si="85">E30/D30 -1</f>
        <v>2.0048048489540449E-5</v>
      </c>
      <c r="F158" s="211">
        <f t="shared" si="85"/>
        <v>-0.46225863468844286</v>
      </c>
      <c r="G158" s="211">
        <f t="shared" si="85"/>
        <v>0</v>
      </c>
      <c r="H158" s="211">
        <f t="shared" si="85"/>
        <v>0</v>
      </c>
      <c r="I158" s="211">
        <f t="shared" si="85"/>
        <v>1.5533835801142093E-2</v>
      </c>
      <c r="J158" s="211">
        <f t="shared" si="85"/>
        <v>2.1414717417507445E-2</v>
      </c>
      <c r="K158" s="383">
        <f t="shared" si="85"/>
        <v>0</v>
      </c>
      <c r="L158" s="211">
        <f t="shared" si="85"/>
        <v>0</v>
      </c>
      <c r="M158" s="211">
        <f t="shared" si="85"/>
        <v>0</v>
      </c>
      <c r="N158" s="211">
        <f t="shared" si="85"/>
        <v>0</v>
      </c>
      <c r="O158" s="211">
        <f t="shared" si="85"/>
        <v>0</v>
      </c>
      <c r="P158" s="211">
        <f t="shared" si="85"/>
        <v>0</v>
      </c>
      <c r="Q158" s="211">
        <f t="shared" si="85"/>
        <v>0</v>
      </c>
    </row>
    <row r="159" spans="3:18" ht="16" customHeight="1">
      <c r="C159" s="215" t="s">
        <v>20</v>
      </c>
      <c r="E159" s="211">
        <f t="shared" ref="E159:Q159" si="86">E31/D31 -1</f>
        <v>-9.8977235235886418E-5</v>
      </c>
      <c r="F159" s="211">
        <f t="shared" si="86"/>
        <v>0</v>
      </c>
      <c r="G159" s="211">
        <f t="shared" si="86"/>
        <v>0</v>
      </c>
      <c r="H159" s="211">
        <f t="shared" si="86"/>
        <v>0</v>
      </c>
      <c r="I159" s="211">
        <f t="shared" si="86"/>
        <v>-4.1244596957798474E-2</v>
      </c>
      <c r="J159" s="211">
        <f t="shared" si="86"/>
        <v>-6.0226451457480179E-2</v>
      </c>
      <c r="K159" s="383">
        <f t="shared" si="86"/>
        <v>0</v>
      </c>
      <c r="L159" s="211">
        <f t="shared" si="86"/>
        <v>0</v>
      </c>
      <c r="M159" s="211">
        <f t="shared" si="86"/>
        <v>0</v>
      </c>
      <c r="N159" s="211">
        <f t="shared" si="86"/>
        <v>0</v>
      </c>
      <c r="O159" s="211">
        <f t="shared" si="86"/>
        <v>0</v>
      </c>
      <c r="P159" s="211">
        <f t="shared" si="86"/>
        <v>0</v>
      </c>
      <c r="Q159" s="211">
        <f t="shared" si="86"/>
        <v>0</v>
      </c>
    </row>
    <row r="160" spans="3:18" ht="16" customHeight="1">
      <c r="C160" s="215" t="s">
        <v>48</v>
      </c>
      <c r="E160" s="211"/>
      <c r="F160" s="211"/>
      <c r="G160" s="211"/>
      <c r="H160" s="211"/>
      <c r="I160" s="211"/>
      <c r="J160" s="211"/>
      <c r="K160" s="383"/>
      <c r="L160" s="211"/>
      <c r="M160" s="211"/>
      <c r="N160" s="211"/>
      <c r="O160" s="211"/>
      <c r="P160" s="211"/>
      <c r="Q160" s="211"/>
    </row>
    <row r="161" spans="3:17" ht="16" customHeight="1">
      <c r="C161" s="215" t="s">
        <v>49</v>
      </c>
      <c r="E161" s="211">
        <f t="shared" ref="E161:Q161" si="87">E33/D33 -1</f>
        <v>6.186849849401832E-2</v>
      </c>
      <c r="F161" s="211">
        <f t="shared" si="87"/>
        <v>0.16290387444576226</v>
      </c>
      <c r="G161" s="211">
        <f t="shared" si="87"/>
        <v>4.2890536766444054E-2</v>
      </c>
      <c r="H161" s="211">
        <f t="shared" si="87"/>
        <v>5.803475486903964E-2</v>
      </c>
      <c r="I161" s="211">
        <f t="shared" si="87"/>
        <v>2.8755144481886097E-2</v>
      </c>
      <c r="J161" s="211">
        <f t="shared" si="87"/>
        <v>3.77981323058032E-2</v>
      </c>
      <c r="K161" s="383">
        <f t="shared" si="87"/>
        <v>-1.4643499457483E-2</v>
      </c>
      <c r="L161" s="211">
        <f t="shared" si="87"/>
        <v>0</v>
      </c>
      <c r="M161" s="211">
        <f t="shared" si="87"/>
        <v>0</v>
      </c>
      <c r="N161" s="211">
        <f t="shared" si="87"/>
        <v>0</v>
      </c>
      <c r="O161" s="211">
        <f t="shared" si="87"/>
        <v>0</v>
      </c>
      <c r="P161" s="211">
        <f t="shared" si="87"/>
        <v>0</v>
      </c>
      <c r="Q161" s="211">
        <f t="shared" si="87"/>
        <v>0</v>
      </c>
    </row>
    <row r="162" spans="3:17" ht="16" customHeight="1">
      <c r="C162" s="215" t="s">
        <v>50</v>
      </c>
      <c r="E162" s="259">
        <f t="shared" ref="E162:Q162" si="88">E34/D34 -1</f>
        <v>0.10374030659156475</v>
      </c>
      <c r="F162" s="259">
        <f t="shared" si="88"/>
        <v>-0.81648786550663965</v>
      </c>
      <c r="G162" s="211">
        <f t="shared" si="88"/>
        <v>0.49456124594234163</v>
      </c>
      <c r="H162" s="211">
        <f t="shared" si="88"/>
        <v>0.41026291133852144</v>
      </c>
      <c r="I162" s="211">
        <f t="shared" si="88"/>
        <v>0.31980348067013331</v>
      </c>
      <c r="J162" s="211">
        <f t="shared" si="88"/>
        <v>0.27090287680501968</v>
      </c>
      <c r="K162" s="383">
        <f t="shared" si="88"/>
        <v>9.5348733731483781E-2</v>
      </c>
      <c r="L162" s="211">
        <f t="shared" si="88"/>
        <v>2.4964845325153417E-2</v>
      </c>
      <c r="M162" s="211">
        <f t="shared" si="88"/>
        <v>0.13715154371094829</v>
      </c>
      <c r="N162" s="211">
        <f t="shared" si="88"/>
        <v>0.14794342352719103</v>
      </c>
      <c r="O162" s="211">
        <f t="shared" si="88"/>
        <v>0.11542046148549168</v>
      </c>
      <c r="P162" s="211">
        <f t="shared" si="88"/>
        <v>0.12296021339651508</v>
      </c>
      <c r="Q162" s="211">
        <f t="shared" si="88"/>
        <v>0.12690472102067063</v>
      </c>
    </row>
    <row r="163" spans="3:17" ht="16" customHeight="1">
      <c r="C163" s="215" t="s">
        <v>51</v>
      </c>
      <c r="E163" s="211">
        <f t="shared" ref="E163:Q163" si="89">E35/D35 -1</f>
        <v>2.9835330596804654E-2</v>
      </c>
      <c r="F163" s="211">
        <f t="shared" si="89"/>
        <v>-0.91070108972785135</v>
      </c>
      <c r="G163" s="211">
        <f t="shared" si="89"/>
        <v>0.30109164247186304</v>
      </c>
      <c r="H163" s="211">
        <f t="shared" si="89"/>
        <v>0.55447130789397026</v>
      </c>
      <c r="I163" s="211">
        <f t="shared" si="89"/>
        <v>0.30170674331758374</v>
      </c>
      <c r="J163" s="211">
        <f t="shared" si="89"/>
        <v>0.15693987708455315</v>
      </c>
      <c r="K163" s="383">
        <f t="shared" si="89"/>
        <v>0.26829153131374173</v>
      </c>
      <c r="L163" s="211">
        <f t="shared" si="89"/>
        <v>-0.21153774561266347</v>
      </c>
      <c r="M163" s="211">
        <f t="shared" si="89"/>
        <v>0</v>
      </c>
      <c r="N163" s="211">
        <f t="shared" si="89"/>
        <v>0</v>
      </c>
      <c r="O163" s="211">
        <f t="shared" si="89"/>
        <v>0</v>
      </c>
      <c r="P163" s="211">
        <f t="shared" si="89"/>
        <v>0</v>
      </c>
      <c r="Q163" s="211">
        <f t="shared" si="89"/>
        <v>0</v>
      </c>
    </row>
    <row r="164" spans="3:17" ht="16" customHeight="1">
      <c r="C164" s="215" t="s">
        <v>52</v>
      </c>
      <c r="E164" s="211">
        <f t="shared" ref="E164:Q164" si="90">E36/D36 -1</f>
        <v>0.13716190804026196</v>
      </c>
      <c r="F164" s="211">
        <f t="shared" si="90"/>
        <v>-9.1972644206513854E-2</v>
      </c>
      <c r="G164" s="211">
        <f t="shared" si="90"/>
        <v>4.3572473654642785E-2</v>
      </c>
      <c r="H164" s="211">
        <f t="shared" si="90"/>
        <v>-0.26285634845984107</v>
      </c>
      <c r="I164" s="211">
        <f t="shared" si="90"/>
        <v>1.2511285436269892E-2</v>
      </c>
      <c r="J164" s="211">
        <f t="shared" si="90"/>
        <v>-8.8196946099004081E-2</v>
      </c>
      <c r="K164" s="383">
        <f t="shared" si="90"/>
        <v>9.3598692617286261E-2</v>
      </c>
      <c r="L164" s="211">
        <f t="shared" si="90"/>
        <v>0</v>
      </c>
      <c r="M164" s="211">
        <f t="shared" si="90"/>
        <v>0</v>
      </c>
      <c r="N164" s="211">
        <f t="shared" si="90"/>
        <v>0</v>
      </c>
      <c r="O164" s="211">
        <f t="shared" si="90"/>
        <v>0</v>
      </c>
      <c r="P164" s="211">
        <f t="shared" si="90"/>
        <v>0</v>
      </c>
      <c r="Q164" s="211">
        <f t="shared" si="90"/>
        <v>0</v>
      </c>
    </row>
    <row r="165" spans="3:17" ht="16" customHeight="1">
      <c r="C165" s="235" t="s">
        <v>58</v>
      </c>
      <c r="E165" s="259">
        <f t="shared" ref="E165:I168" si="91">E37/D37 -1</f>
        <v>0.52809235495521878</v>
      </c>
      <c r="F165" s="211">
        <f t="shared" si="91"/>
        <v>0.24343739745095694</v>
      </c>
      <c r="G165" s="211">
        <f t="shared" si="91"/>
        <v>0.28468476134731513</v>
      </c>
      <c r="H165" s="211">
        <f t="shared" si="91"/>
        <v>0.23401729002413219</v>
      </c>
      <c r="I165" s="211">
        <f t="shared" si="91"/>
        <v>0.19668841434643269</v>
      </c>
      <c r="J165" s="211">
        <f t="shared" ref="J165:L165" si="92">J37/I37 -1</f>
        <v>0.24231893861697262</v>
      </c>
      <c r="K165" s="383">
        <f t="shared" si="92"/>
        <v>-2.1765827796733195E-2</v>
      </c>
      <c r="L165" s="211">
        <f t="shared" si="92"/>
        <v>0.15156193439710552</v>
      </c>
      <c r="M165" s="211">
        <f t="shared" ref="M165" si="93">M37/L37 -1</f>
        <v>0.15213363343722364</v>
      </c>
      <c r="N165" s="211">
        <f t="shared" ref="N165" si="94">N37/M37 -1</f>
        <v>0.16197041403329071</v>
      </c>
      <c r="O165" s="211">
        <f t="shared" ref="O165" si="95">O37/N37 -1</f>
        <v>0.12483841570094256</v>
      </c>
      <c r="P165" s="211">
        <f t="shared" ref="P165" si="96">P37/O37 -1</f>
        <v>0.13187987208916474</v>
      </c>
      <c r="Q165" s="211">
        <f t="shared" ref="Q165" si="97">Q37/P37 -1</f>
        <v>0.13503791386794184</v>
      </c>
    </row>
    <row r="166" spans="3:17" ht="16" customHeight="1">
      <c r="C166" s="223" t="s">
        <v>59</v>
      </c>
      <c r="E166" s="211"/>
      <c r="F166" s="211"/>
      <c r="G166" s="211"/>
      <c r="H166" s="211"/>
      <c r="I166" s="211"/>
      <c r="J166" s="211"/>
      <c r="K166" s="383"/>
      <c r="L166" s="432"/>
      <c r="M166" s="432"/>
      <c r="N166" s="432"/>
      <c r="O166" s="432"/>
      <c r="P166" s="432"/>
      <c r="Q166" s="432"/>
    </row>
    <row r="167" spans="3:17" ht="16" customHeight="1">
      <c r="C167" s="226" t="s">
        <v>53</v>
      </c>
      <c r="E167" s="259">
        <f t="shared" si="91"/>
        <v>0.51064713680741547</v>
      </c>
      <c r="F167" s="211">
        <f t="shared" si="91"/>
        <v>0.23998874413223947</v>
      </c>
      <c r="G167" s="211">
        <f t="shared" si="91"/>
        <v>0.28245885086137834</v>
      </c>
      <c r="H167" s="211">
        <f t="shared" si="91"/>
        <v>0.23207021993553734</v>
      </c>
      <c r="I167" s="211">
        <f t="shared" si="91"/>
        <v>0.19668841434643269</v>
      </c>
      <c r="J167" s="211">
        <f t="shared" ref="J167:L168" si="98">J39/I39 -1</f>
        <v>0.24231893861697262</v>
      </c>
      <c r="K167" s="383">
        <f t="shared" si="98"/>
        <v>-2.1765827796733195E-2</v>
      </c>
      <c r="L167" s="211">
        <f t="shared" si="98"/>
        <v>0.15156193439710552</v>
      </c>
      <c r="M167" s="211">
        <f t="shared" ref="M167:Q167" si="99">M39/L39 -1</f>
        <v>0.15213363343722364</v>
      </c>
      <c r="N167" s="211">
        <f t="shared" si="99"/>
        <v>0.16197041403329071</v>
      </c>
      <c r="O167" s="211">
        <f t="shared" si="99"/>
        <v>0.12483841570094256</v>
      </c>
      <c r="P167" s="211">
        <f t="shared" si="99"/>
        <v>0.13187987208916474</v>
      </c>
      <c r="Q167" s="211">
        <f t="shared" si="99"/>
        <v>0.13503791386794184</v>
      </c>
    </row>
    <row r="168" spans="3:17" ht="16" customHeight="1">
      <c r="C168" s="226" t="s">
        <v>54</v>
      </c>
      <c r="E168" s="211">
        <f t="shared" si="91"/>
        <v>0.3870003669608475</v>
      </c>
      <c r="F168" s="211">
        <f t="shared" si="91"/>
        <v>5.6779678619554463E-2</v>
      </c>
      <c r="G168" s="211">
        <f t="shared" si="91"/>
        <v>0.1217938441562112</v>
      </c>
      <c r="H168" s="211">
        <f t="shared" si="91"/>
        <v>0.14021109644327079</v>
      </c>
      <c r="I168" s="211">
        <f t="shared" si="91"/>
        <v>5.1534488622082986E-2</v>
      </c>
      <c r="J168" s="211">
        <f t="shared" si="98"/>
        <v>8.7143728730584735E-2</v>
      </c>
      <c r="K168" s="383">
        <f t="shared" si="98"/>
        <v>4.3076160757244741E-2</v>
      </c>
      <c r="L168" s="211">
        <f t="shared" si="98"/>
        <v>1.65353773995085E-2</v>
      </c>
      <c r="M168" s="211">
        <f t="shared" ref="M168:Q168" si="100">M40/L40 -1</f>
        <v>8.2459443403103183E-2</v>
      </c>
      <c r="N168" s="211">
        <f t="shared" si="100"/>
        <v>6.3133134945352554E-2</v>
      </c>
      <c r="O168" s="211">
        <f t="shared" si="100"/>
        <v>4.0347174622336945E-2</v>
      </c>
      <c r="P168" s="211">
        <f t="shared" si="100"/>
        <v>7.8338607503563695E-2</v>
      </c>
      <c r="Q168" s="211">
        <f t="shared" si="100"/>
        <v>6.8940643479640906E-2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73664-F31D-BD4D-917D-03D10B446A6D}">
  <dimension ref="B5:J29"/>
  <sheetViews>
    <sheetView workbookViewId="0">
      <selection activeCell="H22" sqref="H22"/>
    </sheetView>
  </sheetViews>
  <sheetFormatPr baseColWidth="10" defaultRowHeight="16"/>
  <cols>
    <col min="2" max="2" width="26.25" bestFit="1" customWidth="1"/>
  </cols>
  <sheetData>
    <row r="5" spans="2:10">
      <c r="B5" s="494" t="s">
        <v>404</v>
      </c>
      <c r="D5" s="494">
        <v>23</v>
      </c>
      <c r="E5" s="494">
        <v>22</v>
      </c>
      <c r="F5" s="494">
        <v>21</v>
      </c>
      <c r="G5" s="494">
        <v>20</v>
      </c>
      <c r="H5" s="494">
        <v>19</v>
      </c>
      <c r="I5" s="494">
        <v>18</v>
      </c>
      <c r="J5" s="494">
        <v>17</v>
      </c>
    </row>
    <row r="7" spans="2:10">
      <c r="B7" s="494" t="s">
        <v>405</v>
      </c>
      <c r="C7" s="495">
        <v>108300</v>
      </c>
      <c r="D7" s="495">
        <v>102074</v>
      </c>
      <c r="E7" s="495">
        <v>105627</v>
      </c>
      <c r="F7" s="495">
        <v>131513</v>
      </c>
      <c r="G7" s="495">
        <v>154494</v>
      </c>
      <c r="H7" s="495">
        <v>155963</v>
      </c>
      <c r="I7" s="495">
        <v>180751</v>
      </c>
    </row>
    <row r="8" spans="2:10">
      <c r="B8" s="494" t="s">
        <v>406</v>
      </c>
      <c r="C8" s="495">
        <v>1214158</v>
      </c>
      <c r="D8" s="495">
        <v>1211011</v>
      </c>
      <c r="E8" s="495">
        <v>1298985</v>
      </c>
      <c r="F8" s="495">
        <v>1387106</v>
      </c>
      <c r="G8" s="495">
        <v>1508139</v>
      </c>
      <c r="H8" s="495">
        <v>1545053</v>
      </c>
      <c r="I8" s="495">
        <v>1763070</v>
      </c>
    </row>
    <row r="9" spans="2:10">
      <c r="B9" s="494" t="s">
        <v>407</v>
      </c>
      <c r="C9" s="495">
        <v>2925353</v>
      </c>
      <c r="D9" s="495">
        <v>2988027</v>
      </c>
      <c r="E9" s="495">
        <v>3120003</v>
      </c>
      <c r="F9" s="495">
        <v>3169754</v>
      </c>
      <c r="G9" s="495">
        <v>3443500</v>
      </c>
      <c r="H9" s="495">
        <v>3592251</v>
      </c>
      <c r="I9" s="495">
        <v>3861006</v>
      </c>
    </row>
    <row r="10" spans="2:10">
      <c r="B10" s="494" t="s">
        <v>408</v>
      </c>
      <c r="C10" s="495">
        <v>212912</v>
      </c>
      <c r="D10" s="495">
        <v>280559</v>
      </c>
      <c r="E10" s="495">
        <v>209788</v>
      </c>
      <c r="F10" s="495">
        <v>276514</v>
      </c>
      <c r="G10" s="495">
        <v>294824</v>
      </c>
      <c r="H10" s="495">
        <v>416220</v>
      </c>
      <c r="I10" s="495">
        <v>644244</v>
      </c>
    </row>
    <row r="11" spans="2:10">
      <c r="B11" s="494" t="s">
        <v>409</v>
      </c>
      <c r="C11" s="495">
        <v>4460723</v>
      </c>
      <c r="D11" s="495">
        <v>4581671</v>
      </c>
      <c r="E11" s="495">
        <v>4734403</v>
      </c>
      <c r="F11" s="495">
        <v>4964887</v>
      </c>
      <c r="G11" s="495">
        <v>5400957</v>
      </c>
      <c r="H11" s="495">
        <v>5709487</v>
      </c>
      <c r="I11" s="495">
        <v>6449071</v>
      </c>
    </row>
    <row r="12" spans="2:10">
      <c r="B12" s="494" t="s">
        <v>410</v>
      </c>
      <c r="C12" s="495">
        <v>-2354026</v>
      </c>
      <c r="D12" s="495">
        <v>-2451377</v>
      </c>
      <c r="E12" s="495">
        <v>-2581264</v>
      </c>
      <c r="F12" s="495">
        <v>-2679632</v>
      </c>
      <c r="G12" s="495">
        <v>-2814770</v>
      </c>
      <c r="H12" s="495">
        <v>-2939785</v>
      </c>
      <c r="I12" s="495">
        <v>-3139393</v>
      </c>
    </row>
    <row r="13" spans="2:10">
      <c r="B13" s="494" t="s">
        <v>31</v>
      </c>
      <c r="C13" s="495">
        <v>2106697</v>
      </c>
      <c r="D13" s="495">
        <v>2130294</v>
      </c>
      <c r="E13" s="495">
        <v>2153139</v>
      </c>
      <c r="F13" s="495">
        <v>2285255</v>
      </c>
      <c r="G13" s="495">
        <v>2586187</v>
      </c>
      <c r="H13" s="495">
        <v>2769702</v>
      </c>
      <c r="I13" s="495">
        <v>3309678</v>
      </c>
    </row>
    <row r="14" spans="2:10">
      <c r="B14" s="494"/>
      <c r="C14" s="494"/>
      <c r="D14" s="495"/>
    </row>
    <row r="17" spans="3:9">
      <c r="I17" t="s">
        <v>421</v>
      </c>
    </row>
    <row r="19" spans="3:9">
      <c r="C19" s="494"/>
    </row>
    <row r="23" spans="3:9">
      <c r="I23" s="495">
        <v>179988</v>
      </c>
    </row>
    <row r="24" spans="3:9">
      <c r="C24" s="495"/>
      <c r="I24" s="495">
        <v>1780525</v>
      </c>
    </row>
    <row r="25" spans="3:9">
      <c r="I25" s="495">
        <v>3970754</v>
      </c>
    </row>
    <row r="26" spans="3:9">
      <c r="I26" s="495">
        <v>678229</v>
      </c>
    </row>
    <row r="27" spans="3:9">
      <c r="C27" s="494"/>
      <c r="I27" s="495">
        <v>6609496</v>
      </c>
    </row>
    <row r="28" spans="3:9">
      <c r="I28" s="495">
        <v>-3241174</v>
      </c>
    </row>
    <row r="29" spans="3:9">
      <c r="I29" s="495">
        <v>3368322</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747A8-37BF-154F-A7E4-1E8AC4205D34}">
  <dimension ref="B2:O50"/>
  <sheetViews>
    <sheetView workbookViewId="0">
      <selection activeCell="B15" sqref="B15"/>
    </sheetView>
  </sheetViews>
  <sheetFormatPr baseColWidth="10" defaultRowHeight="16" customHeight="1"/>
  <cols>
    <col min="1" max="1" width="2.125" style="63" customWidth="1"/>
    <col min="2" max="2" width="49.125" style="63" bestFit="1" customWidth="1"/>
    <col min="3" max="9" width="10.625" style="63"/>
    <col min="10" max="10" width="11.5" style="63" bestFit="1" customWidth="1"/>
    <col min="11" max="16384" width="10.625" style="63"/>
  </cols>
  <sheetData>
    <row r="2" spans="2:15" ht="16" customHeight="1">
      <c r="B2" s="414"/>
      <c r="C2" s="375">
        <v>2024</v>
      </c>
      <c r="D2" s="375">
        <v>2025</v>
      </c>
      <c r="E2" s="375">
        <v>2026</v>
      </c>
      <c r="F2" s="375">
        <v>2027</v>
      </c>
      <c r="G2" s="375">
        <v>2028</v>
      </c>
      <c r="H2" s="375">
        <v>2029</v>
      </c>
    </row>
    <row r="3" spans="2:15" ht="16" customHeight="1">
      <c r="B3" s="198" t="s">
        <v>128</v>
      </c>
      <c r="C3" s="260">
        <f>IS!L16</f>
        <v>1810871.7879871388</v>
      </c>
      <c r="D3" s="260">
        <f>IS!M16</f>
        <v>1891497.4381302535</v>
      </c>
      <c r="E3" s="260">
        <f>IS!N16</f>
        <v>2003206.1044780531</v>
      </c>
      <c r="F3" s="260">
        <f>IS!O16</f>
        <v>2210804.4500395302</v>
      </c>
      <c r="G3" s="260">
        <f>IS!P16</f>
        <v>2296283.8125048373</v>
      </c>
      <c r="H3" s="260">
        <f>IS!Q16</f>
        <v>2382686.4687028276</v>
      </c>
    </row>
    <row r="4" spans="2:15" ht="16" customHeight="1">
      <c r="B4" s="226" t="s">
        <v>25</v>
      </c>
      <c r="C4" s="433"/>
      <c r="D4" s="433"/>
      <c r="E4" s="433"/>
      <c r="F4" s="433"/>
      <c r="G4" s="433"/>
      <c r="H4" s="433"/>
    </row>
    <row r="5" spans="2:15" ht="16" customHeight="1">
      <c r="B5" s="215" t="s">
        <v>26</v>
      </c>
      <c r="C5" s="433"/>
      <c r="D5" s="433"/>
      <c r="E5" s="433"/>
      <c r="F5" s="433"/>
      <c r="G5" s="433"/>
      <c r="H5" s="433"/>
    </row>
    <row r="6" spans="2:15" ht="16" customHeight="1">
      <c r="B6" s="215" t="s">
        <v>27</v>
      </c>
      <c r="C6" s="233">
        <f>-BS!L6+BS!J6</f>
        <v>18534.148000000161</v>
      </c>
      <c r="D6" s="233">
        <f>BS!L6-BS!M6</f>
        <v>-10262.292249999824</v>
      </c>
      <c r="E6" s="233">
        <f>BS!M6-BS!N6</f>
        <v>-25150.19734395016</v>
      </c>
      <c r="F6" s="233">
        <f>BS!N6-BS!O6</f>
        <v>-28862.914501858526</v>
      </c>
      <c r="G6" s="233">
        <f>BS!O6-BS!P6</f>
        <v>-29919.450164447771</v>
      </c>
      <c r="H6" s="233">
        <f>BS!P6-BS!Q6</f>
        <v>-29915.745914229075</v>
      </c>
    </row>
    <row r="7" spans="2:15" ht="16" customHeight="1">
      <c r="B7" s="215" t="s">
        <v>28</v>
      </c>
      <c r="C7" s="233">
        <f>-BS!L7+BS!J7</f>
        <v>-35260.496999999974</v>
      </c>
      <c r="D7" s="233">
        <f>BS!L7-BS!M7</f>
        <v>55176.999762500403</v>
      </c>
      <c r="E7" s="233">
        <f>BS!M7-BS!N7</f>
        <v>83052.575159924803</v>
      </c>
      <c r="F7" s="233">
        <f>BS!N7-BS!O7</f>
        <v>-30766.208440632327</v>
      </c>
      <c r="G7" s="233">
        <f>BS!O7-BS!P7</f>
        <v>-43666.224564329023</v>
      </c>
      <c r="H7" s="233">
        <f>BS!P7-BS!Q7</f>
        <v>-43660.818361307494</v>
      </c>
    </row>
    <row r="8" spans="2:15" ht="16" customHeight="1">
      <c r="B8" s="215" t="s">
        <v>29</v>
      </c>
      <c r="C8" s="233">
        <f>-BS!L8+BS!J8</f>
        <v>-9144.5599887999706</v>
      </c>
      <c r="D8" s="233">
        <f>BS!L8-BS!M8</f>
        <v>-784.36653049988672</v>
      </c>
      <c r="E8" s="233">
        <f>BS!M8-BS!N8</f>
        <v>-8558.3961508231587</v>
      </c>
      <c r="F8" s="233">
        <f>BS!N8-BS!O8</f>
        <v>-7072.9837158261798</v>
      </c>
      <c r="G8" s="233">
        <f>BS!O8-BS!P8</f>
        <v>-12773.276354909176</v>
      </c>
      <c r="H8" s="233">
        <f>BS!P8-BS!Q8</f>
        <v>-12771.694928396551</v>
      </c>
    </row>
    <row r="9" spans="2:15" ht="16" customHeight="1">
      <c r="B9" s="234" t="s">
        <v>30</v>
      </c>
      <c r="C9" s="433"/>
      <c r="D9" s="433"/>
      <c r="E9" s="433"/>
      <c r="F9" s="433"/>
      <c r="G9" s="433"/>
      <c r="H9" s="433"/>
    </row>
    <row r="10" spans="2:15" ht="16" customHeight="1">
      <c r="B10" s="215" t="s">
        <v>31</v>
      </c>
      <c r="C10" s="233">
        <f>-BS!L12+BS!J12</f>
        <v>-199625.406006</v>
      </c>
      <c r="D10" s="233">
        <f>BS!L12-BS!M12</f>
        <v>-223085.04237337504</v>
      </c>
      <c r="E10" s="233">
        <f>BS!M12-BS!N12</f>
        <v>-229966.34028719831</v>
      </c>
      <c r="F10" s="233">
        <f>BS!N12-BS!O12</f>
        <v>-237863.46771853883</v>
      </c>
      <c r="G10" s="233">
        <f>BS!O12-BS!P12</f>
        <v>-246049.67187366728</v>
      </c>
      <c r="H10" s="233">
        <f>BS!P12-BS!Q12</f>
        <v>-254234.86251590308</v>
      </c>
    </row>
    <row r="11" spans="2:15" ht="16" customHeight="1">
      <c r="B11" s="215" t="s">
        <v>32</v>
      </c>
      <c r="C11" s="233">
        <f>-BS!L13+BS!J13</f>
        <v>4437</v>
      </c>
      <c r="D11" s="233">
        <f>BS!L13-BS!M13</f>
        <v>0</v>
      </c>
      <c r="E11" s="233">
        <f>BS!M13-BS!N13</f>
        <v>0</v>
      </c>
      <c r="F11" s="233">
        <f>BS!N13-BS!O13</f>
        <v>0</v>
      </c>
      <c r="G11" s="233">
        <f>BS!O13-BS!P13</f>
        <v>0</v>
      </c>
      <c r="H11" s="233">
        <f>BS!P13-BS!Q13</f>
        <v>0</v>
      </c>
    </row>
    <row r="12" spans="2:15" ht="16" customHeight="1">
      <c r="B12" s="215" t="s">
        <v>33</v>
      </c>
      <c r="C12" s="233">
        <f>-BS!L14+BS!J14</f>
        <v>2024</v>
      </c>
      <c r="D12" s="233">
        <f>BS!L14-BS!M14</f>
        <v>2025</v>
      </c>
      <c r="E12" s="233">
        <f>BS!M14-BS!N14</f>
        <v>2026</v>
      </c>
      <c r="F12" s="233">
        <f>BS!N14-BS!O14</f>
        <v>2027</v>
      </c>
      <c r="G12" s="233">
        <f>BS!O14-BS!P14</f>
        <v>2028</v>
      </c>
      <c r="H12" s="233">
        <f>BS!P14-BS!Q14</f>
        <v>2029</v>
      </c>
    </row>
    <row r="13" spans="2:15" ht="16" customHeight="1">
      <c r="B13" s="215" t="s">
        <v>34</v>
      </c>
      <c r="C13" s="233">
        <f>-BS!L15+BS!J15</f>
        <v>27141.178420728073</v>
      </c>
      <c r="D13" s="233">
        <f>BS!L15-BS!M15</f>
        <v>-13542.870558227762</v>
      </c>
      <c r="E13" s="233">
        <f>BS!M15-BS!N15</f>
        <v>-42543.642903300119</v>
      </c>
      <c r="F13" s="233">
        <f>BS!N15-BS!O15</f>
        <v>-37443.780975384172</v>
      </c>
      <c r="G13" s="233">
        <f>BS!O15-BS!P15</f>
        <v>-50966.823270908557</v>
      </c>
      <c r="H13" s="233">
        <f>BS!P15-BS!Q15</f>
        <v>-51770.551430469146</v>
      </c>
    </row>
    <row r="14" spans="2:15" ht="16" customHeight="1">
      <c r="B14" s="215" t="s">
        <v>35</v>
      </c>
      <c r="C14" s="233">
        <f>-BS!L16+BS!J16</f>
        <v>-534.70344949200808</v>
      </c>
      <c r="D14" s="233">
        <f>BS!L16-BS!M16</f>
        <v>-2003.0371497161177</v>
      </c>
      <c r="E14" s="233">
        <f>BS!M16-BS!N16</f>
        <v>-2775.253387013996</v>
      </c>
      <c r="F14" s="233">
        <f>BS!N16-BS!O16</f>
        <v>-5157.5050575235873</v>
      </c>
      <c r="G14" s="233">
        <f>BS!O16-BS!P16</f>
        <v>-2123.6211831859691</v>
      </c>
      <c r="H14" s="233">
        <f>BS!P16-BS!Q16</f>
        <v>-2146.5591891850709</v>
      </c>
    </row>
    <row r="15" spans="2:15" ht="16" customHeight="1">
      <c r="B15" s="226" t="s">
        <v>36</v>
      </c>
      <c r="C15" s="433"/>
      <c r="D15" s="433"/>
      <c r="E15" s="433"/>
      <c r="F15" s="433"/>
      <c r="G15" s="433"/>
      <c r="H15" s="433"/>
      <c r="J15" s="233"/>
      <c r="K15" s="233"/>
      <c r="L15" s="233"/>
      <c r="M15" s="233"/>
      <c r="N15" s="233"/>
      <c r="O15" s="233"/>
    </row>
    <row r="16" spans="2:15" ht="16" customHeight="1">
      <c r="B16" s="226" t="s">
        <v>37</v>
      </c>
      <c r="C16" s="433"/>
      <c r="D16" s="433"/>
      <c r="E16" s="433"/>
      <c r="F16" s="433"/>
      <c r="G16" s="433"/>
      <c r="H16" s="433"/>
    </row>
    <row r="17" spans="2:8" ht="16" customHeight="1">
      <c r="B17" s="215" t="s">
        <v>38</v>
      </c>
      <c r="C17" s="233">
        <f>BS!L19-BS!J19</f>
        <v>-15096.42190000019</v>
      </c>
      <c r="D17" s="233">
        <f>BS!M19-BS!L19</f>
        <v>3791.7401068748441</v>
      </c>
      <c r="E17" s="233">
        <f>BS!N19-BS!M19</f>
        <v>33155.777052554768</v>
      </c>
      <c r="F17" s="233">
        <f>BS!O19-BS!N19</f>
        <v>27535.756554365857</v>
      </c>
      <c r="G17" s="233">
        <f>BS!P19-BS!O19</f>
        <v>39081.270985074574</v>
      </c>
      <c r="H17" s="233">
        <f>BS!Q19-BS!P19</f>
        <v>39076.432433370035</v>
      </c>
    </row>
    <row r="18" spans="2:8" ht="16" customHeight="1">
      <c r="B18" s="215" t="s">
        <v>39</v>
      </c>
      <c r="C18" s="233">
        <f>BS!L20-BS!J20</f>
        <v>-51852.65000000014</v>
      </c>
      <c r="D18" s="233">
        <f>BS!M20-BS!L20</f>
        <v>10400.971874999814</v>
      </c>
      <c r="E18" s="233">
        <f>BS!N20-BS!M20</f>
        <v>25490.06487562519</v>
      </c>
      <c r="F18" s="233">
        <f>BS!O20-BS!N20</f>
        <v>29252.953887018724</v>
      </c>
      <c r="G18" s="233">
        <f>BS!P20-BS!O20</f>
        <v>30323.767058561905</v>
      </c>
      <c r="H18" s="233">
        <f>BS!Q20-BS!P20</f>
        <v>30320.012750907918</v>
      </c>
    </row>
    <row r="19" spans="2:8" ht="16" customHeight="1">
      <c r="B19" s="215" t="s">
        <v>40</v>
      </c>
      <c r="C19" s="233">
        <f>BS!L21-BS!J21</f>
        <v>-4100.5688963294451</v>
      </c>
      <c r="D19" s="233">
        <f>BS!M21-BS!L21</f>
        <v>1128.9472598802531</v>
      </c>
      <c r="E19" s="233">
        <f>BS!N21-BS!M21</f>
        <v>1564.1820258735061</v>
      </c>
      <c r="F19" s="233">
        <f>BS!O21-BS!N21</f>
        <v>2906.8613147464675</v>
      </c>
      <c r="G19" s="233">
        <f>BS!P21-BS!O21</f>
        <v>1196.9105596075678</v>
      </c>
      <c r="H19" s="233">
        <f>BS!Q21-BS!P21</f>
        <v>1209.8388265762915</v>
      </c>
    </row>
    <row r="20" spans="2:8" ht="16" customHeight="1">
      <c r="B20" s="215" t="s">
        <v>41</v>
      </c>
      <c r="C20" s="233">
        <f>BS!L22-BS!J22</f>
        <v>601435</v>
      </c>
      <c r="D20" s="233">
        <f>BS!M22-BS!L22</f>
        <v>0</v>
      </c>
      <c r="E20" s="233">
        <f>BS!N22-BS!M22</f>
        <v>0</v>
      </c>
      <c r="F20" s="233">
        <f>BS!O22-BS!N22</f>
        <v>0</v>
      </c>
      <c r="G20" s="233">
        <f>BS!P22-BS!O22</f>
        <v>0</v>
      </c>
      <c r="H20" s="233">
        <f>BS!Q22-BS!P22</f>
        <v>0</v>
      </c>
    </row>
    <row r="21" spans="2:8" ht="16" customHeight="1">
      <c r="B21" s="215" t="s">
        <v>42</v>
      </c>
      <c r="C21" s="233">
        <f>BS!L23-BS!J23</f>
        <v>-5058</v>
      </c>
      <c r="D21" s="233">
        <f>BS!M23-BS!L23</f>
        <v>300000</v>
      </c>
      <c r="E21" s="233">
        <f>BS!N23-BS!M23</f>
        <v>-100000</v>
      </c>
      <c r="F21" s="233">
        <f>BS!O23-BS!N23</f>
        <v>-306361</v>
      </c>
      <c r="G21" s="233">
        <f>BS!P23-BS!O23</f>
        <v>156361</v>
      </c>
      <c r="H21" s="233">
        <f>BS!Q23-BS!P23</f>
        <v>-50000</v>
      </c>
    </row>
    <row r="22" spans="2:8" ht="16" customHeight="1">
      <c r="B22" s="226" t="s">
        <v>43</v>
      </c>
      <c r="C22" s="433"/>
      <c r="D22" s="433"/>
      <c r="E22" s="433"/>
      <c r="F22" s="433"/>
      <c r="G22" s="433"/>
      <c r="H22" s="433"/>
    </row>
    <row r="23" spans="2:8" ht="16" customHeight="1">
      <c r="B23" s="215" t="s">
        <v>44</v>
      </c>
      <c r="C23" s="233">
        <f>BS!L25-BS!J25</f>
        <v>-299739</v>
      </c>
      <c r="D23" s="233">
        <f>BS!M25-BS!L25</f>
        <v>0</v>
      </c>
      <c r="E23" s="233">
        <f>BS!N25-BS!M25</f>
        <v>0</v>
      </c>
      <c r="F23" s="233">
        <f>BS!O25-BS!N25</f>
        <v>0</v>
      </c>
      <c r="G23" s="233">
        <f>BS!P25-BS!O25</f>
        <v>0</v>
      </c>
      <c r="H23" s="233">
        <f>BS!Q25-BS!P25</f>
        <v>0</v>
      </c>
    </row>
    <row r="24" spans="2:8" ht="16" customHeight="1">
      <c r="B24" s="215" t="s">
        <v>45</v>
      </c>
      <c r="C24" s="233">
        <f>BS!L26-BS!J26</f>
        <v>-7903.1200000001118</v>
      </c>
      <c r="D24" s="233">
        <f>BS!M26-BS!L26</f>
        <v>8320.777499999851</v>
      </c>
      <c r="E24" s="233">
        <f>BS!N26-BS!M26</f>
        <v>20392.051900500082</v>
      </c>
      <c r="F24" s="233">
        <f>BS!O26-BS!N26</f>
        <v>23402.363109615049</v>
      </c>
      <c r="G24" s="233">
        <f>BS!P26-BS!O26</f>
        <v>24259.013646849548</v>
      </c>
      <c r="H24" s="233">
        <f>BS!Q26-BS!P26</f>
        <v>24256.010200726334</v>
      </c>
    </row>
    <row r="25" spans="2:8" ht="16" customHeight="1">
      <c r="B25" s="215" t="s">
        <v>35</v>
      </c>
      <c r="C25" s="233">
        <f>BS!L27-BS!J27</f>
        <v>-18177.431577588664</v>
      </c>
      <c r="D25" s="233">
        <f>BS!M27-BS!L27</f>
        <v>14582.235440119926</v>
      </c>
      <c r="E25" s="233">
        <f>BS!N27-BS!M27</f>
        <v>20204.017834199418</v>
      </c>
      <c r="F25" s="233">
        <f>BS!O27-BS!N27</f>
        <v>37546.958648808592</v>
      </c>
      <c r="G25" s="233">
        <f>BS!P27-BS!O27</f>
        <v>15460.094728264434</v>
      </c>
      <c r="H25" s="233">
        <f>BS!Q27-BS!P27</f>
        <v>15627.084843277058</v>
      </c>
    </row>
    <row r="26" spans="2:8" ht="16" customHeight="1">
      <c r="B26" s="226" t="s">
        <v>46</v>
      </c>
      <c r="C26" s="433"/>
      <c r="D26" s="433"/>
      <c r="E26" s="433"/>
      <c r="F26" s="433"/>
      <c r="G26" s="433"/>
      <c r="H26" s="433"/>
    </row>
    <row r="27" spans="2:8" ht="16" customHeight="1">
      <c r="B27" s="226" t="s">
        <v>47</v>
      </c>
      <c r="C27" s="433"/>
      <c r="D27" s="433"/>
      <c r="E27" s="433"/>
      <c r="F27" s="433"/>
      <c r="G27" s="433"/>
      <c r="H27" s="433"/>
    </row>
    <row r="28" spans="2:8" ht="16" customHeight="1">
      <c r="B28" s="215" t="s">
        <v>13</v>
      </c>
      <c r="C28" s="233">
        <f>BS!L30-BS!J30</f>
        <v>0</v>
      </c>
      <c r="D28" s="233">
        <f>BS!M30-BS!L30</f>
        <v>0</v>
      </c>
      <c r="E28" s="233">
        <f>BS!N30-BS!M30</f>
        <v>0</v>
      </c>
      <c r="F28" s="233">
        <f>BS!O30-BS!N30</f>
        <v>0</v>
      </c>
      <c r="G28" s="233">
        <f>BS!P30-BS!O30</f>
        <v>0</v>
      </c>
      <c r="H28" s="233">
        <f>BS!Q30-BS!P30</f>
        <v>0</v>
      </c>
    </row>
    <row r="29" spans="2:8" ht="16" customHeight="1">
      <c r="B29" s="215" t="s">
        <v>20</v>
      </c>
      <c r="C29" s="233">
        <f>BS!L31-BS!J31</f>
        <v>0</v>
      </c>
      <c r="D29" s="233">
        <f>BS!M31-BS!L31</f>
        <v>0</v>
      </c>
      <c r="E29" s="233">
        <f>BS!N31-BS!M31</f>
        <v>0</v>
      </c>
      <c r="F29" s="233">
        <f>BS!O31-BS!N31</f>
        <v>0</v>
      </c>
      <c r="G29" s="233">
        <f>BS!P31-BS!O31</f>
        <v>0</v>
      </c>
      <c r="H29" s="233">
        <f>BS!Q31-BS!P31</f>
        <v>0</v>
      </c>
    </row>
    <row r="30" spans="2:8" ht="16" customHeight="1">
      <c r="B30" s="215" t="s">
        <v>48</v>
      </c>
      <c r="C30" s="233">
        <f>BS!L32-BS!J32</f>
        <v>0</v>
      </c>
      <c r="D30" s="233">
        <f>BS!M32-BS!L32</f>
        <v>0</v>
      </c>
      <c r="E30" s="233">
        <f>BS!N32-BS!M32</f>
        <v>0</v>
      </c>
      <c r="F30" s="233">
        <f>BS!O32-BS!N32</f>
        <v>0</v>
      </c>
      <c r="G30" s="233">
        <f>BS!P32-BS!O32</f>
        <v>0</v>
      </c>
      <c r="H30" s="233">
        <f>BS!Q32-BS!P32</f>
        <v>0</v>
      </c>
    </row>
    <row r="31" spans="2:8" ht="16" customHeight="1">
      <c r="B31" s="215" t="s">
        <v>49</v>
      </c>
      <c r="C31" s="233">
        <f>BS!L33-BS!J33</f>
        <v>-19704</v>
      </c>
      <c r="D31" s="233">
        <f>BS!M33-BS!L33</f>
        <v>0</v>
      </c>
      <c r="E31" s="233">
        <f>BS!N33-BS!M33</f>
        <v>0</v>
      </c>
      <c r="F31" s="233">
        <f>BS!O33-BS!N33</f>
        <v>0</v>
      </c>
      <c r="G31" s="233">
        <f>BS!P33-BS!O33</f>
        <v>0</v>
      </c>
      <c r="H31" s="233">
        <f>BS!Q33-BS!P33</f>
        <v>0</v>
      </c>
    </row>
    <row r="32" spans="2:8" ht="16" customHeight="1">
      <c r="B32" s="215" t="s">
        <v>50</v>
      </c>
      <c r="C32" s="434"/>
      <c r="D32" s="434"/>
      <c r="E32" s="434"/>
      <c r="F32" s="434"/>
      <c r="G32" s="434"/>
      <c r="H32" s="434"/>
    </row>
    <row r="33" spans="2:15" ht="16" customHeight="1">
      <c r="B33" s="215" t="s">
        <v>51</v>
      </c>
      <c r="C33" s="233">
        <f>BS!L35-BS!J35</f>
        <v>0</v>
      </c>
      <c r="D33" s="233">
        <f>BS!M35-BS!L35</f>
        <v>0</v>
      </c>
      <c r="E33" s="233">
        <f>BS!N35-BS!M35</f>
        <v>0</v>
      </c>
      <c r="F33" s="233">
        <f>BS!O35-BS!N35</f>
        <v>0</v>
      </c>
      <c r="G33" s="233">
        <f>BS!P35-BS!O35</f>
        <v>0</v>
      </c>
      <c r="H33" s="233">
        <f>BS!Q35-BS!P35</f>
        <v>0</v>
      </c>
    </row>
    <row r="34" spans="2:15" ht="16" customHeight="1">
      <c r="B34" s="215" t="s">
        <v>52</v>
      </c>
      <c r="C34" s="233">
        <f>BS!L36-BS!J36</f>
        <v>-21535</v>
      </c>
      <c r="D34" s="233">
        <f>BS!M36-BS!L36</f>
        <v>0</v>
      </c>
      <c r="E34" s="233">
        <f>BS!N36-BS!M36</f>
        <v>0</v>
      </c>
      <c r="F34" s="233">
        <f>BS!O36-BS!N36</f>
        <v>0</v>
      </c>
      <c r="G34" s="233">
        <f>BS!P36-BS!O36</f>
        <v>0</v>
      </c>
      <c r="H34" s="233">
        <f>BS!Q36-BS!P36</f>
        <v>0</v>
      </c>
    </row>
    <row r="35" spans="2:15" ht="16" customHeight="1">
      <c r="B35" s="235" t="s">
        <v>58</v>
      </c>
      <c r="C35" s="433"/>
      <c r="D35" s="433"/>
      <c r="E35" s="433"/>
      <c r="F35" s="433"/>
      <c r="G35" s="433"/>
      <c r="H35" s="433"/>
    </row>
    <row r="36" spans="2:15" ht="16" customHeight="1">
      <c r="B36" s="223" t="s">
        <v>59</v>
      </c>
      <c r="C36" s="233">
        <f>BS!L38-BS!J38</f>
        <v>0</v>
      </c>
      <c r="D36" s="233">
        <f>BS!M38-BS!L38</f>
        <v>0</v>
      </c>
      <c r="E36" s="233">
        <f>BS!N38-BS!M38</f>
        <v>0</v>
      </c>
      <c r="F36" s="233">
        <f>BS!O38-BS!N38</f>
        <v>0</v>
      </c>
      <c r="G36" s="233">
        <f>BS!P38-BS!O38</f>
        <v>0</v>
      </c>
      <c r="H36" s="233">
        <f>BS!Q38-BS!P38</f>
        <v>0</v>
      </c>
    </row>
    <row r="37" spans="2:15" ht="16" customHeight="1">
      <c r="B37" s="226" t="s">
        <v>53</v>
      </c>
      <c r="C37" s="434"/>
      <c r="D37" s="433"/>
      <c r="E37" s="433"/>
      <c r="F37" s="433"/>
      <c r="G37" s="433"/>
      <c r="H37" s="433"/>
    </row>
    <row r="38" spans="2:15" ht="16" customHeight="1">
      <c r="B38" s="226" t="s">
        <v>54</v>
      </c>
      <c r="C38" s="434"/>
      <c r="D38" s="433"/>
      <c r="E38" s="433"/>
      <c r="F38" s="433"/>
      <c r="G38" s="433"/>
      <c r="H38" s="433"/>
      <c r="J38" s="260"/>
      <c r="K38" s="260"/>
      <c r="L38" s="260"/>
      <c r="M38" s="260"/>
      <c r="N38" s="260"/>
      <c r="O38" s="260"/>
    </row>
    <row r="40" spans="2:15" ht="16" customHeight="1">
      <c r="B40" s="63" t="s">
        <v>129</v>
      </c>
      <c r="C40" s="233">
        <f>BS!L88</f>
        <v>-851109.74035395519</v>
      </c>
      <c r="D40" s="63">
        <f>BS!M88</f>
        <v>-889003.79592121905</v>
      </c>
      <c r="E40" s="63">
        <f>BS!N88</f>
        <v>-941506.86910468491</v>
      </c>
      <c r="F40" s="63">
        <f>BS!O88</f>
        <v>-1039078.0915185792</v>
      </c>
      <c r="G40" s="63">
        <f>BS!P88</f>
        <v>-1079253.3918772736</v>
      </c>
      <c r="H40" s="63">
        <f>BS!Q88</f>
        <v>-1119862.640290329</v>
      </c>
    </row>
    <row r="41" spans="2:15" ht="16" customHeight="1">
      <c r="B41" s="63" t="s">
        <v>130</v>
      </c>
      <c r="C41" s="233">
        <f>BS!L89</f>
        <v>-400000</v>
      </c>
      <c r="D41" s="63">
        <f>BS!M89</f>
        <v>-300000</v>
      </c>
      <c r="E41" s="63">
        <f>BS!N89</f>
        <v>-200000</v>
      </c>
      <c r="F41" s="63">
        <f>BS!O89</f>
        <v>-400000</v>
      </c>
      <c r="G41" s="63">
        <f>BS!P89</f>
        <v>-300000</v>
      </c>
      <c r="H41" s="63">
        <f>BS!Q89</f>
        <v>-200000</v>
      </c>
    </row>
    <row r="43" spans="2:15" ht="16" customHeight="1">
      <c r="B43" s="63" t="s">
        <v>131</v>
      </c>
      <c r="C43" s="232">
        <f>SUM(C3:C38)+C40+C41</f>
        <v>525602.01523570111</v>
      </c>
      <c r="D43" s="232">
        <f t="shared" ref="D43:H43" si="0">SUM(D3:D38)+D40+D41</f>
        <v>848242.70529159089</v>
      </c>
      <c r="E43" s="232">
        <f t="shared" si="0"/>
        <v>638590.07414976007</v>
      </c>
      <c r="F43" s="232">
        <f t="shared" si="0"/>
        <v>240870.39162574254</v>
      </c>
      <c r="G43" s="232">
        <f t="shared" si="0"/>
        <v>800241.41019447474</v>
      </c>
      <c r="H43" s="232">
        <f t="shared" si="0"/>
        <v>730841.97512786579</v>
      </c>
    </row>
    <row r="45" spans="2:15" ht="16" customHeight="1">
      <c r="B45" s="63" t="s">
        <v>132</v>
      </c>
      <c r="C45" s="232">
        <f>BS!J5</f>
        <v>401902</v>
      </c>
      <c r="D45" s="232">
        <f>C46</f>
        <v>927504.01523570111</v>
      </c>
      <c r="E45" s="232">
        <f>D46</f>
        <v>1775746.720527292</v>
      </c>
      <c r="F45" s="232">
        <f>E46</f>
        <v>2414336.7946770522</v>
      </c>
      <c r="G45" s="232">
        <f>F46</f>
        <v>2655207.1863027946</v>
      </c>
      <c r="H45" s="232">
        <f>G46</f>
        <v>3455448.5964972693</v>
      </c>
    </row>
    <row r="46" spans="2:15" ht="16" customHeight="1">
      <c r="B46" s="63" t="s">
        <v>133</v>
      </c>
      <c r="C46" s="232">
        <f t="shared" ref="C46:H46" si="1">C45+C43</f>
        <v>927504.01523570111</v>
      </c>
      <c r="D46" s="232">
        <f t="shared" si="1"/>
        <v>1775746.720527292</v>
      </c>
      <c r="E46" s="232">
        <f t="shared" si="1"/>
        <v>2414336.7946770522</v>
      </c>
      <c r="F46" s="232">
        <f t="shared" si="1"/>
        <v>2655207.1863027946</v>
      </c>
      <c r="G46" s="232">
        <f t="shared" si="1"/>
        <v>3455448.5964972693</v>
      </c>
      <c r="H46" s="232">
        <f t="shared" si="1"/>
        <v>4186290.5716251349</v>
      </c>
    </row>
    <row r="47" spans="2:15" ht="16" customHeight="1">
      <c r="C47" s="232"/>
      <c r="D47" s="232"/>
      <c r="E47" s="232"/>
      <c r="F47" s="232"/>
      <c r="G47" s="232"/>
      <c r="H47" s="232"/>
    </row>
    <row r="48" spans="2:15" ht="16" customHeight="1">
      <c r="B48" s="261" t="s">
        <v>134</v>
      </c>
      <c r="C48" s="262">
        <f>BS!L17-BS!L40</f>
        <v>3509303.4060059991</v>
      </c>
      <c r="D48" s="262">
        <f>BS!M17-BS!M40</f>
        <v>3732388.4483793713</v>
      </c>
      <c r="E48" s="262">
        <f>BS!N17-BS!N40</f>
        <v>3962354.7886665743</v>
      </c>
      <c r="F48" s="262">
        <f>BS!O17-BS!O40</f>
        <v>4200218.2563851103</v>
      </c>
      <c r="G48" s="262">
        <f>BS!P17-BS!P40</f>
        <v>4446267.9282587823</v>
      </c>
      <c r="H48" s="262">
        <f>BS!Q17-BS!Q40</f>
        <v>4700502.7907746844</v>
      </c>
    </row>
    <row r="49" spans="2:8" ht="16" customHeight="1">
      <c r="C49" s="232"/>
      <c r="D49" s="232"/>
      <c r="E49" s="232"/>
      <c r="F49" s="232"/>
      <c r="G49" s="232"/>
      <c r="H49" s="232"/>
    </row>
    <row r="50" spans="2:8" ht="16" customHeight="1">
      <c r="B50" s="63" t="s">
        <v>135</v>
      </c>
      <c r="C50" s="260">
        <f t="shared" ref="C50:H50" si="2">C43-C40-C41</f>
        <v>1776711.7555896563</v>
      </c>
      <c r="D50" s="260">
        <f t="shared" si="2"/>
        <v>2037246.5012128099</v>
      </c>
      <c r="E50" s="260">
        <f t="shared" si="2"/>
        <v>1780096.943254445</v>
      </c>
      <c r="F50" s="260">
        <f t="shared" si="2"/>
        <v>1679948.4831443217</v>
      </c>
      <c r="G50" s="260">
        <f t="shared" si="2"/>
        <v>2179494.8020717483</v>
      </c>
      <c r="H50" s="260">
        <f t="shared" si="2"/>
        <v>2050704.6154181948</v>
      </c>
    </row>
  </sheetData>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334B6-8D68-CD46-A97A-A857544D475A}">
  <dimension ref="A1:U116"/>
  <sheetViews>
    <sheetView topLeftCell="A5" zoomScale="50" zoomScaleNormal="100" workbookViewId="0">
      <selection activeCell="V88" sqref="V88"/>
    </sheetView>
  </sheetViews>
  <sheetFormatPr baseColWidth="10" defaultRowHeight="16"/>
  <cols>
    <col min="1" max="1" width="44.125" bestFit="1" customWidth="1"/>
    <col min="3" max="3" width="7" bestFit="1" customWidth="1"/>
    <col min="5" max="5" width="1.625" bestFit="1" customWidth="1"/>
    <col min="6" max="6" width="10.125" bestFit="1" customWidth="1"/>
    <col min="7" max="8" width="1.875" bestFit="1" customWidth="1"/>
    <col min="9" max="9" width="7.75" bestFit="1" customWidth="1"/>
    <col min="10" max="10" width="6.25" bestFit="1" customWidth="1"/>
    <col min="11" max="11" width="4.375" bestFit="1" customWidth="1"/>
    <col min="12" max="12" width="16.5" bestFit="1" customWidth="1"/>
    <col min="13" max="13" width="4.875" bestFit="1" customWidth="1"/>
    <col min="18" max="18" width="1.875" bestFit="1" customWidth="1"/>
    <col min="20" max="20" width="4.75" bestFit="1" customWidth="1"/>
    <col min="21" max="21" width="5.25" bestFit="1" customWidth="1"/>
    <col min="23" max="23" width="1.875" bestFit="1" customWidth="1"/>
    <col min="26" max="26" width="3.875" bestFit="1" customWidth="1"/>
    <col min="27" max="27" width="2.375" bestFit="1" customWidth="1"/>
  </cols>
  <sheetData>
    <row r="1" spans="1:21">
      <c r="A1" t="s">
        <v>348</v>
      </c>
    </row>
    <row r="6" spans="1:21">
      <c r="U6" s="195"/>
    </row>
    <row r="9" spans="1:21">
      <c r="B9" t="s">
        <v>350</v>
      </c>
    </row>
    <row r="28" spans="1:9">
      <c r="I28" s="195"/>
    </row>
    <row r="29" spans="1:9">
      <c r="A29" s="195"/>
    </row>
    <row r="44" spans="1:12">
      <c r="I44" s="195"/>
      <c r="L44" s="195"/>
    </row>
    <row r="47" spans="1:12">
      <c r="I47" s="195"/>
    </row>
    <row r="48" spans="1:12">
      <c r="A48" s="195"/>
    </row>
    <row r="49" spans="9:9">
      <c r="I49" s="195"/>
    </row>
    <row r="109" spans="2:14" ht="28" customHeight="1">
      <c r="B109" s="520" t="s">
        <v>357</v>
      </c>
      <c r="C109" s="520"/>
      <c r="D109" s="520"/>
      <c r="E109" s="520"/>
      <c r="F109" s="520"/>
      <c r="G109" s="520"/>
      <c r="H109" s="520"/>
      <c r="I109" s="520"/>
      <c r="J109" s="520"/>
      <c r="K109" s="520"/>
      <c r="L109" s="520"/>
      <c r="M109" s="520"/>
      <c r="N109" s="520"/>
    </row>
    <row r="110" spans="2:14">
      <c r="B110" s="520"/>
      <c r="C110" s="520"/>
      <c r="D110" s="520"/>
      <c r="E110" s="520"/>
      <c r="F110" s="520"/>
      <c r="G110" s="520"/>
      <c r="H110" s="520"/>
      <c r="I110" s="520"/>
      <c r="J110" s="520"/>
      <c r="K110" s="520"/>
      <c r="L110" s="520"/>
      <c r="M110" s="520"/>
      <c r="N110" s="520"/>
    </row>
    <row r="111" spans="2:14">
      <c r="B111" s="520"/>
      <c r="C111" s="520"/>
      <c r="D111" s="520"/>
      <c r="E111" s="520"/>
      <c r="F111" s="520"/>
      <c r="G111" s="520"/>
      <c r="H111" s="520"/>
      <c r="I111" s="520"/>
      <c r="J111" s="520"/>
      <c r="K111" s="520"/>
      <c r="L111" s="520"/>
      <c r="M111" s="520"/>
      <c r="N111" s="520"/>
    </row>
    <row r="112" spans="2:14" ht="43" customHeight="1">
      <c r="B112" s="520"/>
      <c r="C112" s="520"/>
      <c r="D112" s="520"/>
      <c r="E112" s="520"/>
      <c r="F112" s="520"/>
      <c r="G112" s="520"/>
      <c r="H112" s="520"/>
      <c r="I112" s="520"/>
      <c r="J112" s="520"/>
      <c r="K112" s="520"/>
      <c r="L112" s="520"/>
      <c r="M112" s="520"/>
      <c r="N112" s="520"/>
    </row>
    <row r="113" spans="2:14">
      <c r="B113" s="520"/>
      <c r="C113" s="520"/>
      <c r="D113" s="520"/>
      <c r="E113" s="520"/>
      <c r="F113" s="520"/>
      <c r="G113" s="520"/>
      <c r="H113" s="520"/>
      <c r="I113" s="520"/>
      <c r="J113" s="520"/>
      <c r="K113" s="520"/>
      <c r="L113" s="520"/>
      <c r="M113" s="520"/>
      <c r="N113" s="520"/>
    </row>
    <row r="114" spans="2:14">
      <c r="B114" s="520"/>
      <c r="C114" s="520"/>
      <c r="D114" s="520"/>
      <c r="E114" s="520"/>
      <c r="F114" s="520"/>
      <c r="G114" s="520"/>
      <c r="H114" s="520"/>
      <c r="I114" s="520"/>
      <c r="J114" s="520"/>
      <c r="K114" s="520"/>
      <c r="L114" s="520"/>
      <c r="M114" s="520"/>
      <c r="N114" s="520"/>
    </row>
    <row r="115" spans="2:14">
      <c r="B115" s="520"/>
      <c r="C115" s="520"/>
      <c r="D115" s="520"/>
      <c r="E115" s="520"/>
      <c r="F115" s="520"/>
      <c r="G115" s="520"/>
      <c r="H115" s="520"/>
      <c r="I115" s="520"/>
      <c r="J115" s="520"/>
      <c r="K115" s="520"/>
      <c r="L115" s="520"/>
      <c r="M115" s="520"/>
      <c r="N115" s="520"/>
    </row>
    <row r="116" spans="2:14">
      <c r="B116" s="520"/>
      <c r="C116" s="520"/>
      <c r="D116" s="520"/>
      <c r="E116" s="520"/>
      <c r="F116" s="520"/>
      <c r="G116" s="520"/>
      <c r="H116" s="520"/>
      <c r="I116" s="520"/>
      <c r="J116" s="520"/>
      <c r="K116" s="520"/>
      <c r="L116" s="520"/>
      <c r="M116" s="520"/>
      <c r="N116" s="520"/>
    </row>
  </sheetData>
  <mergeCells count="2">
    <mergeCell ref="B109:N112"/>
    <mergeCell ref="B113:N116"/>
  </mergeCells>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B7912-BF43-9845-8135-C06D2A681B27}">
  <dimension ref="B1:AE71"/>
  <sheetViews>
    <sheetView topLeftCell="A19" zoomScale="90" zoomScaleNormal="90" workbookViewId="0">
      <selection activeCell="H39" sqref="H39"/>
    </sheetView>
  </sheetViews>
  <sheetFormatPr baseColWidth="10" defaultColWidth="6.875" defaultRowHeight="15.75" customHeight="1" outlineLevelRow="1"/>
  <cols>
    <col min="1" max="1" width="2.125" style="63" customWidth="1"/>
    <col min="2" max="2" width="23.75" style="63" bestFit="1" customWidth="1"/>
    <col min="3" max="3" width="7.25" style="64" bestFit="1" customWidth="1"/>
    <col min="4" max="5" width="8.875" style="63" customWidth="1"/>
    <col min="6" max="6" width="8" style="63" customWidth="1"/>
    <col min="7" max="7" width="8.125" style="63" bestFit="1" customWidth="1"/>
    <col min="8" max="9" width="7.375" style="63" customWidth="1"/>
    <col min="10" max="10" width="8.625" style="63" customWidth="1"/>
    <col min="11" max="11" width="7.375" style="63" customWidth="1"/>
    <col min="12" max="12" width="7.125" style="63" bestFit="1" customWidth="1"/>
    <col min="13" max="13" width="8.625" style="63" customWidth="1"/>
    <col min="14" max="14" width="7" style="63" bestFit="1" customWidth="1"/>
    <col min="15" max="15" width="8.625" style="63" customWidth="1"/>
    <col min="16" max="18" width="7" style="63" bestFit="1" customWidth="1"/>
    <col min="19" max="16384" width="6.875" style="63"/>
  </cols>
  <sheetData>
    <row r="1" spans="2:31" ht="15.75" customHeight="1">
      <c r="D1" s="65" t="s">
        <v>188</v>
      </c>
    </row>
    <row r="2" spans="2:31" ht="15.75" customHeight="1">
      <c r="B2" s="372" t="s">
        <v>189</v>
      </c>
      <c r="C2" s="373"/>
      <c r="D2" s="374"/>
      <c r="E2" s="374"/>
      <c r="F2" s="374"/>
      <c r="G2" s="374"/>
      <c r="H2" s="374"/>
      <c r="I2" s="374"/>
      <c r="J2" s="374"/>
      <c r="K2" s="374"/>
      <c r="L2" s="374"/>
      <c r="M2" s="374"/>
      <c r="N2" s="374"/>
      <c r="O2" s="374"/>
      <c r="P2" s="374"/>
      <c r="Q2" s="374"/>
      <c r="R2" s="374"/>
    </row>
    <row r="3" spans="2:31" ht="15.75" customHeight="1">
      <c r="B3" s="66" t="s">
        <v>190</v>
      </c>
      <c r="C3" s="67"/>
      <c r="D3" s="68"/>
      <c r="E3" s="68"/>
      <c r="F3" s="68"/>
      <c r="G3" s="68"/>
      <c r="H3" s="68"/>
      <c r="I3" s="68"/>
      <c r="J3" s="68"/>
      <c r="K3" s="68"/>
      <c r="L3" s="68"/>
      <c r="M3" s="68"/>
      <c r="N3" s="68"/>
      <c r="O3" s="68"/>
      <c r="P3" s="68"/>
      <c r="Q3" s="68"/>
      <c r="R3" s="68"/>
    </row>
    <row r="4" spans="2:31" ht="15.75" customHeight="1">
      <c r="B4" s="69" t="s">
        <v>191</v>
      </c>
      <c r="C4" s="70"/>
      <c r="D4" s="71" t="s">
        <v>192</v>
      </c>
      <c r="E4" s="72" t="s">
        <v>193</v>
      </c>
      <c r="F4" s="72" t="s">
        <v>194</v>
      </c>
      <c r="G4" s="72" t="s">
        <v>195</v>
      </c>
      <c r="H4" s="72" t="s">
        <v>68</v>
      </c>
      <c r="I4" s="72"/>
      <c r="J4" s="72" t="s">
        <v>196</v>
      </c>
      <c r="K4" s="73" t="s">
        <v>197</v>
      </c>
      <c r="L4" s="73"/>
      <c r="M4" s="74" t="s">
        <v>198</v>
      </c>
    </row>
    <row r="5" spans="2:31" ht="15.75" customHeight="1">
      <c r="B5" s="75" t="s">
        <v>199</v>
      </c>
      <c r="C5" s="75" t="s">
        <v>200</v>
      </c>
      <c r="D5" s="76" t="s">
        <v>201</v>
      </c>
      <c r="E5" s="77" t="s">
        <v>202</v>
      </c>
      <c r="F5" s="77" t="s">
        <v>203</v>
      </c>
      <c r="G5" s="77" t="s">
        <v>204</v>
      </c>
      <c r="H5" s="77" t="s">
        <v>205</v>
      </c>
      <c r="I5" s="77" t="s">
        <v>206</v>
      </c>
      <c r="J5" s="77" t="s">
        <v>207</v>
      </c>
      <c r="K5" s="78" t="s">
        <v>207</v>
      </c>
      <c r="L5" s="78" t="s">
        <v>208</v>
      </c>
      <c r="M5" s="75" t="s">
        <v>209</v>
      </c>
    </row>
    <row r="6" spans="2:31" s="85" customFormat="1" ht="15.75" customHeight="1">
      <c r="B6" s="79" t="str" cm="1">
        <f t="array" ref="B6">IF($C6="","",_xll.RDP.Data($C6,"DSPLY_NAME"))</f>
        <v>MONDELEZ INT C/d</v>
      </c>
      <c r="C6" s="354" t="s">
        <v>303</v>
      </c>
      <c r="D6" s="80">
        <f>IF(C6="","",_xll.RDP.Data($C6,"TR.PriceClose","Curn=#1",,$D$1))</f>
        <v>67.510000000000005</v>
      </c>
      <c r="E6" s="81">
        <f>IF($C6="","",_xll.RDP.Data($C6,"MAX(TR.PriceHigh(SDate=0D,EDate=0D-364C))/*52 Week High*/","Curn=#1",,$D$1))</f>
        <v>76.06</v>
      </c>
      <c r="F6" s="82">
        <f>IF(C6="","",_xll.RDP.Data($C6,"TR.CompanySharesOutstanding(SDate=0)/*# Shares Outstanding*/")/1000000)</f>
        <v>1294.8153729999999</v>
      </c>
      <c r="G6" s="337">
        <f>IF(C6="","",D6*F6)</f>
        <v>87412.985831230006</v>
      </c>
      <c r="H6" s="337" cm="1">
        <f t="array" ref="H6">IF($C6="","",_xll.RDP.Data($C6,"TR.TotalDebtOutstanding","Curn=#1",,$D$1)/1000000)</f>
        <v>17749</v>
      </c>
      <c r="I6" s="337">
        <f>IF($C6="","",_xll.RDP.Data($C6,"TR.CashandEquivalents","Curn=#1",,$D$1)/1000000)</f>
        <v>1351</v>
      </c>
      <c r="J6" s="338">
        <f>IF(C6="","",G6+H6-I6)</f>
        <v>103810.98583123001</v>
      </c>
      <c r="K6" s="337" cm="1">
        <f t="array" ref="K6">IF($C6="","",_xll.RDP.Data($C6,"TR.TotalEquity","Curn=#1",,$D$1)/1000000)</f>
        <v>26932</v>
      </c>
      <c r="L6" s="84">
        <f>IF($C6="","",_xll.RDP.Data($C6,"TR.BetaFiveYear/*Beta 5 Year Monthly*//*Beta 5 Year Monthly*/"))</f>
        <v>0.51359741762728195</v>
      </c>
      <c r="M6" s="339">
        <f>IF(C6="","",_xll.RDP.Data($C6,"TR.PriceTargetMean","Curn=#1",,$D$1))</f>
        <v>71.634069999999994</v>
      </c>
      <c r="N6" s="340"/>
      <c r="O6" s="500">
        <f>AVERAGE(L6:L12)</f>
        <v>0.39311607100554125</v>
      </c>
    </row>
    <row r="7" spans="2:31" s="85" customFormat="1" ht="15.75" customHeight="1">
      <c r="B7" s="79" t="str" cm="1">
        <f t="array" ref="B7">IF($C7="","",_xll.RDP.Data($C7,"DSPLY_NAME"))</f>
        <v>KELLANOVA ORD/d</v>
      </c>
      <c r="C7" s="90" t="s">
        <v>437</v>
      </c>
      <c r="D7" s="86">
        <f>IF(C7="","",_xll.RDP.Data($C7,"TR.PriceClose","Curn=#1",,$D$1))</f>
        <v>82.54</v>
      </c>
      <c r="E7" s="87">
        <f>IF($C7="","",_xll.RDP.Data($C7,"MAX(TR.PriceHigh(SDate=0D,EDate=0D-364C))/*52 Week High*/","Curn=#1",,$D$1))</f>
        <v>83.22</v>
      </c>
      <c r="F7" s="82">
        <f>IF(C7="","",_xll.RDP.Data($C7,"TR.CompanySharesOutstanding(SDate=0)/*# Shares Outstanding*/")/1000000)</f>
        <v>346.93907400000001</v>
      </c>
      <c r="G7" s="338">
        <f t="shared" ref="G7:G13" si="0">IF(C7="","",D7*F7)</f>
        <v>28636.351167960001</v>
      </c>
      <c r="H7" s="338" cm="1">
        <f t="array" ref="H7">IF($C7="","",_xll.RDP.Data($C7,"TR.TotalDebtOutstanding","Curn=#1",,$D$1)/1000000)</f>
        <v>5743</v>
      </c>
      <c r="I7" s="341">
        <f>IF($C7="","",_xll.RDP.Data($C7,"TR.CashandEquivalents","Curn=#1",,$D$1)/1000000)</f>
        <v>694</v>
      </c>
      <c r="J7" s="338">
        <f>IF(C7="","",G7+H7-I7)</f>
        <v>33685.351167960005</v>
      </c>
      <c r="K7" s="338" cm="1">
        <f t="array" ref="K7">IF($C7="","",_xll.RDP.Data($C7,"TR.TotalEquity","Curn=#1",,$D$1)/1000000)</f>
        <v>3775</v>
      </c>
      <c r="L7" s="88">
        <f>IF($C7="","",_xll.RDP.Data($C7,"TR.BetaFiveYear/*Beta 5 Year Monthly*//*Beta 5 Year Monthly*/"))</f>
        <v>0.29992825345166901</v>
      </c>
      <c r="M7" s="342">
        <f>IF(C7="","",_xll.RDP.Data($C7,"TR.PriceTargetMean","Curn=#1",,$D$1))</f>
        <v>82.45438</v>
      </c>
      <c r="N7" s="340"/>
      <c r="O7" s="500">
        <v>0.46</v>
      </c>
    </row>
    <row r="8" spans="2:31" s="85" customFormat="1" ht="15.75" customHeight="1">
      <c r="B8" s="79" t="str" cm="1">
        <f t="array" ref="B8">IF($C8="","",_xll.RDP.Data($C8,"DSPLY_NAME"))</f>
        <v>THE KRFT HNZ C/d</v>
      </c>
      <c r="C8" s="90" t="s">
        <v>438</v>
      </c>
      <c r="D8" s="86">
        <f>IF(C8="","",_xll.RDP.Data($C8,"TR.PriceClose","Curn=#1",,$D$1))</f>
        <v>28.4</v>
      </c>
      <c r="E8" s="343">
        <f>IF($C8="","",_xll.RDP.Data($C8,"MAX(TR.PriceHigh(SDate=0D,EDate=0D-364C))/*52 Week High*/","Curn=#1",,$D$1))</f>
        <v>36.700000000000003</v>
      </c>
      <c r="F8" s="82">
        <f>IF(C8="","",_xll.RDP.Data($C8,"TR.CompanySharesOutstanding(SDate=0)/*# Shares Outstanding*/")/1000000)</f>
        <v>1183.542101</v>
      </c>
      <c r="G8" s="338">
        <f t="shared" si="0"/>
        <v>33612.595668399998</v>
      </c>
      <c r="H8" s="338" cm="1">
        <f t="array" ref="H8">IF($C8="","",_xll.RDP.Data($C8,"TR.TotalDebtOutstanding","Curn=#1",,$D$1)/1000000)</f>
        <v>19869</v>
      </c>
      <c r="I8" s="341">
        <f>IF($C8="","",_xll.RDP.Data($C8,"TR.CashandEquivalents","Curn=#1",,$D$1)/1000000)</f>
        <v>1334</v>
      </c>
      <c r="J8" s="338">
        <f>IF(C8="","",G8+H8-I8)</f>
        <v>52147.595668399998</v>
      </c>
      <c r="K8" s="338" cm="1">
        <f t="array" ref="K8">IF($C8="","",_xll.RDP.Data($C8,"TR.TotalEquity","Curn=#1",,$D$1)/1000000)</f>
        <v>49185</v>
      </c>
      <c r="L8" s="88">
        <f>IF($C8="","",_xll.RDP.Data($C8,"TR.BetaFiveYear/*Beta 5 Year Monthly*//*Beta 5 Year Monthly*/"))</f>
        <v>0.27052595943112001</v>
      </c>
      <c r="M8" s="342">
        <f>IF(C8="","",_xll.RDP.Data($C8,"TR.PriceTargetMean","Curn=#1",,$D$1))</f>
        <v>30.682860000000002</v>
      </c>
      <c r="N8" s="340"/>
    </row>
    <row r="9" spans="2:31" s="85" customFormat="1" ht="15.75" customHeight="1">
      <c r="B9" s="79" t="str" cm="1">
        <f t="array" ref="B9">IF($C9="","",_xll.RDP.Data($C9,"DSPLY_NAME"))</f>
        <v>PEPSICO INC/d</v>
      </c>
      <c r="C9" s="354" t="s">
        <v>432</v>
      </c>
      <c r="D9" s="86">
        <f>IF(C9="","",_xll.RDP.Data($C9,"TR.PriceClose","Curn=#1",,$D$1))</f>
        <v>130.74</v>
      </c>
      <c r="E9" s="87">
        <f>IF($C9="","",_xll.RDP.Data($C9,"MAX(TR.PriceHigh(SDate=0D,EDate=0D-364C))/*52 Week High*/","Curn=#1",,$D$1))</f>
        <v>183.41</v>
      </c>
      <c r="F9" s="82">
        <f>IF(C9="","",_xll.RDP.Data($C9,"TR.CompanySharesOutstanding(SDate=0)/*# Shares Outstanding*/")/1000000)</f>
        <v>1371.07954</v>
      </c>
      <c r="G9" s="341">
        <f t="shared" si="0"/>
        <v>179254.9390596</v>
      </c>
      <c r="H9" s="341" cm="1">
        <f t="array" ref="H9">IF($C9="","",_xll.RDP.Data($C9,"TR.TotalDebtOutstanding","Curn=#1",,$D$1)/1000000)</f>
        <v>44306</v>
      </c>
      <c r="I9" s="341">
        <f>IF($C9="","",_xll.RDP.Data($C9,"TR.CashandEquivalents","Curn=#1",,$D$1)/1000000)</f>
        <v>8505</v>
      </c>
      <c r="J9" s="338">
        <f>IF(C9="","",G9+H9-I9)</f>
        <v>215055.9390596</v>
      </c>
      <c r="K9" s="341" cm="1">
        <f t="array" ref="K9">IF($C9="","",_xll.RDP.Data($C9,"TR.TotalEquity","Curn=#1",,$D$1)/1000000)</f>
        <v>18041</v>
      </c>
      <c r="L9" s="88">
        <f>IF($C9="","",_xll.RDP.Data($C9,"TR.BetaFiveYear/*Beta 5 Year Monthly*//*Beta 5 Year Monthly*/"))</f>
        <v>0.48841265351209401</v>
      </c>
      <c r="M9" s="342">
        <f>IF(C9="","",_xll.RDP.Data($C9,"TR.PriceTargetMean","Curn=#1",,$D$1))</f>
        <v>150.48142999999999</v>
      </c>
      <c r="N9" s="340"/>
    </row>
    <row r="10" spans="2:31" s="85" customFormat="1" ht="15.75" customHeight="1">
      <c r="B10" s="79" t="str" cm="1">
        <f t="array" ref="B10">IF($C10="","",_xll.RDP.Data($C10,"DSPLY_NAME"))</f>
        <v/>
      </c>
      <c r="C10" s="353"/>
      <c r="D10" s="86" t="str">
        <f>IF(C10="","",_xll.RDP.Data($C10,"TR.PriceClose","Curn=#1",,$D$1))</f>
        <v/>
      </c>
      <c r="E10" s="87" t="str">
        <f>IF($C10="","",_xll.RDP.Data($C10,"MAX(TR.PriceHigh(SDate=0D,EDate=0D-364C))/*52 Week High*/","Curn=#1",,$D$1))</f>
        <v/>
      </c>
      <c r="F10" s="82" t="str">
        <f>IF(C10="","",_xll.RDP.Data($C10,"TR.CompanySharesOutstanding(SDate=0)/*# Shares Outstanding*/")/1000000)</f>
        <v/>
      </c>
      <c r="G10" s="341" t="str">
        <f t="shared" si="0"/>
        <v/>
      </c>
      <c r="H10" s="341" t="str" cm="1">
        <f t="array" ref="H10">IF($C10="","",_xll.RDP.Data($C10,"TR.TotalDebtOutstanding","Curn=#1",,$D$1)/1000000)</f>
        <v/>
      </c>
      <c r="I10" s="341" t="str">
        <f>IF($C10="","",_xll.RDP.Data($C10,"TR.CashandEquivalents","Curn=#1",,$D$1)/1000000)</f>
        <v/>
      </c>
      <c r="J10" s="341" t="str">
        <f>IF(C10="","",G10+H10-I10)</f>
        <v/>
      </c>
      <c r="K10" s="341" t="str" cm="1">
        <f t="array" ref="K10">IF($C10="","",_xll.RDP.Data($C10,"TR.TotalEquity","Curn=#1",,$D$1)/1000000)</f>
        <v/>
      </c>
      <c r="L10" s="88" t="str">
        <f>IF($C10="","",_xll.RDP.Data($C10,"TR.BetaFiveYear/*Beta 5 Year Monthly*//*Beta 5 Year Monthly*/"))</f>
        <v/>
      </c>
      <c r="M10" s="342" t="str">
        <f>IF(C10="","",_xll.RDP.Data($C10,"TR.PriceTargetMean","Curn=#1",,$D$1))</f>
        <v/>
      </c>
      <c r="N10" s="340"/>
    </row>
    <row r="11" spans="2:31" s="85" customFormat="1" ht="15.75" customHeight="1">
      <c r="B11" s="79" t="str" cm="1">
        <f t="array" ref="B11">IF($C11="","",_xll.RDP.Data($C11,"DSPLY_NAME"))</f>
        <v/>
      </c>
      <c r="C11" s="90"/>
      <c r="D11" s="86" t="str">
        <f>IF(C11="","",_xll.RDP.Data($C11,"TR.PriceClose","Curn=#1",,$D$1))</f>
        <v/>
      </c>
      <c r="E11" s="87" t="str">
        <f>IF($C11="","",_xll.RDP.Data($C11,"MAX(TR.PriceHigh(SDate=0D,EDate=0D-364C))/*52 Week High*/","Curn=#1",,$D$1))</f>
        <v/>
      </c>
      <c r="F11" s="82" t="str">
        <f>IF(C11="","",_xll.RDP.Data($C11,"TR.CompanySharesOutstanding(SDate=0)/*# Shares Outstanding*/")/1000000)</f>
        <v/>
      </c>
      <c r="G11" s="341" t="str">
        <f t="shared" si="0"/>
        <v/>
      </c>
      <c r="H11" s="341" t="str" cm="1">
        <f t="array" ref="H11">IF($C11="","",_xll.RDP.Data($C11,"TR.TotalDebtOutstanding","Curn=#1",,$D$1)/1000000)</f>
        <v/>
      </c>
      <c r="I11" s="341" t="str">
        <f>IF($C11="","",_xll.RDP.Data($C11,"TR.CashandEquivalents","Curn=#1",,$D$1)/1000000)</f>
        <v/>
      </c>
      <c r="J11" s="341" t="str">
        <f t="shared" ref="J11:J13" si="1">IF(C11="","",G11+H11-I11)</f>
        <v/>
      </c>
      <c r="K11" s="341" t="str" cm="1">
        <f t="array" ref="K11">IF($C11="","",_xll.RDP.Data($C11,"TR.TotalEquity","Curn=#1",,$D$1)/1000000)</f>
        <v/>
      </c>
      <c r="L11" s="88" t="str">
        <f>IF($C11="","",_xll.RDP.Data($C11,"TR.BetaFiveYear/*Beta 5 Year Monthly*//*Beta 5 Year Monthly*/"))</f>
        <v/>
      </c>
      <c r="M11" s="342" t="str">
        <f>IF(C11="","",_xll.RDP.Data($C11,"TR.PriceTargetMean","Curn=#1",,$D$1))</f>
        <v/>
      </c>
      <c r="N11" s="340"/>
    </row>
    <row r="12" spans="2:31" s="85" customFormat="1" ht="15.75" customHeight="1">
      <c r="B12" s="79" t="str" cm="1">
        <f t="array" ref="B12">IF($C12="","",_xll.RDP.Data($C12,"DSPLY_NAME"))</f>
        <v/>
      </c>
      <c r="C12" s="90"/>
      <c r="D12" s="86" t="str">
        <f>IF(C12="","",_xll.RDP.Data($C12,"TR.PriceClose","Curn=#1",,$D$1))</f>
        <v/>
      </c>
      <c r="E12" s="87" t="str">
        <f>IF($C12="","",_xll.RDP.Data($C12,"MAX(TR.PriceHigh(SDate=0D,EDate=0D-364C))/*52 Week High*/","Curn=#1",,$D$1))</f>
        <v/>
      </c>
      <c r="F12" s="344" t="str">
        <f>IF(C12="","",_xll.RDP.Data($C12,"TR.CompanySharesOutstanding(SDate=0)/*# Shares Outstanding*/")/1000000)</f>
        <v/>
      </c>
      <c r="G12" s="341" t="str">
        <f t="shared" si="0"/>
        <v/>
      </c>
      <c r="H12" s="341" t="str" cm="1">
        <f t="array" ref="H12">IF($C12="","",_xll.RDP.Data($C12,"TR.TotalDebtOutstanding","Curn=#1",,$D$1)/1000000)</f>
        <v/>
      </c>
      <c r="I12" s="341" t="str">
        <f>IF($C12="","",_xll.RDP.Data($C12,"TR.CashandEquivalents","Curn=#1",,$D$1)/1000000)</f>
        <v/>
      </c>
      <c r="J12" s="341" t="str">
        <f t="shared" si="1"/>
        <v/>
      </c>
      <c r="K12" s="341" t="str" cm="1">
        <f t="array" ref="K12">IF($C12="","",_xll.RDP.Data($C12,"TR.TotalEquity","Curn=#1",,$D$1)/1000000)</f>
        <v/>
      </c>
      <c r="L12" s="88" t="str">
        <f>IF($C12="","",_xll.RDP.Data($C12,"TR.BetaFiveYear/*Beta 5 Year Monthly*//*Beta 5 Year Monthly*/"))</f>
        <v/>
      </c>
      <c r="M12" s="342" t="str">
        <f>IF(C12="","",_xll.RDP.Data($C12,"TR.PriceTargetMean","Curn=#1",,$D$1))</f>
        <v/>
      </c>
      <c r="N12" s="340"/>
    </row>
    <row r="13" spans="2:31" s="85" customFormat="1" ht="15.75" customHeight="1">
      <c r="B13" s="79" t="str" cm="1">
        <f t="array" ref="B13">IF($C13="","",_xll.RDP.Data($C13,"DSPLY_NAME"))</f>
        <v/>
      </c>
      <c r="C13" s="90"/>
      <c r="D13" s="86" t="str">
        <f>IF(C13="","",_xll.RDP.Data($C13,"TR.PriceClose","Curn=#1",,$D$1))</f>
        <v/>
      </c>
      <c r="E13" s="87" t="str">
        <f>IF($C13="","",_xll.RDP.Data($C13,"MAX(TR.PriceHigh(SDate=0D,EDate=0D-364C))/*52 Week High*/","Curn=#1",,$D$1))</f>
        <v/>
      </c>
      <c r="F13" s="344" t="str">
        <f>IF(C13="","",_xll.RDP.Data($C13,"TR.CompanySharesOutstanding(SDate=0)/*# Shares Outstanding*/")/1000000)</f>
        <v/>
      </c>
      <c r="G13" s="341" t="str">
        <f t="shared" si="0"/>
        <v/>
      </c>
      <c r="H13" s="341" t="str" cm="1">
        <f t="array" ref="H13">IF($C13="","",_xll.RDP.Data($C13,"TR.TotalDebtOutstanding","Curn=#1",,$D$1)/1000000)</f>
        <v/>
      </c>
      <c r="I13" s="341" t="str">
        <f>IF($C13="","",_xll.RDP.Data($C13,"TR.CashandEquivalents","Curn=#1",,$D$1)/1000000)</f>
        <v/>
      </c>
      <c r="J13" s="341" t="str">
        <f t="shared" si="1"/>
        <v/>
      </c>
      <c r="K13" s="341" t="str" cm="1">
        <f t="array" ref="K13">IF($C13="","",_xll.RDP.Data($C13,"TR.TotalEquity","Curn=#1",,$D$1)/1000000)</f>
        <v/>
      </c>
      <c r="L13" s="88" t="str">
        <f>IF($C13="","",_xll.RDP.Data($C13,"TR.BetaFiveYear/*Beta 5 Year Monthly*//*Beta 5 Year Monthly*/"))</f>
        <v/>
      </c>
      <c r="M13" s="342" t="str">
        <f>IF(C13="","",_xll.RDP.Data($C13,"TR.PriceTargetMean","Curn=#1",,$D$1))</f>
        <v/>
      </c>
      <c r="N13" s="340"/>
    </row>
    <row r="14" spans="2:31" s="85" customFormat="1" ht="15.75" customHeight="1">
      <c r="B14" s="79" t="str" cm="1">
        <f t="array" ref="B14">IF($C14="","",_xll.RDP.Data($C14,"DSPLY_NAME"))</f>
        <v/>
      </c>
      <c r="C14" s="90"/>
      <c r="D14" s="86" t="str">
        <f>IF(C14="","",_xll.RDP.Data($C14,"TR.PriceClose","Curn=#1",,$D$1))</f>
        <v/>
      </c>
      <c r="E14" s="87" t="str">
        <f>IF($C14="","",_xll.RDP.Data($C14,"MAX(TR.PriceHigh(SDate=0D,EDate=0D-364C))/*52 Week High*/","Curn=#1",,$D$1))</f>
        <v/>
      </c>
      <c r="F14" s="344" t="str">
        <f>IF(C14="","",_xll.RDP.Data($C14,"TR.CompanySharesOutstanding(SDate=0)/*# Shares Outstanding*/")/1000000)</f>
        <v/>
      </c>
      <c r="G14" s="341" t="str">
        <f>IF(C14="","",D14*F14)</f>
        <v/>
      </c>
      <c r="H14" s="83" t="str" cm="1">
        <f t="array" ref="H14">IF($C14="","",_xll.RDP.Data($C14,"TR.TotalDebtOutstanding","Curn=#1",,$D$1)/1000000)</f>
        <v/>
      </c>
      <c r="I14" s="341" t="str">
        <f>IF($C14="","",_xll.RDP.Data($C14,"TR.CashandEquivalents","Curn=#1",,$D$1)/1000000)</f>
        <v/>
      </c>
      <c r="J14" s="341" t="str">
        <f>IF(C14="","",G14+H14-I14)</f>
        <v/>
      </c>
      <c r="K14" s="83" t="str" cm="1">
        <f t="array" ref="K14">IF($C14="","",_xll.RDP.Data($C14,"TR.TotalEquity","Curn=#1",,$D$1)/1000000)</f>
        <v/>
      </c>
      <c r="L14" s="88" t="str">
        <f>IF($C14="","",_xll.RDP.Data($C14,"TR.BetaFiveYear/*Beta 5 Year Monthly*//*Beta 5 Year Monthly*/"))</f>
        <v/>
      </c>
      <c r="M14" s="342" t="str">
        <f>IF(C14="","",_xll.RDP.Data($C14,"TR.PriceTargetMean","Curn=#1",,$D$1))</f>
        <v/>
      </c>
      <c r="N14" s="340"/>
    </row>
    <row r="15" spans="2:31" s="85" customFormat="1" ht="15.75" customHeight="1">
      <c r="B15" s="79" t="str" cm="1">
        <f t="array" ref="B15">IF($C15="","",_xll.RDP.Data($C15,"DSPLY_NAME"))</f>
        <v/>
      </c>
      <c r="C15" s="90"/>
      <c r="D15" s="86" t="str">
        <f>IF(C15="","",_xll.RDP.Data($C15,"TR.PriceClose","Curn=#1",,$D$1))</f>
        <v/>
      </c>
      <c r="E15" s="87" t="str">
        <f>IF($C15="","",_xll.RDP.Data($C15,"MAX(TR.PriceHigh(SDate=0D,EDate=0D-364C))/*52 Week High*/","Curn=#1",,$D$1))</f>
        <v/>
      </c>
      <c r="F15" s="91" t="str">
        <f>IF(C15="","",_xll.RDP.Data($C15,"TR.CompanySharesOutstanding(SDate=0)/*# Shares Outstanding*/")/1000000)</f>
        <v/>
      </c>
      <c r="G15" s="83" t="str">
        <f>IF(C15="","",D15*F15)</f>
        <v/>
      </c>
      <c r="H15" s="83" t="str" cm="1">
        <f t="array" ref="H15">IF($C15="","",_xll.RDP.Data($C15,"TR.TotalDebtOutstanding","Curn=#1",,$D$1)/1000000)</f>
        <v/>
      </c>
      <c r="I15" s="83" t="str">
        <f>IF($C15="","",_xll.RDP.Data($C15,"TR.CashandEquivalents","Curn=#1",,$D$1)/1000000)</f>
        <v/>
      </c>
      <c r="J15" s="83" t="str">
        <f>IF(C15="","",G15+H15-I15)</f>
        <v/>
      </c>
      <c r="K15" s="83" t="str" cm="1">
        <f t="array" ref="K15">IF($C15="","",_xll.RDP.Data($C15,"TR.TotalEquity","Curn=#1",,$D$1)/1000000)</f>
        <v/>
      </c>
      <c r="L15" s="88" t="str">
        <f>IF($C15="","",_xll.RDP.Data($C15,"TR.BetaFiveYear/*Beta 5 Year Monthly*//*Beta 5 Year Monthly*/"))</f>
        <v/>
      </c>
      <c r="M15" s="89" t="str">
        <f>IF(C15="","",_xll.RDP.Data($C15,"TR.PriceTargetMean","Curn=#1",,$D$1))</f>
        <v/>
      </c>
      <c r="N15" s="340"/>
    </row>
    <row r="16" spans="2:31" s="126" customFormat="1" ht="15.75" customHeight="1">
      <c r="B16" s="92" t="str" cm="1">
        <f t="array" ref="B16">IF($C16="","",_xll.RDP.Data($C16,"DSPLY_NAME"))</f>
        <v>HERSHEY CO/d</v>
      </c>
      <c r="C16" s="93" t="s">
        <v>252</v>
      </c>
      <c r="D16" s="94">
        <f>IF(C16="","",_xll.RDP.Data($C16,"TR.PriceClose","Curn=#1",,$D$1))</f>
        <v>170.01</v>
      </c>
      <c r="E16" s="95">
        <f>IF($C16="","",_xll.RDP.Data($C16,"MAX(TR.PriceHigh(SDate=0D,EDate=0D-364C))/*52 Week High*/","Curn=#1",,$D$1))</f>
        <v>211.92</v>
      </c>
      <c r="F16" s="96">
        <f>IF(C16="","",_xll.RDP.Data($C16,"TR.CompanySharesOutstanding(SDate=0)/*# Shares Outstanding*/")/1000000)</f>
        <v>202.56297599999999</v>
      </c>
      <c r="G16" s="345">
        <f t="shared" ref="G16" si="2">IF(C16="","",D16*F16)</f>
        <v>34437.731549759999</v>
      </c>
      <c r="H16" s="345" cm="1">
        <f t="array" ref="H16">IF($C16="","",_xll.RDP.Data($C16,"TR.TotalDebtOutstanding","Curn=#1",,$D$1)/1000000)</f>
        <v>5102.1509999999998</v>
      </c>
      <c r="I16" s="345">
        <f>IF($C16="","",_xll.RDP.Data($C16,"TR.CashandEquivalents","Curn=#1",,$D$1)/1000000)</f>
        <v>730.74599999999998</v>
      </c>
      <c r="J16" s="345">
        <f t="shared" ref="J16" si="3">IF(C16="","",G16+H16-I16)</f>
        <v>38809.136549759998</v>
      </c>
      <c r="K16" s="345" cm="1">
        <f t="array" ref="K16">IF($C16="","",_xll.RDP.Data($C16,"TR.TotalEquity","Curn=#1",,$D$1)/1000000)</f>
        <v>4714.6540000000005</v>
      </c>
      <c r="L16" s="97">
        <f>IF($C16="","",_xll.RDP.Data($C16,"TR.BetaFiveYear/*Beta 5 Year Monthly*//*Beta 5 Year Monthly*/"))</f>
        <v>0.302679069489389</v>
      </c>
      <c r="M16" s="346">
        <f>IF(C16="","",_xll.RDP.Data($C16,"TR.PriceTargetMean","Curn=#1",,$D$1))</f>
        <v>165.15477999999999</v>
      </c>
      <c r="N16" s="340"/>
      <c r="O16" s="85"/>
      <c r="P16" s="85"/>
      <c r="Q16" s="85"/>
      <c r="R16" s="85"/>
      <c r="S16" s="85"/>
      <c r="T16" s="85"/>
      <c r="U16" s="85"/>
      <c r="V16" s="85"/>
      <c r="W16" s="85"/>
      <c r="X16" s="85"/>
      <c r="Y16" s="85"/>
      <c r="Z16" s="85"/>
      <c r="AA16" s="85"/>
      <c r="AB16" s="85"/>
      <c r="AC16" s="85"/>
      <c r="AD16" s="85"/>
      <c r="AE16" s="85"/>
    </row>
    <row r="17" spans="2:19" ht="15.75" customHeight="1">
      <c r="D17" s="63" t="s">
        <v>302</v>
      </c>
      <c r="E17" s="63" t="s">
        <v>302</v>
      </c>
      <c r="F17" s="63" t="s">
        <v>302</v>
      </c>
      <c r="G17" s="63" t="s">
        <v>302</v>
      </c>
      <c r="H17" s="63" t="s">
        <v>302</v>
      </c>
      <c r="I17" s="63" t="s">
        <v>302</v>
      </c>
      <c r="J17" s="63" t="s">
        <v>302</v>
      </c>
      <c r="K17" s="63" t="s">
        <v>302</v>
      </c>
      <c r="L17" s="63" t="s">
        <v>302</v>
      </c>
      <c r="M17" s="63" t="s">
        <v>302</v>
      </c>
    </row>
    <row r="18" spans="2:19" ht="15.75" customHeight="1">
      <c r="B18" s="66" t="s">
        <v>210</v>
      </c>
      <c r="C18" s="98"/>
      <c r="D18" s="66"/>
      <c r="E18" s="66"/>
      <c r="F18" s="66"/>
      <c r="G18" s="66"/>
      <c r="H18" s="66"/>
      <c r="I18" s="66"/>
      <c r="J18" s="66"/>
      <c r="K18" s="66"/>
      <c r="L18" s="66"/>
      <c r="M18" s="66"/>
      <c r="N18" s="66"/>
      <c r="O18" s="66"/>
      <c r="P18" s="66"/>
      <c r="Q18" s="99"/>
      <c r="R18" s="68"/>
    </row>
    <row r="19" spans="2:19" ht="15.75" customHeight="1">
      <c r="B19" s="69"/>
      <c r="C19" s="70"/>
      <c r="D19" s="100" t="s">
        <v>211</v>
      </c>
      <c r="E19" s="101"/>
      <c r="F19" s="101"/>
      <c r="G19" s="102"/>
      <c r="H19" s="100" t="s">
        <v>212</v>
      </c>
      <c r="I19" s="101"/>
      <c r="J19" s="101"/>
      <c r="K19" s="102"/>
      <c r="L19" s="101" t="s">
        <v>213</v>
      </c>
      <c r="M19" s="101"/>
      <c r="N19" s="102"/>
      <c r="O19" s="100" t="s">
        <v>214</v>
      </c>
      <c r="P19" s="101"/>
      <c r="Q19" s="102"/>
      <c r="R19" s="74" t="s">
        <v>215</v>
      </c>
    </row>
    <row r="20" spans="2:19" ht="15.75" customHeight="1">
      <c r="B20" s="75" t="s">
        <v>199</v>
      </c>
      <c r="C20" s="75" t="s">
        <v>200</v>
      </c>
      <c r="D20" s="103" t="s">
        <v>216</v>
      </c>
      <c r="E20" s="104" t="s">
        <v>217</v>
      </c>
      <c r="F20" s="104" t="s">
        <v>218</v>
      </c>
      <c r="G20" s="105" t="s">
        <v>219</v>
      </c>
      <c r="H20" s="103" t="s">
        <v>216</v>
      </c>
      <c r="I20" s="104" t="s">
        <v>217</v>
      </c>
      <c r="J20" s="104" t="s">
        <v>218</v>
      </c>
      <c r="K20" s="105" t="s">
        <v>219</v>
      </c>
      <c r="L20" s="103" t="s">
        <v>216</v>
      </c>
      <c r="M20" s="104" t="s">
        <v>217</v>
      </c>
      <c r="N20" s="105" t="s">
        <v>218</v>
      </c>
      <c r="O20" s="103" t="s">
        <v>216</v>
      </c>
      <c r="P20" s="104" t="s">
        <v>217</v>
      </c>
      <c r="Q20" s="105" t="s">
        <v>218</v>
      </c>
      <c r="R20" s="75" t="s">
        <v>220</v>
      </c>
    </row>
    <row r="21" spans="2:19" ht="15.75" customHeight="1">
      <c r="B21" s="106" t="str">
        <f>B6</f>
        <v>MONDELEZ INT C/d</v>
      </c>
      <c r="C21" s="107" t="str">
        <f t="shared" ref="C21:C31" si="4">IF(C6="","",C6)</f>
        <v>MDLZ.O</v>
      </c>
      <c r="D21" s="108" cm="1">
        <f t="array" ref="D21">IF($C21="","",_xll.RDP.Data($C21,"TR.Revenue","Curn=#1",,$D$1)/1000000)</f>
        <v>36441</v>
      </c>
      <c r="E21" s="108" cm="1">
        <f t="array" ref="E21">IF($C21="","",_xll.RDP.Data($C21,"TR.RevenueMean","Period=FY1 Frq=D SDate=1D Curn=#1",,$D$1)/1000000)</f>
        <v>38302.795610000001</v>
      </c>
      <c r="F21" s="108" cm="1">
        <f t="array" ref="F21">IF($C21="","",_xll.RDP.Data($C21,"TR.RevenueMean","Period=FY2 Frq=D SDate=1D Curn=#1",,$D$1)/1000000)</f>
        <v>39924.11004</v>
      </c>
      <c r="G21" s="109" cm="1">
        <f t="array" ref="G21">IF($C21="","",_xll.RDP.Data($C21,"TR.RevenueMean","Period=FY3 Frq=D SDate=1D Curn=#1",,$D$1)/1000000)</f>
        <v>41429.749799999998</v>
      </c>
      <c r="H21" s="110">
        <f>IF($C21="","",_xll.RDP.Data($C21,"TR.EPSMean","Period=FY0 Frq=D SDate=1D Curn=#1",,$D$1))</f>
        <v>3.4832900000000002</v>
      </c>
      <c r="I21" s="110">
        <f>IF($C21="","",_xll.RDP.Data($C21,"TR.EPSMean","Period=FY1 Frq=D SDate=1D Curn=#1",,$D$1))</f>
        <v>3.01891</v>
      </c>
      <c r="J21" s="110">
        <f>IF($C21="","",_xll.RDP.Data($C21,"TR.EPSMean","Period=FY2 Frq=D SDate=1D Curn=#1",,$D$1))</f>
        <v>3.3197399999999999</v>
      </c>
      <c r="K21" s="111">
        <f>IF($C21="","",_xll.RDP.Data($C21,"TR.EPSMean","Period=FY3 Frq=D SDate=1D Curn=#1",,$D$1))</f>
        <v>3.6285699999999999</v>
      </c>
      <c r="L21" s="112" cm="1">
        <f t="array" ref="L21">IF($C21="","",_xll.RDP.Data($C21,"TR.EBITMean","Period=FY0 Frq=D SDate=1D Curn=#1",,$D$1)/1000000)</f>
        <v>6130.4594999999999</v>
      </c>
      <c r="M21" s="112" cm="1">
        <f t="array" ref="M21">IF($C21="","",_xll.RDP.Data($C21,"TR.EBITMean","Period=FY1 Frq=D SDate=1D Curn=#1",,$D$1)/1000000)</f>
        <v>5363.7358999999997</v>
      </c>
      <c r="N21" s="113" cm="1">
        <f t="array" ref="N21">IF($C21="","",_xll.RDP.Data($C21,"TR.EBITMean","Period=FY2 Frq=D SDate=1D Curn=#1",,$D$1)/1000000)</f>
        <v>5787.7352499999997</v>
      </c>
      <c r="O21" s="114" cm="1">
        <f t="array" ref="O21">IF($C21="","",_xll.RDP.Data($C21,"TR.EBITDAMean","Period=FY0 Frq=D SDate=1D Curn=#1",,$D$1)/1000000)</f>
        <v>7468.8862200000003</v>
      </c>
      <c r="P21" s="112" cm="1">
        <f t="array" ref="P21">IF($C21="","",_xll.RDP.Data($C21,"TR.EBITDAMean","Period=FY1 Frq=D SDate=1D Curn=#1",,$D$1)/1000000)</f>
        <v>6717.2587100000001</v>
      </c>
      <c r="Q21" s="113" cm="1">
        <f t="array" ref="Q21">IF($C21="","",_xll.RDP.Data($C21,"TR.EBITDAMean","Period=FY2 Frq=D SDate=1D Curn=#1",,$D$1)/1000000)</f>
        <v>7330.9556700000003</v>
      </c>
      <c r="R21" s="115" cm="1">
        <f t="array" ref="R21">IF($C21="","",_xll.RDP.Data($C21,"TR.LTGMean",,)/100)</f>
        <v>2.2499999999999999E-2</v>
      </c>
    </row>
    <row r="22" spans="2:19" ht="15.75" customHeight="1">
      <c r="B22" s="106" t="str">
        <f t="shared" ref="B22:B28" si="5">B7</f>
        <v>KELLANOVA ORD/d</v>
      </c>
      <c r="C22" s="107" t="str">
        <f t="shared" si="4"/>
        <v>K</v>
      </c>
      <c r="D22" s="108" cm="1">
        <f t="array" ref="D22">IF($C22="","",_xll.RDP.Data($C22,"TR.Revenue","Curn=#1",,$D$1)/1000000)</f>
        <v>12749</v>
      </c>
      <c r="E22" s="347" cm="1">
        <f t="array" ref="E22">IF($C22="","",_xll.RDP.Data($C22,"TR.RevenueMean","Period=FY1 Frq=D SDate=1D Curn=#1",,$D$1)/1000000)</f>
        <v>12770.769550000001</v>
      </c>
      <c r="F22" s="108" cm="1">
        <f t="array" ref="F22">IF($C22="","",_xll.RDP.Data($C22,"TR.RevenueMean","Period=FY2 Frq=D SDate=1D Curn=#1",,$D$1)/1000000)</f>
        <v>13075.263999999999</v>
      </c>
      <c r="G22" s="116" cm="1">
        <f t="array" ref="G22">IF($C22="","",_xll.RDP.Data($C22,"TR.RevenueMean","Period=FY3 Frq=D SDate=1D Curn=#1",,$D$1)/1000000)</f>
        <v>13481.383</v>
      </c>
      <c r="H22" s="110">
        <f>IF($C22="","",_xll.RDP.Data($C22,"TR.EPSMean","Period=FY0 Frq=D SDate=1D Curn=#1",,$D$1))</f>
        <v>3.76206</v>
      </c>
      <c r="I22" s="110">
        <f>IF($C22="","",_xll.RDP.Data($C22,"TR.EPSMean","Period=FY1 Frq=D SDate=1D Curn=#1",,$D$1))</f>
        <v>3.7637299999999998</v>
      </c>
      <c r="J22" s="110">
        <f>IF($C22="","",_xll.RDP.Data($C22,"TR.EPSMean","Period=FY2 Frq=D SDate=1D Curn=#1",,$D$1))</f>
        <v>3.9406400000000001</v>
      </c>
      <c r="K22" s="111">
        <f>IF($C22="","",_xll.RDP.Data($C22,"TR.EPSMean","Period=FY3 Frq=D SDate=1D Curn=#1",,$D$1))</f>
        <v>4.1107100000000001</v>
      </c>
      <c r="L22" s="112" cm="1">
        <f t="array" ref="L22">IF($C22="","",_xll.RDP.Data($C22,"TR.EBITMean","Period=FY0 Frq=D SDate=1D Curn=#1",,$D$1)/1000000)</f>
        <v>1871.37607</v>
      </c>
      <c r="M22" s="112" cm="1">
        <f t="array" ref="M22">IF($C22="","",_xll.RDP.Data($C22,"TR.EBITMean","Period=FY1 Frq=D SDate=1D Curn=#1",,$D$1)/1000000)</f>
        <v>1855.7311</v>
      </c>
      <c r="N22" s="113" cm="1">
        <f t="array" ref="N22">IF($C22="","",_xll.RDP.Data($C22,"TR.EBITMean","Period=FY2 Frq=D SDate=1D Curn=#1",,$D$1)/1000000)</f>
        <v>1947.4603999999999</v>
      </c>
      <c r="O22" s="114" cm="1">
        <f t="array" ref="O22">IF($C22="","",_xll.RDP.Data($C22,"TR.EBITDAMean","Period=FY0 Frq=D SDate=1D Curn=#1",,$D$1)/1000000)</f>
        <v>2248.72982</v>
      </c>
      <c r="P22" s="112" cm="1">
        <f t="array" ref="P22">IF($C22="","",_xll.RDP.Data($C22,"TR.EBITDAMean","Period=FY1 Frq=D SDate=1D Curn=#1",,$D$1)/1000000)</f>
        <v>2235.8203800000001</v>
      </c>
      <c r="Q22" s="113" cm="1">
        <f t="array" ref="Q22">IF($C22="","",_xll.RDP.Data($C22,"TR.EBITDAMean","Period=FY2 Frq=D SDate=1D Curn=#1",,$D$1)/1000000)</f>
        <v>2343.4879999999998</v>
      </c>
      <c r="R22" s="115" cm="1">
        <f t="array" ref="R22">IF($C22="","",_xll.RDP.Data($C22,"TR.LTGMean",,)/100)</f>
        <v>2.215E-2</v>
      </c>
    </row>
    <row r="23" spans="2:19" ht="15.75" customHeight="1">
      <c r="B23" s="106" t="str">
        <f t="shared" si="5"/>
        <v>THE KRFT HNZ C/d</v>
      </c>
      <c r="C23" s="107" t="str">
        <f t="shared" si="4"/>
        <v>KHC.O</v>
      </c>
      <c r="D23" s="108" cm="1">
        <f t="array" ref="D23">IF($C23="","",_xll.RDP.Data($C23,"TR.Revenue","Curn=#1",,$D$1)/1000000)</f>
        <v>25846</v>
      </c>
      <c r="E23" s="108" cm="1">
        <f t="array" ref="E23">IF($C23="","",_xll.RDP.Data($C23,"TR.RevenueMean","Period=FY1 Frq=D SDate=1D Curn=#1",,$D$1)/1000000)</f>
        <v>24989.987829999998</v>
      </c>
      <c r="F23" s="347" cm="1">
        <f t="array" ref="F23">IF($C23="","",_xll.RDP.Data($C23,"TR.RevenueMean","Period=FY2 Frq=D SDate=1D Curn=#1",,$D$1)/1000000)</f>
        <v>25160.92294</v>
      </c>
      <c r="G23" s="116" cm="1">
        <f t="array" ref="G23">IF($C23="","",_xll.RDP.Data($C23,"TR.RevenueMean","Period=FY3 Frq=D SDate=1D Curn=#1",,$D$1)/1000000)</f>
        <v>25506.252690000001</v>
      </c>
      <c r="H23" s="110">
        <f>IF($C23="","",_xll.RDP.Data($C23,"TR.EPSMean","Period=FY0 Frq=D SDate=1D Curn=#1",,$D$1))</f>
        <v>3.0059499999999999</v>
      </c>
      <c r="I23" s="110">
        <f>IF($C23="","",_xll.RDP.Data($C23,"TR.EPSMean","Period=FY1 Frq=D SDate=1D Curn=#1",,$D$1))</f>
        <v>2.5850599999999999</v>
      </c>
      <c r="J23" s="110">
        <f>IF($C23="","",_xll.RDP.Data($C23,"TR.EPSMean","Period=FY2 Frq=D SDate=1D Curn=#1",,$D$1))</f>
        <v>2.6618200000000001</v>
      </c>
      <c r="K23" s="111">
        <f>IF($C23="","",_xll.RDP.Data($C23,"TR.EPSMean","Period=FY3 Frq=D SDate=1D Curn=#1",,$D$1))</f>
        <v>2.80091</v>
      </c>
      <c r="L23" s="112" cm="1">
        <f t="array" ref="L23">IF($C23="","",_xll.RDP.Data($C23,"TR.EBITMean","Period=FY0 Frq=D SDate=1D Curn=#1",,$D$1)/1000000)</f>
        <v>5352.6449300000004</v>
      </c>
      <c r="M23" s="112" cm="1">
        <f t="array" ref="M23">IF($C23="","",_xll.RDP.Data($C23,"TR.EBITMean","Period=FY1 Frq=D SDate=1D Curn=#1",,$D$1)/1000000)</f>
        <v>4914.9896699999999</v>
      </c>
      <c r="N23" s="113" cm="1">
        <f t="array" ref="N23">IF($C23="","",_xll.RDP.Data($C23,"TR.EBITMean","Period=FY2 Frq=D SDate=1D Curn=#1",,$D$1)/1000000)</f>
        <v>4984.1069299999999</v>
      </c>
      <c r="O23" s="114" cm="1">
        <f t="array" ref="O23">IF($C23="","",_xll.RDP.Data($C23,"TR.EBITDAMean","Period=FY0 Frq=D SDate=1D Curn=#1",,$D$1)/1000000)</f>
        <v>6247.4021499999999</v>
      </c>
      <c r="P23" s="112" cm="1">
        <f t="array" ref="P23">IF($C23="","",_xll.RDP.Data($C23,"TR.EBITDAMean","Period=FY1 Frq=D SDate=1D Curn=#1",,$D$1)/1000000)</f>
        <v>5923.9123099999997</v>
      </c>
      <c r="Q23" s="113" cm="1">
        <f t="array" ref="Q23">IF($C23="","",_xll.RDP.Data($C23,"TR.EBITDAMean","Period=FY2 Frq=D SDate=1D Curn=#1",,$D$1)/1000000)</f>
        <v>5982.6284999999998</v>
      </c>
      <c r="R23" s="115" cm="1">
        <f t="array" ref="R23">IF($C23="","",_xll.RDP.Data($C23,"TR.LTGMean",,)/100)</f>
        <v>-3.1E-2</v>
      </c>
      <c r="S23" s="348"/>
    </row>
    <row r="24" spans="2:19" ht="15.75" customHeight="1">
      <c r="B24" s="106" t="str">
        <f t="shared" si="5"/>
        <v>PEPSICO INC/d</v>
      </c>
      <c r="C24" s="107" t="str">
        <f t="shared" si="4"/>
        <v>PEP.O</v>
      </c>
      <c r="D24" s="108" cm="1">
        <f t="array" ref="D24">IF($C24="","",_xll.RDP.Data($C24,"TR.Revenue","Curn=#1",,$D$1)/1000000)</f>
        <v>91854</v>
      </c>
      <c r="E24" s="108" cm="1">
        <f t="array" ref="E24">IF($C24="","",_xll.RDP.Data($C24,"TR.RevenueMean","Period=FY1 Frq=D SDate=1D Curn=#1",,$D$1)/1000000)</f>
        <v>91863.516329999999</v>
      </c>
      <c r="F24" s="108" cm="1">
        <f t="array" ref="F24">IF($C24="","",_xll.RDP.Data($C24,"TR.RevenueMean","Period=FY2 Frq=D SDate=1D Curn=#1",,$D$1)/1000000)</f>
        <v>94605.475890000002</v>
      </c>
      <c r="G24" s="116" cm="1">
        <f t="array" ref="G24">IF($C24="","",_xll.RDP.Data($C24,"TR.RevenueMean","Period=FY3 Frq=D SDate=1D Curn=#1",,$D$1)/1000000)</f>
        <v>97922.509330000001</v>
      </c>
      <c r="H24" s="110">
        <f>IF($C24="","",_xll.RDP.Data($C24,"TR.EPSMean","Period=FY0 Frq=D SDate=1D Curn=#1",,$D$1))</f>
        <v>8.1465499999999995</v>
      </c>
      <c r="I24" s="110">
        <f>IF($C24="","",_xll.RDP.Data($C24,"TR.EPSMean","Period=FY1 Frq=D SDate=1D Curn=#1",,$D$1))</f>
        <v>7.8955000000000002</v>
      </c>
      <c r="J24" s="110">
        <f>IF($C24="","",_xll.RDP.Data($C24,"TR.EPSMean","Period=FY2 Frq=D SDate=1D Curn=#1",,$D$1))</f>
        <v>8.3777200000000001</v>
      </c>
      <c r="K24" s="111">
        <f>IF($C24="","",_xll.RDP.Data($C24,"TR.EPSMean","Period=FY3 Frq=D SDate=1D Curn=#1",,$D$1))</f>
        <v>8.9811800000000002</v>
      </c>
      <c r="L24" s="112" cm="1">
        <f t="array" ref="L24">IF($C24="","",_xll.RDP.Data($C24,"TR.EBITMean","Period=FY0 Frq=D SDate=1D Curn=#1",,$D$1)/1000000)</f>
        <v>14750.84807</v>
      </c>
      <c r="M24" s="112" cm="1">
        <f t="array" ref="M24">IF($C24="","",_xll.RDP.Data($C24,"TR.EBITMean","Period=FY1 Frq=D SDate=1D Curn=#1",,$D$1)/1000000)</f>
        <v>14564.829309999999</v>
      </c>
      <c r="N24" s="113" cm="1">
        <f t="array" ref="N24">IF($C24="","",_xll.RDP.Data($C24,"TR.EBITMean","Period=FY2 Frq=D SDate=1D Curn=#1",,$D$1)/1000000)</f>
        <v>15318.45781</v>
      </c>
      <c r="O24" s="114" cm="1">
        <f t="array" ref="O24">IF($C24="","",_xll.RDP.Data($C24,"TR.EBITDAMean","Period=FY0 Frq=D SDate=1D Curn=#1",,$D$1)/1000000)</f>
        <v>17768.36607</v>
      </c>
      <c r="P24" s="112" cm="1">
        <f t="array" ref="P24">IF($C24="","",_xll.RDP.Data($C24,"TR.EBITDAMean","Period=FY1 Frq=D SDate=1D Curn=#1",,$D$1)/1000000)</f>
        <v>17801.17785</v>
      </c>
      <c r="Q24" s="113" cm="1">
        <f t="array" ref="Q24">IF($C24="","",_xll.RDP.Data($C24,"TR.EBITDAMean","Period=FY2 Frq=D SDate=1D Curn=#1",,$D$1)/1000000)</f>
        <v>18735.89431</v>
      </c>
      <c r="R24" s="115" cm="1">
        <f t="array" ref="R24">IF($C24="","",_xll.RDP.Data($C24,"TR.LTGMean",,)/100)</f>
        <v>3.6200000000000003E-2</v>
      </c>
    </row>
    <row r="25" spans="2:19" ht="15.75" customHeight="1">
      <c r="B25" s="106" t="str">
        <f t="shared" si="5"/>
        <v/>
      </c>
      <c r="C25" s="107" t="str">
        <f t="shared" si="4"/>
        <v/>
      </c>
      <c r="D25" s="117" t="str" cm="1">
        <f t="array" ref="D25">IF($C25="","",_xll.RDP.Data($C25,"TR.Revenue","Curn=#1",,$D$1)/1000000)</f>
        <v/>
      </c>
      <c r="E25" s="108" t="str" cm="1">
        <f t="array" ref="E25">IF($C25="","",_xll.RDP.Data($C25,"TR.RevenueMean","Period=FY1 Frq=D SDate=1D Curn=#1",,$D$1)/1000000)</f>
        <v/>
      </c>
      <c r="F25" s="108" t="str" cm="1">
        <f t="array" ref="F25">IF($C25="","",_xll.RDP.Data($C25,"TR.RevenueMean","Period=FY2 Frq=D SDate=1D Curn=#1",,$D$1)/1000000)</f>
        <v/>
      </c>
      <c r="G25" s="116" t="str" cm="1">
        <f t="array" ref="G25">IF($C25="","",_xll.RDP.Data($C25,"TR.RevenueMean","Period=FY3 Frq=D SDate=1D Curn=#1",,$D$1)/1000000)</f>
        <v/>
      </c>
      <c r="H25" s="118" t="str">
        <f>IF($C25="","",_xll.RDP.Data($C25,"TR.EPSMean","Period=FY0 Frq=D SDate=1D Curn=#1",,$D$1))</f>
        <v/>
      </c>
      <c r="I25" s="110" t="str">
        <f>IF($C25="","",_xll.RDP.Data($C25,"TR.EPSMean","Period=FY1 Frq=D SDate=1D Curn=#1",,$D$1))</f>
        <v/>
      </c>
      <c r="J25" s="110" t="str">
        <f>IF($C25="","",_xll.RDP.Data($C25,"TR.EPSMean","Period=FY2 Frq=D SDate=1D Curn=#1",,$D$1))</f>
        <v/>
      </c>
      <c r="K25" s="111" t="str">
        <f>IF($C25="","",_xll.RDP.Data($C25,"TR.EPSMean","Period=FY3 Frq=D SDate=1D Curn=#1",,$D$1))</f>
        <v/>
      </c>
      <c r="L25" s="108" t="str" cm="1">
        <f t="array" ref="L25">IF($C25="","",_xll.RDP.Data($C25,"TR.EBITMean","Period=FY0 Frq=D SDate=1D Curn=#1",,$D$1)/1000000)</f>
        <v/>
      </c>
      <c r="M25" s="108" t="str" cm="1">
        <f t="array" ref="M25">IF($C25="","",_xll.RDP.Data($C25,"TR.EBITMean","Period=FY1 Frq=D SDate=1D Curn=#1",,$D$1)/1000000)</f>
        <v/>
      </c>
      <c r="N25" s="116" t="str" cm="1">
        <f t="array" ref="N25">IF($C25="","",_xll.RDP.Data($C25,"TR.EBITMean","Period=FY2 Frq=D SDate=1D Curn=#1",,$D$1)/1000000)</f>
        <v/>
      </c>
      <c r="O25" s="117" t="str" cm="1">
        <f t="array" ref="O25">IF($C25="","",_xll.RDP.Data($C25,"TR.EBITDAMean","Period=FY0 Frq=D SDate=1D Curn=#1",,$D$1)/1000000)</f>
        <v/>
      </c>
      <c r="P25" s="108" t="str" cm="1">
        <f t="array" ref="P25">IF($C25="","",_xll.RDP.Data($C25,"TR.EBITDAMean","Period=FY1 Frq=D SDate=1D Curn=#1",,$D$1)/1000000)</f>
        <v/>
      </c>
      <c r="Q25" s="116" t="str" cm="1">
        <f t="array" ref="Q25">IF($C25="","",_xll.RDP.Data($C25,"TR.EBITDAMean","Period=FY2 Frq=D SDate=1D Curn=#1",,$D$1)/1000000)</f>
        <v/>
      </c>
      <c r="R25" s="115" t="str" cm="1">
        <f t="array" ref="R25">IF($C25="","",_xll.RDP.Data($C25,"TR.LTGMean",,)/100)</f>
        <v/>
      </c>
    </row>
    <row r="26" spans="2:19" ht="15.75" customHeight="1">
      <c r="B26" s="106" t="str">
        <f t="shared" si="5"/>
        <v/>
      </c>
      <c r="C26" s="107" t="str">
        <f t="shared" si="4"/>
        <v/>
      </c>
      <c r="D26" s="117" t="str" cm="1">
        <f t="array" ref="D26">IF($C26="","",_xll.RDP.Data($C26,"TR.Revenue","Curn=#1",,$D$1)/1000000)</f>
        <v/>
      </c>
      <c r="E26" s="108" t="str" cm="1">
        <f t="array" ref="E26">IF($C26="","",_xll.RDP.Data($C26,"TR.RevenueMean","Period=FY1 Frq=D SDate=1D Curn=#1",,$D$1)/1000000)</f>
        <v/>
      </c>
      <c r="F26" s="108" t="str" cm="1">
        <f t="array" ref="F26">IF($C26="","",_xll.RDP.Data($C26,"TR.RevenueMean","Period=FY2 Frq=D SDate=1D Curn=#1",,$D$1)/1000000)</f>
        <v/>
      </c>
      <c r="G26" s="116" t="str" cm="1">
        <f t="array" ref="G26">IF($C26="","",_xll.RDP.Data($C26,"TR.RevenueMean","Period=FY3 Frq=D SDate=1D Curn=#1",,$D$1)/1000000)</f>
        <v/>
      </c>
      <c r="H26" s="118" t="str">
        <f>IF($C26="","",_xll.RDP.Data($C26,"TR.EPSMean","Period=FY0 Frq=D SDate=1D Curn=#1",,$D$1))</f>
        <v/>
      </c>
      <c r="I26" s="110" t="str">
        <f>IF($C26="","",_xll.RDP.Data($C26,"TR.EPSMean","Period=FY1 Frq=D SDate=1D Curn=#1",,$D$1))</f>
        <v/>
      </c>
      <c r="J26" s="110" t="str">
        <f>IF($C26="","",_xll.RDP.Data($C26,"TR.EPSMean","Period=FY2 Frq=D SDate=1D Curn=#1",,$D$1))</f>
        <v/>
      </c>
      <c r="K26" s="111" t="str">
        <f>IF($C26="","",_xll.RDP.Data($C26,"TR.EPSMean","Period=FY3 Frq=D SDate=1D Curn=#1",,$D$1))</f>
        <v/>
      </c>
      <c r="L26" s="108" t="str" cm="1">
        <f t="array" ref="L26">IF($C26="","",_xll.RDP.Data($C26,"TR.EBITMean","Period=FY0 Frq=D SDate=1D Curn=#1",,$D$1)/1000000)</f>
        <v/>
      </c>
      <c r="M26" s="108" t="str" cm="1">
        <f t="array" ref="M26">IF($C26="","",_xll.RDP.Data($C26,"TR.EBITMean","Period=FY1 Frq=D SDate=1D Curn=#1",,$D$1)/1000000)</f>
        <v/>
      </c>
      <c r="N26" s="116" t="str" cm="1">
        <f t="array" ref="N26">IF($C26="","",_xll.RDP.Data($C26,"TR.EBITMean","Period=FY2 Frq=D SDate=1D Curn=#1",,$D$1)/1000000)</f>
        <v/>
      </c>
      <c r="O26" s="117" t="str" cm="1">
        <f t="array" ref="O26">IF($C26="","",_xll.RDP.Data($C26,"TR.EBITDAMean","Period=FY0 Frq=D SDate=1D Curn=#1",,$D$1)/1000000)</f>
        <v/>
      </c>
      <c r="P26" s="108" t="str" cm="1">
        <f t="array" ref="P26">IF($C26="","",_xll.RDP.Data($C26,"TR.EBITDAMean","Period=FY1 Frq=D SDate=1D Curn=#1",,$D$1)/1000000)</f>
        <v/>
      </c>
      <c r="Q26" s="116" t="str" cm="1">
        <f t="array" ref="Q26">IF($C26="","",_xll.RDP.Data($C26,"TR.EBITDAMean","Period=FY2 Frq=D SDate=1D Curn=#1",,$D$1)/1000000)</f>
        <v/>
      </c>
      <c r="R26" s="115" t="str" cm="1">
        <f t="array" ref="R26">IF($C26="","",_xll.RDP.Data($C26,"TR.LTGMean",,)/100)</f>
        <v/>
      </c>
      <c r="S26" s="115"/>
    </row>
    <row r="27" spans="2:19" ht="15.75" customHeight="1">
      <c r="B27" s="106" t="str">
        <f t="shared" si="5"/>
        <v/>
      </c>
      <c r="C27" s="107" t="str">
        <f t="shared" si="4"/>
        <v/>
      </c>
      <c r="D27" s="117" t="str" cm="1">
        <f t="array" ref="D27">IF($C27="","",_xll.RDP.Data($C27,"TR.Revenue","Curn=#1",,$D$1)/1000000)</f>
        <v/>
      </c>
      <c r="E27" s="108" t="str" cm="1">
        <f t="array" ref="E27">IF($C27="","",_xll.RDP.Data($C27,"TR.RevenueMean","Period=FY1 Frq=D SDate=1D Curn=#1",,$D$1)/1000000)</f>
        <v/>
      </c>
      <c r="F27" s="108" t="str" cm="1">
        <f t="array" ref="F27">IF($C27="","",_xll.RDP.Data($C27,"TR.RevenueMean","Period=FY2 Frq=D SDate=1D Curn=#1",,$D$1)/1000000)</f>
        <v/>
      </c>
      <c r="G27" s="116" t="str" cm="1">
        <f t="array" ref="G27">IF($C27="","",_xll.RDP.Data($C27,"TR.RevenueMean","Period=FY3 Frq=D SDate=1D Curn=#1",,$D$1)/1000000)</f>
        <v/>
      </c>
      <c r="H27" s="118" t="str">
        <f>IF($C27="","",_xll.RDP.Data($C27,"TR.EPSMean","Period=FY0 Frq=D SDate=1D Curn=#1",,$D$1))</f>
        <v/>
      </c>
      <c r="I27" s="110" t="str">
        <f>IF($C27="","",_xll.RDP.Data($C27,"TR.EPSMean","Period=FY1 Frq=D SDate=1D Curn=#1",,$D$1))</f>
        <v/>
      </c>
      <c r="J27" s="110" t="str">
        <f>IF($C27="","",_xll.RDP.Data($C27,"TR.EPSMean","Period=FY2 Frq=D SDate=1D Curn=#1",,$D$1))</f>
        <v/>
      </c>
      <c r="K27" s="111" t="str">
        <f>IF($C27="","",_xll.RDP.Data($C27,"TR.EPSMean","Period=FY3 Frq=D SDate=1D Curn=#1",,$D$1))</f>
        <v/>
      </c>
      <c r="L27" s="108" t="str" cm="1">
        <f t="array" ref="L27">IF($C27="","",_xll.RDP.Data($C27,"TR.EBITMean","Period=FY0 Frq=D SDate=1D Curn=#1",,$D$1)/1000000)</f>
        <v/>
      </c>
      <c r="M27" s="108" t="str" cm="1">
        <f t="array" ref="M27">IF($C27="","",_xll.RDP.Data($C27,"TR.EBITMean","Period=FY1 Frq=D SDate=1D Curn=#1",,$D$1)/1000000)</f>
        <v/>
      </c>
      <c r="N27" s="116" t="str" cm="1">
        <f t="array" ref="N27">IF($C27="","",_xll.RDP.Data($C27,"TR.EBITMean","Period=FY2 Frq=D SDate=1D Curn=#1",,$D$1)/1000000)</f>
        <v/>
      </c>
      <c r="O27" s="117" t="str" cm="1">
        <f t="array" ref="O27">IF($C27="","",_xll.RDP.Data($C27,"TR.EBITDAMean","Period=FY0 Frq=D SDate=1D Curn=#1",,$D$1)/1000000)</f>
        <v/>
      </c>
      <c r="P27" s="108" t="str" cm="1">
        <f t="array" ref="P27">IF($C27="","",_xll.RDP.Data($C27,"TR.EBITDAMean","Period=FY1 Frq=D SDate=1D Curn=#1",,$D$1)/1000000)</f>
        <v/>
      </c>
      <c r="Q27" s="116" t="str" cm="1">
        <f t="array" ref="Q27">IF($C27="","",_xll.RDP.Data($C27,"TR.EBITDAMean","Period=FY2 Frq=D SDate=1D Curn=#1",,$D$1)/1000000)</f>
        <v/>
      </c>
      <c r="R27" s="115" t="str" cm="1">
        <f t="array" ref="R27">IF($C27="","",_xll.RDP.Data($C27,"TR.LTGMean",,)/100)</f>
        <v/>
      </c>
    </row>
    <row r="28" spans="2:19" ht="15.75" customHeight="1">
      <c r="B28" s="106" t="str">
        <f t="shared" si="5"/>
        <v/>
      </c>
      <c r="C28" s="107" t="str">
        <f t="shared" si="4"/>
        <v/>
      </c>
      <c r="D28" s="117" t="str" cm="1">
        <f t="array" ref="D28">IF($C28="","",_xll.RDP.Data($C28,"TR.Revenue","Curn=#1",,$D$1)/1000000)</f>
        <v/>
      </c>
      <c r="E28" s="108" t="str" cm="1">
        <f t="array" ref="E28">IF($C28="","",_xll.RDP.Data($C28,"TR.RevenueMean","Period=FY1 Frq=D SDate=1D Curn=#1",,$D$1)/1000000)</f>
        <v/>
      </c>
      <c r="F28" s="108" t="str" cm="1">
        <f t="array" ref="F28">IF($C28="","",_xll.RDP.Data($C28,"TR.RevenueMean","Period=FY2 Frq=D SDate=1D Curn=#1",,$D$1)/1000000)</f>
        <v/>
      </c>
      <c r="G28" s="116" t="str" cm="1">
        <f t="array" ref="G28">IF($C28="","",_xll.RDP.Data($C28,"TR.RevenueMean","Period=FY3 Frq=D SDate=1D Curn=#1",,$D$1)/1000000)</f>
        <v/>
      </c>
      <c r="H28" s="118" t="str">
        <f>IF($C28="","",_xll.RDP.Data($C28,"TR.EPSMean","Period=FY0 Frq=D SDate=1D Curn=#1",,$D$1))</f>
        <v/>
      </c>
      <c r="I28" s="110" t="str">
        <f>IF($C28="","",_xll.RDP.Data($C28,"TR.EPSMean","Period=FY1 Frq=D SDate=1D Curn=#1",,$D$1))</f>
        <v/>
      </c>
      <c r="J28" s="110" t="str">
        <f>IF($C28="","",_xll.RDP.Data($C28,"TR.EPSMean","Period=FY2 Frq=D SDate=1D Curn=#1",,$D$1))</f>
        <v/>
      </c>
      <c r="K28" s="111" t="str">
        <f>IF($C28="","",_xll.RDP.Data($C28,"TR.EPSMean","Period=FY3 Frq=D SDate=1D Curn=#1",,$D$1))</f>
        <v/>
      </c>
      <c r="L28" s="108" t="str" cm="1">
        <f t="array" ref="L28">IF($C28="","",_xll.RDP.Data($C28,"TR.EBITMean","Period=FY0 Frq=D SDate=1D Curn=#1",,$D$1)/1000000)</f>
        <v/>
      </c>
      <c r="M28" s="108" t="str" cm="1">
        <f t="array" ref="M28">IF($C28="","",_xll.RDP.Data($C28,"TR.EBITMean","Period=FY1 Frq=D SDate=1D Curn=#1",,$D$1)/1000000)</f>
        <v/>
      </c>
      <c r="N28" s="116" t="str" cm="1">
        <f t="array" ref="N28">IF($C28="","",_xll.RDP.Data($C28,"TR.EBITMean","Period=FY2 Frq=D SDate=1D Curn=#1",,$D$1)/1000000)</f>
        <v/>
      </c>
      <c r="O28" s="117" t="str" cm="1">
        <f t="array" ref="O28">IF($C28="","",_xll.RDP.Data($C28,"TR.EBITDAMean","Period=FY0 Frq=D SDate=1D Curn=#1",,$D$1)/1000000)</f>
        <v/>
      </c>
      <c r="P28" s="108" t="str" cm="1">
        <f t="array" ref="P28">IF($C28="","",_xll.RDP.Data($C28,"TR.EBITDAMean","Period=FY1 Frq=D SDate=1D Curn=#1",,$D$1)/1000000)</f>
        <v/>
      </c>
      <c r="Q28" s="116" t="str" cm="1">
        <f t="array" ref="Q28">IF($C28="","",_xll.RDP.Data($C28,"TR.EBITDAMean","Period=FY2 Frq=D SDate=1D Curn=#1",,$D$1)/1000000)</f>
        <v/>
      </c>
      <c r="R28" s="115" t="str" cm="1">
        <f t="array" ref="R28">IF($C28="","",_xll.RDP.Data($C28,"TR.LTGMean",,)/100)</f>
        <v/>
      </c>
    </row>
    <row r="29" spans="2:19" ht="15.75" customHeight="1">
      <c r="B29" s="79" t="str" cm="1">
        <f t="array" ref="B29">IF($C29="","",_xll.RDP.Data($C29,"DSPLY_NAME"))</f>
        <v/>
      </c>
      <c r="C29" s="107" t="str">
        <f t="shared" si="4"/>
        <v/>
      </c>
      <c r="D29" s="117" t="str" cm="1">
        <f t="array" ref="D29">IF($C29="","",_xll.RDP.Data($C29,"TR.Revenue","Curn=#1",,$D$1)/1000000)</f>
        <v/>
      </c>
      <c r="E29" s="108" t="str" cm="1">
        <f t="array" ref="E29">IF($C29="","",_xll.RDP.Data($C29,"TR.RevenueMean","Period=FY1 Frq=D SDate=1D Curn=#1",,$D$1)/1000000)</f>
        <v/>
      </c>
      <c r="F29" s="108" t="str" cm="1">
        <f t="array" ref="F29">IF($C29="","",_xll.RDP.Data($C29,"TR.RevenueMean","Period=FY2 Frq=D SDate=1D Curn=#1",,$D$1)/1000000)</f>
        <v/>
      </c>
      <c r="G29" s="116" t="str" cm="1">
        <f t="array" ref="G29">IF($C29="","",_xll.RDP.Data($C29,"TR.RevenueMean","Period=FY3 Frq=D SDate=1D Curn=#1",,$D$1)/1000000)</f>
        <v/>
      </c>
      <c r="H29" s="118" t="str">
        <f>IF($C29="","",_xll.RDP.Data($C29,"TR.EPSMean","Period=FY0 Frq=D SDate=1D Curn=#1",,$D$1))</f>
        <v/>
      </c>
      <c r="I29" s="110" t="str">
        <f>IF($C29="","",_xll.RDP.Data($C29,"TR.EPSMean","Period=FY1 Frq=D SDate=1D Curn=#1",,$D$1))</f>
        <v/>
      </c>
      <c r="J29" s="110" t="str">
        <f>IF($C29="","",_xll.RDP.Data($C29,"TR.EPSMean","Period=FY2 Frq=D SDate=1D Curn=#1",,$D$1))</f>
        <v/>
      </c>
      <c r="K29" s="111" t="str">
        <f>IF($C29="","",_xll.RDP.Data($C29,"TR.EPSMean","Period=FY3 Frq=D SDate=1D Curn=#1",,$D$1))</f>
        <v/>
      </c>
      <c r="L29" s="108" t="str" cm="1">
        <f t="array" ref="L29">IF($C29="","",_xll.RDP.Data($C29,"TR.EBITMean","Period=FY0 Frq=D SDate=1D Curn=#1",,$D$1)/1000000)</f>
        <v/>
      </c>
      <c r="M29" s="108" t="str" cm="1">
        <f t="array" ref="M29">IF($C29="","",_xll.RDP.Data($C29,"TR.EBITMean","Period=FY1 Frq=D SDate=1D Curn=#1",,$D$1)/1000000)</f>
        <v/>
      </c>
      <c r="N29" s="116" t="str" cm="1">
        <f t="array" ref="N29">IF($C29="","",_xll.RDP.Data($C29,"TR.EBITMean","Period=FY2 Frq=D SDate=1D Curn=#1",,$D$1)/1000000)</f>
        <v/>
      </c>
      <c r="O29" s="117" t="str" cm="1">
        <f t="array" ref="O29">IF($C29="","",_xll.RDP.Data($C29,"TR.EBITDAMean","Period=FY0 Frq=D SDate=1D Curn=#1",,$D$1)/1000000)</f>
        <v/>
      </c>
      <c r="P29" s="108" t="str" cm="1">
        <f t="array" ref="P29">IF($C29="","",_xll.RDP.Data($C29,"TR.EBITDAMean","Period=FY1 Frq=D SDate=1D Curn=#1",,$D$1)/1000000)</f>
        <v/>
      </c>
      <c r="Q29" s="116" t="str" cm="1">
        <f t="array" ref="Q29">IF($C29="","",_xll.RDP.Data($C29,"TR.EBITDAMean","Period=FY2 Frq=D SDate=1D Curn=#1",,$D$1)/1000000)</f>
        <v/>
      </c>
      <c r="R29" s="115" t="str" cm="1">
        <f t="array" ref="R29">IF($C29="","",_xll.RDP.Data($C29,"TR.LTGMean",,)/100)</f>
        <v/>
      </c>
    </row>
    <row r="30" spans="2:19" ht="15.75" customHeight="1">
      <c r="B30" s="106" t="str">
        <f>B15</f>
        <v/>
      </c>
      <c r="C30" s="107" t="str">
        <f t="shared" si="4"/>
        <v/>
      </c>
      <c r="D30" s="117" t="str" cm="1">
        <f t="array" ref="D30">IF($C30="","",_xll.RDP.Data($C30,"TR.Revenue","Curn=#1",,$D$1)/1000000)</f>
        <v/>
      </c>
      <c r="E30" s="108" t="str" cm="1">
        <f t="array" ref="E30">IF($C30="","",_xll.RDP.Data($C30,"TR.RevenueMean","Period=FY1 Frq=D SDate=1D Curn=#1",,$D$1)/1000000)</f>
        <v/>
      </c>
      <c r="F30" s="108" t="str" cm="1">
        <f t="array" ref="F30">IF($C30="","",_xll.RDP.Data($C30,"TR.RevenueMean","Period=FY2 Frq=D SDate=1D Curn=#1",,$D$1)/1000000)</f>
        <v/>
      </c>
      <c r="G30" s="116" t="str" cm="1">
        <f t="array" ref="G30">IF($C30="","",_xll.RDP.Data($C30,"TR.RevenueMean","Period=FY3 Frq=D SDate=1D Curn=#1",,$D$1)/1000000)</f>
        <v/>
      </c>
      <c r="H30" s="118" t="str">
        <f>IF($C30="","",_xll.RDP.Data($C30,"TR.EPSMean","Period=FY0 Frq=D SDate=1D Curn=#1",,$D$1))</f>
        <v/>
      </c>
      <c r="I30" s="110" t="str">
        <f>IF($C30="","",_xll.RDP.Data($C30,"TR.EPSMean","Period=FY1 Frq=D SDate=1D Curn=#1",,$D$1))</f>
        <v/>
      </c>
      <c r="J30" s="110" t="str">
        <f>IF($C30="","",_xll.RDP.Data($C30,"TR.EPSMean","Period=FY2 Frq=D SDate=1D Curn=#1",,$D$1))</f>
        <v/>
      </c>
      <c r="K30" s="111" t="str">
        <f>IF($C30="","",_xll.RDP.Data($C30,"TR.EPSMean","Period=FY3 Frq=D SDate=1D Curn=#1",,$D$1))</f>
        <v/>
      </c>
      <c r="L30" s="108" t="str" cm="1">
        <f t="array" ref="L30">IF($C30="","",_xll.RDP.Data($C30,"TR.EBITMean","Period=FY0 Frq=D SDate=1D Curn=#1",,$D$1)/1000000)</f>
        <v/>
      </c>
      <c r="M30" s="108" t="str" cm="1">
        <f t="array" ref="M30">IF($C30="","",_xll.RDP.Data($C30,"TR.EBITMean","Period=FY1 Frq=D SDate=1D Curn=#1",,$D$1)/1000000)</f>
        <v/>
      </c>
      <c r="N30" s="116" t="str" cm="1">
        <f t="array" ref="N30">IF($C30="","",_xll.RDP.Data($C30,"TR.EBITMean","Period=FY2 Frq=D SDate=1D Curn=#1",,$D$1)/1000000)</f>
        <v/>
      </c>
      <c r="O30" s="117" t="str" cm="1">
        <f t="array" ref="O30">IF($C30="","",_xll.RDP.Data($C30,"TR.EBITDAMean","Period=FY0 Frq=D SDate=1D Curn=#1",,$D$1)/1000000)</f>
        <v/>
      </c>
      <c r="P30" s="108" t="str" cm="1">
        <f t="array" ref="P30">IF($C30="","",_xll.RDP.Data($C30,"TR.EBITDAMean","Period=FY1 Frq=D SDate=1D Curn=#1",,$D$1)/1000000)</f>
        <v/>
      </c>
      <c r="Q30" s="116" t="str" cm="1">
        <f t="array" ref="Q30">IF($C30="","",_xll.RDP.Data($C30,"TR.EBITDAMean","Period=FY2 Frq=D SDate=1D Curn=#1",,$D$1)/1000000)</f>
        <v/>
      </c>
      <c r="R30" s="115" t="str" cm="1">
        <f t="array" ref="R30">IF($C30="","",_xll.RDP.Data($C30,"TR.LTGMean",,)/100)</f>
        <v/>
      </c>
    </row>
    <row r="31" spans="2:19" ht="15.75" customHeight="1">
      <c r="B31" s="119" t="str">
        <f t="shared" ref="B31" si="6">B16</f>
        <v>HERSHEY CO/d</v>
      </c>
      <c r="C31" s="120" t="str">
        <f t="shared" si="4"/>
        <v>HSY</v>
      </c>
      <c r="D31" s="120" cm="1">
        <f t="array" ref="D31">IF($C31="","",_xll.RDP.Data($C31,"TR.Revenue","Curn=#1",,$D$1)/1000000)</f>
        <v>11202.263000000001</v>
      </c>
      <c r="E31" s="121" cm="1">
        <f t="array" ref="E31">IF($C31="","",_xll.RDP.Data($C31,"TR.RevenueMean","Period=FY1 Frq=D SDate=1D Curn=#1",,$D$1)/1000000)</f>
        <v>11429.96313</v>
      </c>
      <c r="F31" s="121" cm="1">
        <f t="array" ref="F31">IF($C31="","",_xll.RDP.Data($C31,"TR.RevenueMean","Period=FY2 Frq=D SDate=1D Curn=#1",,$D$1)/1000000)</f>
        <v>11773.84483</v>
      </c>
      <c r="G31" s="122" cm="1">
        <f t="array" ref="G31">IF($C31="","",_xll.RDP.Data($C31,"TR.RevenueMean","Period=FY3 Frq=D SDate=1D Curn=#1",,$D$1)/1000000)</f>
        <v>12065.42087</v>
      </c>
      <c r="H31" s="123">
        <f>IF($C31="","",_xll.RDP.Data($C31,"TR.EPSMean","Period=FY0 Frq=D SDate=1D Curn=#1",,$D$1))</f>
        <v>9.0446299999999997</v>
      </c>
      <c r="I31" s="124">
        <f>IF($C31="","",_xll.RDP.Data($C31,"TR.EPSMean","Period=FY1 Frq=D SDate=1D Curn=#1",,$D$1))</f>
        <v>5.9990899999999998</v>
      </c>
      <c r="J31" s="124">
        <f>IF($C31="","",_xll.RDP.Data($C31,"TR.EPSMean","Period=FY2 Frq=D SDate=1D Curn=#1",,$D$1))</f>
        <v>6.5410000000000004</v>
      </c>
      <c r="K31" s="125">
        <f>IF($C31="","",_xll.RDP.Data($C31,"TR.EPSMean","Period=FY3 Frq=D SDate=1D Curn=#1",,$D$1))</f>
        <v>7.6589999999999998</v>
      </c>
      <c r="L31" s="121" cm="1">
        <f t="array" ref="L31">IF($C31="","",_xll.RDP.Data($C31,"TR.EBITMean","Period=FY0 Frq=D SDate=1D Curn=#1",,$D$1)/1000000)</f>
        <v>2499.0597600000001</v>
      </c>
      <c r="M31" s="121" cm="1">
        <f t="array" ref="M31">IF($C31="","",_xll.RDP.Data($C31,"TR.EBITMean","Period=FY1 Frq=D SDate=1D Curn=#1",,$D$1)/1000000)</f>
        <v>1771.3321000000001</v>
      </c>
      <c r="N31" s="122" cm="1">
        <f t="array" ref="N31">IF($C31="","",_xll.RDP.Data($C31,"TR.EBITMean","Period=FY2 Frq=D SDate=1D Curn=#1",,$D$1)/1000000)</f>
        <v>1895.7909099999999</v>
      </c>
      <c r="O31" s="120" cm="1">
        <f t="array" ref="O31">IF($C31="","",_xll.RDP.Data($C31,"TR.EBITDAMean","Period=FY0 Frq=D SDate=1D Curn=#1",,$D$1)/1000000)</f>
        <v>2934.9945600000001</v>
      </c>
      <c r="P31" s="121" cm="1">
        <f t="array" ref="P31">IF($C31="","",_xll.RDP.Data($C31,"TR.EBITDAMean","Period=FY1 Frq=D SDate=1D Curn=#1",,$D$1)/1000000)</f>
        <v>2207.64516</v>
      </c>
      <c r="Q31" s="122" cm="1">
        <f t="array" ref="Q31">IF($C31="","",_xll.RDP.Data($C31,"TR.EBITDAMean","Period=FY2 Frq=D SDate=1D Curn=#1",,$D$1)/1000000)</f>
        <v>2342.1416800000002</v>
      </c>
      <c r="R31" s="349" cm="1">
        <f t="array" ref="R31">IF($C31="","",_xll.RDP.Data($C31,"TR.LTGMean",,)/100)</f>
        <v>-8.4250000000000005E-2</v>
      </c>
    </row>
    <row r="33" spans="2:18" ht="15.75" customHeight="1">
      <c r="B33" s="66" t="s">
        <v>221</v>
      </c>
      <c r="C33" s="98"/>
      <c r="D33" s="66"/>
      <c r="E33" s="66"/>
      <c r="F33" s="66"/>
      <c r="G33" s="66"/>
      <c r="H33" s="66"/>
      <c r="I33" s="66"/>
      <c r="J33" s="66"/>
      <c r="K33" s="66"/>
      <c r="L33" s="66"/>
      <c r="M33" s="66"/>
      <c r="N33" s="66"/>
      <c r="O33" s="66"/>
      <c r="P33" s="66"/>
      <c r="Q33" s="99"/>
      <c r="R33" s="68"/>
    </row>
    <row r="34" spans="2:18" ht="15.75" customHeight="1">
      <c r="B34" s="69"/>
      <c r="C34" s="74"/>
      <c r="D34" s="74" t="s">
        <v>192</v>
      </c>
      <c r="E34" s="74" t="s">
        <v>222</v>
      </c>
      <c r="F34" s="100" t="s">
        <v>223</v>
      </c>
      <c r="G34" s="128"/>
      <c r="H34" s="129"/>
      <c r="I34" s="100" t="s">
        <v>224</v>
      </c>
      <c r="J34" s="128"/>
      <c r="K34" s="129"/>
      <c r="L34" s="100" t="s">
        <v>225</v>
      </c>
      <c r="M34" s="128"/>
      <c r="N34" s="129"/>
      <c r="O34" s="100" t="s">
        <v>226</v>
      </c>
      <c r="P34" s="128"/>
      <c r="Q34" s="129"/>
    </row>
    <row r="35" spans="2:18" ht="15.75" customHeight="1">
      <c r="B35" s="75" t="s">
        <v>199</v>
      </c>
      <c r="C35" s="75" t="s">
        <v>200</v>
      </c>
      <c r="D35" s="75" t="s">
        <v>201</v>
      </c>
      <c r="E35" s="75" t="s">
        <v>197</v>
      </c>
      <c r="F35" s="103" t="s">
        <v>217</v>
      </c>
      <c r="G35" s="104" t="s">
        <v>218</v>
      </c>
      <c r="H35" s="105" t="s">
        <v>219</v>
      </c>
      <c r="I35" s="103" t="s">
        <v>217</v>
      </c>
      <c r="J35" s="104" t="s">
        <v>218</v>
      </c>
      <c r="K35" s="105" t="s">
        <v>219</v>
      </c>
      <c r="L35" s="103" t="s">
        <v>217</v>
      </c>
      <c r="M35" s="104" t="s">
        <v>218</v>
      </c>
      <c r="N35" s="105" t="s">
        <v>219</v>
      </c>
      <c r="O35" s="103" t="s">
        <v>216</v>
      </c>
      <c r="P35" s="104" t="s">
        <v>217</v>
      </c>
      <c r="Q35" s="105" t="s">
        <v>218</v>
      </c>
    </row>
    <row r="36" spans="2:18" ht="15.75" customHeight="1">
      <c r="B36" s="106" t="str">
        <f t="shared" ref="B36:B46" si="7">B6</f>
        <v>MONDELEZ INT C/d</v>
      </c>
      <c r="C36" s="130" t="str">
        <f t="shared" ref="C36:D46" si="8">IF(C6="","",C6)</f>
        <v>MDLZ.O</v>
      </c>
      <c r="D36" s="131">
        <f t="shared" si="8"/>
        <v>67.510000000000005</v>
      </c>
      <c r="E36" s="132">
        <f t="shared" ref="E36:E46" si="9">IF(OR(C36="",ISNUMBER(G6)=FALSE,ISNUMBER(K6)=FALSE),"",G6/K6)</f>
        <v>3.2456923299877469</v>
      </c>
      <c r="F36" s="132">
        <f t="shared" ref="F36:H46" si="10">IF(OR($C36="",ISNUMBER($G6)=FALSE,ISNUMBER(E21)=FALSE),"",$G6/E21)</f>
        <v>2.2821568096822791</v>
      </c>
      <c r="G36" s="350">
        <f t="shared" si="10"/>
        <v>2.1894786319256925</v>
      </c>
      <c r="H36" s="133">
        <f t="shared" si="10"/>
        <v>2.1099086104360207</v>
      </c>
      <c r="I36" s="134">
        <f t="shared" ref="I36:K46" si="11">IF(OR($C36="",ISNA(I21)=TRUE),"",$D6/I21)</f>
        <v>22.362375824386948</v>
      </c>
      <c r="J36" s="135">
        <f t="shared" si="11"/>
        <v>20.335929922222828</v>
      </c>
      <c r="K36" s="136">
        <f t="shared" si="11"/>
        <v>18.605125435088755</v>
      </c>
      <c r="L36" s="134">
        <f t="shared" ref="L36:N40" si="12">IF(OR($C36="",I36="",ISNA($R21)=TRUE),"",I36/$R21/100)</f>
        <v>9.9388336997275317</v>
      </c>
      <c r="M36" s="135">
        <f t="shared" si="12"/>
        <v>9.0381910765434785</v>
      </c>
      <c r="N36" s="136">
        <f t="shared" si="12"/>
        <v>8.2689446378172242</v>
      </c>
      <c r="O36" s="135">
        <f t="shared" ref="O36:Q46" si="13">IF(OR($C36="",ISNA($J6)=TRUE,ISNA(O21)=TRUE),"",$J6/O21)</f>
        <v>13.899125354627508</v>
      </c>
      <c r="P36" s="135">
        <f t="shared" si="13"/>
        <v>15.454367668865624</v>
      </c>
      <c r="Q36" s="136">
        <f t="shared" si="13"/>
        <v>14.160634779998608</v>
      </c>
    </row>
    <row r="37" spans="2:18" ht="15.75" customHeight="1">
      <c r="B37" s="106" t="str">
        <f t="shared" si="7"/>
        <v>KELLANOVA ORD/d</v>
      </c>
      <c r="C37" s="130" t="str">
        <f>IF(C7="","",C7)</f>
        <v>K</v>
      </c>
      <c r="D37" s="131">
        <f t="shared" si="8"/>
        <v>82.54</v>
      </c>
      <c r="E37" s="132">
        <f t="shared" si="9"/>
        <v>7.5857883888635769</v>
      </c>
      <c r="F37" s="132">
        <f t="shared" si="10"/>
        <v>2.2423355973845758</v>
      </c>
      <c r="G37" s="350">
        <f t="shared" si="10"/>
        <v>2.1901164800924864</v>
      </c>
      <c r="H37" s="133">
        <f t="shared" si="10"/>
        <v>2.1241404660011516</v>
      </c>
      <c r="I37" s="134">
        <f>IF(OR($C37="",ISNA(I22)=TRUE),"",$D7/I22)</f>
        <v>21.930372263685229</v>
      </c>
      <c r="J37" s="135">
        <f t="shared" si="11"/>
        <v>20.945836209346705</v>
      </c>
      <c r="K37" s="136">
        <f t="shared" si="11"/>
        <v>20.079256381501008</v>
      </c>
      <c r="L37" s="134">
        <f t="shared" si="12"/>
        <v>9.9008452657721122</v>
      </c>
      <c r="M37" s="135">
        <f t="shared" si="12"/>
        <v>9.4563594624590106</v>
      </c>
      <c r="N37" s="136">
        <f t="shared" si="12"/>
        <v>9.0651270345377011</v>
      </c>
      <c r="O37" s="135">
        <f t="shared" si="13"/>
        <v>14.979723605906559</v>
      </c>
      <c r="P37" s="135">
        <f t="shared" si="13"/>
        <v>15.066215277973271</v>
      </c>
      <c r="Q37" s="136">
        <f t="shared" si="13"/>
        <v>14.374023322483412</v>
      </c>
    </row>
    <row r="38" spans="2:18" ht="15.75" customHeight="1">
      <c r="B38" s="106" t="str">
        <f t="shared" si="7"/>
        <v>THE KRFT HNZ C/d</v>
      </c>
      <c r="C38" s="130" t="str">
        <f t="shared" si="8"/>
        <v>KHC.O</v>
      </c>
      <c r="D38" s="131">
        <f t="shared" si="8"/>
        <v>28.4</v>
      </c>
      <c r="E38" s="132">
        <f t="shared" si="9"/>
        <v>0.68339118976110602</v>
      </c>
      <c r="F38" s="132">
        <f t="shared" si="10"/>
        <v>1.345042498502089</v>
      </c>
      <c r="G38" s="350">
        <f t="shared" si="10"/>
        <v>1.3359047181438566</v>
      </c>
      <c r="H38" s="133">
        <f t="shared" si="10"/>
        <v>1.3178178730103374</v>
      </c>
      <c r="I38" s="134">
        <f t="shared" si="11"/>
        <v>10.986205349198858</v>
      </c>
      <c r="J38" s="135">
        <f t="shared" si="11"/>
        <v>10.669391619268019</v>
      </c>
      <c r="K38" s="136">
        <f t="shared" si="11"/>
        <v>10.139561785276927</v>
      </c>
      <c r="L38" s="134">
        <f t="shared" si="12"/>
        <v>-3.5439372094189867</v>
      </c>
      <c r="M38" s="135">
        <f t="shared" si="12"/>
        <v>-3.4417392320219413</v>
      </c>
      <c r="N38" s="136">
        <f t="shared" si="12"/>
        <v>-3.270826382347396</v>
      </c>
      <c r="O38" s="135">
        <f t="shared" si="13"/>
        <v>8.3470848228331196</v>
      </c>
      <c r="P38" s="135">
        <f t="shared" si="13"/>
        <v>8.8028979734171653</v>
      </c>
      <c r="Q38" s="136">
        <f t="shared" si="13"/>
        <v>8.7165023983020173</v>
      </c>
    </row>
    <row r="39" spans="2:18" ht="15.75" customHeight="1">
      <c r="B39" s="106" t="str">
        <f t="shared" si="7"/>
        <v>PEPSICO INC/d</v>
      </c>
      <c r="C39" s="130" t="str">
        <f t="shared" si="8"/>
        <v>PEP.O</v>
      </c>
      <c r="D39" s="131">
        <f t="shared" si="8"/>
        <v>130.74</v>
      </c>
      <c r="E39" s="132">
        <f t="shared" si="9"/>
        <v>9.9359757806995184</v>
      </c>
      <c r="F39" s="132">
        <f t="shared" si="10"/>
        <v>1.9513180664200251</v>
      </c>
      <c r="G39" s="350">
        <f t="shared" si="10"/>
        <v>1.8947628281900291</v>
      </c>
      <c r="H39" s="133">
        <f t="shared" si="10"/>
        <v>1.8305795091045793</v>
      </c>
      <c r="I39" s="134">
        <f t="shared" si="11"/>
        <v>16.558799316066114</v>
      </c>
      <c r="J39" s="135">
        <f t="shared" si="11"/>
        <v>15.605677917142135</v>
      </c>
      <c r="K39" s="136">
        <f t="shared" si="11"/>
        <v>14.557107195268328</v>
      </c>
      <c r="L39" s="134">
        <f t="shared" si="12"/>
        <v>4.5742539547143961</v>
      </c>
      <c r="M39" s="135">
        <f t="shared" si="12"/>
        <v>4.3109607505917493</v>
      </c>
      <c r="N39" s="136">
        <f t="shared" si="12"/>
        <v>4.0213003301846211</v>
      </c>
      <c r="O39" s="135">
        <f t="shared" si="13"/>
        <v>12.103304164961973</v>
      </c>
      <c r="P39" s="135">
        <f t="shared" si="13"/>
        <v>12.080994913468604</v>
      </c>
      <c r="Q39" s="136">
        <f t="shared" si="13"/>
        <v>11.478285236953816</v>
      </c>
    </row>
    <row r="40" spans="2:18" ht="15.75" customHeight="1">
      <c r="B40" s="106" t="str">
        <f t="shared" si="7"/>
        <v/>
      </c>
      <c r="C40" s="130" t="str">
        <f t="shared" si="8"/>
        <v/>
      </c>
      <c r="D40" s="131" t="str">
        <f t="shared" si="8"/>
        <v/>
      </c>
      <c r="E40" s="132" t="str">
        <f t="shared" si="9"/>
        <v/>
      </c>
      <c r="F40" s="132" t="str">
        <f t="shared" si="10"/>
        <v/>
      </c>
      <c r="G40" s="350" t="str">
        <f t="shared" si="10"/>
        <v/>
      </c>
      <c r="H40" s="133" t="str">
        <f t="shared" si="10"/>
        <v/>
      </c>
      <c r="I40" s="134" t="str">
        <f t="shared" si="11"/>
        <v/>
      </c>
      <c r="J40" s="135" t="str">
        <f t="shared" si="11"/>
        <v/>
      </c>
      <c r="K40" s="136" t="str">
        <f t="shared" si="11"/>
        <v/>
      </c>
      <c r="L40" s="134" t="str">
        <f t="shared" ref="L40:L41" si="14">IF(OR($C40="",I40="",ISNA($R25)=TRUE),"",I40/$R25/100)</f>
        <v/>
      </c>
      <c r="M40" s="135" t="str">
        <f t="shared" ref="M40:M41" si="15">IF(OR($C40="",J40="",ISNA($R25)=TRUE),"",J40/$R25/100)</f>
        <v/>
      </c>
      <c r="N40" s="136" t="str">
        <f t="shared" ref="N40:N41" si="16">IF(OR($C40="",K40="",ISNA($R25)=TRUE),"",K40/$R25/100)</f>
        <v/>
      </c>
      <c r="O40" s="135" t="str">
        <f t="shared" si="13"/>
        <v/>
      </c>
      <c r="P40" s="135" t="str">
        <f t="shared" si="13"/>
        <v/>
      </c>
      <c r="Q40" s="136" t="str">
        <f t="shared" si="13"/>
        <v/>
      </c>
    </row>
    <row r="41" spans="2:18" ht="15.75" customHeight="1">
      <c r="B41" s="106" t="str">
        <f t="shared" si="7"/>
        <v/>
      </c>
      <c r="C41" s="130" t="str">
        <f t="shared" si="8"/>
        <v/>
      </c>
      <c r="D41" s="131" t="str">
        <f t="shared" si="8"/>
        <v/>
      </c>
      <c r="E41" s="132" t="str">
        <f t="shared" si="9"/>
        <v/>
      </c>
      <c r="F41" s="132" t="str">
        <f t="shared" si="10"/>
        <v/>
      </c>
      <c r="G41" s="350" t="str">
        <f t="shared" si="10"/>
        <v/>
      </c>
      <c r="H41" s="133" t="str">
        <f t="shared" si="10"/>
        <v/>
      </c>
      <c r="I41" s="134" t="str">
        <f t="shared" si="11"/>
        <v/>
      </c>
      <c r="J41" s="135" t="str">
        <f t="shared" si="11"/>
        <v/>
      </c>
      <c r="K41" s="136" t="str">
        <f t="shared" si="11"/>
        <v/>
      </c>
      <c r="L41" s="134" t="str">
        <f t="shared" si="14"/>
        <v/>
      </c>
      <c r="M41" s="135" t="str">
        <f t="shared" si="15"/>
        <v/>
      </c>
      <c r="N41" s="136" t="str">
        <f t="shared" si="16"/>
        <v/>
      </c>
      <c r="O41" s="135" t="str">
        <f t="shared" si="13"/>
        <v/>
      </c>
      <c r="P41" s="135" t="str">
        <f t="shared" si="13"/>
        <v/>
      </c>
      <c r="Q41" s="136" t="str">
        <f t="shared" si="13"/>
        <v/>
      </c>
    </row>
    <row r="42" spans="2:18" ht="15.75" customHeight="1">
      <c r="B42" s="106" t="str">
        <f t="shared" si="7"/>
        <v/>
      </c>
      <c r="C42" s="130" t="str">
        <f t="shared" si="8"/>
        <v/>
      </c>
      <c r="D42" s="131" t="str">
        <f t="shared" si="8"/>
        <v/>
      </c>
      <c r="E42" s="132" t="str">
        <f t="shared" si="9"/>
        <v/>
      </c>
      <c r="F42" s="132" t="str">
        <f t="shared" si="10"/>
        <v/>
      </c>
      <c r="G42" s="350" t="str">
        <f t="shared" si="10"/>
        <v/>
      </c>
      <c r="H42" s="133" t="str">
        <f t="shared" si="10"/>
        <v/>
      </c>
      <c r="I42" s="134" t="str">
        <f t="shared" si="11"/>
        <v/>
      </c>
      <c r="J42" s="135" t="str">
        <f t="shared" si="11"/>
        <v/>
      </c>
      <c r="K42" s="136" t="str">
        <f t="shared" si="11"/>
        <v/>
      </c>
      <c r="L42" s="134" t="str">
        <f t="shared" ref="L42:N46" si="17">IF(OR($C42="",I42="",ISNA($R27)=TRUE),"",I42/$R27/100)</f>
        <v/>
      </c>
      <c r="M42" s="135" t="str">
        <f t="shared" si="17"/>
        <v/>
      </c>
      <c r="N42" s="136" t="str">
        <f t="shared" si="17"/>
        <v/>
      </c>
      <c r="O42" s="134" t="str">
        <f t="shared" si="13"/>
        <v/>
      </c>
      <c r="P42" s="135" t="str">
        <f t="shared" si="13"/>
        <v/>
      </c>
      <c r="Q42" s="136" t="str">
        <f t="shared" si="13"/>
        <v/>
      </c>
    </row>
    <row r="43" spans="2:18" ht="15.75" customHeight="1">
      <c r="B43" s="106" t="str">
        <f t="shared" si="7"/>
        <v/>
      </c>
      <c r="C43" s="130" t="str">
        <f t="shared" si="8"/>
        <v/>
      </c>
      <c r="D43" s="131" t="str">
        <f t="shared" si="8"/>
        <v/>
      </c>
      <c r="E43" s="132" t="str">
        <f t="shared" si="9"/>
        <v/>
      </c>
      <c r="F43" s="132" t="str">
        <f t="shared" si="10"/>
        <v/>
      </c>
      <c r="G43" s="350" t="str">
        <f t="shared" si="10"/>
        <v/>
      </c>
      <c r="H43" s="133" t="str">
        <f t="shared" si="10"/>
        <v/>
      </c>
      <c r="I43" s="134" t="str">
        <f t="shared" si="11"/>
        <v/>
      </c>
      <c r="J43" s="135" t="str">
        <f t="shared" si="11"/>
        <v/>
      </c>
      <c r="K43" s="136" t="str">
        <f t="shared" si="11"/>
        <v/>
      </c>
      <c r="L43" s="134" t="str">
        <f t="shared" si="17"/>
        <v/>
      </c>
      <c r="M43" s="135" t="str">
        <f t="shared" si="17"/>
        <v/>
      </c>
      <c r="N43" s="136" t="str">
        <f t="shared" si="17"/>
        <v/>
      </c>
      <c r="O43" s="134" t="str">
        <f t="shared" si="13"/>
        <v/>
      </c>
      <c r="P43" s="135" t="str">
        <f t="shared" si="13"/>
        <v/>
      </c>
      <c r="Q43" s="136" t="str">
        <f t="shared" si="13"/>
        <v/>
      </c>
    </row>
    <row r="44" spans="2:18" ht="15.75" customHeight="1">
      <c r="B44" s="106" t="str">
        <f t="shared" si="7"/>
        <v/>
      </c>
      <c r="C44" s="130" t="str">
        <f t="shared" si="8"/>
        <v/>
      </c>
      <c r="D44" s="131" t="str">
        <f t="shared" si="8"/>
        <v/>
      </c>
      <c r="E44" s="132" t="str">
        <f t="shared" si="9"/>
        <v/>
      </c>
      <c r="F44" s="132" t="str">
        <f t="shared" si="10"/>
        <v/>
      </c>
      <c r="G44" s="350" t="str">
        <f t="shared" si="10"/>
        <v/>
      </c>
      <c r="H44" s="133" t="str">
        <f t="shared" si="10"/>
        <v/>
      </c>
      <c r="I44" s="134" t="str">
        <f t="shared" si="11"/>
        <v/>
      </c>
      <c r="J44" s="135" t="str">
        <f t="shared" si="11"/>
        <v/>
      </c>
      <c r="K44" s="136" t="str">
        <f t="shared" si="11"/>
        <v/>
      </c>
      <c r="L44" s="134" t="str">
        <f t="shared" si="17"/>
        <v/>
      </c>
      <c r="M44" s="135" t="str">
        <f t="shared" si="17"/>
        <v/>
      </c>
      <c r="N44" s="136" t="str">
        <f t="shared" si="17"/>
        <v/>
      </c>
      <c r="O44" s="134" t="str">
        <f t="shared" si="13"/>
        <v/>
      </c>
      <c r="P44" s="135" t="str">
        <f t="shared" si="13"/>
        <v/>
      </c>
      <c r="Q44" s="136" t="str">
        <f t="shared" si="13"/>
        <v/>
      </c>
    </row>
    <row r="45" spans="2:18" ht="15.75" customHeight="1">
      <c r="B45" s="106" t="str">
        <f t="shared" si="7"/>
        <v/>
      </c>
      <c r="C45" s="130"/>
      <c r="D45" s="131" t="str">
        <f t="shared" si="8"/>
        <v/>
      </c>
      <c r="E45" s="132" t="str">
        <f t="shared" si="9"/>
        <v/>
      </c>
      <c r="F45" s="132" t="str">
        <f t="shared" si="10"/>
        <v/>
      </c>
      <c r="G45" s="350" t="str">
        <f t="shared" si="10"/>
        <v/>
      </c>
      <c r="H45" s="133" t="str">
        <f t="shared" si="10"/>
        <v/>
      </c>
      <c r="I45" s="134" t="str">
        <f t="shared" si="11"/>
        <v/>
      </c>
      <c r="J45" s="135" t="str">
        <f t="shared" si="11"/>
        <v/>
      </c>
      <c r="K45" s="136" t="str">
        <f t="shared" si="11"/>
        <v/>
      </c>
      <c r="L45" s="134" t="str">
        <f t="shared" si="17"/>
        <v/>
      </c>
      <c r="M45" s="135" t="str">
        <f t="shared" si="17"/>
        <v/>
      </c>
      <c r="N45" s="136" t="str">
        <f t="shared" si="17"/>
        <v/>
      </c>
      <c r="O45" s="134" t="str">
        <f t="shared" si="13"/>
        <v/>
      </c>
      <c r="P45" s="135" t="str">
        <f t="shared" si="13"/>
        <v/>
      </c>
      <c r="Q45" s="136" t="str">
        <f t="shared" si="13"/>
        <v/>
      </c>
    </row>
    <row r="46" spans="2:18" ht="15.75" customHeight="1">
      <c r="B46" s="119" t="str">
        <f t="shared" si="7"/>
        <v>HERSHEY CO/d</v>
      </c>
      <c r="C46" s="137" t="str">
        <f t="shared" si="8"/>
        <v>HSY</v>
      </c>
      <c r="D46" s="137">
        <f t="shared" si="8"/>
        <v>170.01</v>
      </c>
      <c r="E46" s="138">
        <f t="shared" si="9"/>
        <v>7.3044027302448908</v>
      </c>
      <c r="F46" s="138">
        <f t="shared" si="10"/>
        <v>3.0129346138809461</v>
      </c>
      <c r="G46" s="139">
        <f t="shared" si="10"/>
        <v>2.9249350613159049</v>
      </c>
      <c r="H46" s="140">
        <f t="shared" si="10"/>
        <v>2.854250334141887</v>
      </c>
      <c r="I46" s="141">
        <f t="shared" si="11"/>
        <v>28.339298126882575</v>
      </c>
      <c r="J46" s="142">
        <f t="shared" si="11"/>
        <v>25.991438617948322</v>
      </c>
      <c r="K46" s="143">
        <f t="shared" si="11"/>
        <v>22.197414806110459</v>
      </c>
      <c r="L46" s="141">
        <f t="shared" si="17"/>
        <v>-3.3637149112026794</v>
      </c>
      <c r="M46" s="142">
        <f t="shared" si="17"/>
        <v>-3.0850372246822935</v>
      </c>
      <c r="N46" s="143">
        <f t="shared" si="17"/>
        <v>-2.6347079888558409</v>
      </c>
      <c r="O46" s="141">
        <f t="shared" si="13"/>
        <v>13.222898971833187</v>
      </c>
      <c r="P46" s="142">
        <f t="shared" si="13"/>
        <v>17.579426826800372</v>
      </c>
      <c r="Q46" s="143">
        <f t="shared" si="13"/>
        <v>16.569935491588193</v>
      </c>
    </row>
    <row r="48" spans="2:18" ht="15.75" customHeight="1">
      <c r="D48" s="372" t="s">
        <v>227</v>
      </c>
      <c r="E48" s="144">
        <f>AVERAGE(E36:E37,E40:E45)</f>
        <v>5.4157403594256621</v>
      </c>
      <c r="F48" s="144">
        <f>AVERAGE(F36:F45)</f>
        <v>1.9552132429972424</v>
      </c>
      <c r="G48" s="145">
        <f t="shared" ref="G48:Q48" si="18">AVERAGE(G36:G45)</f>
        <v>1.9025656645880162</v>
      </c>
      <c r="H48" s="146">
        <f>AVERAGE(H36:H45)</f>
        <v>1.8456116146380221</v>
      </c>
      <c r="I48" s="147">
        <f>AVERAGE(I36:I45)</f>
        <v>17.959438188334286</v>
      </c>
      <c r="J48" s="148">
        <f>AVERAGE(J36:J45)</f>
        <v>16.889208916994921</v>
      </c>
      <c r="K48" s="149">
        <f t="shared" si="18"/>
        <v>15.845262699283754</v>
      </c>
      <c r="L48" s="147">
        <f>AVERAGE(L36,L38:L39)</f>
        <v>3.6563834816743133</v>
      </c>
      <c r="M48" s="147">
        <f>AVERAGE(M36,M38:M39)</f>
        <v>3.3024708650377619</v>
      </c>
      <c r="N48" s="147">
        <f>AVERAGE(N36,N38:N39)</f>
        <v>3.0064728618848164</v>
      </c>
      <c r="O48" s="147">
        <f t="shared" si="18"/>
        <v>12.332309487082288</v>
      </c>
      <c r="P48" s="148">
        <f t="shared" si="18"/>
        <v>12.851118958431165</v>
      </c>
      <c r="Q48" s="149">
        <f t="shared" si="18"/>
        <v>12.182361434434464</v>
      </c>
    </row>
    <row r="49" spans="2:18" ht="15.75" customHeight="1">
      <c r="D49" s="372" t="s">
        <v>228</v>
      </c>
      <c r="E49" s="150">
        <f>MEDIAN(E36:E45)</f>
        <v>5.4157403594256621</v>
      </c>
      <c r="F49" s="150">
        <f t="shared" ref="F49:Q49" si="19">MEDIAN(F36:F45)</f>
        <v>2.0968268319023005</v>
      </c>
      <c r="G49" s="151">
        <f t="shared" si="19"/>
        <v>2.042120730057861</v>
      </c>
      <c r="H49" s="152">
        <f>MEDIAN(H36:H45)</f>
        <v>1.9702440597702999</v>
      </c>
      <c r="I49" s="153">
        <f>MEDIAN(I36:I45)</f>
        <v>19.244585789875671</v>
      </c>
      <c r="J49" s="154">
        <f t="shared" si="19"/>
        <v>17.970803919682481</v>
      </c>
      <c r="K49" s="155">
        <f t="shared" si="19"/>
        <v>16.581116315178541</v>
      </c>
      <c r="L49" s="153">
        <f>MEDIAN(L36,L38:L39)</f>
        <v>4.5742539547143961</v>
      </c>
      <c r="M49" s="153">
        <f>MEDIAN(M36,M38:M39)</f>
        <v>4.3109607505917493</v>
      </c>
      <c r="N49" s="153">
        <f>MEDIAN(N36,N38:N39)</f>
        <v>4.0213003301846211</v>
      </c>
      <c r="O49" s="153">
        <f t="shared" si="19"/>
        <v>13.00121475979474</v>
      </c>
      <c r="P49" s="154">
        <f t="shared" si="19"/>
        <v>13.573605095720938</v>
      </c>
      <c r="Q49" s="155">
        <f t="shared" si="19"/>
        <v>12.819460008476213</v>
      </c>
    </row>
    <row r="51" spans="2:18" ht="15.75" customHeight="1">
      <c r="D51" s="372" t="s">
        <v>227</v>
      </c>
      <c r="E51" s="156">
        <f>E48*$K$16/$F$16</f>
        <v>126.05137647922214</v>
      </c>
      <c r="F51" s="156">
        <f t="shared" ref="F51:H52" si="20">(F48*E$31)/$F$16</f>
        <v>110.32625862855713</v>
      </c>
      <c r="G51" s="157">
        <f t="shared" si="20"/>
        <v>110.58542560978731</v>
      </c>
      <c r="H51" s="158">
        <f t="shared" si="20"/>
        <v>109.93164364433504</v>
      </c>
      <c r="I51" s="156">
        <f t="shared" ref="I51:K52" si="21">I48*I$31</f>
        <v>107.74028604125432</v>
      </c>
      <c r="J51" s="157">
        <f t="shared" si="21"/>
        <v>110.47231552606378</v>
      </c>
      <c r="K51" s="158">
        <f t="shared" si="21"/>
        <v>121.35886701381428</v>
      </c>
      <c r="L51" s="156">
        <f t="shared" ref="L51:N52" si="22">L48*I$31*$R$31*100</f>
        <v>-184.80215242057844</v>
      </c>
      <c r="M51" s="157">
        <f t="shared" si="22"/>
        <v>-181.99231674518612</v>
      </c>
      <c r="N51" s="158">
        <f t="shared" si="22"/>
        <v>-193.99889984430618</v>
      </c>
      <c r="O51" s="156">
        <f t="shared" ref="O51:Q52" si="23">(O48*O$31-($H$16-$I$16))/$F$16</f>
        <v>157.10598691452336</v>
      </c>
      <c r="P51" s="157">
        <f t="shared" si="23"/>
        <v>118.47824337437068</v>
      </c>
      <c r="Q51" s="158">
        <f t="shared" si="23"/>
        <v>119.27851749380672</v>
      </c>
    </row>
    <row r="52" spans="2:18" ht="15.75" customHeight="1">
      <c r="D52" s="372" t="s">
        <v>228</v>
      </c>
      <c r="E52" s="159">
        <f>E49*$K$16/$F$16</f>
        <v>126.05137647922214</v>
      </c>
      <c r="F52" s="159">
        <f t="shared" si="20"/>
        <v>118.31704811958333</v>
      </c>
      <c r="G52" s="160">
        <f t="shared" si="20"/>
        <v>118.69697550172037</v>
      </c>
      <c r="H52" s="161">
        <f t="shared" si="20"/>
        <v>117.35522585206343</v>
      </c>
      <c r="I52" s="159">
        <f t="shared" si="21"/>
        <v>115.45000216618524</v>
      </c>
      <c r="J52" s="160">
        <f t="shared" si="21"/>
        <v>117.54702843864311</v>
      </c>
      <c r="K52" s="161">
        <f t="shared" si="21"/>
        <v>126.99476985795243</v>
      </c>
      <c r="L52" s="159">
        <f t="shared" si="22"/>
        <v>-231.19346774930546</v>
      </c>
      <c r="M52" s="160">
        <f t="shared" si="22"/>
        <v>-237.56810172155386</v>
      </c>
      <c r="N52" s="161">
        <f t="shared" si="22"/>
        <v>-259.48274800334781</v>
      </c>
      <c r="O52" s="159">
        <f t="shared" si="23"/>
        <v>166.79795222493803</v>
      </c>
      <c r="P52" s="160">
        <f t="shared" si="23"/>
        <v>126.35230336129968</v>
      </c>
      <c r="Q52" s="161">
        <f t="shared" si="23"/>
        <v>126.64499262167878</v>
      </c>
    </row>
    <row r="53" spans="2:18" s="127" customFormat="1" ht="15.75" customHeight="1">
      <c r="C53" s="162"/>
      <c r="D53" s="63"/>
      <c r="E53" s="163" t="s">
        <v>229</v>
      </c>
      <c r="F53" s="164"/>
      <c r="G53" s="164"/>
      <c r="H53" s="164"/>
      <c r="I53" s="163" t="s">
        <v>230</v>
      </c>
      <c r="J53" s="163" t="s">
        <v>231</v>
      </c>
      <c r="K53" s="163" t="s">
        <v>232</v>
      </c>
      <c r="L53" s="163" t="s">
        <v>233</v>
      </c>
      <c r="M53" s="163" t="s">
        <v>234</v>
      </c>
      <c r="N53" s="163" t="s">
        <v>235</v>
      </c>
      <c r="O53" s="163" t="s">
        <v>236</v>
      </c>
      <c r="P53" s="163" t="s">
        <v>237</v>
      </c>
    </row>
    <row r="54" spans="2:18" ht="15.75" customHeight="1">
      <c r="B54" s="66" t="s">
        <v>238</v>
      </c>
      <c r="C54" s="98"/>
      <c r="D54" s="66"/>
      <c r="E54" s="66"/>
      <c r="F54" s="66"/>
      <c r="G54" s="66"/>
      <c r="H54" s="66"/>
      <c r="I54" s="66"/>
      <c r="J54" s="66"/>
      <c r="K54" s="66"/>
      <c r="L54" s="66"/>
      <c r="M54" s="66"/>
      <c r="N54" s="66"/>
      <c r="O54" s="66"/>
      <c r="P54" s="66"/>
      <c r="Q54" s="99"/>
      <c r="R54" s="68"/>
    </row>
    <row r="55" spans="2:18" s="85" customFormat="1" ht="15.75" customHeight="1" outlineLevel="1">
      <c r="B55" s="165"/>
      <c r="C55" s="166"/>
      <c r="D55" s="167" t="s">
        <v>239</v>
      </c>
      <c r="E55" s="168" t="s">
        <v>240</v>
      </c>
      <c r="F55" s="168" t="s">
        <v>183</v>
      </c>
      <c r="G55" s="168"/>
      <c r="H55" s="169"/>
      <c r="I55" s="167" t="s">
        <v>241</v>
      </c>
      <c r="J55" s="168" t="s">
        <v>242</v>
      </c>
      <c r="K55" s="168" t="s">
        <v>243</v>
      </c>
      <c r="L55" s="167"/>
      <c r="M55" s="169"/>
      <c r="N55" s="167" t="s">
        <v>244</v>
      </c>
      <c r="O55" s="169" t="s">
        <v>245</v>
      </c>
      <c r="P55" s="169" t="s">
        <v>246</v>
      </c>
    </row>
    <row r="56" spans="2:18" s="85" customFormat="1" ht="15.75" customHeight="1" outlineLevel="1">
      <c r="B56" s="170" t="s">
        <v>199</v>
      </c>
      <c r="C56" s="170" t="s">
        <v>200</v>
      </c>
      <c r="D56" s="171" t="s">
        <v>247</v>
      </c>
      <c r="E56" s="172" t="s">
        <v>247</v>
      </c>
      <c r="F56" s="172" t="s">
        <v>247</v>
      </c>
      <c r="G56" s="172" t="s">
        <v>79</v>
      </c>
      <c r="H56" s="173" t="s">
        <v>81</v>
      </c>
      <c r="I56" s="171" t="s">
        <v>248</v>
      </c>
      <c r="J56" s="172" t="s">
        <v>248</v>
      </c>
      <c r="K56" s="172" t="s">
        <v>248</v>
      </c>
      <c r="L56" s="171" t="s">
        <v>249</v>
      </c>
      <c r="M56" s="173" t="s">
        <v>250</v>
      </c>
      <c r="N56" s="171" t="s">
        <v>251</v>
      </c>
      <c r="O56" s="173" t="s">
        <v>251</v>
      </c>
      <c r="P56" s="173" t="s">
        <v>101</v>
      </c>
      <c r="Q56" s="87"/>
    </row>
    <row r="57" spans="2:18" s="85" customFormat="1" ht="15.75" customHeight="1" outlineLevel="1">
      <c r="B57" s="79" t="str">
        <f t="shared" ref="B57:B67" si="24">B6</f>
        <v>MONDELEZ INT C/d</v>
      </c>
      <c r="C57" s="174" t="str">
        <f t="shared" ref="C57:C67" si="25">IF(C21="","",C36)</f>
        <v>MDLZ.O</v>
      </c>
      <c r="D57" s="175" cm="1">
        <f t="array" ref="D57">IF($C57="","",_xll.RDP.Data($C57,"TR.GrossMargin")/100)</f>
        <v>0.39123510000000006</v>
      </c>
      <c r="E57" s="176" cm="1">
        <f t="array" ref="E57">IF($C57="","",_xll.RDP.Data($C57,"TR.OperatingMarginPercent")/100)</f>
        <v>0.1741171</v>
      </c>
      <c r="F57" s="176" cm="1">
        <f t="array" ref="F57">IF($C57="","",_xll.RDP.Data($C57,"TR.NetProfitMargin")/100)</f>
        <v>0.12653330000000002</v>
      </c>
      <c r="G57" s="176" cm="1">
        <f t="array" ref="G57">IF($C57="","",_xll.RDP.Data($C57,"TR.ROAActValue")/100)</f>
        <v>6.4589999999999995E-2</v>
      </c>
      <c r="H57" s="176" cm="1">
        <f t="array" ref="H57">IF($C57="","",_xll.RDP.Data($C57,"TR.ROEActValue")/100)</f>
        <v>0.16359000000000001</v>
      </c>
      <c r="I57" s="177">
        <f>IF($C57="","",_xll.RDP.Data($C57,"TR.AssetTurnover"))</f>
        <v>0.52100251630000005</v>
      </c>
      <c r="J57" s="178">
        <f>IF($C57="","",_xll.RDP.Data($C57,"TR.InventoryTurnover"))</f>
        <v>5.9618382155000003</v>
      </c>
      <c r="K57" s="178" cm="1">
        <f t="array" ref="K57">IF($C57="","",_xll.RDP.Data($C57,"TR.Revenue")/_xll.RDP.Data($C57,"TR.TotalReceivablesNet"))</f>
        <v>7.574516732488048</v>
      </c>
      <c r="L57" s="179">
        <f>IF($C57="","",_xll.RDP.Data($C57,"TR.TtlDebtToTtlEquityPct"))</f>
        <v>65.903015000699995</v>
      </c>
      <c r="M57" s="180">
        <f>IF($C57="","",_xll.RDP.Data($C57,"TR.LTDebtToTtlCapitalPct"))</f>
        <v>35.037018811400003</v>
      </c>
      <c r="N57" s="179">
        <f>IF($C57="","",_xll.RDP.Data($C57,"TR.QuickRatio"))</f>
        <v>0.48160999999999998</v>
      </c>
      <c r="O57" s="180">
        <f>IF($C57="","",_xll.RDP.Data($C57,"TR.CurrentRatio"))</f>
        <v>0.67737000000000003</v>
      </c>
      <c r="P57" s="181" cm="1">
        <f t="array" ref="P57">IF($C57="","",_xll.RDP.Data($C57,"TR.EBITDA")/_xll.RDP.Data($C57,"TR.InterestExpense"))</f>
        <v>14.927165354330709</v>
      </c>
      <c r="Q57" s="87"/>
    </row>
    <row r="58" spans="2:18" s="85" customFormat="1" ht="15.75" customHeight="1" outlineLevel="1">
      <c r="B58" s="79" t="str">
        <f t="shared" si="24"/>
        <v>KELLANOVA ORD/d</v>
      </c>
      <c r="C58" s="174" t="str">
        <f t="shared" si="25"/>
        <v>K</v>
      </c>
      <c r="D58" s="182" cm="1">
        <f t="array" ref="D58">IF($C58="","",_xll.RDP.Data($C58,"TR.GrossMargin")/100)</f>
        <v>0.3579889</v>
      </c>
      <c r="E58" s="351" cm="1">
        <f t="array" ref="E58">IF($C58="","",_xll.RDP.Data($C58,"TR.OperatingMarginPercent")/100)</f>
        <v>0.1469135</v>
      </c>
      <c r="F58" s="351" cm="1">
        <f t="array" ref="F58">IF($C58="","",_xll.RDP.Data($C58,"TR.NetProfitMargin")/100)</f>
        <v>0.10534159999999999</v>
      </c>
      <c r="G58" s="351" cm="1">
        <f t="array" ref="G58">IF($C58="","",_xll.RDP.Data($C58,"TR.ROAActValue")/100)</f>
        <v>8.5699999999999998E-2</v>
      </c>
      <c r="H58" s="184" cm="1">
        <f t="array" ref="H58">IF($C58="","",_xll.RDP.Data($C58,"TR.ROEActValue")/100)</f>
        <v>0.38530000000000003</v>
      </c>
      <c r="I58" s="179">
        <f>IF($C58="","",_xll.RDP.Data($C58,"TR.AssetTurnover"))</f>
        <v>0.81596211080000003</v>
      </c>
      <c r="J58" s="352">
        <f>IF($C58="","",_xll.RDP.Data($C58,"TR.InventoryTurnover"))</f>
        <v>6.7981727574999997</v>
      </c>
      <c r="K58" s="352" cm="1">
        <f t="array" ref="K58">IF($C58="","",_xll.RDP.Data($C58,"TR.Revenue")/_xll.RDP.Data($C58,"TR.TotalReceivablesNet"))</f>
        <v>8.3764783180026274</v>
      </c>
      <c r="L58" s="179">
        <f>IF($C58="","",_xll.RDP.Data($C58,"TR.TtlDebtToTtlEquityPct"))</f>
        <v>152.13245033109999</v>
      </c>
      <c r="M58" s="180">
        <f>IF($C58="","",_xll.RDP.Data($C58,"TR.LTDebtToTtlCapitalPct"))</f>
        <v>51.9272727273</v>
      </c>
      <c r="N58" s="179">
        <f>IF($C58="","",_xll.RDP.Data($C58,"TR.QuickRatio"))</f>
        <v>0.55557999999999996</v>
      </c>
      <c r="O58" s="180">
        <f>IF($C58="","",_xll.RDP.Data($C58,"TR.CurrentRatio"))</f>
        <v>0.80557999999999996</v>
      </c>
      <c r="P58" s="186" cm="1">
        <f t="array" ref="P58">IF($C58="","",_xll.RDP.Data($C58,"TR.EBITDA")/_xll.RDP.Data($C58,"TR.InterestExpense"))</f>
        <v>7.366559485530547</v>
      </c>
    </row>
    <row r="59" spans="2:18" s="85" customFormat="1" ht="15.75" customHeight="1" outlineLevel="1">
      <c r="B59" s="79" t="str">
        <f t="shared" si="24"/>
        <v>THE KRFT HNZ C/d</v>
      </c>
      <c r="C59" s="174" t="str">
        <f t="shared" si="25"/>
        <v>KHC.O</v>
      </c>
      <c r="D59" s="182" cm="1">
        <f t="array" ref="D59">IF($C59="","",_xll.RDP.Data($C59,"TR.GrossMargin")/100)</f>
        <v>0.34728779999999998</v>
      </c>
      <c r="E59" s="351" cm="1">
        <f t="array" ref="E59">IF($C59="","",_xll.RDP.Data($C59,"TR.OperatingMarginPercent")/100)</f>
        <v>6.1982499999999996E-2</v>
      </c>
      <c r="F59" s="351" cm="1">
        <f t="array" ref="F59">IF($C59="","",_xll.RDP.Data($C59,"TR.NetProfitMargin")/100)</f>
        <v>0.10616730000000001</v>
      </c>
      <c r="G59" s="351" cm="1">
        <f t="array" ref="G59">IF($C59="","",_xll.RDP.Data($C59,"TR.ROAActValue")/100)</f>
        <v>4.1689999999999998E-2</v>
      </c>
      <c r="H59" s="184" cm="1">
        <f t="array" ref="H59">IF($C59="","",_xll.RDP.Data($C59,"TR.ROEActValue")/100)</f>
        <v>7.5399999999999995E-2</v>
      </c>
      <c r="I59" s="179">
        <f>IF($C59="","",_xll.RDP.Data($C59,"TR.AssetTurnover"))</f>
        <v>0.28938676340000002</v>
      </c>
      <c r="J59" s="352">
        <f>IF($C59="","",_xll.RDP.Data($C59,"TR.InventoryTurnover"))</f>
        <v>4.8268955651000001</v>
      </c>
      <c r="K59" s="352" cm="1">
        <f t="array" ref="K59">IF($C59="","",_xll.RDP.Data($C59,"TR.Revenue")/_xll.RDP.Data($C59,"TR.TotalReceivablesNet"))</f>
        <v>12.038192827200746</v>
      </c>
      <c r="L59" s="179">
        <f>IF($C59="","",_xll.RDP.Data($C59,"TR.TtlDebtToTtlEquityPct"))</f>
        <v>40.396462336100001</v>
      </c>
      <c r="M59" s="180">
        <f>IF($C59="","",_xll.RDP.Data($C59,"TR.LTDebtToTtlCapitalPct"))</f>
        <v>27.7697488222</v>
      </c>
      <c r="N59" s="179">
        <f>IF($C59="","",_xll.RDP.Data($C59,"TR.QuickRatio"))</f>
        <v>0.58996000000000004</v>
      </c>
      <c r="O59" s="180">
        <f>IF($C59="","",_xll.RDP.Data($C59,"TR.CurrentRatio"))</f>
        <v>1.0554300000000001</v>
      </c>
      <c r="P59" s="186" cm="1">
        <f t="array" ref="P59">IF($C59="","",_xll.RDP.Data($C59,"TR.EBITDA")/_xll.RDP.Data($C59,"TR.InterestExpense"))</f>
        <v>6.9375</v>
      </c>
    </row>
    <row r="60" spans="2:18" s="85" customFormat="1" ht="15.75" customHeight="1" outlineLevel="1">
      <c r="B60" s="79" t="str">
        <f t="shared" si="24"/>
        <v>PEPSICO INC/d</v>
      </c>
      <c r="C60" s="174" t="str">
        <f t="shared" si="25"/>
        <v>PEP.O</v>
      </c>
      <c r="D60" s="182" cm="1">
        <f t="array" ref="D60">IF($C60="","",_xll.RDP.Data($C60,"TR.GrossMargin")/100)</f>
        <v>0.55127700000000002</v>
      </c>
      <c r="E60" s="351" cm="1">
        <f t="array" ref="E60">IF($C60="","",_xll.RDP.Data($C60,"TR.OperatingMarginPercent")/100)</f>
        <v>0.1369456</v>
      </c>
      <c r="F60" s="351" cm="1">
        <f t="array" ref="F60">IF($C60="","",_xll.RDP.Data($C60,"TR.NetProfitMargin")/100)</f>
        <v>0.1042742</v>
      </c>
      <c r="G60" s="351" cm="1">
        <f t="array" ref="G60">IF($C60="","",_xll.RDP.Data($C60,"TR.ROAActValue")/100)</f>
        <v>0.1125</v>
      </c>
      <c r="H60" s="184" cm="1">
        <f t="array" ref="H60">IF($C60="","",_xll.RDP.Data($C60,"TR.ROEActValue")/100)</f>
        <v>0.61548999999999998</v>
      </c>
      <c r="I60" s="179">
        <f>IF($C60="","",_xll.RDP.Data($C60,"TR.AssetTurnover"))</f>
        <v>0.91871455580000005</v>
      </c>
      <c r="J60" s="352">
        <f>IF($C60="","",_xll.RDP.Data($C60,"TR.InventoryTurnover"))</f>
        <v>7.7475563909999998</v>
      </c>
      <c r="K60" s="352" cm="1">
        <f t="array" ref="K60">IF($C60="","",_xll.RDP.Data($C60,"TR.Revenue")/_xll.RDP.Data($C60,"TR.TotalReceivablesNet"))</f>
        <v>8.88938352850092</v>
      </c>
      <c r="L60" s="179">
        <f>IF($C60="","",_xll.RDP.Data($C60,"TR.TtlDebtToTtlEquityPct"))</f>
        <v>245.58505626069999</v>
      </c>
      <c r="M60" s="180">
        <f>IF($C60="","",_xll.RDP.Data($C60,"TR.LTDebtToTtlCapitalPct"))</f>
        <v>59.580325559800002</v>
      </c>
      <c r="N60" s="179">
        <f>IF($C60="","",_xll.RDP.Data($C60,"TR.QuickRatio"))</f>
        <v>0.65068000000000004</v>
      </c>
      <c r="O60" s="180">
        <f>IF($C60="","",_xll.RDP.Data($C60,"TR.CurrentRatio"))</f>
        <v>0.81894</v>
      </c>
      <c r="P60" s="186" cm="1">
        <f t="array" ref="P60">IF($C60="","",_xll.RDP.Data($C60,"TR.EBITDA")/_xll.RDP.Data($C60,"TR.InterestExpense"))</f>
        <v>20.173014145810665</v>
      </c>
    </row>
    <row r="61" spans="2:18" s="85" customFormat="1" ht="15.75" customHeight="1" outlineLevel="1">
      <c r="B61" s="79" t="str">
        <f t="shared" si="24"/>
        <v/>
      </c>
      <c r="C61" s="174" t="str">
        <f t="shared" si="25"/>
        <v/>
      </c>
      <c r="D61" s="182" t="str" cm="1">
        <f t="array" ref="D61">IF($C61="","",_xll.RDP.Data($C61,"TR.GrossMargin")/100)</f>
        <v/>
      </c>
      <c r="E61" s="351" t="str" cm="1">
        <f t="array" ref="E61">IF($C61="","",_xll.RDP.Data($C61,"TR.OperatingMarginPercent")/100)</f>
        <v/>
      </c>
      <c r="F61" s="351" t="str" cm="1">
        <f t="array" ref="F61">IF($C61="","",_xll.RDP.Data($C61,"TR.NetProfitMargin")/100)</f>
        <v/>
      </c>
      <c r="G61" s="351" t="str" cm="1">
        <f t="array" ref="G61">IF($C61="","",_xll.RDP.Data($C61,"TR.ROAActValue")/100)</f>
        <v/>
      </c>
      <c r="H61" s="184" t="str" cm="1">
        <f t="array" ref="H61">IF($C61="","",_xll.RDP.Data($C61,"TR.ROEActValue")/100)</f>
        <v/>
      </c>
      <c r="I61" s="179" t="str">
        <f>IF($C61="","",_xll.RDP.Data($C61,"TR.AssetTurnover"))</f>
        <v/>
      </c>
      <c r="J61" s="352" t="str">
        <f>IF($C61="","",_xll.RDP.Data($C61,"TR.InventoryTurnover"))</f>
        <v/>
      </c>
      <c r="K61" s="352" t="str" cm="1">
        <f t="array" ref="K61">IF($C61="","",_xll.RDP.Data($C61,"TR.Revenue")/_xll.RDP.Data($C61,"TR.TotalReceivablesNet"))</f>
        <v/>
      </c>
      <c r="L61" s="179" t="str">
        <f>IF($C61="","",_xll.RDP.Data($C61,"TR.TtlDebtToTtlEquityPct"))</f>
        <v/>
      </c>
      <c r="M61" s="180" t="str">
        <f>IF($C61="","",_xll.RDP.Data($C61,"TR.LTDebtToTtlCapitalPct"))</f>
        <v/>
      </c>
      <c r="N61" s="179" t="str">
        <f>IF($C61="","",_xll.RDP.Data($C61,"TR.QuickRatio"))</f>
        <v/>
      </c>
      <c r="O61" s="180" t="str">
        <f>IF($C61="","",_xll.RDP.Data($C61,"TR.CurrentRatio"))</f>
        <v/>
      </c>
      <c r="P61" s="186" t="str" cm="1">
        <f t="array" ref="P61">IF($C61="","",_xll.RDP.Data($C61,"TR.EBITDA")/_xll.RDP.Data($C61,"TR.InterestExpense"))</f>
        <v/>
      </c>
    </row>
    <row r="62" spans="2:18" s="85" customFormat="1" ht="15.75" customHeight="1" outlineLevel="1">
      <c r="B62" s="79" t="str">
        <f t="shared" si="24"/>
        <v/>
      </c>
      <c r="C62" s="174" t="str">
        <f t="shared" si="25"/>
        <v/>
      </c>
      <c r="D62" s="182" t="str" cm="1">
        <f t="array" ref="D62">IF($C62="","",_xll.RDP.Data($C62,"TR.GrossMargin")/100)</f>
        <v/>
      </c>
      <c r="E62" s="351" t="str" cm="1">
        <f t="array" ref="E62">IF($C62="","",_xll.RDP.Data($C62,"TR.OperatingMarginPercent")/100)</f>
        <v/>
      </c>
      <c r="F62" s="351" t="str" cm="1">
        <f t="array" ref="F62">IF($C62="","",_xll.RDP.Data($C62,"TR.NetProfitMargin")/100)</f>
        <v/>
      </c>
      <c r="G62" s="351" t="str" cm="1">
        <f t="array" ref="G62">IF($C62="","",_xll.RDP.Data($C62,"TR.ROAActValue")/100)</f>
        <v/>
      </c>
      <c r="H62" s="184" t="str" cm="1">
        <f t="array" ref="H62">IF($C62="","",_xll.RDP.Data($C62,"TR.ROEActValue")/100)</f>
        <v/>
      </c>
      <c r="I62" s="179" t="str">
        <f>IF($C62="","",_xll.RDP.Data($C62,"TR.AssetTurnover"))</f>
        <v/>
      </c>
      <c r="J62" s="352" t="str">
        <f>IF($C62="","",_xll.RDP.Data($C62,"TR.InventoryTurnover"))</f>
        <v/>
      </c>
      <c r="K62" s="352" t="str" cm="1">
        <f t="array" ref="K62">IF($C62="","",_xll.RDP.Data($C62,"TR.Revenue")/_xll.RDP.Data($C62,"TR.TotalReceivablesNet"))</f>
        <v/>
      </c>
      <c r="L62" s="179" t="str">
        <f>IF($C62="","",_xll.RDP.Data($C62,"TR.TtlDebtToTtlEquityPct"))</f>
        <v/>
      </c>
      <c r="M62" s="180" t="str">
        <f>IF($C62="","",_xll.RDP.Data($C62,"TR.LTDebtToTtlCapitalPct"))</f>
        <v/>
      </c>
      <c r="N62" s="179" t="str">
        <f>IF($C62="","",_xll.RDP.Data($C62,"TR.QuickRatio"))</f>
        <v/>
      </c>
      <c r="O62" s="180" t="str">
        <f>IF($C62="","",_xll.RDP.Data($C62,"TR.CurrentRatio"))</f>
        <v/>
      </c>
      <c r="P62" s="186" t="str" cm="1">
        <f t="array" ref="P62">IF($C62="","",_xll.RDP.Data($C62,"TR.EBITDA")/_xll.RDP.Data($C62,"TR.InterestExpense"))</f>
        <v/>
      </c>
    </row>
    <row r="63" spans="2:18" s="85" customFormat="1" ht="15.75" customHeight="1" outlineLevel="1">
      <c r="B63" s="79" t="str">
        <f t="shared" si="24"/>
        <v/>
      </c>
      <c r="C63" s="174" t="str">
        <f t="shared" si="25"/>
        <v/>
      </c>
      <c r="D63" s="182" t="str" cm="1">
        <f t="array" ref="D63">IF($C63="","",_xll.RDP.Data($C63,"TR.GrossMargin")/100)</f>
        <v/>
      </c>
      <c r="E63" s="351" t="str" cm="1">
        <f t="array" ref="E63">IF($C63="","",_xll.RDP.Data($C63,"TR.OperatingMarginPercent")/100)</f>
        <v/>
      </c>
      <c r="F63" s="351" t="str" cm="1">
        <f t="array" ref="F63">IF($C63="","",_xll.RDP.Data($C63,"TR.NetProfitMargin")/100)</f>
        <v/>
      </c>
      <c r="G63" s="351" t="str" cm="1">
        <f t="array" ref="G63">IF($C63="","",_xll.RDP.Data($C63,"TR.ROAActValue")/100)</f>
        <v/>
      </c>
      <c r="H63" s="184" t="str" cm="1">
        <f t="array" ref="H63">IF($C63="","",_xll.RDP.Data($C63,"TR.ROEActValue")/100)</f>
        <v/>
      </c>
      <c r="I63" s="179" t="str">
        <f>IF($C63="","",_xll.RDP.Data($C63,"TR.AssetTurnover"))</f>
        <v/>
      </c>
      <c r="J63" s="352" t="str">
        <f>IF($C63="","",_xll.RDP.Data($C63,"TR.InventoryTurnover"))</f>
        <v/>
      </c>
      <c r="K63" s="352" t="str" cm="1">
        <f t="array" ref="K63">IF($C63="","",_xll.RDP.Data($C63,"TR.Revenue")/_xll.RDP.Data($C63,"TR.TotalReceivablesNet"))</f>
        <v/>
      </c>
      <c r="L63" s="179" t="str">
        <f>IF($C63="","",_xll.RDP.Data($C63,"TR.TtlDebtToTtlEquityPct"))</f>
        <v/>
      </c>
      <c r="M63" s="180" t="str">
        <f>IF($C63="","",_xll.RDP.Data($C63,"TR.LTDebtToTtlCapitalPct"))</f>
        <v/>
      </c>
      <c r="N63" s="179" t="str">
        <f>IF($C63="","",_xll.RDP.Data($C63,"TR.QuickRatio"))</f>
        <v/>
      </c>
      <c r="O63" s="180" t="str">
        <f>IF($C63="","",_xll.RDP.Data($C63,"TR.CurrentRatio"))</f>
        <v/>
      </c>
      <c r="P63" s="186" t="str" cm="1">
        <f t="array" ref="P63">IF($C63="","",_xll.RDP.Data($C63,"TR.EBITDA")/_xll.RDP.Data($C63,"TR.InterestExpense"))</f>
        <v/>
      </c>
    </row>
    <row r="64" spans="2:18" s="85" customFormat="1" ht="15.75" customHeight="1" outlineLevel="1">
      <c r="B64" s="79" t="str">
        <f t="shared" si="24"/>
        <v/>
      </c>
      <c r="C64" s="174" t="str">
        <f t="shared" si="25"/>
        <v/>
      </c>
      <c r="D64" s="182" t="str" cm="1">
        <f t="array" ref="D64">IF($C64="","",_xll.RDP.Data($C64,"TR.GrossMargin")/100)</f>
        <v/>
      </c>
      <c r="E64" s="351" t="str" cm="1">
        <f t="array" ref="E64">IF($C64="","",_xll.RDP.Data($C64,"TR.OperatingMarginPercent")/100)</f>
        <v/>
      </c>
      <c r="F64" s="351" t="str" cm="1">
        <f t="array" ref="F64">IF($C64="","",_xll.RDP.Data($C64,"TR.NetProfitMargin")/100)</f>
        <v/>
      </c>
      <c r="G64" s="351" t="str" cm="1">
        <f t="array" ref="G64">IF($C64="","",_xll.RDP.Data($C64,"TR.ROAActValue")/100)</f>
        <v/>
      </c>
      <c r="H64" s="184" t="str" cm="1">
        <f t="array" ref="H64">IF($C64="","",_xll.RDP.Data($C64,"TR.ROEActValue")/100)</f>
        <v/>
      </c>
      <c r="I64" s="179" t="str">
        <f>IF($C64="","",_xll.RDP.Data($C64,"TR.AssetTurnover"))</f>
        <v/>
      </c>
      <c r="J64" s="352" t="str">
        <f>IF($C64="","",_xll.RDP.Data($C64,"TR.InventoryTurnover"))</f>
        <v/>
      </c>
      <c r="K64" s="352" t="str" cm="1">
        <f t="array" ref="K64">IF($C64="","",_xll.RDP.Data($C64,"TR.Revenue")/_xll.RDP.Data($C64,"TR.TotalReceivablesNet"))</f>
        <v/>
      </c>
      <c r="L64" s="179" t="str">
        <f>IF($C64="","",_xll.RDP.Data($C64,"TR.TtlDebtToTtlEquityPct"))</f>
        <v/>
      </c>
      <c r="M64" s="180" t="str">
        <f>IF($C64="","",_xll.RDP.Data($C64,"TR.LTDebtToTtlCapitalPct"))</f>
        <v/>
      </c>
      <c r="N64" s="179" t="str">
        <f>IF($C64="","",_xll.RDP.Data($C64,"TR.QuickRatio"))</f>
        <v/>
      </c>
      <c r="O64" s="180" t="str">
        <f>IF($C64="","",_xll.RDP.Data($C64,"TR.CurrentRatio"))</f>
        <v/>
      </c>
      <c r="P64" s="186" t="str" cm="1">
        <f t="array" ref="P64">IF($C64="","",_xll.RDP.Data($C64,"TR.EBITDA")/_xll.RDP.Data($C64,"TR.InterestExpense"))</f>
        <v/>
      </c>
    </row>
    <row r="65" spans="2:16" s="85" customFormat="1" ht="15.75" customHeight="1" outlineLevel="1">
      <c r="B65" s="79" t="str">
        <f t="shared" si="24"/>
        <v/>
      </c>
      <c r="C65" s="174" t="str">
        <f t="shared" si="25"/>
        <v/>
      </c>
      <c r="D65" s="182" t="str" cm="1">
        <f t="array" ref="D65">IF($C65="","",_xll.RDP.Data($C65,"TR.GrossMargin")/100)</f>
        <v/>
      </c>
      <c r="E65" s="183" t="str" cm="1">
        <f t="array" ref="E65">IF($C65="","",_xll.RDP.Data($C65,"TR.OperatingMarginPercent")/100)</f>
        <v/>
      </c>
      <c r="F65" s="183" t="str" cm="1">
        <f t="array" ref="F65">IF($C65="","",_xll.RDP.Data($C65,"TR.NetProfitMargin")/100)</f>
        <v/>
      </c>
      <c r="G65" s="183" t="str" cm="1">
        <f t="array" ref="G65">IF($C65="","",_xll.RDP.Data($C65,"TR.ROAActValue")/100)</f>
        <v/>
      </c>
      <c r="H65" s="184" t="str" cm="1">
        <f t="array" ref="H65">IF($C65="","",_xll.RDP.Data($C65,"TR.ROEActValue")/100)</f>
        <v/>
      </c>
      <c r="I65" s="179" t="str">
        <f>IF($C65="","",_xll.RDP.Data($C65,"TR.AssetTurnover"))</f>
        <v/>
      </c>
      <c r="J65" s="352" t="str">
        <f>IF($C65="","",_xll.RDP.Data($C65,"TR.InventoryTurnover"))</f>
        <v/>
      </c>
      <c r="K65" s="185" t="str" cm="1">
        <f t="array" ref="K65">IF($C65="","",_xll.RDP.Data($C65,"TR.Revenue")/_xll.RDP.Data($C65,"TR.TotalReceivablesNet"))</f>
        <v/>
      </c>
      <c r="L65" s="179" t="str">
        <f>IF($C65="","",_xll.RDP.Data($C65,"TR.TtlDebtToTtlEquityPct"))</f>
        <v/>
      </c>
      <c r="M65" s="180" t="str">
        <f>IF($C65="","",_xll.RDP.Data($C65,"TR.LTDebtToTtlCapitalPct"))</f>
        <v/>
      </c>
      <c r="N65" s="179" t="str">
        <f>IF($C65="","",_xll.RDP.Data($C65,"TR.QuickRatio"))</f>
        <v/>
      </c>
      <c r="O65" s="180" t="str">
        <f>IF($C65="","",_xll.RDP.Data($C65,"TR.CurrentRatio"))</f>
        <v/>
      </c>
      <c r="P65" s="186" t="str" cm="1">
        <f t="array" ref="P65">IF($C65="","",_xll.RDP.Data($C65,"TR.EBITDA")/_xll.RDP.Data($C65,"TR.InterestExpense"))</f>
        <v/>
      </c>
    </row>
    <row r="66" spans="2:16" s="85" customFormat="1" ht="15.75" customHeight="1" outlineLevel="1">
      <c r="B66" s="79" t="str">
        <f t="shared" si="24"/>
        <v/>
      </c>
      <c r="C66" s="174" t="str">
        <f t="shared" si="25"/>
        <v/>
      </c>
      <c r="D66" s="182" t="str" cm="1">
        <f t="array" ref="D66">IF($C66="","",_xll.RDP.Data($C66,"TR.GrossMargin")/100)</f>
        <v/>
      </c>
      <c r="E66" s="351" t="str" cm="1">
        <f t="array" ref="E66">IF($C66="","",_xll.RDP.Data($C66,"TR.OperatingMarginPercent")/100)</f>
        <v/>
      </c>
      <c r="F66" s="351" t="str" cm="1">
        <f t="array" ref="F66">IF($C66="","",_xll.RDP.Data($C66,"TR.NetProfitMargin")/100)</f>
        <v/>
      </c>
      <c r="G66" s="351" t="str" cm="1">
        <f t="array" ref="G66">IF($C66="","",_xll.RDP.Data($C66,"TR.ROAActValue")/100)</f>
        <v/>
      </c>
      <c r="H66" s="184" t="str" cm="1">
        <f t="array" ref="H66">IF($C66="","",_xll.RDP.Data($C66,"TR.ROEActValue")/100)</f>
        <v/>
      </c>
      <c r="I66" s="179" t="str">
        <f>IF($C66="","",_xll.RDP.Data($C66,"TR.AssetTurnover"))</f>
        <v/>
      </c>
      <c r="J66" s="352" t="str">
        <f>IF($C66="","",_xll.RDP.Data($C66,"TR.InventoryTurnover"))</f>
        <v/>
      </c>
      <c r="K66" s="352" t="str" cm="1">
        <f t="array" ref="K66">IF($C66="","",_xll.RDP.Data($C66,"TR.Revenue")/_xll.RDP.Data($C66,"TR.TotalReceivablesNet"))</f>
        <v/>
      </c>
      <c r="L66" s="179" t="str">
        <f>IF($C66="","",_xll.RDP.Data($C66,"TR.TtlDebtToTtlEquityPct"))</f>
        <v/>
      </c>
      <c r="M66" s="180" t="str">
        <f>IF($C66="","",_xll.RDP.Data($C66,"TR.LTDebtToTtlCapitalPct"))</f>
        <v/>
      </c>
      <c r="N66" s="179" t="str">
        <f>IF($C66="","",_xll.RDP.Data($C66,"TR.QuickRatio"))</f>
        <v/>
      </c>
      <c r="O66" s="180" t="str">
        <f>IF($C66="","",_xll.RDP.Data($C66,"TR.CurrentRatio"))</f>
        <v/>
      </c>
      <c r="P66" s="186" t="str" cm="1">
        <f t="array" ref="P66">IF($C66="","",_xll.RDP.Data($C66,"TR.EBITDA")/_xll.RDP.Data($C66,"TR.InterestExpense"))</f>
        <v/>
      </c>
    </row>
    <row r="67" spans="2:16" s="85" customFormat="1" ht="15.75" customHeight="1" outlineLevel="1">
      <c r="B67" s="92" t="str">
        <f t="shared" si="24"/>
        <v>HERSHEY CO/d</v>
      </c>
      <c r="C67" s="187" t="str">
        <f t="shared" si="25"/>
        <v>HSY</v>
      </c>
      <c r="D67" s="508" cm="1">
        <f t="array" ref="D67">IF($C67="","",_xll.RDP.Data($C67,"TR.GrossMargin")/100)</f>
        <v>0.47428420000000004</v>
      </c>
      <c r="E67" s="509" cm="1">
        <f t="array" ref="E67">IF($C67="","",_xll.RDP.Data($C67,"TR.OperatingMarginPercent")/100)</f>
        <v>0.2369986</v>
      </c>
      <c r="F67" s="509" cm="1">
        <f t="array" ref="F67">IF($C67="","",_xll.RDP.Data($C67,"TR.NetProfitMargin")/100)</f>
        <v>0.19828479999999998</v>
      </c>
      <c r="G67" s="509" cm="1">
        <f t="array" ref="G67">IF($C67="","",_xll.RDP.Data($C67,"TR.ROAActValue")/100)</f>
        <v>0.15349000000000002</v>
      </c>
      <c r="H67" s="510" cm="1">
        <f t="array" ref="H67">IF($C67="","",_xll.RDP.Data($C67,"TR.ROEActValue")/100)</f>
        <v>0.43270000000000003</v>
      </c>
      <c r="I67" s="511">
        <f>IF($C67="","",_xll.RDP.Data($C67,"TR.AssetTurnover"))</f>
        <v>0.90159776729999996</v>
      </c>
      <c r="J67" s="514">
        <f>IF($C67="","",_xll.RDP.Data($C67,"TR.InventoryTurnover"))</f>
        <v>4.5387304487</v>
      </c>
      <c r="K67" s="514" cm="1">
        <f t="array" ref="K67">IF($C67="","",_xll.RDP.Data($C67,"TR.Revenue")/_xll.RDP.Data($C67,"TR.TotalReceivablesNet"))</f>
        <v>13.995795862579055</v>
      </c>
      <c r="L67" s="515">
        <f>IF($C67="","",_xll.RDP.Data($C67,"TR.TtlDebtToTtlEquityPct"))</f>
        <v>108.21899125580001</v>
      </c>
      <c r="M67" s="512">
        <f>IF($C67="","",_xll.RDP.Data($C67,"TR.LTDebtToTtlCapitalPct"))</f>
        <v>32.497436793299997</v>
      </c>
      <c r="N67" s="511">
        <f>IF($C67="","",_xll.RDP.Data($C67,"TR.QuickRatio"))</f>
        <v>0.63758000000000004</v>
      </c>
      <c r="O67" s="512">
        <f>IF($C67="","",_xll.RDP.Data($C67,"TR.CurrentRatio"))</f>
        <v>0.95672999999999997</v>
      </c>
      <c r="P67" s="513" cm="1">
        <f t="array" ref="P67">IF($C67="","",_xll.RDP.Data($C67,"TR.EBITDA")/_xll.RDP.Data($C67,"TR.InterestExpense"))</f>
        <v>19.912131346913956</v>
      </c>
    </row>
    <row r="71" spans="2:16" ht="15.75" customHeight="1">
      <c r="E71" s="348"/>
    </row>
  </sheetData>
  <conditionalFormatting sqref="E51:Q52">
    <cfRule type="cellIs" dxfId="5" priority="1" operator="lessThan">
      <formula>$D$46</formula>
    </cfRule>
    <cfRule type="cellIs" dxfId="4" priority="2" operator="greaterThan">
      <formula>$D$46</formula>
    </cfRule>
  </conditionalFormatting>
  <hyperlinks>
    <hyperlink ref="K12" tooltip="Thomson Reuters Click-Thru" xr:uid="{54F2B0FE-FA86-7342-A307-157E14D75FCB}"/>
    <hyperlink ref="K63" tooltip="Thomson Reuters Click-Thru" xr:uid="{0C20B99C-DD6D-4B40-B3BE-02CD76026EF2}"/>
    <hyperlink ref="K66" tooltip="Thomson Reuters Click-Thru" xr:uid="{DE64FD46-7613-DE4D-B6B2-07377B38AC28}"/>
    <hyperlink ref="H16" tooltip="Thomson Reuters Click-Thru" xr:uid="{AF06CE99-2449-8047-9E4E-B5DD521C4A27}"/>
    <hyperlink ref="I16" tooltip="Thomson Reuters Click-Thru" xr:uid="{59C86021-E724-D547-8FFF-80F6597AB6A0}"/>
    <hyperlink ref="K58" tooltip="Thomson Reuters Click-Thru" xr:uid="{1036A52B-0662-E743-BA50-307C22E377FE}"/>
    <hyperlink ref="H7" tooltip="Thomson Reuters Click-Thru" xr:uid="{CDE46033-21F1-844E-AFF4-BC3A03110A51}"/>
    <hyperlink ref="H8" tooltip="Thomson Reuters Click-Thru" xr:uid="{083D4367-C32A-6941-AB23-CBB3B443F83F}"/>
    <hyperlink ref="K60" tooltip="Thomson Reuters Click-Thru" xr:uid="{A76AD442-4AF5-2F43-B2AD-10AAA3474466}"/>
    <hyperlink ref="H9" tooltip="Thomson Reuters Click-Thru" xr:uid="{3C9FB09C-F78A-CE49-9CAE-496D67287CA9}"/>
    <hyperlink ref="H10" tooltip="Thomson Reuters Click-Thru" xr:uid="{DB563388-05C7-8E49-A2B0-D493C2A26B4F}"/>
    <hyperlink ref="K62" tooltip="Thomson Reuters Click-Thru" xr:uid="{A25F06B0-1880-3947-9F4E-A1DFB4622D2F}"/>
    <hyperlink ref="H11" tooltip="Thomson Reuters Click-Thru" xr:uid="{CD1C0E9B-F10D-7B44-830C-BEA4A016C017}"/>
    <hyperlink ref="I11" tooltip="Thomson Reuters Click-Thru" xr:uid="{CA5CC93C-DD88-3D43-8AB2-3022E1EB85F8}"/>
    <hyperlink ref="I7:I8" tooltip="Thomson Reuters Click-Thru" xr:uid="{0C28BBA1-1A77-4443-9A5E-B319638394E2}"/>
    <hyperlink ref="I6" tooltip="Thomson Reuters Click-Thru" xr:uid="{ACF1E1F1-E05F-C549-B1A1-CC1D678F72F7}"/>
    <hyperlink ref="H6" tooltip="Thomson Reuters Click-Thru" xr:uid="{AD740262-A76E-D74B-98C5-2523EB53B7ED}"/>
    <hyperlink ref="K57" tooltip="Thomson Reuters Click-Thru" xr:uid="{C903C363-027B-2C4D-99C4-8071D7843BEC}"/>
    <hyperlink ref="I9" tooltip="Thomson Reuters Click-Thru" xr:uid="{BF44E011-8291-9840-89AD-3307E70E5A1C}"/>
    <hyperlink ref="K13" tooltip="Thomson Reuters Click-Thru" xr:uid="{62EDDBAD-DB0B-9C42-81B0-DA95B22261ED}"/>
    <hyperlink ref="K64" tooltip="Thomson Reuters Click-Thru" xr:uid="{DBE2F0C6-CB80-554A-87B5-6CA7B1D4FF44}"/>
    <hyperlink ref="K14" tooltip="Thomson Reuters Click-Thru" xr:uid="{059A25D8-3945-EA47-A723-FC8588F0A10E}"/>
    <hyperlink ref="K15" tooltip="Thomson Reuters Click-Thru" xr:uid="{2047FD21-FAF1-3C42-B720-4ACB13966CAC}"/>
    <hyperlink ref="K65" tooltip="Thomson Reuters Click-Thru" xr:uid="{83C9FDD1-E86A-5445-AB09-5BB41F70846E}"/>
  </hyperlinks>
  <pageMargins left="0.7" right="0.7" top="0.75" bottom="0.75" header="0.3" footer="0.3"/>
  <pageSetup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8D24-4C2E-254E-81E5-CA40E948272D}">
  <dimension ref="B1:AE71"/>
  <sheetViews>
    <sheetView tabSelected="1" workbookViewId="0">
      <selection activeCell="J26" sqref="J26"/>
    </sheetView>
  </sheetViews>
  <sheetFormatPr baseColWidth="10" defaultColWidth="6.875" defaultRowHeight="15.75" customHeight="1" outlineLevelRow="1"/>
  <cols>
    <col min="1" max="1" width="2.125" style="63" customWidth="1"/>
    <col min="2" max="2" width="23.75" style="63" bestFit="1" customWidth="1"/>
    <col min="3" max="3" width="7.25" style="64" bestFit="1" customWidth="1"/>
    <col min="4" max="5" width="8.875" style="63" customWidth="1"/>
    <col min="6" max="6" width="8" style="63" customWidth="1"/>
    <col min="7" max="7" width="8.125" style="63" bestFit="1" customWidth="1"/>
    <col min="8" max="9" width="7.375" style="63" customWidth="1"/>
    <col min="10" max="10" width="8.625" style="63" customWidth="1"/>
    <col min="11" max="11" width="7.375" style="63" customWidth="1"/>
    <col min="12" max="12" width="7.125" style="63" bestFit="1" customWidth="1"/>
    <col min="13" max="13" width="8.625" style="63" customWidth="1"/>
    <col min="14" max="14" width="7" style="63" bestFit="1" customWidth="1"/>
    <col min="15" max="15" width="8.625" style="63" customWidth="1"/>
    <col min="16" max="18" width="7" style="63" bestFit="1" customWidth="1"/>
    <col min="19" max="16384" width="6.875" style="63"/>
  </cols>
  <sheetData>
    <row r="1" spans="2:31" ht="15.75" customHeight="1">
      <c r="D1" s="65" t="s">
        <v>188</v>
      </c>
    </row>
    <row r="2" spans="2:31" ht="15.75" customHeight="1">
      <c r="B2" s="372" t="s">
        <v>189</v>
      </c>
      <c r="C2" s="373"/>
      <c r="D2" s="374"/>
      <c r="E2" s="374"/>
      <c r="F2" s="374"/>
      <c r="G2" s="374"/>
      <c r="H2" s="374"/>
      <c r="I2" s="374"/>
      <c r="J2" s="374"/>
      <c r="K2" s="374"/>
      <c r="L2" s="374"/>
      <c r="M2" s="374"/>
      <c r="N2" s="374"/>
      <c r="O2" s="374"/>
      <c r="P2" s="374"/>
      <c r="Q2" s="374"/>
      <c r="R2" s="374"/>
    </row>
    <row r="3" spans="2:31" ht="15.75" customHeight="1">
      <c r="B3" s="66" t="s">
        <v>190</v>
      </c>
      <c r="C3" s="67"/>
      <c r="D3" s="68"/>
      <c r="E3" s="68"/>
      <c r="F3" s="68"/>
      <c r="G3" s="68"/>
      <c r="H3" s="68"/>
      <c r="I3" s="68"/>
      <c r="J3" s="68"/>
      <c r="K3" s="68"/>
      <c r="L3" s="68"/>
      <c r="M3" s="68"/>
      <c r="N3" s="68"/>
      <c r="O3" s="68"/>
      <c r="P3" s="68"/>
      <c r="Q3" s="68"/>
      <c r="R3" s="68"/>
    </row>
    <row r="4" spans="2:31" ht="15.75" customHeight="1">
      <c r="B4" s="69" t="s">
        <v>191</v>
      </c>
      <c r="C4" s="70"/>
      <c r="D4" s="71" t="s">
        <v>192</v>
      </c>
      <c r="E4" s="72" t="s">
        <v>193</v>
      </c>
      <c r="F4" s="72" t="s">
        <v>194</v>
      </c>
      <c r="G4" s="72" t="s">
        <v>195</v>
      </c>
      <c r="H4" s="72" t="s">
        <v>68</v>
      </c>
      <c r="I4" s="72"/>
      <c r="J4" s="72" t="s">
        <v>196</v>
      </c>
      <c r="K4" s="73" t="s">
        <v>197</v>
      </c>
      <c r="L4" s="73"/>
      <c r="M4" s="74" t="s">
        <v>198</v>
      </c>
    </row>
    <row r="5" spans="2:31" ht="15.75" customHeight="1">
      <c r="B5" s="75" t="s">
        <v>199</v>
      </c>
      <c r="C5" s="75" t="s">
        <v>200</v>
      </c>
      <c r="D5" s="76" t="s">
        <v>201</v>
      </c>
      <c r="E5" s="77" t="s">
        <v>202</v>
      </c>
      <c r="F5" s="77" t="s">
        <v>203</v>
      </c>
      <c r="G5" s="77" t="s">
        <v>204</v>
      </c>
      <c r="H5" s="77" t="s">
        <v>205</v>
      </c>
      <c r="I5" s="77" t="s">
        <v>206</v>
      </c>
      <c r="J5" s="77" t="s">
        <v>207</v>
      </c>
      <c r="K5" s="78" t="s">
        <v>207</v>
      </c>
      <c r="L5" s="78" t="s">
        <v>208</v>
      </c>
      <c r="M5" s="75" t="s">
        <v>209</v>
      </c>
    </row>
    <row r="6" spans="2:31" s="85" customFormat="1" ht="15.75" customHeight="1">
      <c r="B6" s="79" t="str" cm="1">
        <f t="array" ref="B6">IF($C6="","",_xll.RDP.Data($C6,"DSPLY_NAME"))</f>
        <v>COCA-COLA CO/d</v>
      </c>
      <c r="C6" s="354" t="s">
        <v>433</v>
      </c>
      <c r="D6" s="80">
        <f>IF(C6="","",_xll.RDP.Data($C6,"TR.PriceClose","Curn=#1",,$D$1))</f>
        <v>71.72</v>
      </c>
      <c r="E6" s="81">
        <f>IF($C6="","",_xll.RDP.Data($C6,"MAX(TR.PriceHigh(SDate=0D,EDate=0D-364C))/*52 Week High*/","Curn=#1",,$D$1))</f>
        <v>74.38</v>
      </c>
      <c r="F6" s="82">
        <f>IF(C6="","",_xll.RDP.Data($C6,"TR.CompanySharesOutstanding(SDate=0)/*# Shares Outstanding*/")/1000000)</f>
        <v>4304</v>
      </c>
      <c r="G6" s="337">
        <f>IF(C6="","",D6*F6)</f>
        <v>308682.88</v>
      </c>
      <c r="H6" s="337" cm="1">
        <f t="array" ref="H6">IF($C6="","",_xll.RDP.Data($C6,"TR.TotalDebtOutstanding","Curn=#1",,$D$1)/1000000)</f>
        <v>44522</v>
      </c>
      <c r="I6" s="337">
        <f>IF($C6="","",_xll.RDP.Data($C6,"TR.CashandEquivalents","Curn=#1",,$D$1)/1000000)</f>
        <v>10828</v>
      </c>
      <c r="J6" s="338">
        <f>IF(C6="","",G6+H6-I6)</f>
        <v>342376.88</v>
      </c>
      <c r="K6" s="337" cm="1">
        <f t="array" ref="K6">IF($C6="","",_xll.RDP.Data($C6,"TR.TotalEquity","Curn=#1",,$D$1)/1000000)</f>
        <v>24856</v>
      </c>
      <c r="L6" s="84">
        <f>IF($C6="","",_xll.RDP.Data($C6,"TR.BetaFiveYear/*Beta 5 Year Monthly*//*Beta 5 Year Monthly*/"))</f>
        <v>0.47641801075999002</v>
      </c>
      <c r="M6" s="339">
        <f>IF(C6="","",_xll.RDP.Data($C6,"TR.PriceTargetMean","Curn=#1",,$D$1))</f>
        <v>77.516800000000003</v>
      </c>
      <c r="N6" s="340"/>
    </row>
    <row r="7" spans="2:31" s="85" customFormat="1" ht="15.75" customHeight="1">
      <c r="B7" s="79" t="str" cm="1">
        <f t="array" ref="B7">IF($C7="","",_xll.RDP.Data($C7,"DSPLY_NAME"))</f>
        <v>MONSTER BEV CO/d</v>
      </c>
      <c r="C7" s="354" t="s">
        <v>434</v>
      </c>
      <c r="D7" s="86">
        <f>IF(C7="","",_xll.RDP.Data($C7,"TR.PriceClose","Curn=#1",,$D$1))</f>
        <v>60.02</v>
      </c>
      <c r="E7" s="87">
        <f>IF($C7="","",_xll.RDP.Data($C7,"MAX(TR.PriceHigh(SDate=0D,EDate=0D-364C))/*52 Week High*/","Curn=#1",,$D$1))</f>
        <v>61.29</v>
      </c>
      <c r="F7" s="82">
        <f>IF(C7="","",_xll.RDP.Data($C7,"TR.CompanySharesOutstanding(SDate=0)/*# Shares Outstanding*/")/1000000)</f>
        <v>975.21250399999997</v>
      </c>
      <c r="G7" s="338">
        <f t="shared" ref="G7:G13" si="0">IF(C7="","",D7*F7)</f>
        <v>58532.254490079999</v>
      </c>
      <c r="H7" s="338" cm="1">
        <f t="array" ref="H7">IF($C7="","",_xll.RDP.Data($C7,"TR.TotalDebtOutstanding","Curn=#1",,$D$1)/1000000)</f>
        <v>378.2</v>
      </c>
      <c r="I7" s="341">
        <f>IF($C7="","",_xll.RDP.Data($C7,"TR.CashandEquivalents","Curn=#1",,$D$1)/1000000)</f>
        <v>1533.287</v>
      </c>
      <c r="J7" s="338">
        <f>IF(C7="","",G7+H7-I7)</f>
        <v>57377.167490079999</v>
      </c>
      <c r="K7" s="338" cm="1">
        <f t="array" ref="K7">IF($C7="","",_xll.RDP.Data($C7,"TR.TotalEquity","Curn=#1",,$D$1)/1000000)</f>
        <v>5957.7179999999998</v>
      </c>
      <c r="L7" s="88">
        <f>IF($C7="","",_xll.RDP.Data($C7,"TR.BetaFiveYear/*Beta 5 Year Monthly*//*Beta 5 Year Monthly*/"))</f>
        <v>0.59364704973652804</v>
      </c>
      <c r="M7" s="342">
        <f>IF(C7="","",_xll.RDP.Data($C7,"TR.PriceTargetMean","Curn=#1",,$D$1))</f>
        <v>58.927729999999997</v>
      </c>
      <c r="N7" s="340"/>
    </row>
    <row r="8" spans="2:31" s="85" customFormat="1" ht="15.75" customHeight="1">
      <c r="B8" s="79" t="str" cm="1">
        <f t="array" ref="B8">IF($C8="","",_xll.RDP.Data($C8,"DSPLY_NAME"))</f>
        <v>KRIG DR PPPR O/d</v>
      </c>
      <c r="C8" s="353" t="s">
        <v>435</v>
      </c>
      <c r="D8" s="86">
        <f>IF(C8="","",_xll.RDP.Data($C8,"TR.PriceClose","Curn=#1",,$D$1))</f>
        <v>34.119999999999997</v>
      </c>
      <c r="E8" s="343">
        <f>IF($C8="","",_xll.RDP.Data($C8,"MAX(TR.PriceHigh(SDate=0D,EDate=0D-364C))/*52 Week High*/","Curn=#1",,$D$1))</f>
        <v>38.28</v>
      </c>
      <c r="F8" s="82">
        <f>IF(C8="","",_xll.RDP.Data($C8,"TR.CompanySharesOutstanding(SDate=0)/*# Shares Outstanding*/")/1000000)</f>
        <v>1358.1939259999999</v>
      </c>
      <c r="G8" s="338">
        <f t="shared" si="0"/>
        <v>46341.576755119997</v>
      </c>
      <c r="H8" s="338" cm="1">
        <f t="array" ref="H8">IF($C8="","",_xll.RDP.Data($C8,"TR.TotalDebtOutstanding","Curn=#1",,$D$1)/1000000)</f>
        <v>16397</v>
      </c>
      <c r="I8" s="341">
        <f>IF($C8="","",_xll.RDP.Data($C8,"TR.CashandEquivalents","Curn=#1",,$D$1)/1000000)</f>
        <v>510</v>
      </c>
      <c r="J8" s="338">
        <f>IF(C8="","",G8+H8-I8)</f>
        <v>62228.576755119997</v>
      </c>
      <c r="K8" s="338" cm="1">
        <f t="array" ref="K8">IF($C8="","",_xll.RDP.Data($C8,"TR.TotalEquity","Curn=#1",,$D$1)/1000000)</f>
        <v>24243</v>
      </c>
      <c r="L8" s="88">
        <f>IF($C8="","",_xll.RDP.Data($C8,"TR.BetaFiveYear/*Beta 5 Year Monthly*//*Beta 5 Year Monthly*/"))</f>
        <v>0.51878734182747399</v>
      </c>
      <c r="M8" s="342">
        <f>IF(C8="","",_xll.RDP.Data($C8,"TR.PriceTargetMean","Curn=#1",,$D$1))</f>
        <v>39.073329999999999</v>
      </c>
      <c r="N8" s="340"/>
    </row>
    <row r="9" spans="2:31" s="85" customFormat="1" ht="15.75" customHeight="1">
      <c r="B9" s="79" t="str" cm="1">
        <f t="array" ref="B9">IF($C9="","",_xll.RDP.Data($C9,"DSPLY_NAME"))</f>
        <v/>
      </c>
      <c r="C9" s="90"/>
      <c r="D9" s="86" t="str">
        <f>IF(C9="","",_xll.RDP.Data($C9,"TR.PriceClose","Curn=#1",,$D$1))</f>
        <v/>
      </c>
      <c r="E9" s="87" t="str">
        <f>IF($C9="","",_xll.RDP.Data($C9,"MAX(TR.PriceHigh(SDate=0D,EDate=0D-364C))/*52 Week High*/","Curn=#1",,$D$1))</f>
        <v/>
      </c>
      <c r="F9" s="82" t="str">
        <f>IF(C9="","",_xll.RDP.Data($C9,"TR.CompanySharesOutstanding(SDate=0)/*# Shares Outstanding*/")/1000000)</f>
        <v/>
      </c>
      <c r="G9" s="341" t="str">
        <f t="shared" si="0"/>
        <v/>
      </c>
      <c r="H9" s="341" t="str" cm="1">
        <f t="array" ref="H9">IF($C9="","",_xll.RDP.Data($C9,"TR.TotalDebtOutstanding","Curn=#1",,$D$1)/1000000)</f>
        <v/>
      </c>
      <c r="I9" s="341" t="str">
        <f>IF($C9="","",_xll.RDP.Data($C9,"TR.CashandEquivalents","Curn=#1",,$D$1)/1000000)</f>
        <v/>
      </c>
      <c r="J9" s="338" t="str">
        <f>IF(C9="","",G9+H9-I9)</f>
        <v/>
      </c>
      <c r="K9" s="341" t="str" cm="1">
        <f t="array" ref="K9">IF($C9="","",_xll.RDP.Data($C9,"TR.TotalEquity","Curn=#1",,$D$1)/1000000)</f>
        <v/>
      </c>
      <c r="L9" s="88" t="str">
        <f>IF($C9="","",_xll.RDP.Data($C9,"TR.BetaFiveYear/*Beta 5 Year Monthly*//*Beta 5 Year Monthly*/"))</f>
        <v/>
      </c>
      <c r="M9" s="342" t="str">
        <f>IF(C9="","",_xll.RDP.Data($C9,"TR.PriceTargetMean","Curn=#1",,$D$1))</f>
        <v/>
      </c>
      <c r="N9" s="340"/>
    </row>
    <row r="10" spans="2:31" s="85" customFormat="1" ht="15.75" customHeight="1">
      <c r="B10" s="79" t="str" cm="1">
        <f t="array" ref="B10">IF($C10="","",_xll.RDP.Data($C10,"DSPLY_NAME"))</f>
        <v/>
      </c>
      <c r="C10" s="90"/>
      <c r="D10" s="86" t="str">
        <f>IF(C10="","",_xll.RDP.Data($C10,"TR.PriceClose","Curn=#1",,$D$1))</f>
        <v/>
      </c>
      <c r="E10" s="87" t="str">
        <f>IF($C10="","",_xll.RDP.Data($C10,"MAX(TR.PriceHigh(SDate=0D,EDate=0D-364C))/*52 Week High*/","Curn=#1",,$D$1))</f>
        <v/>
      </c>
      <c r="F10" s="82" t="str">
        <f>IF(C10="","",_xll.RDP.Data($C10,"TR.CompanySharesOutstanding(SDate=0)/*# Shares Outstanding*/")/1000000)</f>
        <v/>
      </c>
      <c r="G10" s="341" t="str">
        <f t="shared" si="0"/>
        <v/>
      </c>
      <c r="H10" s="341" t="str" cm="1">
        <f t="array" ref="H10">IF($C10="","",_xll.RDP.Data($C10,"TR.TotalDebtOutstanding","Curn=#1",,$D$1)/1000000)</f>
        <v/>
      </c>
      <c r="I10" s="341" t="str">
        <f>IF($C10="","",_xll.RDP.Data($C10,"TR.CashandEquivalents","Curn=#1",,$D$1)/1000000)</f>
        <v/>
      </c>
      <c r="J10" s="341" t="str">
        <f>IF(C10="","",G10+H10-I10)</f>
        <v/>
      </c>
      <c r="K10" s="341" t="str" cm="1">
        <f t="array" ref="K10">IF($C10="","",_xll.RDP.Data($C10,"TR.TotalEquity","Curn=#1",,$D$1)/1000000)</f>
        <v/>
      </c>
      <c r="L10" s="88" t="str">
        <f>IF($C10="","",_xll.RDP.Data($C10,"TR.BetaFiveYear/*Beta 5 Year Monthly*//*Beta 5 Year Monthly*/"))</f>
        <v/>
      </c>
      <c r="M10" s="342" t="str">
        <f>IF(C10="","",_xll.RDP.Data($C10,"TR.PriceTargetMean","Curn=#1",,$D$1))</f>
        <v/>
      </c>
      <c r="N10" s="340"/>
    </row>
    <row r="11" spans="2:31" s="85" customFormat="1" ht="15.75" customHeight="1">
      <c r="B11" s="79" t="str" cm="1">
        <f t="array" ref="B11">IF($C11="","",_xll.RDP.Data($C11,"DSPLY_NAME"))</f>
        <v/>
      </c>
      <c r="C11" s="354"/>
      <c r="D11" s="86" t="str">
        <f>IF(C11="","",_xll.RDP.Data($C11,"TR.PriceClose","Curn=#1",,$D$1))</f>
        <v/>
      </c>
      <c r="E11" s="87" t="str">
        <f>IF($C11="","",_xll.RDP.Data($C11,"MAX(TR.PriceHigh(SDate=0D,EDate=0D-364C))/*52 Week High*/","Curn=#1",,$D$1))</f>
        <v/>
      </c>
      <c r="F11" s="82" t="str">
        <f>IF(C11="","",_xll.RDP.Data($C11,"TR.CompanySharesOutstanding(SDate=0)/*# Shares Outstanding*/")/1000000)</f>
        <v/>
      </c>
      <c r="G11" s="341" t="str">
        <f t="shared" si="0"/>
        <v/>
      </c>
      <c r="H11" s="341" t="str" cm="1">
        <f t="array" ref="H11">IF($C11="","",_xll.RDP.Data($C11,"TR.TotalDebtOutstanding","Curn=#1",,$D$1)/1000000)</f>
        <v/>
      </c>
      <c r="I11" s="341" t="str">
        <f>IF($C11="","",_xll.RDP.Data($C11,"TR.CashandEquivalents","Curn=#1",,$D$1)/1000000)</f>
        <v/>
      </c>
      <c r="J11" s="341" t="str">
        <f t="shared" ref="J11:J13" si="1">IF(C11="","",G11+H11-I11)</f>
        <v/>
      </c>
      <c r="K11" s="341" t="str" cm="1">
        <f t="array" ref="K11">IF($C11="","",_xll.RDP.Data($C11,"TR.TotalEquity","Curn=#1",,$D$1)/1000000)</f>
        <v/>
      </c>
      <c r="L11" s="88" t="str">
        <f>IF($C11="","",_xll.RDP.Data($C11,"TR.BetaFiveYear/*Beta 5 Year Monthly*//*Beta 5 Year Monthly*/"))</f>
        <v/>
      </c>
      <c r="M11" s="342" t="str">
        <f>IF(C11="","",_xll.RDP.Data($C11,"TR.PriceTargetMean","Curn=#1",,$D$1))</f>
        <v/>
      </c>
      <c r="N11" s="340"/>
    </row>
    <row r="12" spans="2:31" s="85" customFormat="1" ht="15.75" customHeight="1">
      <c r="B12" s="79" t="str" cm="1">
        <f t="array" ref="B12">IF($C12="","",_xll.RDP.Data($C12,"DSPLY_NAME"))</f>
        <v/>
      </c>
      <c r="C12" s="90"/>
      <c r="D12" s="86" t="str">
        <f>IF(C12="","",_xll.RDP.Data($C12,"TR.PriceClose","Curn=#1",,$D$1))</f>
        <v/>
      </c>
      <c r="E12" s="87" t="str">
        <f>IF($C12="","",_xll.RDP.Data($C12,"MAX(TR.PriceHigh(SDate=0D,EDate=0D-364C))/*52 Week High*/","Curn=#1",,$D$1))</f>
        <v/>
      </c>
      <c r="F12" s="344" t="str">
        <f>IF(C12="","",_xll.RDP.Data($C12,"TR.CompanySharesOutstanding(SDate=0)/*# Shares Outstanding*/")/1000000)</f>
        <v/>
      </c>
      <c r="G12" s="341" t="str">
        <f t="shared" si="0"/>
        <v/>
      </c>
      <c r="H12" s="341" t="str" cm="1">
        <f t="array" ref="H12">IF($C12="","",_xll.RDP.Data($C12,"TR.TotalDebtOutstanding","Curn=#1",,$D$1)/1000000)</f>
        <v/>
      </c>
      <c r="I12" s="341" t="str">
        <f>IF($C12="","",_xll.RDP.Data($C12,"TR.CashandEquivalents","Curn=#1",,$D$1)/1000000)</f>
        <v/>
      </c>
      <c r="J12" s="341" t="str">
        <f t="shared" si="1"/>
        <v/>
      </c>
      <c r="K12" s="341" t="str" cm="1">
        <f t="array" ref="K12">IF($C12="","",_xll.RDP.Data($C12,"TR.TotalEquity","Curn=#1",,$D$1)/1000000)</f>
        <v/>
      </c>
      <c r="L12" s="88" t="str">
        <f>IF($C12="","",_xll.RDP.Data($C12,"TR.BetaFiveYear/*Beta 5 Year Monthly*//*Beta 5 Year Monthly*/"))</f>
        <v/>
      </c>
      <c r="M12" s="342" t="str">
        <f>IF(C12="","",_xll.RDP.Data($C12,"TR.PriceTargetMean","Curn=#1",,$D$1))</f>
        <v/>
      </c>
      <c r="N12" s="340"/>
    </row>
    <row r="13" spans="2:31" s="85" customFormat="1" ht="15.75" customHeight="1">
      <c r="B13" s="79" t="str" cm="1">
        <f t="array" ref="B13">IF($C13="","",_xll.RDP.Data($C13,"DSPLY_NAME"))</f>
        <v/>
      </c>
      <c r="C13" s="90"/>
      <c r="D13" s="86" t="str">
        <f>IF(C13="","",_xll.RDP.Data($C13,"TR.PriceClose","Curn=#1",,$D$1))</f>
        <v/>
      </c>
      <c r="E13" s="87" t="str">
        <f>IF($C13="","",_xll.RDP.Data($C13,"MAX(TR.PriceHigh(SDate=0D,EDate=0D-364C))/*52 Week High*/","Curn=#1",,$D$1))</f>
        <v/>
      </c>
      <c r="F13" s="344" t="str">
        <f>IF(C13="","",_xll.RDP.Data($C13,"TR.CompanySharesOutstanding(SDate=0)/*# Shares Outstanding*/")/1000000)</f>
        <v/>
      </c>
      <c r="G13" s="341" t="str">
        <f t="shared" si="0"/>
        <v/>
      </c>
      <c r="H13" s="341" t="str" cm="1">
        <f t="array" ref="H13">IF($C13="","",_xll.RDP.Data($C13,"TR.TotalDebtOutstanding","Curn=#1",,$D$1)/1000000)</f>
        <v/>
      </c>
      <c r="I13" s="341" t="str">
        <f>IF($C13="","",_xll.RDP.Data($C13,"TR.CashandEquivalents","Curn=#1",,$D$1)/1000000)</f>
        <v/>
      </c>
      <c r="J13" s="341" t="str">
        <f t="shared" si="1"/>
        <v/>
      </c>
      <c r="K13" s="341" t="str" cm="1">
        <f t="array" ref="K13">IF($C13="","",_xll.RDP.Data($C13,"TR.TotalEquity","Curn=#1",,$D$1)/1000000)</f>
        <v/>
      </c>
      <c r="L13" s="88" t="str">
        <f>IF($C13="","",_xll.RDP.Data($C13,"TR.BetaFiveYear/*Beta 5 Year Monthly*//*Beta 5 Year Monthly*/"))</f>
        <v/>
      </c>
      <c r="M13" s="342" t="str">
        <f>IF(C13="","",_xll.RDP.Data($C13,"TR.PriceTargetMean","Curn=#1",,$D$1))</f>
        <v/>
      </c>
      <c r="N13" s="340"/>
    </row>
    <row r="14" spans="2:31" s="85" customFormat="1" ht="15.75" customHeight="1">
      <c r="B14" s="79" t="str" cm="1">
        <f t="array" ref="B14">IF($C14="","",_xll.RDP.Data($C14,"DSPLY_NAME"))</f>
        <v/>
      </c>
      <c r="C14" s="90"/>
      <c r="D14" s="86" t="str">
        <f>IF(C14="","",_xll.RDP.Data($C14,"TR.PriceClose","Curn=#1",,$D$1))</f>
        <v/>
      </c>
      <c r="E14" s="87" t="str">
        <f>IF($C14="","",_xll.RDP.Data($C14,"MAX(TR.PriceHigh(SDate=0D,EDate=0D-364C))/*52 Week High*/","Curn=#1",,$D$1))</f>
        <v/>
      </c>
      <c r="F14" s="344" t="str">
        <f>IF(C14="","",_xll.RDP.Data($C14,"TR.CompanySharesOutstanding(SDate=0)/*# Shares Outstanding*/")/1000000)</f>
        <v/>
      </c>
      <c r="G14" s="341" t="str">
        <f>IF(C14="","",D14*F14)</f>
        <v/>
      </c>
      <c r="H14" s="83" t="str" cm="1">
        <f t="array" ref="H14">IF($C14="","",_xll.RDP.Data($C14,"TR.TotalDebtOutstanding","Curn=#1",,$D$1)/1000000)</f>
        <v/>
      </c>
      <c r="I14" s="341" t="str">
        <f>IF($C14="","",_xll.RDP.Data($C14,"TR.CashandEquivalents","Curn=#1",,$D$1)/1000000)</f>
        <v/>
      </c>
      <c r="J14" s="341" t="str">
        <f>IF(C14="","",G14+H14-I14)</f>
        <v/>
      </c>
      <c r="K14" s="83" t="str" cm="1">
        <f t="array" ref="K14">IF($C14="","",_xll.RDP.Data($C14,"TR.TotalEquity","Curn=#1",,$D$1)/1000000)</f>
        <v/>
      </c>
      <c r="L14" s="88" t="str">
        <f>IF($C14="","",_xll.RDP.Data($C14,"TR.BetaFiveYear/*Beta 5 Year Monthly*//*Beta 5 Year Monthly*/"))</f>
        <v/>
      </c>
      <c r="M14" s="342" t="str">
        <f>IF(C14="","",_xll.RDP.Data($C14,"TR.PriceTargetMean","Curn=#1",,$D$1))</f>
        <v/>
      </c>
      <c r="N14" s="340"/>
    </row>
    <row r="15" spans="2:31" s="85" customFormat="1" ht="15.75" customHeight="1">
      <c r="B15" s="79" t="str" cm="1">
        <f t="array" ref="B15">IF($C15="","",_xll.RDP.Data($C15,"DSPLY_NAME"))</f>
        <v/>
      </c>
      <c r="C15" s="90"/>
      <c r="D15" s="86" t="str">
        <f>IF(C15="","",_xll.RDP.Data($C15,"TR.PriceClose","Curn=#1",,$D$1))</f>
        <v/>
      </c>
      <c r="E15" s="87" t="str">
        <f>IF($C15="","",_xll.RDP.Data($C15,"MAX(TR.PriceHigh(SDate=0D,EDate=0D-364C))/*52 Week High*/","Curn=#1",,$D$1))</f>
        <v/>
      </c>
      <c r="F15" s="91" t="str">
        <f>IF(C15="","",_xll.RDP.Data($C15,"TR.CompanySharesOutstanding(SDate=0)/*# Shares Outstanding*/")/1000000)</f>
        <v/>
      </c>
      <c r="G15" s="83" t="str">
        <f>IF(C15="","",D15*F15)</f>
        <v/>
      </c>
      <c r="H15" s="83" t="str" cm="1">
        <f t="array" ref="H15">IF($C15="","",_xll.RDP.Data($C15,"TR.TotalDebtOutstanding","Curn=#1",,$D$1)/1000000)</f>
        <v/>
      </c>
      <c r="I15" s="83" t="str">
        <f>IF($C15="","",_xll.RDP.Data($C15,"TR.CashandEquivalents","Curn=#1",,$D$1)/1000000)</f>
        <v/>
      </c>
      <c r="J15" s="83" t="str">
        <f>IF(C15="","",G15+H15-I15)</f>
        <v/>
      </c>
      <c r="K15" s="83" t="str" cm="1">
        <f t="array" ref="K15">IF($C15="","",_xll.RDP.Data($C15,"TR.TotalEquity","Curn=#1",,$D$1)/1000000)</f>
        <v/>
      </c>
      <c r="L15" s="88" t="str">
        <f>IF($C15="","",_xll.RDP.Data($C15,"TR.BetaFiveYear/*Beta 5 Year Monthly*//*Beta 5 Year Monthly*/"))</f>
        <v/>
      </c>
      <c r="M15" s="89" t="str">
        <f>IF(C15="","",_xll.RDP.Data($C15,"TR.PriceTargetMean","Curn=#1",,$D$1))</f>
        <v/>
      </c>
      <c r="N15" s="340"/>
    </row>
    <row r="16" spans="2:31" s="126" customFormat="1" ht="15.75" customHeight="1">
      <c r="B16" s="92" t="str" cm="1">
        <f t="array" ref="B16">IF($C16="","",_xll.RDP.Data($C16,"DSPLY_NAME"))</f>
        <v>PEPSICO INC/d</v>
      </c>
      <c r="C16" s="93" t="s">
        <v>432</v>
      </c>
      <c r="D16" s="94">
        <f>IF(C16="","",_xll.RDP.Data($C16,"TR.PriceClose","Curn=#1",,$D$1))</f>
        <v>130.74</v>
      </c>
      <c r="E16" s="95">
        <f>IF($C16="","",_xll.RDP.Data($C16,"MAX(TR.PriceHigh(SDate=0D,EDate=0D-364C))/*52 Week High*/","Curn=#1",,$D$1))</f>
        <v>183.41</v>
      </c>
      <c r="F16" s="96">
        <f>IF(C16="","",_xll.RDP.Data($C16,"TR.CompanySharesOutstanding(SDate=0)/*# Shares Outstanding*/")/1000000)</f>
        <v>1371.07954</v>
      </c>
      <c r="G16" s="345">
        <f t="shared" ref="G16" si="2">IF(C16="","",D16*F16)</f>
        <v>179254.9390596</v>
      </c>
      <c r="H16" s="345" cm="1">
        <f t="array" ref="H16">IF($C16="","",_xll.RDP.Data($C16,"TR.TotalDebtOutstanding","Curn=#1",,$D$1)/1000000)</f>
        <v>44306</v>
      </c>
      <c r="I16" s="345">
        <f>IF($C16="","",_xll.RDP.Data($C16,"TR.CashandEquivalents","Curn=#1",,$D$1)/1000000)</f>
        <v>8505</v>
      </c>
      <c r="J16" s="345">
        <f t="shared" ref="J16" si="3">IF(C16="","",G16+H16-I16)</f>
        <v>215055.9390596</v>
      </c>
      <c r="K16" s="345" cm="1">
        <f t="array" ref="K16">IF($C16="","",_xll.RDP.Data($C16,"TR.TotalEquity","Curn=#1",,$D$1)/1000000)</f>
        <v>18041</v>
      </c>
      <c r="L16" s="97">
        <f>IF($C16="","",_xll.RDP.Data($C16,"TR.BetaFiveYear/*Beta 5 Year Monthly*//*Beta 5 Year Monthly*/"))</f>
        <v>0.48841265351209401</v>
      </c>
      <c r="M16" s="346">
        <f>IF(C16="","",_xll.RDP.Data($C16,"TR.PriceTargetMean","Curn=#1",,$D$1))</f>
        <v>150.48142999999999</v>
      </c>
      <c r="N16" s="340"/>
      <c r="O16" s="85"/>
      <c r="P16" s="85"/>
      <c r="Q16" s="85"/>
      <c r="R16" s="85"/>
      <c r="S16" s="85"/>
      <c r="T16" s="85"/>
      <c r="U16" s="85"/>
      <c r="V16" s="85"/>
      <c r="W16" s="85"/>
      <c r="X16" s="85"/>
      <c r="Y16" s="85"/>
      <c r="Z16" s="85"/>
      <c r="AA16" s="85"/>
      <c r="AB16" s="85"/>
      <c r="AC16" s="85"/>
      <c r="AD16" s="85"/>
      <c r="AE16" s="85"/>
    </row>
    <row r="17" spans="2:19" ht="15.75" customHeight="1">
      <c r="D17" s="63" t="s">
        <v>302</v>
      </c>
      <c r="E17" s="63" t="s">
        <v>302</v>
      </c>
      <c r="F17" s="63" t="s">
        <v>302</v>
      </c>
      <c r="G17" s="63" t="s">
        <v>302</v>
      </c>
      <c r="H17" s="63" t="s">
        <v>302</v>
      </c>
      <c r="I17" s="63" t="s">
        <v>302</v>
      </c>
      <c r="J17" s="63" t="s">
        <v>302</v>
      </c>
      <c r="K17" s="63" t="s">
        <v>302</v>
      </c>
      <c r="L17" s="63" t="s">
        <v>302</v>
      </c>
      <c r="M17" s="63" t="s">
        <v>302</v>
      </c>
    </row>
    <row r="18" spans="2:19" ht="15.75" customHeight="1">
      <c r="B18" s="66" t="s">
        <v>210</v>
      </c>
      <c r="C18" s="98"/>
      <c r="D18" s="66"/>
      <c r="E18" s="66"/>
      <c r="F18" s="66"/>
      <c r="G18" s="66"/>
      <c r="H18" s="66"/>
      <c r="I18" s="66"/>
      <c r="J18" s="66"/>
      <c r="K18" s="66"/>
      <c r="L18" s="66"/>
      <c r="M18" s="66"/>
      <c r="N18" s="66"/>
      <c r="O18" s="66"/>
      <c r="P18" s="66"/>
      <c r="Q18" s="99"/>
      <c r="R18" s="68"/>
    </row>
    <row r="19" spans="2:19" ht="15.75" customHeight="1">
      <c r="B19" s="69"/>
      <c r="C19" s="70"/>
      <c r="D19" s="100" t="s">
        <v>211</v>
      </c>
      <c r="E19" s="101"/>
      <c r="F19" s="101"/>
      <c r="G19" s="102"/>
      <c r="H19" s="100" t="s">
        <v>212</v>
      </c>
      <c r="I19" s="101"/>
      <c r="J19" s="101"/>
      <c r="K19" s="102"/>
      <c r="L19" s="101" t="s">
        <v>213</v>
      </c>
      <c r="M19" s="101"/>
      <c r="N19" s="102"/>
      <c r="O19" s="100" t="s">
        <v>214</v>
      </c>
      <c r="P19" s="101"/>
      <c r="Q19" s="102"/>
      <c r="R19" s="74" t="s">
        <v>215</v>
      </c>
    </row>
    <row r="20" spans="2:19" ht="15.75" customHeight="1">
      <c r="B20" s="75" t="s">
        <v>199</v>
      </c>
      <c r="C20" s="75" t="s">
        <v>200</v>
      </c>
      <c r="D20" s="103" t="s">
        <v>216</v>
      </c>
      <c r="E20" s="104" t="s">
        <v>217</v>
      </c>
      <c r="F20" s="104" t="s">
        <v>218</v>
      </c>
      <c r="G20" s="105" t="s">
        <v>219</v>
      </c>
      <c r="H20" s="103" t="s">
        <v>216</v>
      </c>
      <c r="I20" s="104" t="s">
        <v>217</v>
      </c>
      <c r="J20" s="104" t="s">
        <v>218</v>
      </c>
      <c r="K20" s="105" t="s">
        <v>219</v>
      </c>
      <c r="L20" s="103" t="s">
        <v>216</v>
      </c>
      <c r="M20" s="104" t="s">
        <v>217</v>
      </c>
      <c r="N20" s="105" t="s">
        <v>218</v>
      </c>
      <c r="O20" s="103" t="s">
        <v>216</v>
      </c>
      <c r="P20" s="104" t="s">
        <v>217</v>
      </c>
      <c r="Q20" s="105" t="s">
        <v>218</v>
      </c>
      <c r="R20" s="75" t="s">
        <v>220</v>
      </c>
    </row>
    <row r="21" spans="2:19" ht="15.75" customHeight="1">
      <c r="B21" s="106" t="str">
        <f>B6</f>
        <v>COCA-COLA CO/d</v>
      </c>
      <c r="C21" s="107" t="str">
        <f t="shared" ref="C21:C31" si="4">IF(C6="","",C6)</f>
        <v>KO</v>
      </c>
      <c r="D21" s="108" cm="1">
        <f t="array" ref="D21">IF($C21="","",_xll.RDP.Data($C21,"TR.Revenue","Curn=#1",,$D$1)/1000000)</f>
        <v>47061</v>
      </c>
      <c r="E21" s="108" cm="1">
        <f t="array" ref="E21">IF($C21="","",_xll.RDP.Data($C21,"TR.RevenueMean","Period=FY1 Frq=D SDate=1D Curn=#1",,$D$1)/1000000)</f>
        <v>48074.280780000001</v>
      </c>
      <c r="F21" s="108" cm="1">
        <f t="array" ref="F21">IF($C21="","",_xll.RDP.Data($C21,"TR.RevenueMean","Period=FY2 Frq=D SDate=1D Curn=#1",,$D$1)/1000000)</f>
        <v>50638.118280000002</v>
      </c>
      <c r="G21" s="109" cm="1">
        <f t="array" ref="G21">IF($C21="","",_xll.RDP.Data($C21,"TR.RevenueMean","Period=FY3 Frq=D SDate=1D Curn=#1",,$D$1)/1000000)</f>
        <v>53585.798799999997</v>
      </c>
      <c r="H21" s="110">
        <f>IF($C21="","",_xll.RDP.Data($C21,"TR.EPSMean","Period=FY0 Frq=D SDate=1D Curn=#1",,$D$1))</f>
        <v>2.8518300000000001</v>
      </c>
      <c r="I21" s="110">
        <f>IF($C21="","",_xll.RDP.Data($C21,"TR.EPSMean","Period=FY1 Frq=D SDate=1D Curn=#1",,$D$1))</f>
        <v>2.9612599999999998</v>
      </c>
      <c r="J21" s="110">
        <f>IF($C21="","",_xll.RDP.Data($C21,"TR.EPSMean","Period=FY2 Frq=D SDate=1D Curn=#1",,$D$1))</f>
        <v>3.19855</v>
      </c>
      <c r="K21" s="111">
        <f>IF($C21="","",_xll.RDP.Data($C21,"TR.EPSMean","Period=FY3 Frq=D SDate=1D Curn=#1",,$D$1))</f>
        <v>3.4331999999999998</v>
      </c>
      <c r="L21" s="112" cm="1">
        <f t="array" ref="L21">IF($C21="","",_xll.RDP.Data($C21,"TR.EBITMean","Period=FY0 Frq=D SDate=1D Curn=#1",,$D$1)/1000000)</f>
        <v>14039.56667</v>
      </c>
      <c r="M21" s="112" cm="1">
        <f t="array" ref="M21">IF($C21="","",_xll.RDP.Data($C21,"TR.EBITMean","Period=FY1 Frq=D SDate=1D Curn=#1",,$D$1)/1000000)</f>
        <v>15012.33943</v>
      </c>
      <c r="N21" s="113" cm="1">
        <f t="array" ref="N21">IF($C21="","",_xll.RDP.Data($C21,"TR.EBITMean","Period=FY2 Frq=D SDate=1D Curn=#1",,$D$1)/1000000)</f>
        <v>16080.411400000001</v>
      </c>
      <c r="O21" s="114" cm="1">
        <f t="array" ref="O21">IF($C21="","",_xll.RDP.Data($C21,"TR.EBITDAMean","Period=FY0 Frq=D SDate=1D Curn=#1",,$D$1)/1000000)</f>
        <v>15081.7745</v>
      </c>
      <c r="P21" s="112" cm="1">
        <f t="array" ref="P21">IF($C21="","",_xll.RDP.Data($C21,"TR.EBITDAMean","Period=FY1 Frq=D SDate=1D Curn=#1",,$D$1)/1000000)</f>
        <v>16201.572770000001</v>
      </c>
      <c r="Q21" s="113" cm="1">
        <f t="array" ref="Q21">IF($C21="","",_xll.RDP.Data($C21,"TR.EBITDAMean","Period=FY2 Frq=D SDate=1D Curn=#1",,$D$1)/1000000)</f>
        <v>17404.65308</v>
      </c>
      <c r="R21" s="115" cm="1">
        <f t="array" ref="R21">IF($C21="","",_xll.RDP.Data($C21,"TR.LTGMean",,)/100)</f>
        <v>6.1033299999999999E-2</v>
      </c>
    </row>
    <row r="22" spans="2:19" ht="15.75" customHeight="1">
      <c r="B22" s="106" t="str">
        <f t="shared" ref="B22:B28" si="5">B7</f>
        <v>MONSTER BEV CO/d</v>
      </c>
      <c r="C22" s="107" t="str">
        <f t="shared" si="4"/>
        <v>MNST.O</v>
      </c>
      <c r="D22" s="108" cm="1">
        <f t="array" ref="D22">IF($C22="","",_xll.RDP.Data($C22,"TR.Revenue","Curn=#1",,$D$1)/1000000)</f>
        <v>7492.7089999999998</v>
      </c>
      <c r="E22" s="347" cm="1">
        <f t="array" ref="E22">IF($C22="","",_xll.RDP.Data($C22,"TR.RevenueMean","Period=FY1 Frq=D SDate=1D Curn=#1",,$D$1)/1000000)</f>
        <v>8011.5093299999999</v>
      </c>
      <c r="F22" s="108" cm="1">
        <f t="array" ref="F22">IF($C22="","",_xll.RDP.Data($C22,"TR.RevenueMean","Period=FY2 Frq=D SDate=1D Curn=#1",,$D$1)/1000000)</f>
        <v>8626.9798599999995</v>
      </c>
      <c r="G22" s="116" cm="1">
        <f t="array" ref="G22">IF($C22="","",_xll.RDP.Data($C22,"TR.RevenueMean","Period=FY3 Frq=D SDate=1D Curn=#1",,$D$1)/1000000)</f>
        <v>9316.8475799999997</v>
      </c>
      <c r="H22" s="110">
        <f>IF($C22="","",_xll.RDP.Data($C22,"TR.EPSMean","Period=FY0 Frq=D SDate=1D Curn=#1",,$D$1))</f>
        <v>1.6430899999999999</v>
      </c>
      <c r="I22" s="110">
        <f>IF($C22="","",_xll.RDP.Data($C22,"TR.EPSMean","Period=FY1 Frq=D SDate=1D Curn=#1",,$D$1))</f>
        <v>1.8405</v>
      </c>
      <c r="J22" s="110">
        <f>IF($C22="","",_xll.RDP.Data($C22,"TR.EPSMean","Period=FY2 Frq=D SDate=1D Curn=#1",,$D$1))</f>
        <v>2.0471900000000001</v>
      </c>
      <c r="K22" s="111">
        <f>IF($C22="","",_xll.RDP.Data($C22,"TR.EPSMean","Period=FY3 Frq=D SDate=1D Curn=#1",,$D$1))</f>
        <v>2.2871999999999999</v>
      </c>
      <c r="L22" s="112" cm="1">
        <f t="array" ref="L22">IF($C22="","",_xll.RDP.Data($C22,"TR.EBITMean","Period=FY0 Frq=D SDate=1D Curn=#1",,$D$1)/1000000)</f>
        <v>2085.9087800000002</v>
      </c>
      <c r="M22" s="112" cm="1">
        <f t="array" ref="M22">IF($C22="","",_xll.RDP.Data($C22,"TR.EBITMean","Period=FY1 Frq=D SDate=1D Curn=#1",,$D$1)/1000000)</f>
        <v>2295.0584399999998</v>
      </c>
      <c r="N22" s="113" cm="1">
        <f t="array" ref="N22">IF($C22="","",_xll.RDP.Data($C22,"TR.EBITMean","Period=FY2 Frq=D SDate=1D Curn=#1",,$D$1)/1000000)</f>
        <v>2507.11733</v>
      </c>
      <c r="O22" s="114" cm="1">
        <f t="array" ref="O22">IF($C22="","",_xll.RDP.Data($C22,"TR.EBITDAMean","Period=FY0 Frq=D SDate=1D Curn=#1",,$D$1)/1000000)</f>
        <v>2170.65328</v>
      </c>
      <c r="P22" s="112" cm="1">
        <f t="array" ref="P22">IF($C22="","",_xll.RDP.Data($C22,"TR.EBITDAMean","Period=FY1 Frq=D SDate=1D Curn=#1",,$D$1)/1000000)</f>
        <v>2385.3069300000002</v>
      </c>
      <c r="Q22" s="113" cm="1">
        <f t="array" ref="Q22">IF($C22="","",_xll.RDP.Data($C22,"TR.EBITDAMean","Period=FY2 Frq=D SDate=1D Curn=#1",,$D$1)/1000000)</f>
        <v>2598.1297300000001</v>
      </c>
      <c r="R22" s="115" cm="1">
        <f t="array" ref="R22">IF($C22="","",_xll.RDP.Data($C22,"TR.LTGMean",,)/100)</f>
        <v>0.1366</v>
      </c>
    </row>
    <row r="23" spans="2:19" ht="15.75" customHeight="1">
      <c r="B23" s="106" t="str">
        <f t="shared" si="5"/>
        <v>KRIG DR PPPR O/d</v>
      </c>
      <c r="C23" s="107" t="str">
        <f t="shared" si="4"/>
        <v>KDP.O</v>
      </c>
      <c r="D23" s="108" cm="1">
        <f t="array" ref="D23">IF($C23="","",_xll.RDP.Data($C23,"TR.Revenue","Curn=#1",,$D$1)/1000000)</f>
        <v>15351</v>
      </c>
      <c r="E23" s="108" cm="1">
        <f t="array" ref="E23">IF($C23="","",_xll.RDP.Data($C23,"TR.RevenueMean","Period=FY1 Frq=D SDate=1D Curn=#1",,$D$1)/1000000)</f>
        <v>16177.698560000001</v>
      </c>
      <c r="F23" s="347" cm="1">
        <f t="array" ref="F23">IF($C23="","",_xll.RDP.Data($C23,"TR.RevenueMean","Period=FY2 Frq=D SDate=1D Curn=#1",,$D$1)/1000000)</f>
        <v>16820.98633</v>
      </c>
      <c r="G23" s="116" cm="1">
        <f t="array" ref="G23">IF($C23="","",_xll.RDP.Data($C23,"TR.RevenueMean","Period=FY3 Frq=D SDate=1D Curn=#1",,$D$1)/1000000)</f>
        <v>17432.27475</v>
      </c>
      <c r="H23" s="110">
        <f>IF($C23="","",_xll.RDP.Data($C23,"TR.EPSMean","Period=FY0 Frq=D SDate=1D Curn=#1",,$D$1))</f>
        <v>1.9122600000000001</v>
      </c>
      <c r="I23" s="110">
        <f>IF($C23="","",_xll.RDP.Data($C23,"TR.EPSMean","Period=FY1 Frq=D SDate=1D Curn=#1",,$D$1))</f>
        <v>2.03782</v>
      </c>
      <c r="J23" s="110">
        <f>IF($C23="","",_xll.RDP.Data($C23,"TR.EPSMean","Period=FY2 Frq=D SDate=1D Curn=#1",,$D$1))</f>
        <v>2.1684700000000001</v>
      </c>
      <c r="K23" s="111">
        <f>IF($C23="","",_xll.RDP.Data($C23,"TR.EPSMean","Period=FY3 Frq=D SDate=1D Curn=#1",,$D$1))</f>
        <v>2.3117000000000001</v>
      </c>
      <c r="L23" s="112" cm="1">
        <f t="array" ref="L23">IF($C23="","",_xll.RDP.Data($C23,"TR.EBITMean","Period=FY0 Frq=D SDate=1D Curn=#1",,$D$1)/1000000)</f>
        <v>3977.5149299999998</v>
      </c>
      <c r="M23" s="112" cm="1">
        <f t="array" ref="M23">IF($C23="","",_xll.RDP.Data($C23,"TR.EBITMean","Period=FY1 Frq=D SDate=1D Curn=#1",,$D$1)/1000000)</f>
        <v>4193.4359999999997</v>
      </c>
      <c r="N23" s="113" cm="1">
        <f t="array" ref="N23">IF($C23="","",_xll.RDP.Data($C23,"TR.EBITMean","Period=FY2 Frq=D SDate=1D Curn=#1",,$D$1)/1000000)</f>
        <v>4441.98657</v>
      </c>
      <c r="O23" s="114" cm="1">
        <f t="array" ref="O23">IF($C23="","",_xll.RDP.Data($C23,"TR.EBITDAMean","Period=FY0 Frq=D SDate=1D Curn=#1",,$D$1)/1000000)</f>
        <v>4532.3742000000002</v>
      </c>
      <c r="P23" s="112" cm="1">
        <f t="array" ref="P23">IF($C23="","",_xll.RDP.Data($C23,"TR.EBITDAMean","Period=FY1 Frq=D SDate=1D Curn=#1",,$D$1)/1000000)</f>
        <v>4811.3357699999997</v>
      </c>
      <c r="Q23" s="113" cm="1">
        <f t="array" ref="Q23">IF($C23="","",_xll.RDP.Data($C23,"TR.EBITDAMean","Period=FY2 Frq=D SDate=1D Curn=#1",,$D$1)/1000000)</f>
        <v>5059.6085400000002</v>
      </c>
      <c r="R23" s="115" cm="1">
        <f t="array" ref="R23">IF($C23="","",_xll.RDP.Data($C23,"TR.LTGMean",,)/100)</f>
        <v>6.4100000000000004E-2</v>
      </c>
      <c r="S23" s="348"/>
    </row>
    <row r="24" spans="2:19" ht="15.75" customHeight="1">
      <c r="B24" s="106" t="str">
        <f t="shared" si="5"/>
        <v/>
      </c>
      <c r="C24" s="107" t="str">
        <f t="shared" si="4"/>
        <v/>
      </c>
      <c r="D24" s="108" t="str" cm="1">
        <f t="array" ref="D24">IF($C24="","",_xll.RDP.Data($C24,"TR.Revenue","Curn=#1",,$D$1)/1000000)</f>
        <v/>
      </c>
      <c r="E24" s="108" t="str" cm="1">
        <f t="array" ref="E24">IF($C24="","",_xll.RDP.Data($C24,"TR.RevenueMean","Period=FY1 Frq=D SDate=1D Curn=#1",,$D$1)/1000000)</f>
        <v/>
      </c>
      <c r="F24" s="108" t="str" cm="1">
        <f t="array" ref="F24">IF($C24="","",_xll.RDP.Data($C24,"TR.RevenueMean","Period=FY2 Frq=D SDate=1D Curn=#1",,$D$1)/1000000)</f>
        <v/>
      </c>
      <c r="G24" s="116" t="str" cm="1">
        <f t="array" ref="G24">IF($C24="","",_xll.RDP.Data($C24,"TR.RevenueMean","Period=FY3 Frq=D SDate=1D Curn=#1",,$D$1)/1000000)</f>
        <v/>
      </c>
      <c r="H24" s="110" t="str">
        <f>IF($C24="","",_xll.RDP.Data($C24,"TR.EPSMean","Period=FY0 Frq=D SDate=1D Curn=#1",,$D$1))</f>
        <v/>
      </c>
      <c r="I24" s="110" t="str">
        <f>IF($C24="","",_xll.RDP.Data($C24,"TR.EPSMean","Period=FY1 Frq=D SDate=1D Curn=#1",,$D$1))</f>
        <v/>
      </c>
      <c r="J24" s="110" t="str">
        <f>IF($C24="","",_xll.RDP.Data($C24,"TR.EPSMean","Period=FY2 Frq=D SDate=1D Curn=#1",,$D$1))</f>
        <v/>
      </c>
      <c r="K24" s="111" t="str">
        <f>IF($C24="","",_xll.RDP.Data($C24,"TR.EPSMean","Period=FY3 Frq=D SDate=1D Curn=#1",,$D$1))</f>
        <v/>
      </c>
      <c r="L24" s="112" t="str" cm="1">
        <f t="array" ref="L24">IF($C24="","",_xll.RDP.Data($C24,"TR.EBITMean","Period=FY0 Frq=D SDate=1D Curn=#1",,$D$1)/1000000)</f>
        <v/>
      </c>
      <c r="M24" s="112" t="str" cm="1">
        <f t="array" ref="M24">IF($C24="","",_xll.RDP.Data($C24,"TR.EBITMean","Period=FY1 Frq=D SDate=1D Curn=#1",,$D$1)/1000000)</f>
        <v/>
      </c>
      <c r="N24" s="113" t="str" cm="1">
        <f t="array" ref="N24">IF($C24="","",_xll.RDP.Data($C24,"TR.EBITMean","Period=FY2 Frq=D SDate=1D Curn=#1",,$D$1)/1000000)</f>
        <v/>
      </c>
      <c r="O24" s="114" t="str" cm="1">
        <f t="array" ref="O24">IF($C24="","",_xll.RDP.Data($C24,"TR.EBITDAMean","Period=FY0 Frq=D SDate=1D Curn=#1",,$D$1)/1000000)</f>
        <v/>
      </c>
      <c r="P24" s="112" t="str" cm="1">
        <f t="array" ref="P24">IF($C24="","",_xll.RDP.Data($C24,"TR.EBITDAMean","Period=FY1 Frq=D SDate=1D Curn=#1",,$D$1)/1000000)</f>
        <v/>
      </c>
      <c r="Q24" s="113" t="str" cm="1">
        <f t="array" ref="Q24">IF($C24="","",_xll.RDP.Data($C24,"TR.EBITDAMean","Period=FY2 Frq=D SDate=1D Curn=#1",,$D$1)/1000000)</f>
        <v/>
      </c>
      <c r="R24" s="115" t="str" cm="1">
        <f t="array" ref="R24">IF($C24="","",_xll.RDP.Data($C24,"TR.LTGMean",,)/100)</f>
        <v/>
      </c>
    </row>
    <row r="25" spans="2:19" ht="15.75" customHeight="1">
      <c r="B25" s="106" t="str">
        <f t="shared" si="5"/>
        <v/>
      </c>
      <c r="C25" s="107" t="str">
        <f t="shared" si="4"/>
        <v/>
      </c>
      <c r="D25" s="117" t="str" cm="1">
        <f t="array" ref="D25">IF($C25="","",_xll.RDP.Data($C25,"TR.Revenue","Curn=#1",,$D$1)/1000000)</f>
        <v/>
      </c>
      <c r="E25" s="108" t="str" cm="1">
        <f t="array" ref="E25">IF($C25="","",_xll.RDP.Data($C25,"TR.RevenueMean","Period=FY1 Frq=D SDate=1D Curn=#1",,$D$1)/1000000)</f>
        <v/>
      </c>
      <c r="F25" s="108" t="str" cm="1">
        <f t="array" ref="F25">IF($C25="","",_xll.RDP.Data($C25,"TR.RevenueMean","Period=FY2 Frq=D SDate=1D Curn=#1",,$D$1)/1000000)</f>
        <v/>
      </c>
      <c r="G25" s="116" t="str" cm="1">
        <f t="array" ref="G25">IF($C25="","",_xll.RDP.Data($C25,"TR.RevenueMean","Period=FY3 Frq=D SDate=1D Curn=#1",,$D$1)/1000000)</f>
        <v/>
      </c>
      <c r="H25" s="118" t="str">
        <f>IF($C25="","",_xll.RDP.Data($C25,"TR.EPSMean","Period=FY0 Frq=D SDate=1D Curn=#1",,$D$1))</f>
        <v/>
      </c>
      <c r="I25" s="110" t="str">
        <f>IF($C25="","",_xll.RDP.Data($C25,"TR.EPSMean","Period=FY1 Frq=D SDate=1D Curn=#1",,$D$1))</f>
        <v/>
      </c>
      <c r="J25" s="110" t="str">
        <f>IF($C25="","",_xll.RDP.Data($C25,"TR.EPSMean","Period=FY2 Frq=D SDate=1D Curn=#1",,$D$1))</f>
        <v/>
      </c>
      <c r="K25" s="111" t="str">
        <f>IF($C25="","",_xll.RDP.Data($C25,"TR.EPSMean","Period=FY3 Frq=D SDate=1D Curn=#1",,$D$1))</f>
        <v/>
      </c>
      <c r="L25" s="108" t="str" cm="1">
        <f t="array" ref="L25">IF($C25="","",_xll.RDP.Data($C25,"TR.EBITMean","Period=FY0 Frq=D SDate=1D Curn=#1",,$D$1)/1000000)</f>
        <v/>
      </c>
      <c r="M25" s="108" t="str" cm="1">
        <f t="array" ref="M25">IF($C25="","",_xll.RDP.Data($C25,"TR.EBITMean","Period=FY1 Frq=D SDate=1D Curn=#1",,$D$1)/1000000)</f>
        <v/>
      </c>
      <c r="N25" s="116" t="str" cm="1">
        <f t="array" ref="N25">IF($C25="","",_xll.RDP.Data($C25,"TR.EBITMean","Period=FY2 Frq=D SDate=1D Curn=#1",,$D$1)/1000000)</f>
        <v/>
      </c>
      <c r="O25" s="117" t="str" cm="1">
        <f t="array" ref="O25">IF($C25="","",_xll.RDP.Data($C25,"TR.EBITDAMean","Period=FY0 Frq=D SDate=1D Curn=#1",,$D$1)/1000000)</f>
        <v/>
      </c>
      <c r="P25" s="108" t="str" cm="1">
        <f t="array" ref="P25">IF($C25="","",_xll.RDP.Data($C25,"TR.EBITDAMean","Period=FY1 Frq=D SDate=1D Curn=#1",,$D$1)/1000000)</f>
        <v/>
      </c>
      <c r="Q25" s="116" t="str" cm="1">
        <f t="array" ref="Q25">IF($C25="","",_xll.RDP.Data($C25,"TR.EBITDAMean","Period=FY2 Frq=D SDate=1D Curn=#1",,$D$1)/1000000)</f>
        <v/>
      </c>
      <c r="R25" s="115" t="str" cm="1">
        <f t="array" ref="R25">IF($C25="","",_xll.RDP.Data($C25,"TR.LTGMean",,)/100)</f>
        <v/>
      </c>
    </row>
    <row r="26" spans="2:19" ht="15.75" customHeight="1">
      <c r="B26" s="106" t="str">
        <f t="shared" si="5"/>
        <v/>
      </c>
      <c r="C26" s="107" t="str">
        <f t="shared" si="4"/>
        <v/>
      </c>
      <c r="D26" s="117" t="str" cm="1">
        <f t="array" ref="D26">IF($C26="","",_xll.RDP.Data($C26,"TR.Revenue","Curn=#1",,$D$1)/1000000)</f>
        <v/>
      </c>
      <c r="E26" s="108" t="str" cm="1">
        <f t="array" ref="E26">IF($C26="","",_xll.RDP.Data($C26,"TR.RevenueMean","Period=FY1 Frq=D SDate=1D Curn=#1",,$D$1)/1000000)</f>
        <v/>
      </c>
      <c r="F26" s="108" t="str" cm="1">
        <f t="array" ref="F26">IF($C26="","",_xll.RDP.Data($C26,"TR.RevenueMean","Period=FY2 Frq=D SDate=1D Curn=#1",,$D$1)/1000000)</f>
        <v/>
      </c>
      <c r="G26" s="116" t="str" cm="1">
        <f t="array" ref="G26">IF($C26="","",_xll.RDP.Data($C26,"TR.RevenueMean","Period=FY3 Frq=D SDate=1D Curn=#1",,$D$1)/1000000)</f>
        <v/>
      </c>
      <c r="H26" s="118" t="str">
        <f>IF($C26="","",_xll.RDP.Data($C26,"TR.EPSMean","Period=FY0 Frq=D SDate=1D Curn=#1",,$D$1))</f>
        <v/>
      </c>
      <c r="I26" s="110" t="str">
        <f>IF($C26="","",_xll.RDP.Data($C26,"TR.EPSMean","Period=FY1 Frq=D SDate=1D Curn=#1",,$D$1))</f>
        <v/>
      </c>
      <c r="J26" s="110" t="str">
        <f>IF($C26="","",_xll.RDP.Data($C26,"TR.EPSMean","Period=FY2 Frq=D SDate=1D Curn=#1",,$D$1))</f>
        <v/>
      </c>
      <c r="K26" s="111" t="str">
        <f>IF($C26="","",_xll.RDP.Data($C26,"TR.EPSMean","Period=FY3 Frq=D SDate=1D Curn=#1",,$D$1))</f>
        <v/>
      </c>
      <c r="L26" s="108" t="str" cm="1">
        <f t="array" ref="L26">IF($C26="","",_xll.RDP.Data($C26,"TR.EBITMean","Period=FY0 Frq=D SDate=1D Curn=#1",,$D$1)/1000000)</f>
        <v/>
      </c>
      <c r="M26" s="108" t="str" cm="1">
        <f t="array" ref="M26">IF($C26="","",_xll.RDP.Data($C26,"TR.EBITMean","Period=FY1 Frq=D SDate=1D Curn=#1",,$D$1)/1000000)</f>
        <v/>
      </c>
      <c r="N26" s="116" t="str" cm="1">
        <f t="array" ref="N26">IF($C26="","",_xll.RDP.Data($C26,"TR.EBITMean","Period=FY2 Frq=D SDate=1D Curn=#1",,$D$1)/1000000)</f>
        <v/>
      </c>
      <c r="O26" s="117" t="str" cm="1">
        <f t="array" ref="O26">IF($C26="","",_xll.RDP.Data($C26,"TR.EBITDAMean","Period=FY0 Frq=D SDate=1D Curn=#1",,$D$1)/1000000)</f>
        <v/>
      </c>
      <c r="P26" s="108" t="str" cm="1">
        <f t="array" ref="P26">IF($C26="","",_xll.RDP.Data($C26,"TR.EBITDAMean","Period=FY1 Frq=D SDate=1D Curn=#1",,$D$1)/1000000)</f>
        <v/>
      </c>
      <c r="Q26" s="116" t="str" cm="1">
        <f t="array" ref="Q26">IF($C26="","",_xll.RDP.Data($C26,"TR.EBITDAMean","Period=FY2 Frq=D SDate=1D Curn=#1",,$D$1)/1000000)</f>
        <v/>
      </c>
      <c r="R26" s="115" t="str" cm="1">
        <f t="array" ref="R26">IF($C26="","",_xll.RDP.Data($C26,"TR.LTGMean",,)/100)</f>
        <v/>
      </c>
      <c r="S26" s="115"/>
    </row>
    <row r="27" spans="2:19" ht="15.75" customHeight="1">
      <c r="B27" s="106" t="str">
        <f t="shared" si="5"/>
        <v/>
      </c>
      <c r="C27" s="107" t="str">
        <f t="shared" si="4"/>
        <v/>
      </c>
      <c r="D27" s="117" t="str" cm="1">
        <f t="array" ref="D27">IF($C27="","",_xll.RDP.Data($C27,"TR.Revenue","Curn=#1",,$D$1)/1000000)</f>
        <v/>
      </c>
      <c r="E27" s="108" t="str" cm="1">
        <f t="array" ref="E27">IF($C27="","",_xll.RDP.Data($C27,"TR.RevenueMean","Period=FY1 Frq=D SDate=1D Curn=#1",,$D$1)/1000000)</f>
        <v/>
      </c>
      <c r="F27" s="108" t="str" cm="1">
        <f t="array" ref="F27">IF($C27="","",_xll.RDP.Data($C27,"TR.RevenueMean","Period=FY2 Frq=D SDate=1D Curn=#1",,$D$1)/1000000)</f>
        <v/>
      </c>
      <c r="G27" s="116" t="str" cm="1">
        <f t="array" ref="G27">IF($C27="","",_xll.RDP.Data($C27,"TR.RevenueMean","Period=FY3 Frq=D SDate=1D Curn=#1",,$D$1)/1000000)</f>
        <v/>
      </c>
      <c r="H27" s="118" t="str">
        <f>IF($C27="","",_xll.RDP.Data($C27,"TR.EPSMean","Period=FY0 Frq=D SDate=1D Curn=#1",,$D$1))</f>
        <v/>
      </c>
      <c r="I27" s="110" t="str">
        <f>IF($C27="","",_xll.RDP.Data($C27,"TR.EPSMean","Period=FY1 Frq=D SDate=1D Curn=#1",,$D$1))</f>
        <v/>
      </c>
      <c r="J27" s="110" t="str">
        <f>IF($C27="","",_xll.RDP.Data($C27,"TR.EPSMean","Period=FY2 Frq=D SDate=1D Curn=#1",,$D$1))</f>
        <v/>
      </c>
      <c r="K27" s="111" t="str">
        <f>IF($C27="","",_xll.RDP.Data($C27,"TR.EPSMean","Period=FY3 Frq=D SDate=1D Curn=#1",,$D$1))</f>
        <v/>
      </c>
      <c r="L27" s="108" t="str" cm="1">
        <f t="array" ref="L27">IF($C27="","",_xll.RDP.Data($C27,"TR.EBITMean","Period=FY0 Frq=D SDate=1D Curn=#1",,$D$1)/1000000)</f>
        <v/>
      </c>
      <c r="M27" s="108" t="str" cm="1">
        <f t="array" ref="M27">IF($C27="","",_xll.RDP.Data($C27,"TR.EBITMean","Period=FY1 Frq=D SDate=1D Curn=#1",,$D$1)/1000000)</f>
        <v/>
      </c>
      <c r="N27" s="116" t="str" cm="1">
        <f t="array" ref="N27">IF($C27="","",_xll.RDP.Data($C27,"TR.EBITMean","Period=FY2 Frq=D SDate=1D Curn=#1",,$D$1)/1000000)</f>
        <v/>
      </c>
      <c r="O27" s="117" t="str" cm="1">
        <f t="array" ref="O27">IF($C27="","",_xll.RDP.Data($C27,"TR.EBITDAMean","Period=FY0 Frq=D SDate=1D Curn=#1",,$D$1)/1000000)</f>
        <v/>
      </c>
      <c r="P27" s="108" t="str" cm="1">
        <f t="array" ref="P27">IF($C27="","",_xll.RDP.Data($C27,"TR.EBITDAMean","Period=FY1 Frq=D SDate=1D Curn=#1",,$D$1)/1000000)</f>
        <v/>
      </c>
      <c r="Q27" s="116" t="str" cm="1">
        <f t="array" ref="Q27">IF($C27="","",_xll.RDP.Data($C27,"TR.EBITDAMean","Period=FY2 Frq=D SDate=1D Curn=#1",,$D$1)/1000000)</f>
        <v/>
      </c>
      <c r="R27" s="115" t="str" cm="1">
        <f t="array" ref="R27">IF($C27="","",_xll.RDP.Data($C27,"TR.LTGMean",,)/100)</f>
        <v/>
      </c>
    </row>
    <row r="28" spans="2:19" ht="15.75" customHeight="1">
      <c r="B28" s="106" t="str">
        <f t="shared" si="5"/>
        <v/>
      </c>
      <c r="C28" s="107" t="str">
        <f t="shared" si="4"/>
        <v/>
      </c>
      <c r="D28" s="117" t="str" cm="1">
        <f t="array" ref="D28">IF($C28="","",_xll.RDP.Data($C28,"TR.Revenue","Curn=#1",,$D$1)/1000000)</f>
        <v/>
      </c>
      <c r="E28" s="108" t="str" cm="1">
        <f t="array" ref="E28">IF($C28="","",_xll.RDP.Data($C28,"TR.RevenueMean","Period=FY1 Frq=D SDate=1D Curn=#1",,$D$1)/1000000)</f>
        <v/>
      </c>
      <c r="F28" s="108" t="str" cm="1">
        <f t="array" ref="F28">IF($C28="","",_xll.RDP.Data($C28,"TR.RevenueMean","Period=FY2 Frq=D SDate=1D Curn=#1",,$D$1)/1000000)</f>
        <v/>
      </c>
      <c r="G28" s="116" t="str" cm="1">
        <f t="array" ref="G28">IF($C28="","",_xll.RDP.Data($C28,"TR.RevenueMean","Period=FY3 Frq=D SDate=1D Curn=#1",,$D$1)/1000000)</f>
        <v/>
      </c>
      <c r="H28" s="118" t="str">
        <f>IF($C28="","",_xll.RDP.Data($C28,"TR.EPSMean","Period=FY0 Frq=D SDate=1D Curn=#1",,$D$1))</f>
        <v/>
      </c>
      <c r="I28" s="110" t="str">
        <f>IF($C28="","",_xll.RDP.Data($C28,"TR.EPSMean","Period=FY1 Frq=D SDate=1D Curn=#1",,$D$1))</f>
        <v/>
      </c>
      <c r="J28" s="110" t="str">
        <f>IF($C28="","",_xll.RDP.Data($C28,"TR.EPSMean","Period=FY2 Frq=D SDate=1D Curn=#1",,$D$1))</f>
        <v/>
      </c>
      <c r="K28" s="111" t="str">
        <f>IF($C28="","",_xll.RDP.Data($C28,"TR.EPSMean","Period=FY3 Frq=D SDate=1D Curn=#1",,$D$1))</f>
        <v/>
      </c>
      <c r="L28" s="108" t="str" cm="1">
        <f t="array" ref="L28">IF($C28="","",_xll.RDP.Data($C28,"TR.EBITMean","Period=FY0 Frq=D SDate=1D Curn=#1",,$D$1)/1000000)</f>
        <v/>
      </c>
      <c r="M28" s="108" t="str" cm="1">
        <f t="array" ref="M28">IF($C28="","",_xll.RDP.Data($C28,"TR.EBITMean","Period=FY1 Frq=D SDate=1D Curn=#1",,$D$1)/1000000)</f>
        <v/>
      </c>
      <c r="N28" s="116" t="str" cm="1">
        <f t="array" ref="N28">IF($C28="","",_xll.RDP.Data($C28,"TR.EBITMean","Period=FY2 Frq=D SDate=1D Curn=#1",,$D$1)/1000000)</f>
        <v/>
      </c>
      <c r="O28" s="117" t="str" cm="1">
        <f t="array" ref="O28">IF($C28="","",_xll.RDP.Data($C28,"TR.EBITDAMean","Period=FY0 Frq=D SDate=1D Curn=#1",,$D$1)/1000000)</f>
        <v/>
      </c>
      <c r="P28" s="108" t="str" cm="1">
        <f t="array" ref="P28">IF($C28="","",_xll.RDP.Data($C28,"TR.EBITDAMean","Period=FY1 Frq=D SDate=1D Curn=#1",,$D$1)/1000000)</f>
        <v/>
      </c>
      <c r="Q28" s="116" t="str" cm="1">
        <f t="array" ref="Q28">IF($C28="","",_xll.RDP.Data($C28,"TR.EBITDAMean","Period=FY2 Frq=D SDate=1D Curn=#1",,$D$1)/1000000)</f>
        <v/>
      </c>
      <c r="R28" s="115" t="str" cm="1">
        <f t="array" ref="R28">IF($C28="","",_xll.RDP.Data($C28,"TR.LTGMean",,)/100)</f>
        <v/>
      </c>
    </row>
    <row r="29" spans="2:19" ht="15.75" customHeight="1">
      <c r="B29" s="79" t="str" cm="1">
        <f t="array" ref="B29">IF($C29="","",_xll.RDP.Data($C29,"DSPLY_NAME"))</f>
        <v/>
      </c>
      <c r="C29" s="107" t="str">
        <f t="shared" si="4"/>
        <v/>
      </c>
      <c r="D29" s="117" t="str" cm="1">
        <f t="array" ref="D29">IF($C29="","",_xll.RDP.Data($C29,"TR.Revenue","Curn=#1",,$D$1)/1000000)</f>
        <v/>
      </c>
      <c r="E29" s="108" t="str" cm="1">
        <f t="array" ref="E29">IF($C29="","",_xll.RDP.Data($C29,"TR.RevenueMean","Period=FY1 Frq=D SDate=1D Curn=#1",,$D$1)/1000000)</f>
        <v/>
      </c>
      <c r="F29" s="108" t="str" cm="1">
        <f t="array" ref="F29">IF($C29="","",_xll.RDP.Data($C29,"TR.RevenueMean","Period=FY2 Frq=D SDate=1D Curn=#1",,$D$1)/1000000)</f>
        <v/>
      </c>
      <c r="G29" s="116" t="str" cm="1">
        <f t="array" ref="G29">IF($C29="","",_xll.RDP.Data($C29,"TR.RevenueMean","Period=FY3 Frq=D SDate=1D Curn=#1",,$D$1)/1000000)</f>
        <v/>
      </c>
      <c r="H29" s="118" t="str">
        <f>IF($C29="","",_xll.RDP.Data($C29,"TR.EPSMean","Period=FY0 Frq=D SDate=1D Curn=#1",,$D$1))</f>
        <v/>
      </c>
      <c r="I29" s="110" t="str">
        <f>IF($C29="","",_xll.RDP.Data($C29,"TR.EPSMean","Period=FY1 Frq=D SDate=1D Curn=#1",,$D$1))</f>
        <v/>
      </c>
      <c r="J29" s="110" t="str">
        <f>IF($C29="","",_xll.RDP.Data($C29,"TR.EPSMean","Period=FY2 Frq=D SDate=1D Curn=#1",,$D$1))</f>
        <v/>
      </c>
      <c r="K29" s="111" t="str">
        <f>IF($C29="","",_xll.RDP.Data($C29,"TR.EPSMean","Period=FY3 Frq=D SDate=1D Curn=#1",,$D$1))</f>
        <v/>
      </c>
      <c r="L29" s="108" t="str" cm="1">
        <f t="array" ref="L29">IF($C29="","",_xll.RDP.Data($C29,"TR.EBITMean","Period=FY0 Frq=D SDate=1D Curn=#1",,$D$1)/1000000)</f>
        <v/>
      </c>
      <c r="M29" s="108" t="str" cm="1">
        <f t="array" ref="M29">IF($C29="","",_xll.RDP.Data($C29,"TR.EBITMean","Period=FY1 Frq=D SDate=1D Curn=#1",,$D$1)/1000000)</f>
        <v/>
      </c>
      <c r="N29" s="116" t="str" cm="1">
        <f t="array" ref="N29">IF($C29="","",_xll.RDP.Data($C29,"TR.EBITMean","Period=FY2 Frq=D SDate=1D Curn=#1",,$D$1)/1000000)</f>
        <v/>
      </c>
      <c r="O29" s="117" t="str" cm="1">
        <f t="array" ref="O29">IF($C29="","",_xll.RDP.Data($C29,"TR.EBITDAMean","Period=FY0 Frq=D SDate=1D Curn=#1",,$D$1)/1000000)</f>
        <v/>
      </c>
      <c r="P29" s="108" t="str" cm="1">
        <f t="array" ref="P29">IF($C29="","",_xll.RDP.Data($C29,"TR.EBITDAMean","Period=FY1 Frq=D SDate=1D Curn=#1",,$D$1)/1000000)</f>
        <v/>
      </c>
      <c r="Q29" s="116" t="str" cm="1">
        <f t="array" ref="Q29">IF($C29="","",_xll.RDP.Data($C29,"TR.EBITDAMean","Period=FY2 Frq=D SDate=1D Curn=#1",,$D$1)/1000000)</f>
        <v/>
      </c>
      <c r="R29" s="115" t="str" cm="1">
        <f t="array" ref="R29">IF($C29="","",_xll.RDP.Data($C29,"TR.LTGMean",,)/100)</f>
        <v/>
      </c>
    </row>
    <row r="30" spans="2:19" ht="15.75" customHeight="1">
      <c r="B30" s="106" t="str">
        <f>B15</f>
        <v/>
      </c>
      <c r="C30" s="107" t="str">
        <f t="shared" si="4"/>
        <v/>
      </c>
      <c r="D30" s="117" t="str" cm="1">
        <f t="array" ref="D30">IF($C30="","",_xll.RDP.Data($C30,"TR.Revenue","Curn=#1",,$D$1)/1000000)</f>
        <v/>
      </c>
      <c r="E30" s="108" t="str" cm="1">
        <f t="array" ref="E30">IF($C30="","",_xll.RDP.Data($C30,"TR.RevenueMean","Period=FY1 Frq=D SDate=1D Curn=#1",,$D$1)/1000000)</f>
        <v/>
      </c>
      <c r="F30" s="108" t="str" cm="1">
        <f t="array" ref="F30">IF($C30="","",_xll.RDP.Data($C30,"TR.RevenueMean","Period=FY2 Frq=D SDate=1D Curn=#1",,$D$1)/1000000)</f>
        <v/>
      </c>
      <c r="G30" s="116" t="str" cm="1">
        <f t="array" ref="G30">IF($C30="","",_xll.RDP.Data($C30,"TR.RevenueMean","Period=FY3 Frq=D SDate=1D Curn=#1",,$D$1)/1000000)</f>
        <v/>
      </c>
      <c r="H30" s="118" t="str">
        <f>IF($C30="","",_xll.RDP.Data($C30,"TR.EPSMean","Period=FY0 Frq=D SDate=1D Curn=#1",,$D$1))</f>
        <v/>
      </c>
      <c r="I30" s="110" t="str">
        <f>IF($C30="","",_xll.RDP.Data($C30,"TR.EPSMean","Period=FY1 Frq=D SDate=1D Curn=#1",,$D$1))</f>
        <v/>
      </c>
      <c r="J30" s="110" t="str">
        <f>IF($C30="","",_xll.RDP.Data($C30,"TR.EPSMean","Period=FY2 Frq=D SDate=1D Curn=#1",,$D$1))</f>
        <v/>
      </c>
      <c r="K30" s="111" t="str">
        <f>IF($C30="","",_xll.RDP.Data($C30,"TR.EPSMean","Period=FY3 Frq=D SDate=1D Curn=#1",,$D$1))</f>
        <v/>
      </c>
      <c r="L30" s="108" t="str" cm="1">
        <f t="array" ref="L30">IF($C30="","",_xll.RDP.Data($C30,"TR.EBITMean","Period=FY0 Frq=D SDate=1D Curn=#1",,$D$1)/1000000)</f>
        <v/>
      </c>
      <c r="M30" s="108" t="str" cm="1">
        <f t="array" ref="M30">IF($C30="","",_xll.RDP.Data($C30,"TR.EBITMean","Period=FY1 Frq=D SDate=1D Curn=#1",,$D$1)/1000000)</f>
        <v/>
      </c>
      <c r="N30" s="116" t="str" cm="1">
        <f t="array" ref="N30">IF($C30="","",_xll.RDP.Data($C30,"TR.EBITMean","Period=FY2 Frq=D SDate=1D Curn=#1",,$D$1)/1000000)</f>
        <v/>
      </c>
      <c r="O30" s="117" t="str" cm="1">
        <f t="array" ref="O30">IF($C30="","",_xll.RDP.Data($C30,"TR.EBITDAMean","Period=FY0 Frq=D SDate=1D Curn=#1",,$D$1)/1000000)</f>
        <v/>
      </c>
      <c r="P30" s="108" t="str" cm="1">
        <f t="array" ref="P30">IF($C30="","",_xll.RDP.Data($C30,"TR.EBITDAMean","Period=FY1 Frq=D SDate=1D Curn=#1",,$D$1)/1000000)</f>
        <v/>
      </c>
      <c r="Q30" s="116" t="str" cm="1">
        <f t="array" ref="Q30">IF($C30="","",_xll.RDP.Data($C30,"TR.EBITDAMean","Period=FY2 Frq=D SDate=1D Curn=#1",,$D$1)/1000000)</f>
        <v/>
      </c>
      <c r="R30" s="115" t="str" cm="1">
        <f t="array" ref="R30">IF($C30="","",_xll.RDP.Data($C30,"TR.LTGMean",,)/100)</f>
        <v/>
      </c>
    </row>
    <row r="31" spans="2:19" ht="15.75" customHeight="1">
      <c r="B31" s="119" t="str">
        <f t="shared" ref="B31" si="6">B16</f>
        <v>PEPSICO INC/d</v>
      </c>
      <c r="C31" s="120" t="str">
        <f t="shared" si="4"/>
        <v>PEP.O</v>
      </c>
      <c r="D31" s="120" cm="1">
        <f t="array" ref="D31">IF($C31="","",_xll.RDP.Data($C31,"TR.Revenue","Curn=#1",,$D$1)/1000000)</f>
        <v>91854</v>
      </c>
      <c r="E31" s="121" cm="1">
        <f t="array" ref="E31">IF($C31="","",_xll.RDP.Data($C31,"TR.RevenueMean","Period=FY1 Frq=D SDate=1D Curn=#1",,$D$1)/1000000)</f>
        <v>91863.516329999999</v>
      </c>
      <c r="F31" s="121" cm="1">
        <f t="array" ref="F31">IF($C31="","",_xll.RDP.Data($C31,"TR.RevenueMean","Period=FY2 Frq=D SDate=1D Curn=#1",,$D$1)/1000000)</f>
        <v>94605.475890000002</v>
      </c>
      <c r="G31" s="122" cm="1">
        <f t="array" ref="G31">IF($C31="","",_xll.RDP.Data($C31,"TR.RevenueMean","Period=FY3 Frq=D SDate=1D Curn=#1",,$D$1)/1000000)</f>
        <v>97922.509330000001</v>
      </c>
      <c r="H31" s="123">
        <f>IF($C31="","",_xll.RDP.Data($C31,"TR.EPSMean","Period=FY0 Frq=D SDate=1D Curn=#1",,$D$1))</f>
        <v>8.1465499999999995</v>
      </c>
      <c r="I31" s="124">
        <f>IF($C31="","",_xll.RDP.Data($C31,"TR.EPSMean","Period=FY1 Frq=D SDate=1D Curn=#1",,$D$1))</f>
        <v>7.8955000000000002</v>
      </c>
      <c r="J31" s="124">
        <f>IF($C31="","",_xll.RDP.Data($C31,"TR.EPSMean","Period=FY2 Frq=D SDate=1D Curn=#1",,$D$1))</f>
        <v>8.3777200000000001</v>
      </c>
      <c r="K31" s="125">
        <f>IF($C31="","",_xll.RDP.Data($C31,"TR.EPSMean","Period=FY3 Frq=D SDate=1D Curn=#1",,$D$1))</f>
        <v>8.9811800000000002</v>
      </c>
      <c r="L31" s="121" cm="1">
        <f t="array" ref="L31">IF($C31="","",_xll.RDP.Data($C31,"TR.EBITMean","Period=FY0 Frq=D SDate=1D Curn=#1",,$D$1)/1000000)</f>
        <v>14750.84807</v>
      </c>
      <c r="M31" s="121" cm="1">
        <f t="array" ref="M31">IF($C31="","",_xll.RDP.Data($C31,"TR.EBITMean","Period=FY1 Frq=D SDate=1D Curn=#1",,$D$1)/1000000)</f>
        <v>14564.829309999999</v>
      </c>
      <c r="N31" s="122" cm="1">
        <f t="array" ref="N31">IF($C31="","",_xll.RDP.Data($C31,"TR.EBITMean","Period=FY2 Frq=D SDate=1D Curn=#1",,$D$1)/1000000)</f>
        <v>15318.45781</v>
      </c>
      <c r="O31" s="120" cm="1">
        <f t="array" ref="O31">IF($C31="","",_xll.RDP.Data($C31,"TR.EBITDAMean","Period=FY0 Frq=D SDate=1D Curn=#1",,$D$1)/1000000)</f>
        <v>17768.36607</v>
      </c>
      <c r="P31" s="121" cm="1">
        <f t="array" ref="P31">IF($C31="","",_xll.RDP.Data($C31,"TR.EBITDAMean","Period=FY1 Frq=D SDate=1D Curn=#1",,$D$1)/1000000)</f>
        <v>17801.17785</v>
      </c>
      <c r="Q31" s="122" cm="1">
        <f t="array" ref="Q31">IF($C31="","",_xll.RDP.Data($C31,"TR.EBITDAMean","Period=FY2 Frq=D SDate=1D Curn=#1",,$D$1)/1000000)</f>
        <v>18735.89431</v>
      </c>
      <c r="R31" s="349" cm="1">
        <f t="array" ref="R31">IF($C31="","",_xll.RDP.Data($C31,"TR.LTGMean",,)/100)</f>
        <v>3.6200000000000003E-2</v>
      </c>
    </row>
    <row r="33" spans="2:18" ht="15.75" customHeight="1">
      <c r="B33" s="66" t="s">
        <v>221</v>
      </c>
      <c r="C33" s="98"/>
      <c r="D33" s="66"/>
      <c r="E33" s="66"/>
      <c r="F33" s="66"/>
      <c r="G33" s="66"/>
      <c r="H33" s="66"/>
      <c r="I33" s="66"/>
      <c r="J33" s="66"/>
      <c r="K33" s="66"/>
      <c r="L33" s="66"/>
      <c r="M33" s="66"/>
      <c r="N33" s="66"/>
      <c r="O33" s="66"/>
      <c r="P33" s="66"/>
      <c r="Q33" s="99"/>
      <c r="R33" s="68"/>
    </row>
    <row r="34" spans="2:18" ht="15.75" customHeight="1">
      <c r="B34" s="69"/>
      <c r="C34" s="74"/>
      <c r="D34" s="74" t="s">
        <v>192</v>
      </c>
      <c r="E34" s="74" t="s">
        <v>222</v>
      </c>
      <c r="F34" s="100" t="s">
        <v>223</v>
      </c>
      <c r="G34" s="128"/>
      <c r="H34" s="129"/>
      <c r="I34" s="100" t="s">
        <v>224</v>
      </c>
      <c r="J34" s="128"/>
      <c r="K34" s="129"/>
      <c r="L34" s="100" t="s">
        <v>225</v>
      </c>
      <c r="M34" s="128"/>
      <c r="N34" s="129"/>
      <c r="O34" s="100" t="s">
        <v>226</v>
      </c>
      <c r="P34" s="128"/>
      <c r="Q34" s="129"/>
    </row>
    <row r="35" spans="2:18" ht="15.75" customHeight="1">
      <c r="B35" s="75" t="s">
        <v>199</v>
      </c>
      <c r="C35" s="75" t="s">
        <v>200</v>
      </c>
      <c r="D35" s="75" t="s">
        <v>201</v>
      </c>
      <c r="E35" s="75" t="s">
        <v>197</v>
      </c>
      <c r="F35" s="103" t="s">
        <v>217</v>
      </c>
      <c r="G35" s="104" t="s">
        <v>218</v>
      </c>
      <c r="H35" s="105" t="s">
        <v>219</v>
      </c>
      <c r="I35" s="103" t="s">
        <v>217</v>
      </c>
      <c r="J35" s="104" t="s">
        <v>218</v>
      </c>
      <c r="K35" s="105" t="s">
        <v>219</v>
      </c>
      <c r="L35" s="103" t="s">
        <v>217</v>
      </c>
      <c r="M35" s="104" t="s">
        <v>218</v>
      </c>
      <c r="N35" s="105" t="s">
        <v>219</v>
      </c>
      <c r="O35" s="103" t="s">
        <v>216</v>
      </c>
      <c r="P35" s="104" t="s">
        <v>217</v>
      </c>
      <c r="Q35" s="105" t="s">
        <v>218</v>
      </c>
    </row>
    <row r="36" spans="2:18" ht="15.75" customHeight="1">
      <c r="B36" s="106" t="str">
        <f t="shared" ref="B36:B46" si="7">B6</f>
        <v>COCA-COLA CO/d</v>
      </c>
      <c r="C36" s="130" t="str">
        <f t="shared" ref="C36:D46" si="8">IF(C6="","",C6)</f>
        <v>KO</v>
      </c>
      <c r="D36" s="131">
        <f t="shared" si="8"/>
        <v>71.72</v>
      </c>
      <c r="E36" s="132">
        <f t="shared" ref="E36:E46" si="9">IF(OR(C36="",ISNUMBER(G6)=FALSE,ISNUMBER(K6)=FALSE),"",G6/K6)</f>
        <v>12.418847763115545</v>
      </c>
      <c r="F36" s="132">
        <f t="shared" ref="F36:H46" si="10">IF(OR($C36="",ISNUMBER($G6)=FALSE,ISNUMBER(E21)=FALSE),"",$G6/E21)</f>
        <v>6.4209567983473432</v>
      </c>
      <c r="G36" s="350">
        <f t="shared" si="10"/>
        <v>6.095860005957551</v>
      </c>
      <c r="H36" s="133">
        <f t="shared" si="10"/>
        <v>5.7605351961273747</v>
      </c>
      <c r="I36" s="134">
        <f t="shared" ref="I36:K46" si="11">IF(OR($C36="",ISNA(I21)=TRUE),"",$D6/I21)</f>
        <v>24.219420111709205</v>
      </c>
      <c r="J36" s="135">
        <f t="shared" si="11"/>
        <v>22.422660267933907</v>
      </c>
      <c r="K36" s="136">
        <f t="shared" si="11"/>
        <v>20.890131655598278</v>
      </c>
      <c r="L36" s="134">
        <f t="shared" ref="L36:N40" si="12">IF(OR($C36="",I36="",ISNA($R21)=TRUE),"",I36/$R21/100)</f>
        <v>3.9682304761022595</v>
      </c>
      <c r="M36" s="135">
        <f t="shared" si="12"/>
        <v>3.6738403900713066</v>
      </c>
      <c r="N36" s="136">
        <f t="shared" si="12"/>
        <v>3.4227432656596117</v>
      </c>
      <c r="O36" s="135">
        <f t="shared" ref="O36:Q46" si="13">IF(OR($C36="",ISNA($J6)=TRUE,ISNA(O21)=TRUE),"",$J6/O21)</f>
        <v>22.701365810767161</v>
      </c>
      <c r="P36" s="135">
        <f t="shared" si="13"/>
        <v>21.132323686128156</v>
      </c>
      <c r="Q36" s="136">
        <f t="shared" si="13"/>
        <v>19.671571643874444</v>
      </c>
    </row>
    <row r="37" spans="2:18" ht="15.75" customHeight="1">
      <c r="B37" s="106" t="str">
        <f t="shared" si="7"/>
        <v>MONSTER BEV CO/d</v>
      </c>
      <c r="C37" s="130" t="str">
        <f>IF(C7="","",C7)</f>
        <v>MNST.O</v>
      </c>
      <c r="D37" s="131">
        <f t="shared" si="8"/>
        <v>60.02</v>
      </c>
      <c r="E37" s="132">
        <f t="shared" si="9"/>
        <v>9.8246097734199562</v>
      </c>
      <c r="F37" s="132">
        <f t="shared" si="10"/>
        <v>7.3060208855901063</v>
      </c>
      <c r="G37" s="350">
        <f t="shared" si="10"/>
        <v>6.7847909048068651</v>
      </c>
      <c r="H37" s="133">
        <f t="shared" si="10"/>
        <v>6.2824097944596833</v>
      </c>
      <c r="I37" s="134">
        <f>IF(OR($C37="",ISNA(I22)=TRUE),"",$D7/I22)</f>
        <v>32.610703613148601</v>
      </c>
      <c r="J37" s="135">
        <f t="shared" si="11"/>
        <v>29.318236216472336</v>
      </c>
      <c r="K37" s="136">
        <f t="shared" si="11"/>
        <v>26.241692899615252</v>
      </c>
      <c r="L37" s="134">
        <f t="shared" si="12"/>
        <v>2.3873135880782286</v>
      </c>
      <c r="M37" s="135">
        <f t="shared" si="12"/>
        <v>2.1462837640170083</v>
      </c>
      <c r="N37" s="136">
        <f t="shared" si="12"/>
        <v>1.921060973617515</v>
      </c>
      <c r="O37" s="135">
        <f t="shared" si="13"/>
        <v>26.433133296202882</v>
      </c>
      <c r="P37" s="135">
        <f t="shared" si="13"/>
        <v>24.054416967664615</v>
      </c>
      <c r="Q37" s="136">
        <f t="shared" si="13"/>
        <v>22.08402714751276</v>
      </c>
    </row>
    <row r="38" spans="2:18" ht="15.75" customHeight="1">
      <c r="B38" s="106" t="str">
        <f t="shared" si="7"/>
        <v>KRIG DR PPPR O/d</v>
      </c>
      <c r="C38" s="130" t="str">
        <f t="shared" si="8"/>
        <v>KDP.O</v>
      </c>
      <c r="D38" s="131">
        <f t="shared" si="8"/>
        <v>34.119999999999997</v>
      </c>
      <c r="E38" s="132">
        <f t="shared" si="9"/>
        <v>1.9115446419634532</v>
      </c>
      <c r="F38" s="132">
        <f t="shared" si="10"/>
        <v>2.8645345679577301</v>
      </c>
      <c r="G38" s="350">
        <f t="shared" si="10"/>
        <v>2.75498569738865</v>
      </c>
      <c r="H38" s="133">
        <f t="shared" si="10"/>
        <v>2.6583780613668906</v>
      </c>
      <c r="I38" s="134">
        <f t="shared" si="11"/>
        <v>16.743382634383803</v>
      </c>
      <c r="J38" s="135">
        <f t="shared" si="11"/>
        <v>15.734596282171298</v>
      </c>
      <c r="K38" s="136">
        <f t="shared" si="11"/>
        <v>14.759700653198943</v>
      </c>
      <c r="L38" s="134">
        <f t="shared" si="12"/>
        <v>2.612072173850827</v>
      </c>
      <c r="M38" s="135">
        <f t="shared" si="12"/>
        <v>2.4546952078270352</v>
      </c>
      <c r="N38" s="136">
        <f t="shared" si="12"/>
        <v>2.3026054061152794</v>
      </c>
      <c r="O38" s="135">
        <f t="shared" si="13"/>
        <v>13.729796792842038</v>
      </c>
      <c r="P38" s="135">
        <f t="shared" si="13"/>
        <v>12.933742255764454</v>
      </c>
      <c r="Q38" s="136">
        <f t="shared" si="13"/>
        <v>12.299089200904858</v>
      </c>
    </row>
    <row r="39" spans="2:18" ht="15.75" customHeight="1">
      <c r="B39" s="106" t="str">
        <f t="shared" si="7"/>
        <v/>
      </c>
      <c r="C39" s="130" t="str">
        <f t="shared" si="8"/>
        <v/>
      </c>
      <c r="D39" s="131" t="str">
        <f t="shared" si="8"/>
        <v/>
      </c>
      <c r="E39" s="132" t="str">
        <f t="shared" si="9"/>
        <v/>
      </c>
      <c r="F39" s="132" t="str">
        <f t="shared" si="10"/>
        <v/>
      </c>
      <c r="G39" s="350" t="str">
        <f t="shared" si="10"/>
        <v/>
      </c>
      <c r="H39" s="133" t="str">
        <f t="shared" si="10"/>
        <v/>
      </c>
      <c r="I39" s="134" t="str">
        <f t="shared" si="11"/>
        <v/>
      </c>
      <c r="J39" s="135" t="str">
        <f t="shared" si="11"/>
        <v/>
      </c>
      <c r="K39" s="136" t="str">
        <f t="shared" si="11"/>
        <v/>
      </c>
      <c r="L39" s="134" t="str">
        <f t="shared" si="12"/>
        <v/>
      </c>
      <c r="M39" s="135" t="str">
        <f t="shared" si="12"/>
        <v/>
      </c>
      <c r="N39" s="136" t="str">
        <f t="shared" si="12"/>
        <v/>
      </c>
      <c r="O39" s="135" t="str">
        <f t="shared" si="13"/>
        <v/>
      </c>
      <c r="P39" s="135" t="str">
        <f t="shared" si="13"/>
        <v/>
      </c>
      <c r="Q39" s="136" t="str">
        <f t="shared" si="13"/>
        <v/>
      </c>
    </row>
    <row r="40" spans="2:18" ht="15.75" customHeight="1">
      <c r="B40" s="106" t="str">
        <f t="shared" si="7"/>
        <v/>
      </c>
      <c r="C40" s="130" t="str">
        <f t="shared" si="8"/>
        <v/>
      </c>
      <c r="D40" s="131" t="str">
        <f t="shared" si="8"/>
        <v/>
      </c>
      <c r="E40" s="132" t="str">
        <f t="shared" si="9"/>
        <v/>
      </c>
      <c r="F40" s="132" t="str">
        <f t="shared" si="10"/>
        <v/>
      </c>
      <c r="G40" s="350" t="str">
        <f t="shared" si="10"/>
        <v/>
      </c>
      <c r="H40" s="133" t="str">
        <f t="shared" si="10"/>
        <v/>
      </c>
      <c r="I40" s="134" t="str">
        <f t="shared" si="11"/>
        <v/>
      </c>
      <c r="J40" s="135" t="str">
        <f t="shared" si="11"/>
        <v/>
      </c>
      <c r="K40" s="136" t="str">
        <f t="shared" si="11"/>
        <v/>
      </c>
      <c r="L40" s="134" t="str">
        <f t="shared" si="12"/>
        <v/>
      </c>
      <c r="M40" s="135" t="str">
        <f t="shared" si="12"/>
        <v/>
      </c>
      <c r="N40" s="136" t="str">
        <f t="shared" si="12"/>
        <v/>
      </c>
      <c r="O40" s="135" t="str">
        <f t="shared" si="13"/>
        <v/>
      </c>
      <c r="P40" s="135" t="str">
        <f t="shared" si="13"/>
        <v/>
      </c>
      <c r="Q40" s="136" t="str">
        <f t="shared" si="13"/>
        <v/>
      </c>
    </row>
    <row r="41" spans="2:18" ht="15.75" customHeight="1">
      <c r="B41" s="106" t="str">
        <f t="shared" si="7"/>
        <v/>
      </c>
      <c r="C41" s="130" t="str">
        <f t="shared" si="8"/>
        <v/>
      </c>
      <c r="D41" s="131" t="str">
        <f t="shared" si="8"/>
        <v/>
      </c>
      <c r="E41" s="132" t="str">
        <f t="shared" si="9"/>
        <v/>
      </c>
      <c r="F41" s="132" t="str">
        <f t="shared" si="10"/>
        <v/>
      </c>
      <c r="G41" s="350" t="str">
        <f t="shared" si="10"/>
        <v/>
      </c>
      <c r="H41" s="133" t="str">
        <f t="shared" si="10"/>
        <v/>
      </c>
      <c r="I41" s="134" t="str">
        <f t="shared" si="11"/>
        <v/>
      </c>
      <c r="J41" s="135" t="str">
        <f t="shared" si="11"/>
        <v/>
      </c>
      <c r="K41" s="136" t="str">
        <f t="shared" si="11"/>
        <v/>
      </c>
      <c r="L41" s="134" t="str">
        <f t="shared" ref="L41:L42" si="14">IF(OR($C41="",I41="",ISNA($R26)=TRUE),"",I41/$R26/100)</f>
        <v/>
      </c>
      <c r="M41" s="135" t="str">
        <f t="shared" ref="M41:M42" si="15">IF(OR($C41="",J41="",ISNA($R26)=TRUE),"",J41/$R26/100)</f>
        <v/>
      </c>
      <c r="N41" s="136" t="str">
        <f t="shared" ref="N41:N42" si="16">IF(OR($C41="",K41="",ISNA($R26)=TRUE),"",K41/$R26/100)</f>
        <v/>
      </c>
      <c r="O41" s="135" t="str">
        <f t="shared" si="13"/>
        <v/>
      </c>
      <c r="P41" s="135" t="str">
        <f t="shared" si="13"/>
        <v/>
      </c>
      <c r="Q41" s="136" t="str">
        <f t="shared" si="13"/>
        <v/>
      </c>
    </row>
    <row r="42" spans="2:18" ht="15.75" customHeight="1">
      <c r="B42" s="106" t="str">
        <f t="shared" si="7"/>
        <v/>
      </c>
      <c r="C42" s="130" t="str">
        <f t="shared" si="8"/>
        <v/>
      </c>
      <c r="D42" s="131" t="str">
        <f t="shared" si="8"/>
        <v/>
      </c>
      <c r="E42" s="132" t="str">
        <f t="shared" si="9"/>
        <v/>
      </c>
      <c r="F42" s="132" t="str">
        <f t="shared" si="10"/>
        <v/>
      </c>
      <c r="G42" s="350" t="str">
        <f t="shared" si="10"/>
        <v/>
      </c>
      <c r="H42" s="133" t="str">
        <f t="shared" si="10"/>
        <v/>
      </c>
      <c r="I42" s="134" t="str">
        <f t="shared" si="11"/>
        <v/>
      </c>
      <c r="J42" s="135" t="str">
        <f t="shared" si="11"/>
        <v/>
      </c>
      <c r="K42" s="136" t="str">
        <f t="shared" si="11"/>
        <v/>
      </c>
      <c r="L42" s="134" t="str">
        <f t="shared" si="14"/>
        <v/>
      </c>
      <c r="M42" s="135" t="str">
        <f t="shared" si="15"/>
        <v/>
      </c>
      <c r="N42" s="136" t="str">
        <f t="shared" si="16"/>
        <v/>
      </c>
      <c r="O42" s="134" t="str">
        <f t="shared" si="13"/>
        <v/>
      </c>
      <c r="P42" s="135" t="str">
        <f t="shared" si="13"/>
        <v/>
      </c>
      <c r="Q42" s="136" t="str">
        <f t="shared" si="13"/>
        <v/>
      </c>
    </row>
    <row r="43" spans="2:18" ht="15.75" customHeight="1">
      <c r="B43" s="106" t="str">
        <f t="shared" si="7"/>
        <v/>
      </c>
      <c r="C43" s="130" t="str">
        <f t="shared" si="8"/>
        <v/>
      </c>
      <c r="D43" s="131" t="str">
        <f t="shared" si="8"/>
        <v/>
      </c>
      <c r="E43" s="132" t="str">
        <f t="shared" si="9"/>
        <v/>
      </c>
      <c r="F43" s="132" t="str">
        <f t="shared" si="10"/>
        <v/>
      </c>
      <c r="G43" s="350" t="str">
        <f t="shared" si="10"/>
        <v/>
      </c>
      <c r="H43" s="133" t="str">
        <f t="shared" si="10"/>
        <v/>
      </c>
      <c r="I43" s="134" t="str">
        <f t="shared" si="11"/>
        <v/>
      </c>
      <c r="J43" s="135" t="str">
        <f t="shared" si="11"/>
        <v/>
      </c>
      <c r="K43" s="136" t="str">
        <f t="shared" si="11"/>
        <v/>
      </c>
      <c r="L43" s="134" t="str">
        <f t="shared" ref="L42:N46" si="17">IF(OR($C43="",I43="",ISNA($R28)=TRUE),"",I43/$R28/100)</f>
        <v/>
      </c>
      <c r="M43" s="135" t="str">
        <f t="shared" si="17"/>
        <v/>
      </c>
      <c r="N43" s="136" t="str">
        <f t="shared" si="17"/>
        <v/>
      </c>
      <c r="O43" s="134" t="str">
        <f t="shared" si="13"/>
        <v/>
      </c>
      <c r="P43" s="135" t="str">
        <f t="shared" si="13"/>
        <v/>
      </c>
      <c r="Q43" s="136" t="str">
        <f t="shared" si="13"/>
        <v/>
      </c>
    </row>
    <row r="44" spans="2:18" ht="15.75" customHeight="1">
      <c r="B44" s="106" t="str">
        <f t="shared" si="7"/>
        <v/>
      </c>
      <c r="C44" s="130" t="str">
        <f t="shared" si="8"/>
        <v/>
      </c>
      <c r="D44" s="131" t="str">
        <f t="shared" si="8"/>
        <v/>
      </c>
      <c r="E44" s="132" t="str">
        <f t="shared" si="9"/>
        <v/>
      </c>
      <c r="F44" s="132" t="str">
        <f t="shared" si="10"/>
        <v/>
      </c>
      <c r="G44" s="350" t="str">
        <f t="shared" si="10"/>
        <v/>
      </c>
      <c r="H44" s="133" t="str">
        <f t="shared" si="10"/>
        <v/>
      </c>
      <c r="I44" s="134" t="str">
        <f t="shared" si="11"/>
        <v/>
      </c>
      <c r="J44" s="135" t="str">
        <f t="shared" si="11"/>
        <v/>
      </c>
      <c r="K44" s="136" t="str">
        <f t="shared" si="11"/>
        <v/>
      </c>
      <c r="L44" s="134" t="str">
        <f t="shared" si="17"/>
        <v/>
      </c>
      <c r="M44" s="135" t="str">
        <f t="shared" si="17"/>
        <v/>
      </c>
      <c r="N44" s="136" t="str">
        <f t="shared" si="17"/>
        <v/>
      </c>
      <c r="O44" s="134" t="str">
        <f t="shared" si="13"/>
        <v/>
      </c>
      <c r="P44" s="135" t="str">
        <f t="shared" si="13"/>
        <v/>
      </c>
      <c r="Q44" s="136" t="str">
        <f t="shared" si="13"/>
        <v/>
      </c>
    </row>
    <row r="45" spans="2:18" ht="15.75" customHeight="1">
      <c r="B45" s="106" t="str">
        <f t="shared" si="7"/>
        <v/>
      </c>
      <c r="C45" s="130"/>
      <c r="D45" s="131" t="str">
        <f t="shared" si="8"/>
        <v/>
      </c>
      <c r="E45" s="132" t="str">
        <f t="shared" si="9"/>
        <v/>
      </c>
      <c r="F45" s="132" t="str">
        <f t="shared" si="10"/>
        <v/>
      </c>
      <c r="G45" s="350" t="str">
        <f t="shared" si="10"/>
        <v/>
      </c>
      <c r="H45" s="133" t="str">
        <f t="shared" si="10"/>
        <v/>
      </c>
      <c r="I45" s="134" t="str">
        <f t="shared" si="11"/>
        <v/>
      </c>
      <c r="J45" s="135" t="str">
        <f t="shared" si="11"/>
        <v/>
      </c>
      <c r="K45" s="136" t="str">
        <f t="shared" si="11"/>
        <v/>
      </c>
      <c r="L45" s="134" t="str">
        <f t="shared" si="17"/>
        <v/>
      </c>
      <c r="M45" s="135" t="str">
        <f t="shared" si="17"/>
        <v/>
      </c>
      <c r="N45" s="136" t="str">
        <f t="shared" si="17"/>
        <v/>
      </c>
      <c r="O45" s="134" t="str">
        <f t="shared" si="13"/>
        <v/>
      </c>
      <c r="P45" s="135" t="str">
        <f t="shared" si="13"/>
        <v/>
      </c>
      <c r="Q45" s="136" t="str">
        <f t="shared" si="13"/>
        <v/>
      </c>
    </row>
    <row r="46" spans="2:18" ht="15.75" customHeight="1">
      <c r="B46" s="119" t="str">
        <f t="shared" si="7"/>
        <v>PEPSICO INC/d</v>
      </c>
      <c r="C46" s="137" t="str">
        <f t="shared" si="8"/>
        <v>PEP.O</v>
      </c>
      <c r="D46" s="137">
        <f t="shared" si="8"/>
        <v>130.74</v>
      </c>
      <c r="E46" s="138">
        <f t="shared" si="9"/>
        <v>9.9359757806995184</v>
      </c>
      <c r="F46" s="138">
        <f t="shared" si="10"/>
        <v>1.9513180664200251</v>
      </c>
      <c r="G46" s="139">
        <f t="shared" si="10"/>
        <v>1.8947628281900291</v>
      </c>
      <c r="H46" s="140">
        <f t="shared" si="10"/>
        <v>1.8305795091045793</v>
      </c>
      <c r="I46" s="141">
        <f t="shared" si="11"/>
        <v>16.558799316066114</v>
      </c>
      <c r="J46" s="142">
        <f t="shared" si="11"/>
        <v>15.605677917142135</v>
      </c>
      <c r="K46" s="143">
        <f t="shared" si="11"/>
        <v>14.557107195268328</v>
      </c>
      <c r="L46" s="141">
        <f t="shared" si="17"/>
        <v>4.5742539547143961</v>
      </c>
      <c r="M46" s="142">
        <f t="shared" si="17"/>
        <v>4.3109607505917493</v>
      </c>
      <c r="N46" s="143">
        <f t="shared" si="17"/>
        <v>4.0213003301846211</v>
      </c>
      <c r="O46" s="141">
        <f t="shared" si="13"/>
        <v>12.103304164961973</v>
      </c>
      <c r="P46" s="142">
        <f t="shared" si="13"/>
        <v>12.080994913468604</v>
      </c>
      <c r="Q46" s="143">
        <f t="shared" si="13"/>
        <v>11.478285236953816</v>
      </c>
    </row>
    <row r="48" spans="2:18" ht="15.75" customHeight="1">
      <c r="D48" s="372" t="s">
        <v>227</v>
      </c>
      <c r="E48" s="144">
        <f>AVERAGE(E36:E37,E40:E45)</f>
        <v>11.121728768267751</v>
      </c>
      <c r="F48" s="144">
        <f>AVERAGE(F36:F45)</f>
        <v>5.5305040839650594</v>
      </c>
      <c r="G48" s="145">
        <f t="shared" ref="G48:Q48" si="18">AVERAGE(G36:G45)</f>
        <v>5.2118788693843552</v>
      </c>
      <c r="H48" s="146">
        <f>AVERAGE(H36:H45)</f>
        <v>4.9004410173179833</v>
      </c>
      <c r="I48" s="147">
        <f>AVERAGE(I36:I45)</f>
        <v>24.524502119747201</v>
      </c>
      <c r="J48" s="148">
        <f>AVERAGE(J36:J45)</f>
        <v>22.491830922192516</v>
      </c>
      <c r="K48" s="149">
        <f t="shared" si="18"/>
        <v>20.630508402804157</v>
      </c>
      <c r="L48" s="147">
        <f>AVERAGE(L36,L38:L39)</f>
        <v>3.2901513249765433</v>
      </c>
      <c r="M48" s="147">
        <f>AVERAGE(M36,M38:M39)</f>
        <v>3.0642677989491709</v>
      </c>
      <c r="N48" s="147">
        <f>AVERAGE(N36,N38:N39)</f>
        <v>2.8626743358874456</v>
      </c>
      <c r="O48" s="147">
        <f t="shared" si="18"/>
        <v>20.95476529993736</v>
      </c>
      <c r="P48" s="148">
        <f t="shared" si="18"/>
        <v>19.373494303185741</v>
      </c>
      <c r="Q48" s="149">
        <f t="shared" si="18"/>
        <v>18.018229330764019</v>
      </c>
    </row>
    <row r="49" spans="2:18" ht="15.75" customHeight="1">
      <c r="D49" s="372" t="s">
        <v>228</v>
      </c>
      <c r="E49" s="150">
        <f>MEDIAN(E36:E45)</f>
        <v>9.8246097734199562</v>
      </c>
      <c r="F49" s="150">
        <f t="shared" ref="F49:Q49" si="19">MEDIAN(F36:F45)</f>
        <v>6.4209567983473432</v>
      </c>
      <c r="G49" s="151">
        <f t="shared" si="19"/>
        <v>6.095860005957551</v>
      </c>
      <c r="H49" s="152">
        <f>MEDIAN(H36:H45)</f>
        <v>5.7605351961273747</v>
      </c>
      <c r="I49" s="153">
        <f>MEDIAN(I36:I45)</f>
        <v>24.219420111709205</v>
      </c>
      <c r="J49" s="154">
        <f t="shared" si="19"/>
        <v>22.422660267933907</v>
      </c>
      <c r="K49" s="155">
        <f t="shared" si="19"/>
        <v>20.890131655598278</v>
      </c>
      <c r="L49" s="153">
        <f>MEDIAN(L36,L38:L39)</f>
        <v>3.2901513249765433</v>
      </c>
      <c r="M49" s="153">
        <f>MEDIAN(M36,M38:M39)</f>
        <v>3.0642677989491709</v>
      </c>
      <c r="N49" s="153">
        <f>MEDIAN(N36,N38:N39)</f>
        <v>2.8626743358874456</v>
      </c>
      <c r="O49" s="153">
        <f t="shared" si="19"/>
        <v>22.701365810767161</v>
      </c>
      <c r="P49" s="154">
        <f t="shared" si="19"/>
        <v>21.132323686128156</v>
      </c>
      <c r="Q49" s="155">
        <f t="shared" si="19"/>
        <v>19.671571643874444</v>
      </c>
    </row>
    <row r="51" spans="2:18" ht="15.75" customHeight="1">
      <c r="D51" s="372" t="s">
        <v>227</v>
      </c>
      <c r="E51" s="156">
        <f>E48*$K$16/$F$16</f>
        <v>146.34242788592593</v>
      </c>
      <c r="F51" s="156">
        <f t="shared" ref="F51:H52" si="20">(F48*E$31)/$F$16</f>
        <v>370.54856221576756</v>
      </c>
      <c r="G51" s="157">
        <f t="shared" si="20"/>
        <v>359.62339626127169</v>
      </c>
      <c r="H51" s="158">
        <f t="shared" si="20"/>
        <v>349.98952813447636</v>
      </c>
      <c r="I51" s="156">
        <f t="shared" ref="I51:K52" si="21">I48*I$31</f>
        <v>193.63320648646402</v>
      </c>
      <c r="J51" s="157">
        <f t="shared" si="21"/>
        <v>188.43026175347069</v>
      </c>
      <c r="K51" s="158">
        <f t="shared" si="21"/>
        <v>185.28630945709665</v>
      </c>
      <c r="L51" s="156">
        <f t="shared" ref="L51:N52" si="22">L48*I$31*$R$31*100</f>
        <v>94.03815102659533</v>
      </c>
      <c r="M51" s="157">
        <f t="shared" si="22"/>
        <v>92.931111001097079</v>
      </c>
      <c r="N51" s="158">
        <f t="shared" si="22"/>
        <v>93.070900440987913</v>
      </c>
      <c r="O51" s="156">
        <f t="shared" ref="O51:Q52" si="23">(O48*O$31-($H$16-$I$16))/$F$16</f>
        <v>245.44961174186901</v>
      </c>
      <c r="P51" s="157">
        <f t="shared" si="23"/>
        <v>225.42092464378194</v>
      </c>
      <c r="Q51" s="158">
        <f t="shared" si="23"/>
        <v>220.10877676326251</v>
      </c>
    </row>
    <row r="52" spans="2:18" ht="15.75" customHeight="1">
      <c r="D52" s="372" t="s">
        <v>228</v>
      </c>
      <c r="E52" s="159">
        <f>E49*$K$16/$F$16</f>
        <v>129.27461883230308</v>
      </c>
      <c r="F52" s="159">
        <f t="shared" si="20"/>
        <v>430.20966507837005</v>
      </c>
      <c r="G52" s="160">
        <f t="shared" si="20"/>
        <v>420.61873144313159</v>
      </c>
      <c r="H52" s="161">
        <f t="shared" si="20"/>
        <v>411.41745976938455</v>
      </c>
      <c r="I52" s="159">
        <f t="shared" si="21"/>
        <v>191.22443149200004</v>
      </c>
      <c r="J52" s="160">
        <f t="shared" si="21"/>
        <v>187.85076937987526</v>
      </c>
      <c r="K52" s="161">
        <f t="shared" si="21"/>
        <v>187.61803262262615</v>
      </c>
      <c r="L52" s="159">
        <f t="shared" si="22"/>
        <v>94.03815102659533</v>
      </c>
      <c r="M52" s="160">
        <f t="shared" si="22"/>
        <v>92.931111001097079</v>
      </c>
      <c r="N52" s="161">
        <f t="shared" si="22"/>
        <v>93.070900440987913</v>
      </c>
      <c r="O52" s="159">
        <f t="shared" si="23"/>
        <v>268.08450370041498</v>
      </c>
      <c r="P52" s="160">
        <f t="shared" si="23"/>
        <v>248.25638658464331</v>
      </c>
      <c r="Q52" s="161">
        <f t="shared" si="23"/>
        <v>242.70181088926799</v>
      </c>
    </row>
    <row r="53" spans="2:18" s="127" customFormat="1" ht="15.75" customHeight="1">
      <c r="C53" s="162"/>
      <c r="D53" s="63"/>
      <c r="E53" s="163" t="s">
        <v>229</v>
      </c>
      <c r="F53" s="164"/>
      <c r="G53" s="164"/>
      <c r="H53" s="164"/>
      <c r="I53" s="163" t="s">
        <v>230</v>
      </c>
      <c r="J53" s="163" t="s">
        <v>231</v>
      </c>
      <c r="K53" s="163" t="s">
        <v>232</v>
      </c>
      <c r="L53" s="163" t="s">
        <v>233</v>
      </c>
      <c r="M53" s="163" t="s">
        <v>234</v>
      </c>
      <c r="N53" s="163" t="s">
        <v>235</v>
      </c>
      <c r="O53" s="163" t="s">
        <v>236</v>
      </c>
      <c r="P53" s="163" t="s">
        <v>237</v>
      </c>
    </row>
    <row r="54" spans="2:18" ht="15.75" customHeight="1">
      <c r="B54" s="66" t="s">
        <v>238</v>
      </c>
      <c r="C54" s="98"/>
      <c r="D54" s="66"/>
      <c r="E54" s="66"/>
      <c r="F54" s="66"/>
      <c r="G54" s="66"/>
      <c r="H54" s="66"/>
      <c r="I54" s="66"/>
      <c r="J54" s="66"/>
      <c r="K54" s="66"/>
      <c r="L54" s="66"/>
      <c r="M54" s="66"/>
      <c r="N54" s="66"/>
      <c r="O54" s="66"/>
      <c r="P54" s="66"/>
      <c r="Q54" s="99"/>
      <c r="R54" s="68"/>
    </row>
    <row r="55" spans="2:18" s="85" customFormat="1" ht="15.75" customHeight="1" outlineLevel="1">
      <c r="B55" s="165"/>
      <c r="C55" s="166"/>
      <c r="D55" s="167" t="s">
        <v>239</v>
      </c>
      <c r="E55" s="168" t="s">
        <v>240</v>
      </c>
      <c r="F55" s="168" t="s">
        <v>183</v>
      </c>
      <c r="G55" s="168"/>
      <c r="H55" s="169"/>
      <c r="I55" s="167" t="s">
        <v>241</v>
      </c>
      <c r="J55" s="168" t="s">
        <v>242</v>
      </c>
      <c r="K55" s="168" t="s">
        <v>243</v>
      </c>
      <c r="L55" s="167"/>
      <c r="M55" s="169"/>
      <c r="N55" s="167" t="s">
        <v>244</v>
      </c>
      <c r="O55" s="169" t="s">
        <v>245</v>
      </c>
      <c r="P55" s="169" t="s">
        <v>246</v>
      </c>
    </row>
    <row r="56" spans="2:18" s="85" customFormat="1" ht="15.75" customHeight="1" outlineLevel="1">
      <c r="B56" s="170" t="s">
        <v>199</v>
      </c>
      <c r="C56" s="170" t="s">
        <v>200</v>
      </c>
      <c r="D56" s="527" t="s">
        <v>247</v>
      </c>
      <c r="E56" s="528" t="s">
        <v>247</v>
      </c>
      <c r="F56" s="528" t="s">
        <v>247</v>
      </c>
      <c r="G56" s="528" t="s">
        <v>79</v>
      </c>
      <c r="H56" s="529" t="s">
        <v>81</v>
      </c>
      <c r="I56" s="527" t="s">
        <v>248</v>
      </c>
      <c r="J56" s="528" t="s">
        <v>248</v>
      </c>
      <c r="K56" s="528" t="s">
        <v>248</v>
      </c>
      <c r="L56" s="527" t="s">
        <v>249</v>
      </c>
      <c r="M56" s="529" t="s">
        <v>250</v>
      </c>
      <c r="N56" s="527" t="s">
        <v>251</v>
      </c>
      <c r="O56" s="529" t="s">
        <v>251</v>
      </c>
      <c r="P56" s="173" t="s">
        <v>101</v>
      </c>
      <c r="Q56" s="87"/>
    </row>
    <row r="57" spans="2:18" s="85" customFormat="1" ht="15.75" customHeight="1" outlineLevel="1">
      <c r="B57" s="79" t="str">
        <f t="shared" ref="B57:B67" si="24">B6</f>
        <v>COCA-COLA CO/d</v>
      </c>
      <c r="C57" s="174" t="str">
        <f t="shared" ref="C57:C67" si="25">IF(C21="","",C36)</f>
        <v>KO</v>
      </c>
      <c r="D57" s="530" cm="1">
        <f t="array" ref="D57">IF($C57="","",_xll.RDP.Data($C57,"TR.GrossMargin")/100)</f>
        <v>0.61063299999999998</v>
      </c>
      <c r="E57" s="531" cm="1">
        <f t="array" ref="E57">IF($C57="","",_xll.RDP.Data($C57,"TR.OperatingMarginPercent")/100)</f>
        <v>0.24861350000000002</v>
      </c>
      <c r="F57" s="531" cm="1">
        <f t="array" ref="F57">IF($C57="","",_xll.RDP.Data($C57,"TR.NetProfitMargin")/100)</f>
        <v>0.2258983</v>
      </c>
      <c r="G57" s="531" cm="1">
        <f t="array" ref="G57">IF($C57="","",_xll.RDP.Data($C57,"TR.ROAActValue")/100)</f>
        <v>0.12570000000000001</v>
      </c>
      <c r="H57" s="531" cm="1">
        <f t="array" ref="H57">IF($C57="","",_xll.RDP.Data($C57,"TR.ROEActValue")/100)</f>
        <v>0.49070000000000003</v>
      </c>
      <c r="I57" s="532">
        <f>IF($C57="","",_xll.RDP.Data($C57,"TR.AssetTurnover"))</f>
        <v>0.47475939709999998</v>
      </c>
      <c r="J57" s="533">
        <f>IF($C57="","",_xll.RDP.Data($C57,"TR.InventoryTurnover"))</f>
        <v>4.0043706294000003</v>
      </c>
      <c r="K57" s="533" cm="1">
        <f t="array" ref="K57">IF($C57="","",_xll.RDP.Data($C57,"TR.Revenue")/_xll.RDP.Data($C57,"TR.TotalReceivablesNet"))</f>
        <v>13.186046511627907</v>
      </c>
      <c r="L57" s="534">
        <f>IF($C57="","",_xll.RDP.Data($C57,"TR.TtlDebtToTtlEquityPct"))</f>
        <v>179.11972964270001</v>
      </c>
      <c r="M57" s="535">
        <f>IF($C57="","",_xll.RDP.Data($C57,"TR.LTDebtToTtlCapitalPct"))</f>
        <v>59.7723361639</v>
      </c>
      <c r="N57" s="534">
        <f>IF($C57="","",_xll.RDP.Data($C57,"TR.QuickRatio"))</f>
        <v>0.84236999999999995</v>
      </c>
      <c r="O57" s="535">
        <f>IF($C57="","",_xll.RDP.Data($C57,"TR.CurrentRatio"))</f>
        <v>1.02962</v>
      </c>
      <c r="P57" s="181" cm="1">
        <f t="array" ref="P57">IF($C57="","",_xll.RDP.Data($C57,"TR.EBITDA")/_xll.RDP.Data($C57,"TR.InterestExpense"))</f>
        <v>7.3194444444444446</v>
      </c>
      <c r="Q57" s="87"/>
    </row>
    <row r="58" spans="2:18" s="85" customFormat="1" ht="15.75" customHeight="1" outlineLevel="1">
      <c r="B58" s="79" t="str">
        <f t="shared" si="24"/>
        <v>MONSTER BEV CO/d</v>
      </c>
      <c r="C58" s="174" t="str">
        <f t="shared" si="25"/>
        <v>MNST.O</v>
      </c>
      <c r="D58" s="536" cm="1">
        <f t="array" ref="D58">IF($C58="","",_xll.RDP.Data($C58,"TR.GrossMargin")/100)</f>
        <v>0.54037570000000001</v>
      </c>
      <c r="E58" s="537" cm="1">
        <f t="array" ref="E58">IF($C58="","",_xll.RDP.Data($C58,"TR.OperatingMarginPercent")/100)</f>
        <v>0.25762299999999999</v>
      </c>
      <c r="F58" s="537" cm="1">
        <f t="array" ref="F58">IF($C58="","",_xll.RDP.Data($C58,"TR.NetProfitMargin")/100)</f>
        <v>0.2014022</v>
      </c>
      <c r="G58" s="537" cm="1">
        <f t="array" ref="G58">IF($C58="","",_xll.RDP.Data($C58,"TR.ROAActValue")/100)</f>
        <v>0.18870000000000001</v>
      </c>
      <c r="H58" s="538" cm="1">
        <f t="array" ref="H58">IF($C58="","",_xll.RDP.Data($C58,"TR.ROEActValue")/100)</f>
        <v>0.23149</v>
      </c>
      <c r="I58" s="534">
        <f>IF($C58="","",_xll.RDP.Data($C58,"TR.AssetTurnover"))</f>
        <v>0.86095328680000005</v>
      </c>
      <c r="J58" s="539">
        <f>IF($C58="","",_xll.RDP.Data($C58,"TR.InventoryTurnover"))</f>
        <v>4.0313781634000003</v>
      </c>
      <c r="K58" s="539" cm="1">
        <f t="array" ref="K58">IF($C58="","",_xll.RDP.Data($C58,"TR.Revenue")/_xll.RDP.Data($C58,"TR.TotalReceivablesNet"))</f>
        <v>6.1332898401009786</v>
      </c>
      <c r="L58" s="534">
        <f>IF($C58="","",_xll.RDP.Data($C58,"TR.TtlDebtToTtlEquityPct"))</f>
        <v>6.3480681697000003</v>
      </c>
      <c r="M58" s="535">
        <f>IF($C58="","",_xll.RDP.Data($C58,"TR.LTDebtToTtlCapitalPct"))</f>
        <v>5.9026805587000002</v>
      </c>
      <c r="N58" s="534">
        <f>IF($C58="","",_xll.RDP.Data($C58,"TR.QuickRatio"))</f>
        <v>2.6463299999999998</v>
      </c>
      <c r="O58" s="535">
        <f>IF($C58="","",_xll.RDP.Data($C58,"TR.CurrentRatio"))</f>
        <v>3.3179400000000001</v>
      </c>
      <c r="P58" s="186" cm="1">
        <f t="array" ref="P58">IF($C58="","",_xll.RDP.Data($C58,"TR.EBITDA")/_xll.RDP.Data($C58,"TR.InterestExpense"))</f>
        <v>77.042795698924735</v>
      </c>
    </row>
    <row r="59" spans="2:18" s="85" customFormat="1" ht="15.75" customHeight="1" outlineLevel="1">
      <c r="B59" s="79" t="str">
        <f t="shared" si="24"/>
        <v>KRIG DR PPPR O/d</v>
      </c>
      <c r="C59" s="174" t="str">
        <f t="shared" si="25"/>
        <v>KDP.O</v>
      </c>
      <c r="D59" s="536" cm="1">
        <f t="array" ref="D59">IF($C59="","",_xll.RDP.Data($C59,"TR.GrossMargin")/100)</f>
        <v>0.55559899999999995</v>
      </c>
      <c r="E59" s="537" cm="1">
        <f t="array" ref="E59">IF($C59="","",_xll.RDP.Data($C59,"TR.OperatingMarginPercent")/100)</f>
        <v>0.16865349999999998</v>
      </c>
      <c r="F59" s="537" cm="1">
        <f t="array" ref="F59">IF($C59="","",_xll.RDP.Data($C59,"TR.NetProfitMargin")/100)</f>
        <v>9.3870099999999998E-2</v>
      </c>
      <c r="G59" s="537" cm="1">
        <f t="array" ref="G59">IF($C59="","",_xll.RDP.Data($C59,"TR.ROAActValue")/100)</f>
        <v>4.99E-2</v>
      </c>
      <c r="H59" s="538" cm="1">
        <f t="array" ref="H59">IF($C59="","",_xll.RDP.Data($C59,"TR.ROEActValue")/100)</f>
        <v>0.10550000000000001</v>
      </c>
      <c r="I59" s="534">
        <f>IF($C59="","",_xll.RDP.Data($C59,"TR.AssetTurnover"))</f>
        <v>0.29084880639999999</v>
      </c>
      <c r="J59" s="539">
        <f>IF($C59="","",_xll.RDP.Data($C59,"TR.InventoryTurnover"))</f>
        <v>5.0948469007000003</v>
      </c>
      <c r="K59" s="539" cm="1">
        <f t="array" ref="K59">IF($C59="","",_xll.RDP.Data($C59,"TR.Revenue")/_xll.RDP.Data($C59,"TR.TotalReceivablesNet"))</f>
        <v>8.9094602437608827</v>
      </c>
      <c r="L59" s="534">
        <f>IF($C59="","",_xll.RDP.Data($C59,"TR.TtlDebtToTtlEquityPct"))</f>
        <v>67.6360186446</v>
      </c>
      <c r="M59" s="535">
        <f>IF($C59="","",_xll.RDP.Data($C59,"TR.LTDebtToTtlCapitalPct"))</f>
        <v>33.4375</v>
      </c>
      <c r="N59" s="534">
        <f>IF($C59="","",_xll.RDP.Data($C59,"TR.QuickRatio"))</f>
        <v>0.31803999999999999</v>
      </c>
      <c r="O59" s="535">
        <f>IF($C59="","",_xll.RDP.Data($C59,"TR.CurrentRatio"))</f>
        <v>0.49425000000000002</v>
      </c>
      <c r="P59" s="186" cm="1">
        <f t="array" ref="P59">IF($C59="","",_xll.RDP.Data($C59,"TR.EBITDA")/_xll.RDP.Data($C59,"TR.InterestExpense"))</f>
        <v>5.3809523809523814</v>
      </c>
    </row>
    <row r="60" spans="2:18" s="85" customFormat="1" ht="15.75" customHeight="1" outlineLevel="1">
      <c r="B60" s="79" t="str">
        <f t="shared" si="24"/>
        <v/>
      </c>
      <c r="C60" s="174" t="str">
        <f t="shared" si="25"/>
        <v/>
      </c>
      <c r="D60" s="536" t="str" cm="1">
        <f t="array" ref="D60">IF($C60="","",_xll.RDP.Data($C60,"TR.GrossMargin")/100)</f>
        <v/>
      </c>
      <c r="E60" s="537" t="str" cm="1">
        <f t="array" ref="E60">IF($C60="","",_xll.RDP.Data($C60,"TR.OperatingMarginPercent")/100)</f>
        <v/>
      </c>
      <c r="F60" s="537" t="str" cm="1">
        <f t="array" ref="F60">IF($C60="","",_xll.RDP.Data($C60,"TR.NetProfitMargin")/100)</f>
        <v/>
      </c>
      <c r="G60" s="537" t="str" cm="1">
        <f t="array" ref="G60">IF($C60="","",_xll.RDP.Data($C60,"TR.ROAActValue")/100)</f>
        <v/>
      </c>
      <c r="H60" s="538" t="str" cm="1">
        <f t="array" ref="H60">IF($C60="","",_xll.RDP.Data($C60,"TR.ROEActValue")/100)</f>
        <v/>
      </c>
      <c r="I60" s="534" t="str">
        <f>IF($C60="","",_xll.RDP.Data($C60,"TR.AssetTurnover"))</f>
        <v/>
      </c>
      <c r="J60" s="539" t="str">
        <f>IF($C60="","",_xll.RDP.Data($C60,"TR.InventoryTurnover"))</f>
        <v/>
      </c>
      <c r="K60" s="539" t="str" cm="1">
        <f t="array" ref="K60">IF($C60="","",_xll.RDP.Data($C60,"TR.Revenue")/_xll.RDP.Data($C60,"TR.TotalReceivablesNet"))</f>
        <v/>
      </c>
      <c r="L60" s="534" t="str">
        <f>IF($C60="","",_xll.RDP.Data($C60,"TR.TtlDebtToTtlEquityPct"))</f>
        <v/>
      </c>
      <c r="M60" s="535" t="str">
        <f>IF($C60="","",_xll.RDP.Data($C60,"TR.LTDebtToTtlCapitalPct"))</f>
        <v/>
      </c>
      <c r="N60" s="534" t="str">
        <f>IF($C60="","",_xll.RDP.Data($C60,"TR.QuickRatio"))</f>
        <v/>
      </c>
      <c r="O60" s="535" t="str">
        <f>IF($C60="","",_xll.RDP.Data($C60,"TR.CurrentRatio"))</f>
        <v/>
      </c>
      <c r="P60" s="186" t="str" cm="1">
        <f t="array" ref="P60">IF($C60="","",_xll.RDP.Data($C60,"TR.EBITDA")/_xll.RDP.Data($C60,"TR.InterestExpense"))</f>
        <v/>
      </c>
    </row>
    <row r="61" spans="2:18" s="85" customFormat="1" ht="15.75" customHeight="1" outlineLevel="1">
      <c r="B61" s="79" t="str">
        <f t="shared" si="24"/>
        <v/>
      </c>
      <c r="C61" s="174" t="str">
        <f t="shared" si="25"/>
        <v/>
      </c>
      <c r="D61" s="536" t="str" cm="1">
        <f t="array" ref="D61">IF($C61="","",_xll.RDP.Data($C61,"TR.GrossMargin")/100)</f>
        <v/>
      </c>
      <c r="E61" s="537" t="str" cm="1">
        <f t="array" ref="E61">IF($C61="","",_xll.RDP.Data($C61,"TR.OperatingMarginPercent")/100)</f>
        <v/>
      </c>
      <c r="F61" s="537" t="str" cm="1">
        <f t="array" ref="F61">IF($C61="","",_xll.RDP.Data($C61,"TR.NetProfitMargin")/100)</f>
        <v/>
      </c>
      <c r="G61" s="537" t="str" cm="1">
        <f t="array" ref="G61">IF($C61="","",_xll.RDP.Data($C61,"TR.ROAActValue")/100)</f>
        <v/>
      </c>
      <c r="H61" s="538" t="str" cm="1">
        <f t="array" ref="H61">IF($C61="","",_xll.RDP.Data($C61,"TR.ROEActValue")/100)</f>
        <v/>
      </c>
      <c r="I61" s="534" t="str">
        <f>IF($C61="","",_xll.RDP.Data($C61,"TR.AssetTurnover"))</f>
        <v/>
      </c>
      <c r="J61" s="539" t="str">
        <f>IF($C61="","",_xll.RDP.Data($C61,"TR.InventoryTurnover"))</f>
        <v/>
      </c>
      <c r="K61" s="539" t="str" cm="1">
        <f t="array" ref="K61">IF($C61="","",_xll.RDP.Data($C61,"TR.Revenue")/_xll.RDP.Data($C61,"TR.TotalReceivablesNet"))</f>
        <v/>
      </c>
      <c r="L61" s="534" t="str">
        <f>IF($C61="","",_xll.RDP.Data($C61,"TR.TtlDebtToTtlEquityPct"))</f>
        <v/>
      </c>
      <c r="M61" s="535" t="str">
        <f>IF($C61="","",_xll.RDP.Data($C61,"TR.LTDebtToTtlCapitalPct"))</f>
        <v/>
      </c>
      <c r="N61" s="534" t="str">
        <f>IF($C61="","",_xll.RDP.Data($C61,"TR.QuickRatio"))</f>
        <v/>
      </c>
      <c r="O61" s="535" t="str">
        <f>IF($C61="","",_xll.RDP.Data($C61,"TR.CurrentRatio"))</f>
        <v/>
      </c>
      <c r="P61" s="186" t="str" cm="1">
        <f t="array" ref="P61">IF($C61="","",_xll.RDP.Data($C61,"TR.EBITDA")/_xll.RDP.Data($C61,"TR.InterestExpense"))</f>
        <v/>
      </c>
    </row>
    <row r="62" spans="2:18" s="85" customFormat="1" ht="15.75" customHeight="1" outlineLevel="1">
      <c r="B62" s="79" t="str">
        <f t="shared" si="24"/>
        <v/>
      </c>
      <c r="C62" s="174" t="str">
        <f t="shared" si="25"/>
        <v/>
      </c>
      <c r="D62" s="536" t="str" cm="1">
        <f t="array" ref="D62">IF($C62="","",_xll.RDP.Data($C62,"TR.GrossMargin")/100)</f>
        <v/>
      </c>
      <c r="E62" s="537" t="str" cm="1">
        <f t="array" ref="E62">IF($C62="","",_xll.RDP.Data($C62,"TR.OperatingMarginPercent")/100)</f>
        <v/>
      </c>
      <c r="F62" s="537" t="str" cm="1">
        <f t="array" ref="F62">IF($C62="","",_xll.RDP.Data($C62,"TR.NetProfitMargin")/100)</f>
        <v/>
      </c>
      <c r="G62" s="537" t="str" cm="1">
        <f t="array" ref="G62">IF($C62="","",_xll.RDP.Data($C62,"TR.ROAActValue")/100)</f>
        <v/>
      </c>
      <c r="H62" s="538" t="str" cm="1">
        <f t="array" ref="H62">IF($C62="","",_xll.RDP.Data($C62,"TR.ROEActValue")/100)</f>
        <v/>
      </c>
      <c r="I62" s="534" t="str">
        <f>IF($C62="","",_xll.RDP.Data($C62,"TR.AssetTurnover"))</f>
        <v/>
      </c>
      <c r="J62" s="539" t="str">
        <f>IF($C62="","",_xll.RDP.Data($C62,"TR.InventoryTurnover"))</f>
        <v/>
      </c>
      <c r="K62" s="539" t="str" cm="1">
        <f t="array" ref="K62">IF($C62="","",_xll.RDP.Data($C62,"TR.Revenue")/_xll.RDP.Data($C62,"TR.TotalReceivablesNet"))</f>
        <v/>
      </c>
      <c r="L62" s="534" t="str">
        <f>IF($C62="","",_xll.RDP.Data($C62,"TR.TtlDebtToTtlEquityPct"))</f>
        <v/>
      </c>
      <c r="M62" s="535" t="str">
        <f>IF($C62="","",_xll.RDP.Data($C62,"TR.LTDebtToTtlCapitalPct"))</f>
        <v/>
      </c>
      <c r="N62" s="534" t="str">
        <f>IF($C62="","",_xll.RDP.Data($C62,"TR.QuickRatio"))</f>
        <v/>
      </c>
      <c r="O62" s="535" t="str">
        <f>IF($C62="","",_xll.RDP.Data($C62,"TR.CurrentRatio"))</f>
        <v/>
      </c>
      <c r="P62" s="186" t="str" cm="1">
        <f t="array" ref="P62">IF($C62="","",_xll.RDP.Data($C62,"TR.EBITDA")/_xll.RDP.Data($C62,"TR.InterestExpense"))</f>
        <v/>
      </c>
    </row>
    <row r="63" spans="2:18" s="85" customFormat="1" ht="15.75" customHeight="1" outlineLevel="1">
      <c r="B63" s="79" t="str">
        <f t="shared" si="24"/>
        <v/>
      </c>
      <c r="C63" s="174" t="str">
        <f t="shared" si="25"/>
        <v/>
      </c>
      <c r="D63" s="536" t="str" cm="1">
        <f t="array" ref="D63">IF($C63="","",_xll.RDP.Data($C63,"TR.GrossMargin")/100)</f>
        <v/>
      </c>
      <c r="E63" s="537" t="str" cm="1">
        <f t="array" ref="E63">IF($C63="","",_xll.RDP.Data($C63,"TR.OperatingMarginPercent")/100)</f>
        <v/>
      </c>
      <c r="F63" s="537" t="str" cm="1">
        <f t="array" ref="F63">IF($C63="","",_xll.RDP.Data($C63,"TR.NetProfitMargin")/100)</f>
        <v/>
      </c>
      <c r="G63" s="537" t="str" cm="1">
        <f t="array" ref="G63">IF($C63="","",_xll.RDP.Data($C63,"TR.ROAActValue")/100)</f>
        <v/>
      </c>
      <c r="H63" s="538" t="str" cm="1">
        <f t="array" ref="H63">IF($C63="","",_xll.RDP.Data($C63,"TR.ROEActValue")/100)</f>
        <v/>
      </c>
      <c r="I63" s="534" t="str">
        <f>IF($C63="","",_xll.RDP.Data($C63,"TR.AssetTurnover"))</f>
        <v/>
      </c>
      <c r="J63" s="539" t="str">
        <f>IF($C63="","",_xll.RDP.Data($C63,"TR.InventoryTurnover"))</f>
        <v/>
      </c>
      <c r="K63" s="539" t="str" cm="1">
        <f t="array" ref="K63">IF($C63="","",_xll.RDP.Data($C63,"TR.Revenue")/_xll.RDP.Data($C63,"TR.TotalReceivablesNet"))</f>
        <v/>
      </c>
      <c r="L63" s="534" t="str">
        <f>IF($C63="","",_xll.RDP.Data($C63,"TR.TtlDebtToTtlEquityPct"))</f>
        <v/>
      </c>
      <c r="M63" s="535" t="str">
        <f>IF($C63="","",_xll.RDP.Data($C63,"TR.LTDebtToTtlCapitalPct"))</f>
        <v/>
      </c>
      <c r="N63" s="534" t="str">
        <f>IF($C63="","",_xll.RDP.Data($C63,"TR.QuickRatio"))</f>
        <v/>
      </c>
      <c r="O63" s="535" t="str">
        <f>IF($C63="","",_xll.RDP.Data($C63,"TR.CurrentRatio"))</f>
        <v/>
      </c>
      <c r="P63" s="186" t="str" cm="1">
        <f t="array" ref="P63">IF($C63="","",_xll.RDP.Data($C63,"TR.EBITDA")/_xll.RDP.Data($C63,"TR.InterestExpense"))</f>
        <v/>
      </c>
    </row>
    <row r="64" spans="2:18" s="85" customFormat="1" ht="15.75" customHeight="1" outlineLevel="1">
      <c r="B64" s="79" t="str">
        <f t="shared" si="24"/>
        <v/>
      </c>
      <c r="C64" s="174" t="str">
        <f t="shared" si="25"/>
        <v/>
      </c>
      <c r="D64" s="536" t="str" cm="1">
        <f t="array" ref="D64">IF($C64="","",_xll.RDP.Data($C64,"TR.GrossMargin")/100)</f>
        <v/>
      </c>
      <c r="E64" s="537" t="str" cm="1">
        <f t="array" ref="E64">IF($C64="","",_xll.RDP.Data($C64,"TR.OperatingMarginPercent")/100)</f>
        <v/>
      </c>
      <c r="F64" s="537" t="str" cm="1">
        <f t="array" ref="F64">IF($C64="","",_xll.RDP.Data($C64,"TR.NetProfitMargin")/100)</f>
        <v/>
      </c>
      <c r="G64" s="537" t="str" cm="1">
        <f t="array" ref="G64">IF($C64="","",_xll.RDP.Data($C64,"TR.ROAActValue")/100)</f>
        <v/>
      </c>
      <c r="H64" s="538" t="str" cm="1">
        <f t="array" ref="H64">IF($C64="","",_xll.RDP.Data($C64,"TR.ROEActValue")/100)</f>
        <v/>
      </c>
      <c r="I64" s="534" t="str">
        <f>IF($C64="","",_xll.RDP.Data($C64,"TR.AssetTurnover"))</f>
        <v/>
      </c>
      <c r="J64" s="539" t="str">
        <f>IF($C64="","",_xll.RDP.Data($C64,"TR.InventoryTurnover"))</f>
        <v/>
      </c>
      <c r="K64" s="539" t="str" cm="1">
        <f t="array" ref="K64">IF($C64="","",_xll.RDP.Data($C64,"TR.Revenue")/_xll.RDP.Data($C64,"TR.TotalReceivablesNet"))</f>
        <v/>
      </c>
      <c r="L64" s="534" t="str">
        <f>IF($C64="","",_xll.RDP.Data($C64,"TR.TtlDebtToTtlEquityPct"))</f>
        <v/>
      </c>
      <c r="M64" s="535" t="str">
        <f>IF($C64="","",_xll.RDP.Data($C64,"TR.LTDebtToTtlCapitalPct"))</f>
        <v/>
      </c>
      <c r="N64" s="534" t="str">
        <f>IF($C64="","",_xll.RDP.Data($C64,"TR.QuickRatio"))</f>
        <v/>
      </c>
      <c r="O64" s="535" t="str">
        <f>IF($C64="","",_xll.RDP.Data($C64,"TR.CurrentRatio"))</f>
        <v/>
      </c>
      <c r="P64" s="186" t="str" cm="1">
        <f t="array" ref="P64">IF($C64="","",_xll.RDP.Data($C64,"TR.EBITDA")/_xll.RDP.Data($C64,"TR.InterestExpense"))</f>
        <v/>
      </c>
    </row>
    <row r="65" spans="2:16" s="85" customFormat="1" ht="15.75" customHeight="1" outlineLevel="1">
      <c r="B65" s="79" t="str">
        <f t="shared" si="24"/>
        <v/>
      </c>
      <c r="C65" s="174" t="str">
        <f t="shared" si="25"/>
        <v/>
      </c>
      <c r="D65" s="536" t="str" cm="1">
        <f t="array" ref="D65">IF($C65="","",_xll.RDP.Data($C65,"TR.GrossMargin")/100)</f>
        <v/>
      </c>
      <c r="E65" s="540" t="str" cm="1">
        <f t="array" ref="E65">IF($C65="","",_xll.RDP.Data($C65,"TR.OperatingMarginPercent")/100)</f>
        <v/>
      </c>
      <c r="F65" s="540" t="str" cm="1">
        <f t="array" ref="F65">IF($C65="","",_xll.RDP.Data($C65,"TR.NetProfitMargin")/100)</f>
        <v/>
      </c>
      <c r="G65" s="540" t="str" cm="1">
        <f t="array" ref="G65">IF($C65="","",_xll.RDP.Data($C65,"TR.ROAActValue")/100)</f>
        <v/>
      </c>
      <c r="H65" s="538" t="str" cm="1">
        <f t="array" ref="H65">IF($C65="","",_xll.RDP.Data($C65,"TR.ROEActValue")/100)</f>
        <v/>
      </c>
      <c r="I65" s="534" t="str">
        <f>IF($C65="","",_xll.RDP.Data($C65,"TR.AssetTurnover"))</f>
        <v/>
      </c>
      <c r="J65" s="539" t="str">
        <f>IF($C65="","",_xll.RDP.Data($C65,"TR.InventoryTurnover"))</f>
        <v/>
      </c>
      <c r="K65" s="541" t="str" cm="1">
        <f t="array" ref="K65">IF($C65="","",_xll.RDP.Data($C65,"TR.Revenue")/_xll.RDP.Data($C65,"TR.TotalReceivablesNet"))</f>
        <v/>
      </c>
      <c r="L65" s="534" t="str">
        <f>IF($C65="","",_xll.RDP.Data($C65,"TR.TtlDebtToTtlEquityPct"))</f>
        <v/>
      </c>
      <c r="M65" s="535" t="str">
        <f>IF($C65="","",_xll.RDP.Data($C65,"TR.LTDebtToTtlCapitalPct"))</f>
        <v/>
      </c>
      <c r="N65" s="534" t="str">
        <f>IF($C65="","",_xll.RDP.Data($C65,"TR.QuickRatio"))</f>
        <v/>
      </c>
      <c r="O65" s="535" t="str">
        <f>IF($C65="","",_xll.RDP.Data($C65,"TR.CurrentRatio"))</f>
        <v/>
      </c>
      <c r="P65" s="186" t="str" cm="1">
        <f t="array" ref="P65">IF($C65="","",_xll.RDP.Data($C65,"TR.EBITDA")/_xll.RDP.Data($C65,"TR.InterestExpense"))</f>
        <v/>
      </c>
    </row>
    <row r="66" spans="2:16" s="85" customFormat="1" ht="15.75" customHeight="1" outlineLevel="1">
      <c r="B66" s="79" t="str">
        <f t="shared" si="24"/>
        <v/>
      </c>
      <c r="C66" s="174" t="str">
        <f t="shared" si="25"/>
        <v/>
      </c>
      <c r="D66" s="536" t="str" cm="1">
        <f t="array" ref="D66">IF($C66="","",_xll.RDP.Data($C66,"TR.GrossMargin")/100)</f>
        <v/>
      </c>
      <c r="E66" s="537" t="str" cm="1">
        <f t="array" ref="E66">IF($C66="","",_xll.RDP.Data($C66,"TR.OperatingMarginPercent")/100)</f>
        <v/>
      </c>
      <c r="F66" s="537" t="str" cm="1">
        <f t="array" ref="F66">IF($C66="","",_xll.RDP.Data($C66,"TR.NetProfitMargin")/100)</f>
        <v/>
      </c>
      <c r="G66" s="537" t="str" cm="1">
        <f t="array" ref="G66">IF($C66="","",_xll.RDP.Data($C66,"TR.ROAActValue")/100)</f>
        <v/>
      </c>
      <c r="H66" s="538" t="str" cm="1">
        <f t="array" ref="H66">IF($C66="","",_xll.RDP.Data($C66,"TR.ROEActValue")/100)</f>
        <v/>
      </c>
      <c r="I66" s="534" t="str">
        <f>IF($C66="","",_xll.RDP.Data($C66,"TR.AssetTurnover"))</f>
        <v/>
      </c>
      <c r="J66" s="539" t="str">
        <f>IF($C66="","",_xll.RDP.Data($C66,"TR.InventoryTurnover"))</f>
        <v/>
      </c>
      <c r="K66" s="539" t="str" cm="1">
        <f t="array" ref="K66">IF($C66="","",_xll.RDP.Data($C66,"TR.Revenue")/_xll.RDP.Data($C66,"TR.TotalReceivablesNet"))</f>
        <v/>
      </c>
      <c r="L66" s="534" t="str">
        <f>IF($C66="","",_xll.RDP.Data($C66,"TR.TtlDebtToTtlEquityPct"))</f>
        <v/>
      </c>
      <c r="M66" s="535" t="str">
        <f>IF($C66="","",_xll.RDP.Data($C66,"TR.LTDebtToTtlCapitalPct"))</f>
        <v/>
      </c>
      <c r="N66" s="534" t="str">
        <f>IF($C66="","",_xll.RDP.Data($C66,"TR.QuickRatio"))</f>
        <v/>
      </c>
      <c r="O66" s="535" t="str">
        <f>IF($C66="","",_xll.RDP.Data($C66,"TR.CurrentRatio"))</f>
        <v/>
      </c>
      <c r="P66" s="186" t="str" cm="1">
        <f t="array" ref="P66">IF($C66="","",_xll.RDP.Data($C66,"TR.EBITDA")/_xll.RDP.Data($C66,"TR.InterestExpense"))</f>
        <v/>
      </c>
    </row>
    <row r="67" spans="2:16" s="85" customFormat="1" ht="15.75" customHeight="1" outlineLevel="1">
      <c r="B67" s="92" t="str">
        <f t="shared" si="24"/>
        <v>PEPSICO INC/d</v>
      </c>
      <c r="C67" s="187" t="str">
        <f t="shared" si="25"/>
        <v>PEP.O</v>
      </c>
      <c r="D67" s="542" cm="1">
        <f t="array" ref="D67">IF($C67="","",_xll.RDP.Data($C67,"TR.GrossMargin")/100)</f>
        <v>0.55127700000000002</v>
      </c>
      <c r="E67" s="543" cm="1">
        <f t="array" ref="E67">IF($C67="","",_xll.RDP.Data($C67,"TR.OperatingMarginPercent")/100)</f>
        <v>0.1369456</v>
      </c>
      <c r="F67" s="543" cm="1">
        <f t="array" ref="F67">IF($C67="","",_xll.RDP.Data($C67,"TR.NetProfitMargin")/100)</f>
        <v>0.1042742</v>
      </c>
      <c r="G67" s="543" cm="1">
        <f t="array" ref="G67">IF($C67="","",_xll.RDP.Data($C67,"TR.ROAActValue")/100)</f>
        <v>0.1125</v>
      </c>
      <c r="H67" s="524" cm="1">
        <f t="array" ref="H67">IF($C67="","",_xll.RDP.Data($C67,"TR.ROEActValue")/100)</f>
        <v>0.61548999999999998</v>
      </c>
      <c r="I67" s="525">
        <f>IF($C67="","",_xll.RDP.Data($C67,"TR.AssetTurnover"))</f>
        <v>0.91871455580000005</v>
      </c>
      <c r="J67" s="526">
        <f>IF($C67="","",_xll.RDP.Data($C67,"TR.InventoryTurnover"))</f>
        <v>7.7475563909999998</v>
      </c>
      <c r="K67" s="526" cm="1">
        <f t="array" ref="K67">IF($C67="","",_xll.RDP.Data($C67,"TR.Revenue")/_xll.RDP.Data($C67,"TR.TotalReceivablesNet"))</f>
        <v>8.88938352850092</v>
      </c>
      <c r="L67" s="525">
        <f>IF($C67="","",_xll.RDP.Data($C67,"TR.TtlDebtToTtlEquityPct"))</f>
        <v>245.58505626069999</v>
      </c>
      <c r="M67" s="544">
        <f>IF($C67="","",_xll.RDP.Data($C67,"TR.LTDebtToTtlCapitalPct"))</f>
        <v>59.580325559800002</v>
      </c>
      <c r="N67" s="525">
        <f>IF($C67="","",_xll.RDP.Data($C67,"TR.QuickRatio"))</f>
        <v>0.65068000000000004</v>
      </c>
      <c r="O67" s="544">
        <f>IF($C67="","",_xll.RDP.Data($C67,"TR.CurrentRatio"))</f>
        <v>0.81894</v>
      </c>
      <c r="P67" s="193" cm="1">
        <f t="array" ref="P67">IF($C67="","",_xll.RDP.Data($C67,"TR.EBITDA")/_xll.RDP.Data($C67,"TR.InterestExpense"))</f>
        <v>20.173014145810665</v>
      </c>
    </row>
    <row r="71" spans="2:16" ht="15.75" customHeight="1">
      <c r="E71" s="348"/>
    </row>
  </sheetData>
  <conditionalFormatting sqref="E51:Q52">
    <cfRule type="cellIs" dxfId="3" priority="1" operator="lessThan">
      <formula>$D$46</formula>
    </cfRule>
    <cfRule type="cellIs" dxfId="2" priority="2" operator="greaterThan">
      <formula>$D$46</formula>
    </cfRule>
  </conditionalFormatting>
  <hyperlinks>
    <hyperlink ref="K12" tooltip="Thomson Reuters Click-Thru" xr:uid="{74675CA6-2C5F-D841-AD4F-1DF37786BB9C}"/>
    <hyperlink ref="K63" tooltip="Thomson Reuters Click-Thru" xr:uid="{2331E24F-AE75-1C42-9A55-53F6E0DBA853}"/>
    <hyperlink ref="K66" tooltip="Thomson Reuters Click-Thru" xr:uid="{F4559899-9270-7344-AAAB-1412EB720343}"/>
    <hyperlink ref="H16" tooltip="Thomson Reuters Click-Thru" xr:uid="{D5FD9407-6C84-DA4C-BECE-1FA2C7936556}"/>
    <hyperlink ref="I16" tooltip="Thomson Reuters Click-Thru" xr:uid="{5400A449-F6F7-7244-97F1-708C4A295E7A}"/>
    <hyperlink ref="K58" tooltip="Thomson Reuters Click-Thru" xr:uid="{3F2A6449-CB90-7147-B76C-48D5FD6226B0}"/>
    <hyperlink ref="H7" tooltip="Thomson Reuters Click-Thru" xr:uid="{9C212B44-42D5-B04A-904E-E028443AA578}"/>
    <hyperlink ref="H8" tooltip="Thomson Reuters Click-Thru" xr:uid="{12C2C7F5-B525-CF43-B871-9A64A766FA45}"/>
    <hyperlink ref="K60" tooltip="Thomson Reuters Click-Thru" xr:uid="{A26B347D-4529-2344-A6E9-A2CB1760EDF2}"/>
    <hyperlink ref="H9" tooltip="Thomson Reuters Click-Thru" xr:uid="{4EDA0932-3060-D144-B4B4-F2E347117851}"/>
    <hyperlink ref="H10" tooltip="Thomson Reuters Click-Thru" xr:uid="{D7A31CB4-6DBA-1F49-BED4-7172B94F4ADF}"/>
    <hyperlink ref="K62" tooltip="Thomson Reuters Click-Thru" xr:uid="{6C90A03B-19A7-5041-B537-770E807F3700}"/>
    <hyperlink ref="H11" tooltip="Thomson Reuters Click-Thru" xr:uid="{11CE92FD-BB97-E449-8747-A9A1BDB156F0}"/>
    <hyperlink ref="I11" tooltip="Thomson Reuters Click-Thru" xr:uid="{41CCCD38-844A-B74D-9D4A-E4963078AF00}"/>
    <hyperlink ref="I7:I8" tooltip="Thomson Reuters Click-Thru" xr:uid="{79019130-0EC8-364F-B754-481B3C072D73}"/>
    <hyperlink ref="I6" tooltip="Thomson Reuters Click-Thru" xr:uid="{6B04B894-C395-224E-821A-D3282ABF9260}"/>
    <hyperlink ref="H6" tooltip="Thomson Reuters Click-Thru" xr:uid="{7E6C6130-5E08-9143-A60D-09AA359B3C7D}"/>
    <hyperlink ref="K57" tooltip="Thomson Reuters Click-Thru" xr:uid="{2E970E6E-351B-F144-B0E4-C7678F06B2A4}"/>
    <hyperlink ref="I9" tooltip="Thomson Reuters Click-Thru" xr:uid="{8E3D8332-C64A-144D-8FBB-2AB071D9B6D9}"/>
    <hyperlink ref="K13" tooltip="Thomson Reuters Click-Thru" xr:uid="{8F1DC42A-1BF2-614C-92A0-AD94BD09B3C3}"/>
    <hyperlink ref="K64" tooltip="Thomson Reuters Click-Thru" xr:uid="{D75000B1-BA13-C444-9096-46BCB0A750C0}"/>
    <hyperlink ref="K14" tooltip="Thomson Reuters Click-Thru" xr:uid="{E2E37B5B-BDAD-304A-9796-5510ED001FE7}"/>
    <hyperlink ref="K15" tooltip="Thomson Reuters Click-Thru" xr:uid="{1E10C63C-AD0B-3847-8162-43E75B138A10}"/>
    <hyperlink ref="K65" tooltip="Thomson Reuters Click-Thru" xr:uid="{7BEC829B-31A1-F24E-A3AB-3CA73F556777}"/>
  </hyperlinks>
  <pageMargins left="0.7" right="0.7" top="0.75" bottom="0.75" header="0.3" footer="0.3"/>
  <pageSetup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21A9E-5F6E-5048-BF84-B7C660E6DF2F}">
  <dimension ref="B1:AE71"/>
  <sheetViews>
    <sheetView zoomScale="88" workbookViewId="0">
      <selection activeCell="F59" sqref="F59"/>
    </sheetView>
  </sheetViews>
  <sheetFormatPr baseColWidth="10" defaultColWidth="6.875" defaultRowHeight="15.75" customHeight="1" outlineLevelRow="1"/>
  <cols>
    <col min="1" max="1" width="2.125" style="63" customWidth="1"/>
    <col min="2" max="2" width="23.75" style="63" bestFit="1" customWidth="1"/>
    <col min="3" max="3" width="7.25" style="64" bestFit="1" customWidth="1"/>
    <col min="4" max="5" width="8.875" style="63" customWidth="1"/>
    <col min="6" max="6" width="8" style="63" customWidth="1"/>
    <col min="7" max="7" width="8.125" style="63" bestFit="1" customWidth="1"/>
    <col min="8" max="9" width="7.375" style="63" customWidth="1"/>
    <col min="10" max="10" width="8.625" style="63" customWidth="1"/>
    <col min="11" max="11" width="7.375" style="63" customWidth="1"/>
    <col min="12" max="12" width="7.125" style="63" bestFit="1" customWidth="1"/>
    <col min="13" max="13" width="8.625" style="63" customWidth="1"/>
    <col min="14" max="14" width="7" style="63" bestFit="1" customWidth="1"/>
    <col min="15" max="15" width="8.625" style="63" customWidth="1"/>
    <col min="16" max="18" width="7" style="63" bestFit="1" customWidth="1"/>
    <col min="19" max="16384" width="6.875" style="63"/>
  </cols>
  <sheetData>
    <row r="1" spans="2:31" ht="15.75" customHeight="1">
      <c r="D1" s="65" t="s">
        <v>188</v>
      </c>
    </row>
    <row r="2" spans="2:31" ht="15.75" customHeight="1">
      <c r="B2" s="372" t="s">
        <v>189</v>
      </c>
      <c r="C2" s="373"/>
      <c r="D2" s="374"/>
      <c r="E2" s="374"/>
      <c r="F2" s="374"/>
      <c r="G2" s="374"/>
      <c r="H2" s="374"/>
      <c r="I2" s="374"/>
      <c r="J2" s="374"/>
      <c r="K2" s="374"/>
      <c r="L2" s="374"/>
      <c r="M2" s="374"/>
      <c r="N2" s="374"/>
      <c r="O2" s="374"/>
      <c r="P2" s="374"/>
      <c r="Q2" s="374"/>
      <c r="R2" s="374"/>
    </row>
    <row r="3" spans="2:31" ht="15.75" customHeight="1">
      <c r="B3" s="66" t="s">
        <v>190</v>
      </c>
      <c r="C3" s="67"/>
      <c r="D3" s="68"/>
      <c r="E3" s="68"/>
      <c r="F3" s="68"/>
      <c r="G3" s="68"/>
      <c r="H3" s="68"/>
      <c r="I3" s="68"/>
      <c r="J3" s="68"/>
      <c r="K3" s="68"/>
      <c r="L3" s="68"/>
      <c r="M3" s="68"/>
      <c r="N3" s="68"/>
      <c r="O3" s="68"/>
      <c r="P3" s="68"/>
      <c r="Q3" s="68"/>
      <c r="R3" s="68"/>
    </row>
    <row r="4" spans="2:31" ht="15.75" customHeight="1">
      <c r="B4" s="69" t="s">
        <v>191</v>
      </c>
      <c r="C4" s="70"/>
      <c r="D4" s="71" t="s">
        <v>192</v>
      </c>
      <c r="E4" s="72" t="s">
        <v>193</v>
      </c>
      <c r="F4" s="72" t="s">
        <v>194</v>
      </c>
      <c r="G4" s="72" t="s">
        <v>195</v>
      </c>
      <c r="H4" s="72" t="s">
        <v>68</v>
      </c>
      <c r="I4" s="72"/>
      <c r="J4" s="72" t="s">
        <v>196</v>
      </c>
      <c r="K4" s="73" t="s">
        <v>197</v>
      </c>
      <c r="L4" s="73"/>
      <c r="M4" s="74" t="s">
        <v>198</v>
      </c>
    </row>
    <row r="5" spans="2:31" ht="15.75" customHeight="1">
      <c r="B5" s="75" t="s">
        <v>199</v>
      </c>
      <c r="C5" s="75" t="s">
        <v>200</v>
      </c>
      <c r="D5" s="76" t="s">
        <v>201</v>
      </c>
      <c r="E5" s="77" t="s">
        <v>202</v>
      </c>
      <c r="F5" s="77" t="s">
        <v>203</v>
      </c>
      <c r="G5" s="77" t="s">
        <v>204</v>
      </c>
      <c r="H5" s="77" t="s">
        <v>205</v>
      </c>
      <c r="I5" s="77" t="s">
        <v>206</v>
      </c>
      <c r="J5" s="77" t="s">
        <v>207</v>
      </c>
      <c r="K5" s="78" t="s">
        <v>207</v>
      </c>
      <c r="L5" s="78" t="s">
        <v>208</v>
      </c>
      <c r="M5" s="75" t="s">
        <v>209</v>
      </c>
    </row>
    <row r="6" spans="2:31" s="85" customFormat="1" ht="15.75" customHeight="1">
      <c r="B6" s="79" t="str" cm="1">
        <f t="array" ref="B6">IF($C6="","",_xll.RDP.Data($C6,"DSPLY_NAME"))</f>
        <v/>
      </c>
      <c r="C6" s="354"/>
      <c r="D6" s="80" t="str">
        <f>IF(C6="","",_xll.RDP.Data($C6,"TR.PriceClose","Curn=#1",,$D$1))</f>
        <v/>
      </c>
      <c r="E6" s="81" t="str">
        <f>IF($C6="","",_xll.RDP.Data($C6,"MAX(TR.PriceHigh(SDate=0D,EDate=0D-364C))/*52 Week High*/","Curn=#1",,$D$1))</f>
        <v/>
      </c>
      <c r="F6" s="82" t="str">
        <f>IF(C6="","",_xll.RDP.Data($C6,"TR.CompanySharesOutstanding(SDate=0)/*# Shares Outstanding*/")/1000000)</f>
        <v/>
      </c>
      <c r="G6" s="337" t="str">
        <f>IF(C6="","",D6*F6)</f>
        <v/>
      </c>
      <c r="H6" s="337" t="str" cm="1">
        <f t="array" ref="H6">IF($C6="","",_xll.RDP.Data($C6,"TR.TotalDebtOutstanding","Curn=#1",,$D$1)/1000000)</f>
        <v/>
      </c>
      <c r="I6" s="337" t="str">
        <f>IF($C6="","",_xll.RDP.Data($C6,"TR.CashandEquivalents","Curn=#1",,$D$1)/1000000)</f>
        <v/>
      </c>
      <c r="J6" s="338" t="str">
        <f>IF(C6="","",G6+H6-I6)</f>
        <v/>
      </c>
      <c r="K6" s="337" t="str" cm="1">
        <f t="array" ref="K6">IF($C6="","",_xll.RDP.Data($C6,"TR.TotalEquity","Curn=#1",,$D$1)/1000000)</f>
        <v/>
      </c>
      <c r="L6" s="84" t="str">
        <f>IF($C6="","",_xll.RDP.Data($C6,"TR.BetaFiveYear/*Beta 5 Year Monthly*//*Beta 5 Year Monthly*/"))</f>
        <v/>
      </c>
      <c r="M6" s="339" t="str">
        <f>IF(C6="","",_xll.RDP.Data($C6,"TR.PriceTargetMean","Curn=#1",,$D$1))</f>
        <v/>
      </c>
      <c r="N6" s="340"/>
    </row>
    <row r="7" spans="2:31" s="85" customFormat="1" ht="15.75" customHeight="1">
      <c r="B7" s="79" t="str" cm="1">
        <f t="array" ref="B7">IF($C7="","",_xll.RDP.Data($C7,"DSPLY_NAME"))</f>
        <v>HERSHEY CO/d</v>
      </c>
      <c r="C7" s="354" t="s">
        <v>252</v>
      </c>
      <c r="D7" s="86">
        <f>IF(C7="","",_xll.RDP.Data($C7,"TR.PriceClose","Curn=#1",,$D$1))</f>
        <v>170.01</v>
      </c>
      <c r="E7" s="87">
        <f>IF($C7="","",_xll.RDP.Data($C7,"MAX(TR.PriceHigh(SDate=0D,EDate=0D-364C))/*52 Week High*/","Curn=#1",,$D$1))</f>
        <v>211.92</v>
      </c>
      <c r="F7" s="82">
        <f>IF(C7="","",_xll.RDP.Data($C7,"TR.CompanySharesOutstanding(SDate=0)/*# Shares Outstanding*/")/1000000)</f>
        <v>202.56297599999999</v>
      </c>
      <c r="G7" s="338">
        <f t="shared" ref="G7:G13" si="0">IF(C7="","",D7*F7)</f>
        <v>34437.731549759999</v>
      </c>
      <c r="H7" s="338" cm="1">
        <f t="array" ref="H7">IF($C7="","",_xll.RDP.Data($C7,"TR.TotalDebtOutstanding","Curn=#1",,$D$1)/1000000)</f>
        <v>5102.1509999999998</v>
      </c>
      <c r="I7" s="341">
        <f>IF($C7="","",_xll.RDP.Data($C7,"TR.CashandEquivalents","Curn=#1",,$D$1)/1000000)</f>
        <v>730.74599999999998</v>
      </c>
      <c r="J7" s="338">
        <f>IF(C7="","",G7+H7-I7)</f>
        <v>38809.136549759998</v>
      </c>
      <c r="K7" s="338" cm="1">
        <f t="array" ref="K7">IF($C7="","",_xll.RDP.Data($C7,"TR.TotalEquity","Curn=#1",,$D$1)/1000000)</f>
        <v>4714.6540000000005</v>
      </c>
      <c r="L7" s="88">
        <f>IF($C7="","",_xll.RDP.Data($C7,"TR.BetaFiveYear/*Beta 5 Year Monthly*//*Beta 5 Year Monthly*/"))</f>
        <v>0.302679069489389</v>
      </c>
      <c r="M7" s="342">
        <f>IF(C7="","",_xll.RDP.Data($C7,"TR.PriceTargetMean","Curn=#1",,$D$1))</f>
        <v>165.15477999999999</v>
      </c>
      <c r="N7" s="340"/>
    </row>
    <row r="8" spans="2:31" s="85" customFormat="1" ht="15.75" customHeight="1">
      <c r="B8" s="79" t="str" cm="1">
        <f t="array" ref="B8">IF($C8="","",_xll.RDP.Data($C8,"DSPLY_NAME"))</f>
        <v>ALBRTS COM A O/d</v>
      </c>
      <c r="C8" s="353" t="s">
        <v>382</v>
      </c>
      <c r="D8" s="86">
        <f>IF(C8="","",_xll.RDP.Data($C8,"TR.PriceClose","Curn=#1",,$D$1))</f>
        <v>21.93</v>
      </c>
      <c r="E8" s="343">
        <f>IF($C8="","",_xll.RDP.Data($C8,"MAX(TR.PriceHigh(SDate=0D,EDate=0D-364C))/*52 Week High*/","Curn=#1",,$D$1))</f>
        <v>23.2</v>
      </c>
      <c r="F8" s="82">
        <f>IF(C8="","",_xll.RDP.Data($C8,"TR.CompanySharesOutstanding(SDate=0)/*# Shares Outstanding*/")/1000000)</f>
        <v>575.74985700000002</v>
      </c>
      <c r="G8" s="338">
        <f t="shared" si="0"/>
        <v>12626.19436401</v>
      </c>
      <c r="H8" s="338" cm="1">
        <f t="array" ref="H8">IF($C8="","",_xll.RDP.Data($C8,"TR.TotalDebtOutstanding","Curn=#1",,$D$1)/1000000)</f>
        <v>7820.1</v>
      </c>
      <c r="I8" s="341">
        <f>IF($C8="","",_xll.RDP.Data($C8,"TR.CashandEquivalents","Curn=#1",,$D$1)/1000000)</f>
        <v>293.60000000000002</v>
      </c>
      <c r="J8" s="338">
        <f>IF(C8="","",G8+H8-I8)</f>
        <v>20152.69436401</v>
      </c>
      <c r="K8" s="338" cm="1">
        <f t="array" ref="K8">IF($C8="","",_xll.RDP.Data($C8,"TR.TotalEquity","Curn=#1",,$D$1)/1000000)</f>
        <v>3385.9</v>
      </c>
      <c r="L8" s="88">
        <f>IF($C8="","",_xll.RDP.Data($C8,"TR.BetaFiveYear/*Beta 5 Year Monthly*//*Beta 5 Year Monthly*/"))</f>
        <v>0.46623505652595798</v>
      </c>
      <c r="M8" s="342">
        <f>IF(C8="","",_xll.RDP.Data($C8,"TR.PriceTargetMean","Curn=#1",,$D$1))</f>
        <v>23.785710000000002</v>
      </c>
      <c r="N8" s="340"/>
    </row>
    <row r="9" spans="2:31" s="85" customFormat="1" ht="15.75" customHeight="1">
      <c r="B9" s="79" t="str" cm="1">
        <f t="array" ref="B9">IF($C9="","",_xll.RDP.Data($C9,"DSPLY_NAME"))</f>
        <v>KIMBERLY-CLARK/d</v>
      </c>
      <c r="C9" s="90" t="s">
        <v>436</v>
      </c>
      <c r="D9" s="86">
        <f>IF(C9="","",_xll.RDP.Data($C9,"TR.PriceClose","Curn=#1",,$D$1))</f>
        <v>132.77000000000001</v>
      </c>
      <c r="E9" s="87">
        <f>IF($C9="","",_xll.RDP.Data($C9,"MAX(TR.PriceHigh(SDate=0D,EDate=0D-364C))/*52 Week High*/","Curn=#1",,$D$1))</f>
        <v>150.44999999999999</v>
      </c>
      <c r="F9" s="82">
        <f>IF(C9="","",_xll.RDP.Data($C9,"TR.CompanySharesOutstanding(SDate=0)/*# Shares Outstanding*/")/1000000)</f>
        <v>331.816035</v>
      </c>
      <c r="G9" s="341">
        <f t="shared" si="0"/>
        <v>44055.214966950007</v>
      </c>
      <c r="H9" s="341" cm="1">
        <f t="array" ref="H9">IF($C9="","",_xll.RDP.Data($C9,"TR.TotalDebtOutstanding","Curn=#1",,$D$1)/1000000)</f>
        <v>7480</v>
      </c>
      <c r="I9" s="341">
        <f>IF($C9="","",_xll.RDP.Data($C9,"TR.CashandEquivalents","Curn=#1",,$D$1)/1000000)</f>
        <v>1021</v>
      </c>
      <c r="J9" s="338">
        <f>IF(C9="","",G9+H9-I9)</f>
        <v>50514.214966950007</v>
      </c>
      <c r="K9" s="341" cm="1">
        <f t="array" ref="K9">IF($C9="","",_xll.RDP.Data($C9,"TR.TotalEquity","Curn=#1",,$D$1)/1000000)</f>
        <v>840</v>
      </c>
      <c r="L9" s="88">
        <f>IF($C9="","",_xll.RDP.Data($C9,"TR.BetaFiveYear/*Beta 5 Year Monthly*//*Beta 5 Year Monthly*/"))</f>
        <v>0.36947993670632101</v>
      </c>
      <c r="M9" s="342">
        <f>IF(C9="","",_xll.RDP.Data($C9,"TR.PriceTargetMean","Curn=#1",,$D$1))</f>
        <v>144.11059</v>
      </c>
      <c r="N9" s="340"/>
    </row>
    <row r="10" spans="2:31" s="85" customFormat="1" ht="15.75" customHeight="1">
      <c r="B10" s="79" t="str" cm="1">
        <f t="array" ref="B10">IF($C10="","",_xll.RDP.Data($C10,"DSPLY_NAME"))</f>
        <v/>
      </c>
      <c r="C10" s="90"/>
      <c r="D10" s="86" t="str">
        <f>IF(C10="","",_xll.RDP.Data($C10,"TR.PriceClose","Curn=#1",,$D$1))</f>
        <v/>
      </c>
      <c r="E10" s="87" t="str">
        <f>IF($C10="","",_xll.RDP.Data($C10,"MAX(TR.PriceHigh(SDate=0D,EDate=0D-364C))/*52 Week High*/","Curn=#1",,$D$1))</f>
        <v/>
      </c>
      <c r="F10" s="82" t="str">
        <f>IF(C10="","",_xll.RDP.Data($C10,"TR.CompanySharesOutstanding(SDate=0)/*# Shares Outstanding*/")/1000000)</f>
        <v/>
      </c>
      <c r="G10" s="341" t="str">
        <f t="shared" si="0"/>
        <v/>
      </c>
      <c r="H10" s="341" t="str" cm="1">
        <f t="array" ref="H10">IF($C10="","",_xll.RDP.Data($C10,"TR.TotalDebtOutstanding","Curn=#1",,$D$1)/1000000)</f>
        <v/>
      </c>
      <c r="I10" s="341" t="str">
        <f>IF($C10="","",_xll.RDP.Data($C10,"TR.CashandEquivalents","Curn=#1",,$D$1)/1000000)</f>
        <v/>
      </c>
      <c r="J10" s="341" t="str">
        <f>IF(C10="","",G10+H10-I10)</f>
        <v/>
      </c>
      <c r="K10" s="341" t="str" cm="1">
        <f t="array" ref="K10">IF($C10="","",_xll.RDP.Data($C10,"TR.TotalEquity","Curn=#1",,$D$1)/1000000)</f>
        <v/>
      </c>
      <c r="L10" s="88" t="str">
        <f>IF($C10="","",_xll.RDP.Data($C10,"TR.BetaFiveYear/*Beta 5 Year Monthly*//*Beta 5 Year Monthly*/"))</f>
        <v/>
      </c>
      <c r="M10" s="342" t="str">
        <f>IF(C10="","",_xll.RDP.Data($C10,"TR.PriceTargetMean","Curn=#1",,$D$1))</f>
        <v/>
      </c>
      <c r="N10" s="340"/>
    </row>
    <row r="11" spans="2:31" s="85" customFormat="1" ht="15.75" customHeight="1">
      <c r="B11" s="79" t="str" cm="1">
        <f t="array" ref="B11">IF($C11="","",_xll.RDP.Data($C11,"DSPLY_NAME"))</f>
        <v/>
      </c>
      <c r="C11" s="354"/>
      <c r="D11" s="86" t="str">
        <f>IF(C11="","",_xll.RDP.Data($C11,"TR.PriceClose","Curn=#1",,$D$1))</f>
        <v/>
      </c>
      <c r="E11" s="87" t="str">
        <f>IF($C11="","",_xll.RDP.Data($C11,"MAX(TR.PriceHigh(SDate=0D,EDate=0D-364C))/*52 Week High*/","Curn=#1",,$D$1))</f>
        <v/>
      </c>
      <c r="F11" s="82" t="str">
        <f>IF(C11="","",_xll.RDP.Data($C11,"TR.CompanySharesOutstanding(SDate=0)/*# Shares Outstanding*/")/1000000)</f>
        <v/>
      </c>
      <c r="G11" s="341" t="str">
        <f t="shared" si="0"/>
        <v/>
      </c>
      <c r="H11" s="341" t="str" cm="1">
        <f t="array" ref="H11">IF($C11="","",_xll.RDP.Data($C11,"TR.TotalDebtOutstanding","Curn=#1",,$D$1)/1000000)</f>
        <v/>
      </c>
      <c r="I11" s="341" t="str">
        <f>IF($C11="","",_xll.RDP.Data($C11,"TR.CashandEquivalents","Curn=#1",,$D$1)/1000000)</f>
        <v/>
      </c>
      <c r="J11" s="341" t="str">
        <f t="shared" ref="J11:J13" si="1">IF(C11="","",G11+H11-I11)</f>
        <v/>
      </c>
      <c r="K11" s="341" t="str" cm="1">
        <f t="array" ref="K11">IF($C11="","",_xll.RDP.Data($C11,"TR.TotalEquity","Curn=#1",,$D$1)/1000000)</f>
        <v/>
      </c>
      <c r="L11" s="88" t="str">
        <f>IF($C11="","",_xll.RDP.Data($C11,"TR.BetaFiveYear/*Beta 5 Year Monthly*//*Beta 5 Year Monthly*/"))</f>
        <v/>
      </c>
      <c r="M11" s="342" t="str">
        <f>IF(C11="","",_xll.RDP.Data($C11,"TR.PriceTargetMean","Curn=#1",,$D$1))</f>
        <v/>
      </c>
      <c r="N11" s="340"/>
    </row>
    <row r="12" spans="2:31" s="85" customFormat="1" ht="15.75" customHeight="1">
      <c r="B12" s="79" t="str" cm="1">
        <f t="array" ref="B12">IF($C12="","",_xll.RDP.Data($C12,"DSPLY_NAME"))</f>
        <v/>
      </c>
      <c r="C12" s="90"/>
      <c r="D12" s="86" t="str">
        <f>IF(C12="","",_xll.RDP.Data($C12,"TR.PriceClose","Curn=#1",,$D$1))</f>
        <v/>
      </c>
      <c r="E12" s="87" t="str">
        <f>IF($C12="","",_xll.RDP.Data($C12,"MAX(TR.PriceHigh(SDate=0D,EDate=0D-364C))/*52 Week High*/","Curn=#1",,$D$1))</f>
        <v/>
      </c>
      <c r="F12" s="344" t="str">
        <f>IF(C12="","",_xll.RDP.Data($C12,"TR.CompanySharesOutstanding(SDate=0)/*# Shares Outstanding*/")/1000000)</f>
        <v/>
      </c>
      <c r="G12" s="341" t="str">
        <f t="shared" si="0"/>
        <v/>
      </c>
      <c r="H12" s="341" t="str" cm="1">
        <f t="array" ref="H12">IF($C12="","",_xll.RDP.Data($C12,"TR.TotalDebtOutstanding","Curn=#1",,$D$1)/1000000)</f>
        <v/>
      </c>
      <c r="I12" s="341" t="str">
        <f>IF($C12="","",_xll.RDP.Data($C12,"TR.CashandEquivalents","Curn=#1",,$D$1)/1000000)</f>
        <v/>
      </c>
      <c r="J12" s="341" t="str">
        <f t="shared" si="1"/>
        <v/>
      </c>
      <c r="K12" s="341" t="str" cm="1">
        <f t="array" ref="K12">IF($C12="","",_xll.RDP.Data($C12,"TR.TotalEquity","Curn=#1",,$D$1)/1000000)</f>
        <v/>
      </c>
      <c r="L12" s="88" t="str">
        <f>IF($C12="","",_xll.RDP.Data($C12,"TR.BetaFiveYear/*Beta 5 Year Monthly*//*Beta 5 Year Monthly*/"))</f>
        <v/>
      </c>
      <c r="M12" s="342" t="str">
        <f>IF(C12="","",_xll.RDP.Data($C12,"TR.PriceTargetMean","Curn=#1",,$D$1))</f>
        <v/>
      </c>
      <c r="N12" s="340"/>
    </row>
    <row r="13" spans="2:31" s="85" customFormat="1" ht="15.75" customHeight="1">
      <c r="B13" s="79" t="str" cm="1">
        <f t="array" ref="B13">IF($C13="","",_xll.RDP.Data($C13,"DSPLY_NAME"))</f>
        <v/>
      </c>
      <c r="C13" s="90"/>
      <c r="D13" s="86" t="str">
        <f>IF(C13="","",_xll.RDP.Data($C13,"TR.PriceClose","Curn=#1",,$D$1))</f>
        <v/>
      </c>
      <c r="E13" s="87" t="str">
        <f>IF($C13="","",_xll.RDP.Data($C13,"MAX(TR.PriceHigh(SDate=0D,EDate=0D-364C))/*52 Week High*/","Curn=#1",,$D$1))</f>
        <v/>
      </c>
      <c r="F13" s="344" t="str">
        <f>IF(C13="","",_xll.RDP.Data($C13,"TR.CompanySharesOutstanding(SDate=0)/*# Shares Outstanding*/")/1000000)</f>
        <v/>
      </c>
      <c r="G13" s="341" t="str">
        <f>IF(C13="","",D13*F13)</f>
        <v/>
      </c>
      <c r="H13" s="341" t="str" cm="1">
        <f t="array" ref="H13">IF($C13="","",_xll.RDP.Data($C13,"TR.TotalDebtOutstanding","Curn=#1",,$D$1)/1000000)</f>
        <v/>
      </c>
      <c r="I13" s="341" t="str">
        <f>IF($C13="","",_xll.RDP.Data($C13,"TR.CashandEquivalents","Curn=#1",,$D$1)/1000000)</f>
        <v/>
      </c>
      <c r="J13" s="341" t="str">
        <f t="shared" si="1"/>
        <v/>
      </c>
      <c r="K13" s="341" t="str" cm="1">
        <f t="array" ref="K13">IF($C13="","",_xll.RDP.Data($C13,"TR.TotalEquity","Curn=#1",,$D$1)/1000000)</f>
        <v/>
      </c>
      <c r="L13" s="88" t="str">
        <f>IF($C13="","",_xll.RDP.Data($C13,"TR.BetaFiveYear/*Beta 5 Year Monthly*//*Beta 5 Year Monthly*/"))</f>
        <v/>
      </c>
      <c r="M13" s="342" t="str">
        <f>IF(C13="","",_xll.RDP.Data($C13,"TR.PriceTargetMean","Curn=#1",,$D$1))</f>
        <v/>
      </c>
      <c r="N13" s="340"/>
    </row>
    <row r="14" spans="2:31" s="85" customFormat="1" ht="15.75" customHeight="1">
      <c r="B14" s="79" t="str" cm="1">
        <f t="array" ref="B14">IF($C14="","",_xll.RDP.Data($C14,"DSPLY_NAME"))</f>
        <v/>
      </c>
      <c r="C14" s="90"/>
      <c r="D14" s="86" t="str">
        <f>IF(C14="","",_xll.RDP.Data($C14,"TR.PriceClose","Curn=#1",,$D$1))</f>
        <v/>
      </c>
      <c r="E14" s="87" t="str">
        <f>IF($C14="","",_xll.RDP.Data($C14,"MAX(TR.PriceHigh(SDate=0D,EDate=0D-364C))/*52 Week High*/","Curn=#1",,$D$1))</f>
        <v/>
      </c>
      <c r="F14" s="344" t="str">
        <f>IF(C14="","",_xll.RDP.Data($C14,"TR.CompanySharesOutstanding(SDate=0)/*# Shares Outstanding*/")/1000000)</f>
        <v/>
      </c>
      <c r="G14" s="341" t="str">
        <f>IF(C14="","",D14*F14)</f>
        <v/>
      </c>
      <c r="H14" s="83" t="str" cm="1">
        <f t="array" ref="H14">IF($C14="","",_xll.RDP.Data($C14,"TR.TotalDebtOutstanding","Curn=#1",,$D$1)/1000000)</f>
        <v/>
      </c>
      <c r="I14" s="341" t="str">
        <f>IF($C14="","",_xll.RDP.Data($C14,"TR.CashandEquivalents","Curn=#1",,$D$1)/1000000)</f>
        <v/>
      </c>
      <c r="J14" s="341" t="str">
        <f>IF(C14="","",G14+H14-I14)</f>
        <v/>
      </c>
      <c r="K14" s="83" t="str" cm="1">
        <f t="array" ref="K14">IF($C14="","",_xll.RDP.Data($C14,"TR.TotalEquity","Curn=#1",,$D$1)/1000000)</f>
        <v/>
      </c>
      <c r="L14" s="88" t="str">
        <f>IF($C14="","",_xll.RDP.Data($C14,"TR.BetaFiveYear/*Beta 5 Year Monthly*//*Beta 5 Year Monthly*/"))</f>
        <v/>
      </c>
      <c r="M14" s="342" t="str">
        <f>IF(C14="","",_xll.RDP.Data($C14,"TR.PriceTargetMean","Curn=#1",,$D$1))</f>
        <v/>
      </c>
      <c r="N14" s="340"/>
    </row>
    <row r="15" spans="2:31" s="85" customFormat="1" ht="15.75" customHeight="1">
      <c r="B15" s="79" t="str" cm="1">
        <f t="array" ref="B15">IF($C15="","",_xll.RDP.Data($C15,"DSPLY_NAME"))</f>
        <v/>
      </c>
      <c r="C15" s="90"/>
      <c r="D15" s="86" t="str">
        <f>IF(C15="","",_xll.RDP.Data($C15,"TR.PriceClose","Curn=#1",,$D$1))</f>
        <v/>
      </c>
      <c r="E15" s="87" t="str">
        <f>IF($C15="","",_xll.RDP.Data($C15,"MAX(TR.PriceHigh(SDate=0D,EDate=0D-364C))/*52 Week High*/","Curn=#1",,$D$1))</f>
        <v/>
      </c>
      <c r="F15" s="91" t="str">
        <f>IF(C15="","",_xll.RDP.Data($C15,"TR.CompanySharesOutstanding(SDate=0)/*# Shares Outstanding*/")/1000000)</f>
        <v/>
      </c>
      <c r="G15" s="83" t="str">
        <f>IF(C15="","",D15*F15)</f>
        <v/>
      </c>
      <c r="H15" s="83" t="str" cm="1">
        <f t="array" ref="H15">IF($C15="","",_xll.RDP.Data($C15,"TR.TotalDebtOutstanding","Curn=#1",,$D$1)/1000000)</f>
        <v/>
      </c>
      <c r="I15" s="83" t="str">
        <f>IF($C15="","",_xll.RDP.Data($C15,"TR.CashandEquivalents","Curn=#1",,$D$1)/1000000)</f>
        <v/>
      </c>
      <c r="J15" s="83" t="str">
        <f>IF(C15="","",G15+H15-I15)</f>
        <v/>
      </c>
      <c r="K15" s="83" t="str" cm="1">
        <f t="array" ref="K15">IF($C15="","",_xll.RDP.Data($C15,"TR.TotalEquity","Curn=#1",,$D$1)/1000000)</f>
        <v/>
      </c>
      <c r="L15" s="88" t="str">
        <f>IF($C15="","",_xll.RDP.Data($C15,"TR.BetaFiveYear/*Beta 5 Year Monthly*//*Beta 5 Year Monthly*/"))</f>
        <v/>
      </c>
      <c r="M15" s="89" t="str">
        <f>IF(C15="","",_xll.RDP.Data($C15,"TR.PriceTargetMean","Curn=#1",,$D$1))</f>
        <v/>
      </c>
      <c r="N15" s="340"/>
    </row>
    <row r="16" spans="2:31" s="126" customFormat="1" ht="15.75" customHeight="1">
      <c r="B16" s="92" t="str" cm="1">
        <f t="array" ref="B16">IF($C16="","",_xll.RDP.Data($C16,"DSPLY_NAME"))</f>
        <v>PEPSICO INC/d</v>
      </c>
      <c r="C16" s="93" t="s">
        <v>432</v>
      </c>
      <c r="D16" s="94">
        <f>IF(C16="","",_xll.RDP.Data($C16,"TR.PriceClose","Curn=#1",,$D$1))</f>
        <v>130.74</v>
      </c>
      <c r="E16" s="95">
        <f>IF($C16="","",_xll.RDP.Data($C16,"MAX(TR.PriceHigh(SDate=0D,EDate=0D-364C))/*52 Week High*/","Curn=#1",,$D$1))</f>
        <v>183.41</v>
      </c>
      <c r="F16" s="96">
        <f>IF(C16="","",_xll.RDP.Data($C16,"TR.CompanySharesOutstanding(SDate=0)/*# Shares Outstanding*/")/1000000)</f>
        <v>1371.07954</v>
      </c>
      <c r="G16" s="345">
        <f t="shared" ref="G16" si="2">IF(C16="","",D16*F16)</f>
        <v>179254.9390596</v>
      </c>
      <c r="H16" s="345" cm="1">
        <f t="array" ref="H16">IF($C16="","",_xll.RDP.Data($C16,"TR.TotalDebtOutstanding","Curn=#1",,$D$1)/1000000)</f>
        <v>44306</v>
      </c>
      <c r="I16" s="345">
        <f>IF($C16="","",_xll.RDP.Data($C16,"TR.CashandEquivalents","Curn=#1",,$D$1)/1000000)</f>
        <v>8505</v>
      </c>
      <c r="J16" s="345">
        <f t="shared" ref="J16" si="3">IF(C16="","",G16+H16-I16)</f>
        <v>215055.9390596</v>
      </c>
      <c r="K16" s="345" cm="1">
        <f t="array" ref="K16">IF($C16="","",_xll.RDP.Data($C16,"TR.TotalEquity","Curn=#1",,$D$1)/1000000)</f>
        <v>18041</v>
      </c>
      <c r="L16" s="97">
        <f>IF($C16="","",_xll.RDP.Data($C16,"TR.BetaFiveYear/*Beta 5 Year Monthly*//*Beta 5 Year Monthly*/"))</f>
        <v>0.48841265351209401</v>
      </c>
      <c r="M16" s="346">
        <f>IF(C16="","",_xll.RDP.Data($C16,"TR.PriceTargetMean","Curn=#1",,$D$1))</f>
        <v>150.48142999999999</v>
      </c>
      <c r="N16" s="340"/>
      <c r="O16" s="85"/>
      <c r="P16" s="85"/>
      <c r="Q16" s="85"/>
      <c r="R16" s="85"/>
      <c r="S16" s="85"/>
      <c r="T16" s="85"/>
      <c r="U16" s="85"/>
      <c r="V16" s="85"/>
      <c r="W16" s="85"/>
      <c r="X16" s="85"/>
      <c r="Y16" s="85"/>
      <c r="Z16" s="85"/>
      <c r="AA16" s="85"/>
      <c r="AB16" s="85"/>
      <c r="AC16" s="85"/>
      <c r="AD16" s="85"/>
      <c r="AE16" s="85"/>
    </row>
    <row r="17" spans="2:19" ht="15.75" customHeight="1">
      <c r="D17" s="63" t="s">
        <v>302</v>
      </c>
      <c r="E17" s="63" t="s">
        <v>302</v>
      </c>
      <c r="F17" s="63" t="s">
        <v>302</v>
      </c>
      <c r="G17" s="63" t="s">
        <v>302</v>
      </c>
      <c r="H17" s="63" t="s">
        <v>302</v>
      </c>
      <c r="I17" s="63" t="s">
        <v>302</v>
      </c>
      <c r="J17" s="63" t="s">
        <v>302</v>
      </c>
      <c r="K17" s="63" t="s">
        <v>302</v>
      </c>
      <c r="L17" s="63" t="s">
        <v>302</v>
      </c>
      <c r="M17" s="63" t="s">
        <v>302</v>
      </c>
    </row>
    <row r="18" spans="2:19" ht="15.75" customHeight="1">
      <c r="B18" s="66" t="s">
        <v>210</v>
      </c>
      <c r="C18" s="98"/>
      <c r="D18" s="66"/>
      <c r="E18" s="66"/>
      <c r="F18" s="66"/>
      <c r="G18" s="66"/>
      <c r="H18" s="66"/>
      <c r="I18" s="66"/>
      <c r="J18" s="66"/>
      <c r="K18" s="66"/>
      <c r="L18" s="66"/>
      <c r="M18" s="66"/>
      <c r="N18" s="66"/>
      <c r="O18" s="66"/>
      <c r="P18" s="66"/>
      <c r="Q18" s="99"/>
      <c r="R18" s="68"/>
    </row>
    <row r="19" spans="2:19" ht="15.75" customHeight="1">
      <c r="B19" s="69"/>
      <c r="C19" s="70"/>
      <c r="D19" s="100" t="s">
        <v>211</v>
      </c>
      <c r="E19" s="101"/>
      <c r="F19" s="101"/>
      <c r="G19" s="102"/>
      <c r="H19" s="100" t="s">
        <v>212</v>
      </c>
      <c r="I19" s="101"/>
      <c r="J19" s="101"/>
      <c r="K19" s="102"/>
      <c r="L19" s="101" t="s">
        <v>213</v>
      </c>
      <c r="M19" s="101"/>
      <c r="N19" s="102"/>
      <c r="O19" s="100" t="s">
        <v>214</v>
      </c>
      <c r="P19" s="101"/>
      <c r="Q19" s="102"/>
      <c r="R19" s="74" t="s">
        <v>215</v>
      </c>
    </row>
    <row r="20" spans="2:19" ht="15.75" customHeight="1">
      <c r="B20" s="75" t="s">
        <v>199</v>
      </c>
      <c r="C20" s="75" t="s">
        <v>200</v>
      </c>
      <c r="D20" s="103" t="s">
        <v>216</v>
      </c>
      <c r="E20" s="104" t="s">
        <v>217</v>
      </c>
      <c r="F20" s="104" t="s">
        <v>218</v>
      </c>
      <c r="G20" s="105" t="s">
        <v>219</v>
      </c>
      <c r="H20" s="103" t="s">
        <v>216</v>
      </c>
      <c r="I20" s="104" t="s">
        <v>217</v>
      </c>
      <c r="J20" s="104" t="s">
        <v>218</v>
      </c>
      <c r="K20" s="105" t="s">
        <v>219</v>
      </c>
      <c r="L20" s="103" t="s">
        <v>216</v>
      </c>
      <c r="M20" s="104" t="s">
        <v>217</v>
      </c>
      <c r="N20" s="105" t="s">
        <v>218</v>
      </c>
      <c r="O20" s="103" t="s">
        <v>216</v>
      </c>
      <c r="P20" s="104" t="s">
        <v>217</v>
      </c>
      <c r="Q20" s="105" t="s">
        <v>218</v>
      </c>
      <c r="R20" s="75" t="s">
        <v>220</v>
      </c>
    </row>
    <row r="21" spans="2:19" ht="15.75" customHeight="1">
      <c r="B21" s="106" t="str">
        <f>B6</f>
        <v/>
      </c>
      <c r="C21" s="107" t="str">
        <f t="shared" ref="C21:C31" si="4">IF(C6="","",C6)</f>
        <v/>
      </c>
      <c r="D21" s="108" t="str" cm="1">
        <f t="array" ref="D21">IF($C21="","",_xll.RDP.Data($C21,"TR.Revenue","Curn=#1",,$D$1)/1000000)</f>
        <v/>
      </c>
      <c r="E21" s="108" t="str" cm="1">
        <f t="array" ref="E21">IF($C21="","",_xll.RDP.Data($C21,"TR.RevenueMean","Period=FY1 Frq=D SDate=1D Curn=#1",,$D$1)/1000000)</f>
        <v/>
      </c>
      <c r="F21" s="108" t="str" cm="1">
        <f t="array" ref="F21">IF($C21="","",_xll.RDP.Data($C21,"TR.RevenueMean","Period=FY2 Frq=D SDate=1D Curn=#1",,$D$1)/1000000)</f>
        <v/>
      </c>
      <c r="G21" s="109" t="str" cm="1">
        <f t="array" ref="G21">IF($C21="","",_xll.RDP.Data($C21,"TR.RevenueMean","Period=FY3 Frq=D SDate=1D Curn=#1",,$D$1)/1000000)</f>
        <v/>
      </c>
      <c r="H21" s="110" t="str">
        <f>IF($C21="","",_xll.RDP.Data($C21,"TR.EPSMean","Period=FY0 Frq=D SDate=1D Curn=#1",,$D$1))</f>
        <v/>
      </c>
      <c r="I21" s="110" t="str">
        <f>IF($C21="","",_xll.RDP.Data($C21,"TR.EPSMean","Period=FY1 Frq=D SDate=1D Curn=#1",,$D$1))</f>
        <v/>
      </c>
      <c r="J21" s="110" t="str">
        <f>IF($C21="","",_xll.RDP.Data($C21,"TR.EPSMean","Period=FY2 Frq=D SDate=1D Curn=#1",,$D$1))</f>
        <v/>
      </c>
      <c r="K21" s="111" t="str">
        <f>IF($C21="","",_xll.RDP.Data($C21,"TR.EPSMean","Period=FY3 Frq=D SDate=1D Curn=#1",,$D$1))</f>
        <v/>
      </c>
      <c r="L21" s="112" t="str" cm="1">
        <f t="array" ref="L21">IF($C21="","",_xll.RDP.Data($C21,"TR.EBITMean","Period=FY0 Frq=D SDate=1D Curn=#1",,$D$1)/1000000)</f>
        <v/>
      </c>
      <c r="M21" s="112" t="str" cm="1">
        <f t="array" ref="M21">IF($C21="","",_xll.RDP.Data($C21,"TR.EBITMean","Period=FY1 Frq=D SDate=1D Curn=#1",,$D$1)/1000000)</f>
        <v/>
      </c>
      <c r="N21" s="113" t="str" cm="1">
        <f t="array" ref="N21">IF($C21="","",_xll.RDP.Data($C21,"TR.EBITMean","Period=FY2 Frq=D SDate=1D Curn=#1",,$D$1)/1000000)</f>
        <v/>
      </c>
      <c r="O21" s="114" t="str" cm="1">
        <f t="array" ref="O21">IF($C21="","",_xll.RDP.Data($C21,"TR.EBITDAMean","Period=FY0 Frq=D SDate=1D Curn=#1",,$D$1)/1000000)</f>
        <v/>
      </c>
      <c r="P21" s="112" t="str" cm="1">
        <f t="array" ref="P21">IF($C21="","",_xll.RDP.Data($C21,"TR.EBITDAMean","Period=FY1 Frq=D SDate=1D Curn=#1",,$D$1)/1000000)</f>
        <v/>
      </c>
      <c r="Q21" s="113" t="str" cm="1">
        <f t="array" ref="Q21">IF($C21="","",_xll.RDP.Data($C21,"TR.EBITDAMean","Period=FY2 Frq=D SDate=1D Curn=#1",,$D$1)/1000000)</f>
        <v/>
      </c>
      <c r="R21" s="115" t="str" cm="1">
        <f t="array" ref="R21">IF($C21="","",_xll.RDP.Data($C21,"TR.LTGMean",,)/100)</f>
        <v/>
      </c>
    </row>
    <row r="22" spans="2:19" ht="15.75" customHeight="1">
      <c r="B22" s="106" t="str">
        <f t="shared" ref="B22:B28" si="5">B7</f>
        <v>HERSHEY CO/d</v>
      </c>
      <c r="C22" s="107" t="str">
        <f t="shared" si="4"/>
        <v>HSY</v>
      </c>
      <c r="D22" s="108" cm="1">
        <f t="array" ref="D22">IF($C22="","",_xll.RDP.Data($C22,"TR.Revenue","Curn=#1",,$D$1)/1000000)</f>
        <v>11202.263000000001</v>
      </c>
      <c r="E22" s="347" cm="1">
        <f t="array" ref="E22">IF($C22="","",_xll.RDP.Data($C22,"TR.RevenueMean","Period=FY1 Frq=D SDate=1D Curn=#1",,$D$1)/1000000)</f>
        <v>11429.96313</v>
      </c>
      <c r="F22" s="108" cm="1">
        <f t="array" ref="F22">IF($C22="","",_xll.RDP.Data($C22,"TR.RevenueMean","Period=FY2 Frq=D SDate=1D Curn=#1",,$D$1)/1000000)</f>
        <v>11773.84483</v>
      </c>
      <c r="G22" s="116" cm="1">
        <f t="array" ref="G22">IF($C22="","",_xll.RDP.Data($C22,"TR.RevenueMean","Period=FY3 Frq=D SDate=1D Curn=#1",,$D$1)/1000000)</f>
        <v>12065.42087</v>
      </c>
      <c r="H22" s="110">
        <f>IF($C22="","",_xll.RDP.Data($C22,"TR.EPSMean","Period=FY0 Frq=D SDate=1D Curn=#1",,$D$1))</f>
        <v>9.0446299999999997</v>
      </c>
      <c r="I22" s="110">
        <f>IF($C22="","",_xll.RDP.Data($C22,"TR.EPSMean","Period=FY1 Frq=D SDate=1D Curn=#1",,$D$1))</f>
        <v>5.9990899999999998</v>
      </c>
      <c r="J22" s="110">
        <f>IF($C22="","",_xll.RDP.Data($C22,"TR.EPSMean","Period=FY2 Frq=D SDate=1D Curn=#1",,$D$1))</f>
        <v>6.5410000000000004</v>
      </c>
      <c r="K22" s="111">
        <f>IF($C22="","",_xll.RDP.Data($C22,"TR.EPSMean","Period=FY3 Frq=D SDate=1D Curn=#1",,$D$1))</f>
        <v>7.6589999999999998</v>
      </c>
      <c r="L22" s="112" cm="1">
        <f t="array" ref="L22">IF($C22="","",_xll.RDP.Data($C22,"TR.EBITMean","Period=FY0 Frq=D SDate=1D Curn=#1",,$D$1)/1000000)</f>
        <v>2499.0597600000001</v>
      </c>
      <c r="M22" s="112" cm="1">
        <f t="array" ref="M22">IF($C22="","",_xll.RDP.Data($C22,"TR.EBITMean","Period=FY1 Frq=D SDate=1D Curn=#1",,$D$1)/1000000)</f>
        <v>1771.3321000000001</v>
      </c>
      <c r="N22" s="113" cm="1">
        <f t="array" ref="N22">IF($C22="","",_xll.RDP.Data($C22,"TR.EBITMean","Period=FY2 Frq=D SDate=1D Curn=#1",,$D$1)/1000000)</f>
        <v>1895.7909099999999</v>
      </c>
      <c r="O22" s="114" cm="1">
        <f t="array" ref="O22">IF($C22="","",_xll.RDP.Data($C22,"TR.EBITDAMean","Period=FY0 Frq=D SDate=1D Curn=#1",,$D$1)/1000000)</f>
        <v>2934.9945600000001</v>
      </c>
      <c r="P22" s="112" cm="1">
        <f t="array" ref="P22">IF($C22="","",_xll.RDP.Data($C22,"TR.EBITDAMean","Period=FY1 Frq=D SDate=1D Curn=#1",,$D$1)/1000000)</f>
        <v>2207.64516</v>
      </c>
      <c r="Q22" s="113" cm="1">
        <f t="array" ref="Q22">IF($C22="","",_xll.RDP.Data($C22,"TR.EBITDAMean","Period=FY2 Frq=D SDate=1D Curn=#1",,$D$1)/1000000)</f>
        <v>2342.1416800000002</v>
      </c>
      <c r="R22" s="115" cm="1">
        <f t="array" ref="R22">IF($C22="","",_xll.RDP.Data($C22,"TR.LTGMean",,)/100)</f>
        <v>-8.4250000000000005E-2</v>
      </c>
    </row>
    <row r="23" spans="2:19" ht="15.75" customHeight="1">
      <c r="B23" s="106" t="str">
        <f t="shared" si="5"/>
        <v>ALBRTS COM A O/d</v>
      </c>
      <c r="C23" s="107" t="str">
        <f t="shared" si="4"/>
        <v>ACI</v>
      </c>
      <c r="D23" s="108" cm="1">
        <f t="array" ref="D23">IF($C23="","",_xll.RDP.Data($C23,"TR.Revenue","Curn=#1",,$D$1)/1000000)</f>
        <v>80390.899999999994</v>
      </c>
      <c r="E23" s="108" cm="1">
        <f t="array" ref="E23">IF($C23="","",_xll.RDP.Data($C23,"TR.RevenueMean","Period=FY1 Frq=D SDate=1D Curn=#1",,$D$1)/1000000)</f>
        <v>83220.042000000001</v>
      </c>
      <c r="F23" s="347" cm="1">
        <f t="array" ref="F23">IF($C23="","",_xll.RDP.Data($C23,"TR.RevenueMean","Period=FY2 Frq=D SDate=1D Curn=#1",,$D$1)/1000000)</f>
        <v>83792.926869999996</v>
      </c>
      <c r="G23" s="116" cm="1">
        <f t="array" ref="G23">IF($C23="","",_xll.RDP.Data($C23,"TR.RevenueMean","Period=FY3 Frq=D SDate=1D Curn=#1",,$D$1)/1000000)</f>
        <v>85401.325599999996</v>
      </c>
      <c r="H23" s="110">
        <f>IF($C23="","",_xll.RDP.Data($C23,"TR.EPSMean","Period=FY0 Frq=D SDate=1D Curn=#1",,$D$1))</f>
        <v>2.2938999999999998</v>
      </c>
      <c r="I23" s="110">
        <f>IF($C23="","",_xll.RDP.Data($C23,"TR.EPSMean","Period=FY1 Frq=D SDate=1D Curn=#1",,$D$1))</f>
        <v>2.1102799999999999</v>
      </c>
      <c r="J23" s="110">
        <f>IF($C23="","",_xll.RDP.Data($C23,"TR.EPSMean","Period=FY2 Frq=D SDate=1D Curn=#1",,$D$1))</f>
        <v>2.2174700000000001</v>
      </c>
      <c r="K23" s="111">
        <f>IF($C23="","",_xll.RDP.Data($C23,"TR.EPSMean","Period=FY3 Frq=D SDate=1D Curn=#1",,$D$1))</f>
        <v>2.3479000000000001</v>
      </c>
      <c r="L23" s="112" cm="1">
        <f t="array" ref="L23">IF($C23="","",_xll.RDP.Data($C23,"TR.EBITMean","Period=FY0 Frq=D SDate=1D Curn=#1",,$D$1)/1000000)</f>
        <v>2164.3409200000001</v>
      </c>
      <c r="M23" s="112" cm="1">
        <f t="array" ref="M23">IF($C23="","",_xll.RDP.Data($C23,"TR.EBITMean","Period=FY1 Frq=D SDate=1D Curn=#1",,$D$1)/1000000)</f>
        <v>1926.3009400000001</v>
      </c>
      <c r="N23" s="113" cm="1">
        <f t="array" ref="N23">IF($C23="","",_xll.RDP.Data($C23,"TR.EBITMean","Period=FY2 Frq=D SDate=1D Curn=#1",,$D$1)/1000000)</f>
        <v>1944.9108699999999</v>
      </c>
      <c r="O23" s="114" cm="1">
        <f t="array" ref="O23">IF($C23="","",_xll.RDP.Data($C23,"TR.EBITDAMean","Period=FY0 Frq=D SDate=1D Curn=#1",,$D$1)/1000000)</f>
        <v>3976.5493299999998</v>
      </c>
      <c r="P23" s="112" cm="1">
        <f t="array" ref="P23">IF($C23="","",_xll.RDP.Data($C23,"TR.EBITDAMean","Period=FY1 Frq=D SDate=1D Curn=#1",,$D$1)/1000000)</f>
        <v>3859.3421699999999</v>
      </c>
      <c r="Q23" s="113" cm="1">
        <f t="array" ref="Q23">IF($C23="","",_xll.RDP.Data($C23,"TR.EBITDAMean","Period=FY2 Frq=D SDate=1D Curn=#1",,$D$1)/1000000)</f>
        <v>3897.3341300000002</v>
      </c>
      <c r="R23" s="115" t="e" cm="1">
        <f t="array" ref="R23">IF($C23="","",_xll.RDP.Data($C23,"TR.LTGMean",,)/100)</f>
        <v>#VALUE!</v>
      </c>
      <c r="S23" s="348"/>
    </row>
    <row r="24" spans="2:19" ht="15.75" customHeight="1">
      <c r="B24" s="106" t="str">
        <f t="shared" si="5"/>
        <v>KIMBERLY-CLARK/d</v>
      </c>
      <c r="C24" s="107" t="str">
        <f t="shared" si="4"/>
        <v>KMB</v>
      </c>
      <c r="D24" s="108" cm="1">
        <f t="array" ref="D24">IF($C24="","",_xll.RDP.Data($C24,"TR.Revenue","Curn=#1",,$D$1)/1000000)</f>
        <v>20058</v>
      </c>
      <c r="E24" s="108" cm="1">
        <f t="array" ref="E24">IF($C24="","",_xll.RDP.Data($C24,"TR.RevenueMean","Period=FY1 Frq=D SDate=1D Curn=#1",,$D$1)/1000000)</f>
        <v>19502.770130000001</v>
      </c>
      <c r="F24" s="108" cm="1">
        <f t="array" ref="F24">IF($C24="","",_xll.RDP.Data($C24,"TR.RevenueMean","Period=FY2 Frq=D SDate=1D Curn=#1",,$D$1)/1000000)</f>
        <v>19946.29738</v>
      </c>
      <c r="G24" s="116" cm="1">
        <f t="array" ref="G24">IF($C24="","",_xll.RDP.Data($C24,"TR.RevenueMean","Period=FY3 Frq=D SDate=1D Curn=#1",,$D$1)/1000000)</f>
        <v>20470.376079999998</v>
      </c>
      <c r="H24" s="110">
        <f>IF($C24="","",_xll.RDP.Data($C24,"TR.EPSMean","Period=FY0 Frq=D SDate=1D Curn=#1",,$D$1))</f>
        <v>7.3463200000000004</v>
      </c>
      <c r="I24" s="110">
        <f>IF($C24="","",_xll.RDP.Data($C24,"TR.EPSMean","Period=FY1 Frq=D SDate=1D Curn=#1",,$D$1))</f>
        <v>7.1025900000000002</v>
      </c>
      <c r="J24" s="110">
        <f>IF($C24="","",_xll.RDP.Data($C24,"TR.EPSMean","Period=FY2 Frq=D SDate=1D Curn=#1",,$D$1))</f>
        <v>7.6224400000000001</v>
      </c>
      <c r="K24" s="111">
        <f>IF($C24="","",_xll.RDP.Data($C24,"TR.EPSMean","Period=FY3 Frq=D SDate=1D Curn=#1",,$D$1))</f>
        <v>8.1446699999999996</v>
      </c>
      <c r="L24" s="112" cm="1">
        <f t="array" ref="L24">IF($C24="","",_xll.RDP.Data($C24,"TR.EBITMean","Period=FY0 Frq=D SDate=1D Curn=#1",,$D$1)/1000000)</f>
        <v>3262.7051299999998</v>
      </c>
      <c r="M24" s="112" cm="1">
        <f t="array" ref="M24">IF($C24="","",_xll.RDP.Data($C24,"TR.EBITMean","Period=FY1 Frq=D SDate=1D Curn=#1",,$D$1)/1000000)</f>
        <v>3182.6044999999999</v>
      </c>
      <c r="N24" s="113" cm="1">
        <f t="array" ref="N24">IF($C24="","",_xll.RDP.Data($C24,"TR.EBITMean","Period=FY2 Frq=D SDate=1D Curn=#1",,$D$1)/1000000)</f>
        <v>3405.30143</v>
      </c>
      <c r="O24" s="114" cm="1">
        <f t="array" ref="O24">IF($C24="","",_xll.RDP.Data($C24,"TR.EBITDAMean","Period=FY0 Frq=D SDate=1D Curn=#1",,$D$1)/1000000)</f>
        <v>4018.9217100000001</v>
      </c>
      <c r="P24" s="112" cm="1">
        <f t="array" ref="P24">IF($C24="","",_xll.RDP.Data($C24,"TR.EBITDAMean","Period=FY1 Frq=D SDate=1D Curn=#1",,$D$1)/1000000)</f>
        <v>4021.3280800000002</v>
      </c>
      <c r="Q24" s="113" cm="1">
        <f t="array" ref="Q24">IF($C24="","",_xll.RDP.Data($C24,"TR.EBITDAMean","Period=FY2 Frq=D SDate=1D Curn=#1",,$D$1)/1000000)</f>
        <v>4225.6281499999996</v>
      </c>
      <c r="R24" s="115" cm="1">
        <f t="array" ref="R24">IF($C24="","",_xll.RDP.Data($C24,"TR.LTGMean",,)/100)</f>
        <v>3.9100000000000003E-2</v>
      </c>
    </row>
    <row r="25" spans="2:19" ht="15.75" customHeight="1">
      <c r="B25" s="106" t="str">
        <f t="shared" si="5"/>
        <v/>
      </c>
      <c r="C25" s="107" t="str">
        <f t="shared" si="4"/>
        <v/>
      </c>
      <c r="D25" s="117" t="str" cm="1">
        <f t="array" ref="D25">IF($C25="","",_xll.RDP.Data($C25,"TR.Revenue","Curn=#1",,$D$1)/1000000)</f>
        <v/>
      </c>
      <c r="E25" s="108" t="str" cm="1">
        <f t="array" ref="E25">IF($C25="","",_xll.RDP.Data($C25,"TR.RevenueMean","Period=FY1 Frq=D SDate=1D Curn=#1",,$D$1)/1000000)</f>
        <v/>
      </c>
      <c r="F25" s="108" t="str" cm="1">
        <f t="array" ref="F25">IF($C25="","",_xll.RDP.Data($C25,"TR.RevenueMean","Period=FY2 Frq=D SDate=1D Curn=#1",,$D$1)/1000000)</f>
        <v/>
      </c>
      <c r="G25" s="116" t="str" cm="1">
        <f t="array" ref="G25">IF($C25="","",_xll.RDP.Data($C25,"TR.RevenueMean","Period=FY3 Frq=D SDate=1D Curn=#1",,$D$1)/1000000)</f>
        <v/>
      </c>
      <c r="H25" s="118" t="str">
        <f>IF($C25="","",_xll.RDP.Data($C25,"TR.EPSMean","Period=FY0 Frq=D SDate=1D Curn=#1",,$D$1))</f>
        <v/>
      </c>
      <c r="I25" s="110" t="str">
        <f>IF($C25="","",_xll.RDP.Data($C25,"TR.EPSMean","Period=FY1 Frq=D SDate=1D Curn=#1",,$D$1))</f>
        <v/>
      </c>
      <c r="J25" s="110" t="str">
        <f>IF($C25="","",_xll.RDP.Data($C25,"TR.EPSMean","Period=FY2 Frq=D SDate=1D Curn=#1",,$D$1))</f>
        <v/>
      </c>
      <c r="K25" s="111" t="str">
        <f>IF($C25="","",_xll.RDP.Data($C25,"TR.EPSMean","Period=FY3 Frq=D SDate=1D Curn=#1",,$D$1))</f>
        <v/>
      </c>
      <c r="L25" s="108" t="str" cm="1">
        <f t="array" ref="L25">IF($C25="","",_xll.RDP.Data($C25,"TR.EBITMean","Period=FY0 Frq=D SDate=1D Curn=#1",,$D$1)/1000000)</f>
        <v/>
      </c>
      <c r="M25" s="108" t="str" cm="1">
        <f t="array" ref="M25">IF($C25="","",_xll.RDP.Data($C25,"TR.EBITMean","Period=FY1 Frq=D SDate=1D Curn=#1",,$D$1)/1000000)</f>
        <v/>
      </c>
      <c r="N25" s="116" t="str" cm="1">
        <f t="array" ref="N25">IF($C25="","",_xll.RDP.Data($C25,"TR.EBITMean","Period=FY2 Frq=D SDate=1D Curn=#1",,$D$1)/1000000)</f>
        <v/>
      </c>
      <c r="O25" s="117" t="str" cm="1">
        <f t="array" ref="O25">IF($C25="","",_xll.RDP.Data($C25,"TR.EBITDAMean","Period=FY0 Frq=D SDate=1D Curn=#1",,$D$1)/1000000)</f>
        <v/>
      </c>
      <c r="P25" s="108" t="str" cm="1">
        <f t="array" ref="P25">IF($C25="","",_xll.RDP.Data($C25,"TR.EBITDAMean","Period=FY1 Frq=D SDate=1D Curn=#1",,$D$1)/1000000)</f>
        <v/>
      </c>
      <c r="Q25" s="116" t="str" cm="1">
        <f t="array" ref="Q25">IF($C25="","",_xll.RDP.Data($C25,"TR.EBITDAMean","Period=FY2 Frq=D SDate=1D Curn=#1",,$D$1)/1000000)</f>
        <v/>
      </c>
      <c r="R25" s="115" t="str" cm="1">
        <f t="array" ref="R25">IF($C25="","",_xll.RDP.Data($C25,"TR.LTGMean",,)/100)</f>
        <v/>
      </c>
    </row>
    <row r="26" spans="2:19" ht="15.75" customHeight="1">
      <c r="B26" s="106" t="str">
        <f t="shared" si="5"/>
        <v/>
      </c>
      <c r="C26" s="107" t="str">
        <f t="shared" si="4"/>
        <v/>
      </c>
      <c r="D26" s="117" t="str" cm="1">
        <f t="array" ref="D26">IF($C26="","",_xll.RDP.Data($C26,"TR.Revenue","Curn=#1",,$D$1)/1000000)</f>
        <v/>
      </c>
      <c r="E26" s="108" t="str" cm="1">
        <f t="array" ref="E26">IF($C26="","",_xll.RDP.Data($C26,"TR.RevenueMean","Period=FY1 Frq=D SDate=1D Curn=#1",,$D$1)/1000000)</f>
        <v/>
      </c>
      <c r="F26" s="108" t="str" cm="1">
        <f t="array" ref="F26">IF($C26="","",_xll.RDP.Data($C26,"TR.RevenueMean","Period=FY2 Frq=D SDate=1D Curn=#1",,$D$1)/1000000)</f>
        <v/>
      </c>
      <c r="G26" s="116" t="str" cm="1">
        <f t="array" ref="G26">IF($C26="","",_xll.RDP.Data($C26,"TR.RevenueMean","Period=FY3 Frq=D SDate=1D Curn=#1",,$D$1)/1000000)</f>
        <v/>
      </c>
      <c r="H26" s="118" t="str">
        <f>IF($C26="","",_xll.RDP.Data($C26,"TR.EPSMean","Period=FY0 Frq=D SDate=1D Curn=#1",,$D$1))</f>
        <v/>
      </c>
      <c r="I26" s="110" t="str">
        <f>IF($C26="","",_xll.RDP.Data($C26,"TR.EPSMean","Period=FY1 Frq=D SDate=1D Curn=#1",,$D$1))</f>
        <v/>
      </c>
      <c r="J26" s="110" t="str">
        <f>IF($C26="","",_xll.RDP.Data($C26,"TR.EPSMean","Period=FY2 Frq=D SDate=1D Curn=#1",,$D$1))</f>
        <v/>
      </c>
      <c r="K26" s="111" t="str">
        <f>IF($C26="","",_xll.RDP.Data($C26,"TR.EPSMean","Period=FY3 Frq=D SDate=1D Curn=#1",,$D$1))</f>
        <v/>
      </c>
      <c r="L26" s="108" t="str" cm="1">
        <f t="array" ref="L26">IF($C26="","",_xll.RDP.Data($C26,"TR.EBITMean","Period=FY0 Frq=D SDate=1D Curn=#1",,$D$1)/1000000)</f>
        <v/>
      </c>
      <c r="M26" s="108" t="str" cm="1">
        <f t="array" ref="M26">IF($C26="","",_xll.RDP.Data($C26,"TR.EBITMean","Period=FY1 Frq=D SDate=1D Curn=#1",,$D$1)/1000000)</f>
        <v/>
      </c>
      <c r="N26" s="116" t="str" cm="1">
        <f t="array" ref="N26">IF($C26="","",_xll.RDP.Data($C26,"TR.EBITMean","Period=FY2 Frq=D SDate=1D Curn=#1",,$D$1)/1000000)</f>
        <v/>
      </c>
      <c r="O26" s="117" t="str" cm="1">
        <f t="array" ref="O26">IF($C26="","",_xll.RDP.Data($C26,"TR.EBITDAMean","Period=FY0 Frq=D SDate=1D Curn=#1",,$D$1)/1000000)</f>
        <v/>
      </c>
      <c r="P26" s="108" t="str" cm="1">
        <f t="array" ref="P26">IF($C26="","",_xll.RDP.Data($C26,"TR.EBITDAMean","Period=FY1 Frq=D SDate=1D Curn=#1",,$D$1)/1000000)</f>
        <v/>
      </c>
      <c r="Q26" s="116" t="str" cm="1">
        <f t="array" ref="Q26">IF($C26="","",_xll.RDP.Data($C26,"TR.EBITDAMean","Period=FY2 Frq=D SDate=1D Curn=#1",,$D$1)/1000000)</f>
        <v/>
      </c>
      <c r="R26" s="115" t="str" cm="1">
        <f t="array" ref="R26">IF($C26="","",_xll.RDP.Data($C26,"TR.LTGMean",,)/100)</f>
        <v/>
      </c>
      <c r="S26" s="115"/>
    </row>
    <row r="27" spans="2:19" ht="15.75" customHeight="1">
      <c r="B27" s="106" t="str">
        <f t="shared" si="5"/>
        <v/>
      </c>
      <c r="C27" s="107" t="str">
        <f t="shared" si="4"/>
        <v/>
      </c>
      <c r="D27" s="117" t="str" cm="1">
        <f t="array" ref="D27">IF($C27="","",_xll.RDP.Data($C27,"TR.Revenue","Curn=#1",,$D$1)/1000000)</f>
        <v/>
      </c>
      <c r="E27" s="108" t="str" cm="1">
        <f t="array" ref="E27">IF($C27="","",_xll.RDP.Data($C27,"TR.RevenueMean","Period=FY1 Frq=D SDate=1D Curn=#1",,$D$1)/1000000)</f>
        <v/>
      </c>
      <c r="F27" s="108" t="str" cm="1">
        <f t="array" ref="F27">IF($C27="","",_xll.RDP.Data($C27,"TR.RevenueMean","Period=FY2 Frq=D SDate=1D Curn=#1",,$D$1)/1000000)</f>
        <v/>
      </c>
      <c r="G27" s="116" t="str" cm="1">
        <f t="array" ref="G27">IF($C27="","",_xll.RDP.Data($C27,"TR.RevenueMean","Period=FY3 Frq=D SDate=1D Curn=#1",,$D$1)/1000000)</f>
        <v/>
      </c>
      <c r="H27" s="118" t="str">
        <f>IF($C27="","",_xll.RDP.Data($C27,"TR.EPSMean","Period=FY0 Frq=D SDate=1D Curn=#1",,$D$1))</f>
        <v/>
      </c>
      <c r="I27" s="110" t="str">
        <f>IF($C27="","",_xll.RDP.Data($C27,"TR.EPSMean","Period=FY1 Frq=D SDate=1D Curn=#1",,$D$1))</f>
        <v/>
      </c>
      <c r="J27" s="110" t="str">
        <f>IF($C27="","",_xll.RDP.Data($C27,"TR.EPSMean","Period=FY2 Frq=D SDate=1D Curn=#1",,$D$1))</f>
        <v/>
      </c>
      <c r="K27" s="111" t="str">
        <f>IF($C27="","",_xll.RDP.Data($C27,"TR.EPSMean","Period=FY3 Frq=D SDate=1D Curn=#1",,$D$1))</f>
        <v/>
      </c>
      <c r="L27" s="108" t="str" cm="1">
        <f t="array" ref="L27">IF($C27="","",_xll.RDP.Data($C27,"TR.EBITMean","Period=FY0 Frq=D SDate=1D Curn=#1",,$D$1)/1000000)</f>
        <v/>
      </c>
      <c r="M27" s="108" t="str" cm="1">
        <f t="array" ref="M27">IF($C27="","",_xll.RDP.Data($C27,"TR.EBITMean","Period=FY1 Frq=D SDate=1D Curn=#1",,$D$1)/1000000)</f>
        <v/>
      </c>
      <c r="N27" s="116" t="str" cm="1">
        <f t="array" ref="N27">IF($C27="","",_xll.RDP.Data($C27,"TR.EBITMean","Period=FY2 Frq=D SDate=1D Curn=#1",,$D$1)/1000000)</f>
        <v/>
      </c>
      <c r="O27" s="117" t="str" cm="1">
        <f t="array" ref="O27">IF($C27="","",_xll.RDP.Data($C27,"TR.EBITDAMean","Period=FY0 Frq=D SDate=1D Curn=#1",,$D$1)/1000000)</f>
        <v/>
      </c>
      <c r="P27" s="108" t="str" cm="1">
        <f t="array" ref="P27">IF($C27="","",_xll.RDP.Data($C27,"TR.EBITDAMean","Period=FY1 Frq=D SDate=1D Curn=#1",,$D$1)/1000000)</f>
        <v/>
      </c>
      <c r="Q27" s="116" t="str" cm="1">
        <f t="array" ref="Q27">IF($C27="","",_xll.RDP.Data($C27,"TR.EBITDAMean","Period=FY2 Frq=D SDate=1D Curn=#1",,$D$1)/1000000)</f>
        <v/>
      </c>
      <c r="R27" s="115" t="str" cm="1">
        <f t="array" ref="R27">IF($C27="","",_xll.RDP.Data($C27,"TR.LTGMean",,)/100)</f>
        <v/>
      </c>
    </row>
    <row r="28" spans="2:19" ht="15.75" customHeight="1">
      <c r="B28" s="106" t="str">
        <f t="shared" si="5"/>
        <v/>
      </c>
      <c r="C28" s="107" t="str">
        <f t="shared" si="4"/>
        <v/>
      </c>
      <c r="D28" s="117" t="str" cm="1">
        <f t="array" ref="D28">IF($C28="","",_xll.RDP.Data($C28,"TR.Revenue","Curn=#1",,$D$1)/1000000)</f>
        <v/>
      </c>
      <c r="E28" s="108" t="str" cm="1">
        <f t="array" ref="E28">IF($C28="","",_xll.RDP.Data($C28,"TR.RevenueMean","Period=FY1 Frq=D SDate=1D Curn=#1",,$D$1)/1000000)</f>
        <v/>
      </c>
      <c r="F28" s="108" t="str" cm="1">
        <f t="array" ref="F28">IF($C28="","",_xll.RDP.Data($C28,"TR.RevenueMean","Period=FY2 Frq=D SDate=1D Curn=#1",,$D$1)/1000000)</f>
        <v/>
      </c>
      <c r="G28" s="116" t="str" cm="1">
        <f t="array" ref="G28">IF($C28="","",_xll.RDP.Data($C28,"TR.RevenueMean","Period=FY3 Frq=D SDate=1D Curn=#1",,$D$1)/1000000)</f>
        <v/>
      </c>
      <c r="H28" s="118" t="str">
        <f>IF($C28="","",_xll.RDP.Data($C28,"TR.EPSMean","Period=FY0 Frq=D SDate=1D Curn=#1",,$D$1))</f>
        <v/>
      </c>
      <c r="I28" s="110" t="str">
        <f>IF($C28="","",_xll.RDP.Data($C28,"TR.EPSMean","Period=FY1 Frq=D SDate=1D Curn=#1",,$D$1))</f>
        <v/>
      </c>
      <c r="J28" s="110" t="str">
        <f>IF($C28="","",_xll.RDP.Data($C28,"TR.EPSMean","Period=FY2 Frq=D SDate=1D Curn=#1",,$D$1))</f>
        <v/>
      </c>
      <c r="K28" s="111" t="str">
        <f>IF($C28="","",_xll.RDP.Data($C28,"TR.EPSMean","Period=FY3 Frq=D SDate=1D Curn=#1",,$D$1))</f>
        <v/>
      </c>
      <c r="L28" s="108" t="str" cm="1">
        <f t="array" ref="L28">IF($C28="","",_xll.RDP.Data($C28,"TR.EBITMean","Period=FY0 Frq=D SDate=1D Curn=#1",,$D$1)/1000000)</f>
        <v/>
      </c>
      <c r="M28" s="108" t="str" cm="1">
        <f t="array" ref="M28">IF($C28="","",_xll.RDP.Data($C28,"TR.EBITMean","Period=FY1 Frq=D SDate=1D Curn=#1",,$D$1)/1000000)</f>
        <v/>
      </c>
      <c r="N28" s="116" t="str" cm="1">
        <f t="array" ref="N28">IF($C28="","",_xll.RDP.Data($C28,"TR.EBITMean","Period=FY2 Frq=D SDate=1D Curn=#1",,$D$1)/1000000)</f>
        <v/>
      </c>
      <c r="O28" s="117" t="str" cm="1">
        <f t="array" ref="O28">IF($C28="","",_xll.RDP.Data($C28,"TR.EBITDAMean","Period=FY0 Frq=D SDate=1D Curn=#1",,$D$1)/1000000)</f>
        <v/>
      </c>
      <c r="P28" s="108" t="str" cm="1">
        <f t="array" ref="P28">IF($C28="","",_xll.RDP.Data($C28,"TR.EBITDAMean","Period=FY1 Frq=D SDate=1D Curn=#1",,$D$1)/1000000)</f>
        <v/>
      </c>
      <c r="Q28" s="116" t="str" cm="1">
        <f t="array" ref="Q28">IF($C28="","",_xll.RDP.Data($C28,"TR.EBITDAMean","Period=FY2 Frq=D SDate=1D Curn=#1",,$D$1)/1000000)</f>
        <v/>
      </c>
      <c r="R28" s="115" t="str" cm="1">
        <f t="array" ref="R28">IF($C28="","",_xll.RDP.Data($C28,"TR.LTGMean",,)/100)</f>
        <v/>
      </c>
    </row>
    <row r="29" spans="2:19" ht="15.75" customHeight="1">
      <c r="B29" s="79" t="str" cm="1">
        <f t="array" ref="B29">IF($C29="","",_xll.RDP.Data($C29,"DSPLY_NAME"))</f>
        <v/>
      </c>
      <c r="C29" s="107" t="str">
        <f t="shared" si="4"/>
        <v/>
      </c>
      <c r="D29" s="117" t="str" cm="1">
        <f t="array" ref="D29">IF($C29="","",_xll.RDP.Data($C29,"TR.Revenue","Curn=#1",,$D$1)/1000000)</f>
        <v/>
      </c>
      <c r="E29" s="108" t="str" cm="1">
        <f t="array" ref="E29">IF($C29="","",_xll.RDP.Data($C29,"TR.RevenueMean","Period=FY1 Frq=D SDate=1D Curn=#1",,$D$1)/1000000)</f>
        <v/>
      </c>
      <c r="F29" s="108" t="str" cm="1">
        <f t="array" ref="F29">IF($C29="","",_xll.RDP.Data($C29,"TR.RevenueMean","Period=FY2 Frq=D SDate=1D Curn=#1",,$D$1)/1000000)</f>
        <v/>
      </c>
      <c r="G29" s="116" t="str" cm="1">
        <f t="array" ref="G29">IF($C29="","",_xll.RDP.Data($C29,"TR.RevenueMean","Period=FY3 Frq=D SDate=1D Curn=#1",,$D$1)/1000000)</f>
        <v/>
      </c>
      <c r="H29" s="118" t="str">
        <f>IF($C29="","",_xll.RDP.Data($C29,"TR.EPSMean","Period=FY0 Frq=D SDate=1D Curn=#1",,$D$1))</f>
        <v/>
      </c>
      <c r="I29" s="110" t="str">
        <f>IF($C29="","",_xll.RDP.Data($C29,"TR.EPSMean","Period=FY1 Frq=D SDate=1D Curn=#1",,$D$1))</f>
        <v/>
      </c>
      <c r="J29" s="110" t="str">
        <f>IF($C29="","",_xll.RDP.Data($C29,"TR.EPSMean","Period=FY2 Frq=D SDate=1D Curn=#1",,$D$1))</f>
        <v/>
      </c>
      <c r="K29" s="111" t="str">
        <f>IF($C29="","",_xll.RDP.Data($C29,"TR.EPSMean","Period=FY3 Frq=D SDate=1D Curn=#1",,$D$1))</f>
        <v/>
      </c>
      <c r="L29" s="108" t="str" cm="1">
        <f t="array" ref="L29">IF($C29="","",_xll.RDP.Data($C29,"TR.EBITMean","Period=FY0 Frq=D SDate=1D Curn=#1",,$D$1)/1000000)</f>
        <v/>
      </c>
      <c r="M29" s="108" t="str" cm="1">
        <f t="array" ref="M29">IF($C29="","",_xll.RDP.Data($C29,"TR.EBITMean","Period=FY1 Frq=D SDate=1D Curn=#1",,$D$1)/1000000)</f>
        <v/>
      </c>
      <c r="N29" s="116" t="str" cm="1">
        <f t="array" ref="N29">IF($C29="","",_xll.RDP.Data($C29,"TR.EBITMean","Period=FY2 Frq=D SDate=1D Curn=#1",,$D$1)/1000000)</f>
        <v/>
      </c>
      <c r="O29" s="117" t="str" cm="1">
        <f t="array" ref="O29">IF($C29="","",_xll.RDP.Data($C29,"TR.EBITDAMean","Period=FY0 Frq=D SDate=1D Curn=#1",,$D$1)/1000000)</f>
        <v/>
      </c>
      <c r="P29" s="108" t="str" cm="1">
        <f t="array" ref="P29">IF($C29="","",_xll.RDP.Data($C29,"TR.EBITDAMean","Period=FY1 Frq=D SDate=1D Curn=#1",,$D$1)/1000000)</f>
        <v/>
      </c>
      <c r="Q29" s="116" t="str" cm="1">
        <f t="array" ref="Q29">IF($C29="","",_xll.RDP.Data($C29,"TR.EBITDAMean","Period=FY2 Frq=D SDate=1D Curn=#1",,$D$1)/1000000)</f>
        <v/>
      </c>
      <c r="R29" s="115" t="str" cm="1">
        <f t="array" ref="R29">IF($C29="","",_xll.RDP.Data($C29,"TR.LTGMean",,)/100)</f>
        <v/>
      </c>
    </row>
    <row r="30" spans="2:19" ht="15.75" customHeight="1">
      <c r="B30" s="106" t="str">
        <f>B15</f>
        <v/>
      </c>
      <c r="C30" s="107" t="str">
        <f t="shared" si="4"/>
        <v/>
      </c>
      <c r="D30" s="117" t="str" cm="1">
        <f t="array" ref="D30">IF($C30="","",_xll.RDP.Data($C30,"TR.Revenue","Curn=#1",,$D$1)/1000000)</f>
        <v/>
      </c>
      <c r="E30" s="108" t="str" cm="1">
        <f t="array" ref="E30">IF($C30="","",_xll.RDP.Data($C30,"TR.RevenueMean","Period=FY1 Frq=D SDate=1D Curn=#1",,$D$1)/1000000)</f>
        <v/>
      </c>
      <c r="F30" s="108" t="str" cm="1">
        <f t="array" ref="F30">IF($C30="","",_xll.RDP.Data($C30,"TR.RevenueMean","Period=FY2 Frq=D SDate=1D Curn=#1",,$D$1)/1000000)</f>
        <v/>
      </c>
      <c r="G30" s="116" t="str" cm="1">
        <f t="array" ref="G30">IF($C30="","",_xll.RDP.Data($C30,"TR.RevenueMean","Period=FY3 Frq=D SDate=1D Curn=#1",,$D$1)/1000000)</f>
        <v/>
      </c>
      <c r="H30" s="118" t="str">
        <f>IF($C30="","",_xll.RDP.Data($C30,"TR.EPSMean","Period=FY0 Frq=D SDate=1D Curn=#1",,$D$1))</f>
        <v/>
      </c>
      <c r="I30" s="110" t="str">
        <f>IF($C30="","",_xll.RDP.Data($C30,"TR.EPSMean","Period=FY1 Frq=D SDate=1D Curn=#1",,$D$1))</f>
        <v/>
      </c>
      <c r="J30" s="110" t="str">
        <f>IF($C30="","",_xll.RDP.Data($C30,"TR.EPSMean","Period=FY2 Frq=D SDate=1D Curn=#1",,$D$1))</f>
        <v/>
      </c>
      <c r="K30" s="111" t="str">
        <f>IF($C30="","",_xll.RDP.Data($C30,"TR.EPSMean","Period=FY3 Frq=D SDate=1D Curn=#1",,$D$1))</f>
        <v/>
      </c>
      <c r="L30" s="108" t="str" cm="1">
        <f t="array" ref="L30">IF($C30="","",_xll.RDP.Data($C30,"TR.EBITMean","Period=FY0 Frq=D SDate=1D Curn=#1",,$D$1)/1000000)</f>
        <v/>
      </c>
      <c r="M30" s="108" t="str" cm="1">
        <f t="array" ref="M30">IF($C30="","",_xll.RDP.Data($C30,"TR.EBITMean","Period=FY1 Frq=D SDate=1D Curn=#1",,$D$1)/1000000)</f>
        <v/>
      </c>
      <c r="N30" s="116" t="str" cm="1">
        <f t="array" ref="N30">IF($C30="","",_xll.RDP.Data($C30,"TR.EBITMean","Period=FY2 Frq=D SDate=1D Curn=#1",,$D$1)/1000000)</f>
        <v/>
      </c>
      <c r="O30" s="117" t="str" cm="1">
        <f t="array" ref="O30">IF($C30="","",_xll.RDP.Data($C30,"TR.EBITDAMean","Period=FY0 Frq=D SDate=1D Curn=#1",,$D$1)/1000000)</f>
        <v/>
      </c>
      <c r="P30" s="108" t="str" cm="1">
        <f t="array" ref="P30">IF($C30="","",_xll.RDP.Data($C30,"TR.EBITDAMean","Period=FY1 Frq=D SDate=1D Curn=#1",,$D$1)/1000000)</f>
        <v/>
      </c>
      <c r="Q30" s="116" t="str" cm="1">
        <f t="array" ref="Q30">IF($C30="","",_xll.RDP.Data($C30,"TR.EBITDAMean","Period=FY2 Frq=D SDate=1D Curn=#1",,$D$1)/1000000)</f>
        <v/>
      </c>
      <c r="R30" s="115" t="str" cm="1">
        <f t="array" ref="R30">IF($C30="","",_xll.RDP.Data($C30,"TR.LTGMean",,)/100)</f>
        <v/>
      </c>
    </row>
    <row r="31" spans="2:19" ht="15.75" customHeight="1">
      <c r="B31" s="119" t="str">
        <f t="shared" ref="B31" si="6">B16</f>
        <v>PEPSICO INC/d</v>
      </c>
      <c r="C31" s="120" t="str">
        <f t="shared" si="4"/>
        <v>PEP.O</v>
      </c>
      <c r="D31" s="120" cm="1">
        <f t="array" ref="D31">IF($C31="","",_xll.RDP.Data($C31,"TR.Revenue","Curn=#1",,$D$1)/1000000)</f>
        <v>91854</v>
      </c>
      <c r="E31" s="121" cm="1">
        <f t="array" ref="E31">IF($C31="","",_xll.RDP.Data($C31,"TR.RevenueMean","Period=FY1 Frq=D SDate=1D Curn=#1",,$D$1)/1000000)</f>
        <v>91863.516329999999</v>
      </c>
      <c r="F31" s="121" cm="1">
        <f t="array" ref="F31">IF($C31="","",_xll.RDP.Data($C31,"TR.RevenueMean","Period=FY2 Frq=D SDate=1D Curn=#1",,$D$1)/1000000)</f>
        <v>94605.475890000002</v>
      </c>
      <c r="G31" s="122" cm="1">
        <f t="array" ref="G31">IF($C31="","",_xll.RDP.Data($C31,"TR.RevenueMean","Period=FY3 Frq=D SDate=1D Curn=#1",,$D$1)/1000000)</f>
        <v>97922.509330000001</v>
      </c>
      <c r="H31" s="123">
        <f>IF($C31="","",_xll.RDP.Data($C31,"TR.EPSMean","Period=FY0 Frq=D SDate=1D Curn=#1",,$D$1))</f>
        <v>8.1465499999999995</v>
      </c>
      <c r="I31" s="124">
        <f>IF($C31="","",_xll.RDP.Data($C31,"TR.EPSMean","Period=FY1 Frq=D SDate=1D Curn=#1",,$D$1))</f>
        <v>7.8955000000000002</v>
      </c>
      <c r="J31" s="124">
        <f>IF($C31="","",_xll.RDP.Data($C31,"TR.EPSMean","Period=FY2 Frq=D SDate=1D Curn=#1",,$D$1))</f>
        <v>8.3777200000000001</v>
      </c>
      <c r="K31" s="125">
        <f>IF($C31="","",_xll.RDP.Data($C31,"TR.EPSMean","Period=FY3 Frq=D SDate=1D Curn=#1",,$D$1))</f>
        <v>8.9811800000000002</v>
      </c>
      <c r="L31" s="121" cm="1">
        <f t="array" ref="L31">IF($C31="","",_xll.RDP.Data($C31,"TR.EBITMean","Period=FY0 Frq=D SDate=1D Curn=#1",,$D$1)/1000000)</f>
        <v>14750.84807</v>
      </c>
      <c r="M31" s="121" cm="1">
        <f t="array" ref="M31">IF($C31="","",_xll.RDP.Data($C31,"TR.EBITMean","Period=FY1 Frq=D SDate=1D Curn=#1",,$D$1)/1000000)</f>
        <v>14564.829309999999</v>
      </c>
      <c r="N31" s="122" cm="1">
        <f t="array" ref="N31">IF($C31="","",_xll.RDP.Data($C31,"TR.EBITMean","Period=FY2 Frq=D SDate=1D Curn=#1",,$D$1)/1000000)</f>
        <v>15318.45781</v>
      </c>
      <c r="O31" s="120" cm="1">
        <f t="array" ref="O31">IF($C31="","",_xll.RDP.Data($C31,"TR.EBITDAMean","Period=FY0 Frq=D SDate=1D Curn=#1",,$D$1)/1000000)</f>
        <v>17768.36607</v>
      </c>
      <c r="P31" s="121" cm="1">
        <f t="array" ref="P31">IF($C31="","",_xll.RDP.Data($C31,"TR.EBITDAMean","Period=FY1 Frq=D SDate=1D Curn=#1",,$D$1)/1000000)</f>
        <v>17801.17785</v>
      </c>
      <c r="Q31" s="122" cm="1">
        <f t="array" ref="Q31">IF($C31="","",_xll.RDP.Data($C31,"TR.EBITDAMean","Period=FY2 Frq=D SDate=1D Curn=#1",,$D$1)/1000000)</f>
        <v>18735.89431</v>
      </c>
      <c r="R31" s="349" cm="1">
        <f t="array" ref="R31">IF($C31="","",_xll.RDP.Data($C31,"TR.LTGMean",,)/100)</f>
        <v>3.6200000000000003E-2</v>
      </c>
    </row>
    <row r="33" spans="2:18" ht="15.75" customHeight="1">
      <c r="B33" s="66" t="s">
        <v>221</v>
      </c>
      <c r="C33" s="98"/>
      <c r="D33" s="66"/>
      <c r="E33" s="66"/>
      <c r="F33" s="66"/>
      <c r="G33" s="66"/>
      <c r="H33" s="66"/>
      <c r="I33" s="66"/>
      <c r="J33" s="66"/>
      <c r="K33" s="66"/>
      <c r="L33" s="66"/>
      <c r="M33" s="66"/>
      <c r="N33" s="66"/>
      <c r="O33" s="66"/>
      <c r="P33" s="66"/>
      <c r="Q33" s="99"/>
      <c r="R33" s="68"/>
    </row>
    <row r="34" spans="2:18" ht="15.75" customHeight="1">
      <c r="B34" s="69"/>
      <c r="C34" s="74"/>
      <c r="D34" s="74" t="s">
        <v>192</v>
      </c>
      <c r="E34" s="74" t="s">
        <v>222</v>
      </c>
      <c r="F34" s="100" t="s">
        <v>223</v>
      </c>
      <c r="G34" s="128"/>
      <c r="H34" s="129"/>
      <c r="I34" s="100" t="s">
        <v>224</v>
      </c>
      <c r="J34" s="128"/>
      <c r="K34" s="129"/>
      <c r="L34" s="100" t="s">
        <v>225</v>
      </c>
      <c r="M34" s="128"/>
      <c r="N34" s="129"/>
      <c r="O34" s="100" t="s">
        <v>226</v>
      </c>
      <c r="P34" s="128"/>
      <c r="Q34" s="129"/>
    </row>
    <row r="35" spans="2:18" ht="15.75" customHeight="1">
      <c r="B35" s="75" t="s">
        <v>199</v>
      </c>
      <c r="C35" s="75" t="s">
        <v>200</v>
      </c>
      <c r="D35" s="75" t="s">
        <v>201</v>
      </c>
      <c r="E35" s="75" t="s">
        <v>197</v>
      </c>
      <c r="F35" s="103" t="s">
        <v>217</v>
      </c>
      <c r="G35" s="104" t="s">
        <v>218</v>
      </c>
      <c r="H35" s="105" t="s">
        <v>219</v>
      </c>
      <c r="I35" s="103" t="s">
        <v>217</v>
      </c>
      <c r="J35" s="104" t="s">
        <v>218</v>
      </c>
      <c r="K35" s="105" t="s">
        <v>219</v>
      </c>
      <c r="L35" s="103" t="s">
        <v>217</v>
      </c>
      <c r="M35" s="104" t="s">
        <v>218</v>
      </c>
      <c r="N35" s="105" t="s">
        <v>219</v>
      </c>
      <c r="O35" s="103" t="s">
        <v>216</v>
      </c>
      <c r="P35" s="104" t="s">
        <v>217</v>
      </c>
      <c r="Q35" s="105" t="s">
        <v>218</v>
      </c>
    </row>
    <row r="36" spans="2:18" ht="15.75" customHeight="1">
      <c r="B36" s="106" t="str">
        <f t="shared" ref="B36:B46" si="7">B6</f>
        <v/>
      </c>
      <c r="C36" s="130" t="str">
        <f t="shared" ref="C36:D46" si="8">IF(C6="","",C6)</f>
        <v/>
      </c>
      <c r="D36" s="131" t="str">
        <f t="shared" si="8"/>
        <v/>
      </c>
      <c r="E36" s="132" t="str">
        <f t="shared" ref="E36:E46" si="9">IF(OR(C36="",ISNUMBER(G6)=FALSE,ISNUMBER(K6)=FALSE),"",G6/K6)</f>
        <v/>
      </c>
      <c r="F36" s="132" t="str">
        <f t="shared" ref="F36:H46" si="10">IF(OR($C36="",ISNUMBER($G6)=FALSE,ISNUMBER(E21)=FALSE),"",$G6/E21)</f>
        <v/>
      </c>
      <c r="G36" s="350" t="str">
        <f t="shared" si="10"/>
        <v/>
      </c>
      <c r="H36" s="133" t="str">
        <f t="shared" si="10"/>
        <v/>
      </c>
      <c r="I36" s="134" t="str">
        <f t="shared" ref="I36:K46" si="11">IF(OR($C36="",ISNA(I21)=TRUE),"",$D6/I21)</f>
        <v/>
      </c>
      <c r="J36" s="135" t="str">
        <f t="shared" si="11"/>
        <v/>
      </c>
      <c r="K36" s="136" t="str">
        <f t="shared" si="11"/>
        <v/>
      </c>
      <c r="L36" s="134" t="str">
        <f t="shared" ref="L36:N40" si="12">IF(OR($C36="",I36="",ISNA($R21)=TRUE),"",I36/$R21/100)</f>
        <v/>
      </c>
      <c r="M36" s="135" t="str">
        <f t="shared" si="12"/>
        <v/>
      </c>
      <c r="N36" s="136" t="str">
        <f t="shared" si="12"/>
        <v/>
      </c>
      <c r="O36" s="135" t="str">
        <f t="shared" ref="O36:Q46" si="13">IF(OR($C36="",ISNA($J6)=TRUE,ISNA(O21)=TRUE),"",$J6/O21)</f>
        <v/>
      </c>
      <c r="P36" s="135" t="str">
        <f t="shared" si="13"/>
        <v/>
      </c>
      <c r="Q36" s="136" t="str">
        <f t="shared" si="13"/>
        <v/>
      </c>
    </row>
    <row r="37" spans="2:18" ht="15.75" customHeight="1">
      <c r="B37" s="106" t="str">
        <f t="shared" si="7"/>
        <v>HERSHEY CO/d</v>
      </c>
      <c r="C37" s="130" t="str">
        <f>IF(C7="","",C7)</f>
        <v>HSY</v>
      </c>
      <c r="D37" s="131">
        <f t="shared" si="8"/>
        <v>170.01</v>
      </c>
      <c r="E37" s="132">
        <f t="shared" si="9"/>
        <v>7.3044027302448908</v>
      </c>
      <c r="F37" s="132">
        <f t="shared" si="10"/>
        <v>3.0129346138809461</v>
      </c>
      <c r="G37" s="350">
        <f t="shared" si="10"/>
        <v>2.9249350613159049</v>
      </c>
      <c r="H37" s="133">
        <f t="shared" si="10"/>
        <v>2.854250334141887</v>
      </c>
      <c r="I37" s="134">
        <f>IF(OR($C37="",ISNA(I22)=TRUE),"",$D7/I22)</f>
        <v>28.339298126882575</v>
      </c>
      <c r="J37" s="135">
        <f t="shared" si="11"/>
        <v>25.991438617948322</v>
      </c>
      <c r="K37" s="136">
        <f t="shared" si="11"/>
        <v>22.197414806110459</v>
      </c>
      <c r="L37" s="134">
        <f t="shared" si="12"/>
        <v>-3.3637149112026794</v>
      </c>
      <c r="M37" s="135">
        <f t="shared" si="12"/>
        <v>-3.0850372246822935</v>
      </c>
      <c r="N37" s="136">
        <f t="shared" si="12"/>
        <v>-2.6347079888558409</v>
      </c>
      <c r="O37" s="135">
        <f t="shared" si="13"/>
        <v>13.222898971833187</v>
      </c>
      <c r="P37" s="135">
        <f t="shared" si="13"/>
        <v>17.579426826800372</v>
      </c>
      <c r="Q37" s="136">
        <f t="shared" si="13"/>
        <v>16.569935491588193</v>
      </c>
    </row>
    <row r="38" spans="2:18" ht="15.75" customHeight="1">
      <c r="B38" s="106" t="str">
        <f t="shared" si="7"/>
        <v>ALBRTS COM A O/d</v>
      </c>
      <c r="C38" s="130" t="str">
        <f t="shared" si="8"/>
        <v>ACI</v>
      </c>
      <c r="D38" s="131">
        <f t="shared" si="8"/>
        <v>21.93</v>
      </c>
      <c r="E38" s="132">
        <f t="shared" si="9"/>
        <v>3.7290511722171358</v>
      </c>
      <c r="F38" s="132">
        <f t="shared" si="10"/>
        <v>0.15172059591137912</v>
      </c>
      <c r="G38" s="350">
        <f t="shared" si="10"/>
        <v>0.15068329554353471</v>
      </c>
      <c r="H38" s="133">
        <f t="shared" si="10"/>
        <v>0.14784541428722273</v>
      </c>
      <c r="I38" s="134">
        <f t="shared" si="11"/>
        <v>10.391985897606006</v>
      </c>
      <c r="J38" s="135">
        <f t="shared" si="11"/>
        <v>9.8896490144173317</v>
      </c>
      <c r="K38" s="136">
        <f t="shared" si="11"/>
        <v>9.3402615102857869</v>
      </c>
      <c r="L38" s="134"/>
      <c r="M38" s="135"/>
      <c r="N38" s="136"/>
      <c r="O38" s="135">
        <f t="shared" si="13"/>
        <v>5.0678849151885164</v>
      </c>
      <c r="P38" s="135">
        <f t="shared" si="13"/>
        <v>5.221795185890449</v>
      </c>
      <c r="Q38" s="136">
        <f t="shared" si="13"/>
        <v>5.1708921256925944</v>
      </c>
    </row>
    <row r="39" spans="2:18" ht="15.75" customHeight="1">
      <c r="B39" s="106" t="str">
        <f t="shared" si="7"/>
        <v>KIMBERLY-CLARK/d</v>
      </c>
      <c r="C39" s="130" t="str">
        <f t="shared" si="8"/>
        <v>KMB</v>
      </c>
      <c r="D39" s="131">
        <f t="shared" si="8"/>
        <v>132.77000000000001</v>
      </c>
      <c r="E39" s="132">
        <f t="shared" si="9"/>
        <v>52.446684484464292</v>
      </c>
      <c r="F39" s="132">
        <f t="shared" si="10"/>
        <v>2.2589208955081914</v>
      </c>
      <c r="G39" s="350">
        <f t="shared" si="10"/>
        <v>2.2086913740253284</v>
      </c>
      <c r="H39" s="133">
        <f t="shared" si="10"/>
        <v>2.152144874856154</v>
      </c>
      <c r="I39" s="134">
        <f t="shared" si="11"/>
        <v>18.693180938221129</v>
      </c>
      <c r="J39" s="135">
        <f t="shared" si="11"/>
        <v>17.418306998808781</v>
      </c>
      <c r="K39" s="136">
        <f t="shared" si="11"/>
        <v>16.301458499853279</v>
      </c>
      <c r="L39" s="134">
        <f t="shared" si="12"/>
        <v>4.7808646900821294</v>
      </c>
      <c r="M39" s="135">
        <f t="shared" si="12"/>
        <v>4.4548099741198923</v>
      </c>
      <c r="N39" s="136">
        <f t="shared" si="12"/>
        <v>4.1691709718294829</v>
      </c>
      <c r="O39" s="135">
        <f t="shared" si="13"/>
        <v>12.569096541805987</v>
      </c>
      <c r="P39" s="135">
        <f t="shared" si="13"/>
        <v>12.561575171690544</v>
      </c>
      <c r="Q39" s="136">
        <f t="shared" si="13"/>
        <v>11.954249918310964</v>
      </c>
    </row>
    <row r="40" spans="2:18" ht="15.75" customHeight="1">
      <c r="B40" s="106" t="str">
        <f t="shared" si="7"/>
        <v/>
      </c>
      <c r="C40" s="130" t="str">
        <f t="shared" si="8"/>
        <v/>
      </c>
      <c r="D40" s="131" t="str">
        <f t="shared" si="8"/>
        <v/>
      </c>
      <c r="E40" s="132" t="str">
        <f t="shared" si="9"/>
        <v/>
      </c>
      <c r="F40" s="132" t="str">
        <f t="shared" si="10"/>
        <v/>
      </c>
      <c r="G40" s="350" t="str">
        <f t="shared" si="10"/>
        <v/>
      </c>
      <c r="H40" s="133" t="str">
        <f t="shared" si="10"/>
        <v/>
      </c>
      <c r="I40" s="134" t="str">
        <f t="shared" si="11"/>
        <v/>
      </c>
      <c r="J40" s="135" t="str">
        <f t="shared" si="11"/>
        <v/>
      </c>
      <c r="K40" s="136" t="str">
        <f t="shared" si="11"/>
        <v/>
      </c>
      <c r="L40" s="134" t="str">
        <f t="shared" si="12"/>
        <v/>
      </c>
      <c r="M40" s="135" t="str">
        <f t="shared" si="12"/>
        <v/>
      </c>
      <c r="N40" s="136" t="str">
        <f t="shared" si="12"/>
        <v/>
      </c>
      <c r="O40" s="135" t="str">
        <f t="shared" si="13"/>
        <v/>
      </c>
      <c r="P40" s="135" t="str">
        <f t="shared" si="13"/>
        <v/>
      </c>
      <c r="Q40" s="136" t="str">
        <f t="shared" si="13"/>
        <v/>
      </c>
    </row>
    <row r="41" spans="2:18" ht="15.75" customHeight="1">
      <c r="B41" s="106" t="str">
        <f t="shared" si="7"/>
        <v/>
      </c>
      <c r="C41" s="130" t="str">
        <f t="shared" si="8"/>
        <v/>
      </c>
      <c r="D41" s="131" t="str">
        <f t="shared" si="8"/>
        <v/>
      </c>
      <c r="E41" s="132" t="str">
        <f t="shared" si="9"/>
        <v/>
      </c>
      <c r="F41" s="132" t="str">
        <f t="shared" si="10"/>
        <v/>
      </c>
      <c r="G41" s="350" t="str">
        <f t="shared" si="10"/>
        <v/>
      </c>
      <c r="H41" s="133" t="str">
        <f t="shared" si="10"/>
        <v/>
      </c>
      <c r="I41" s="134" t="str">
        <f t="shared" si="11"/>
        <v/>
      </c>
      <c r="J41" s="135" t="str">
        <f t="shared" si="11"/>
        <v/>
      </c>
      <c r="K41" s="136" t="str">
        <f t="shared" si="11"/>
        <v/>
      </c>
      <c r="L41" s="134" t="str">
        <f t="shared" ref="L41" si="14">IF(OR($C41="",I41="",ISNA($R26)=TRUE),"",I41/$R26/100)</f>
        <v/>
      </c>
      <c r="M41" s="135" t="str">
        <f t="shared" ref="M41" si="15">IF(OR($C41="",J41="",ISNA($R26)=TRUE),"",J41/$R26/100)</f>
        <v/>
      </c>
      <c r="N41" s="136" t="str">
        <f t="shared" ref="N41" si="16">IF(OR($C41="",K41="",ISNA($R26)=TRUE),"",K41/$R26/100)</f>
        <v/>
      </c>
      <c r="O41" s="135" t="str">
        <f t="shared" si="13"/>
        <v/>
      </c>
      <c r="P41" s="135" t="str">
        <f t="shared" si="13"/>
        <v/>
      </c>
      <c r="Q41" s="136" t="str">
        <f t="shared" si="13"/>
        <v/>
      </c>
    </row>
    <row r="42" spans="2:18" ht="15.75" customHeight="1">
      <c r="B42" s="106" t="str">
        <f t="shared" si="7"/>
        <v/>
      </c>
      <c r="C42" s="130" t="str">
        <f t="shared" si="8"/>
        <v/>
      </c>
      <c r="D42" s="131" t="str">
        <f t="shared" si="8"/>
        <v/>
      </c>
      <c r="E42" s="132" t="str">
        <f t="shared" si="9"/>
        <v/>
      </c>
      <c r="F42" s="132" t="str">
        <f t="shared" si="10"/>
        <v/>
      </c>
      <c r="G42" s="350" t="str">
        <f t="shared" si="10"/>
        <v/>
      </c>
      <c r="H42" s="133" t="str">
        <f t="shared" si="10"/>
        <v/>
      </c>
      <c r="I42" s="134" t="str">
        <f t="shared" si="11"/>
        <v/>
      </c>
      <c r="J42" s="135" t="str">
        <f t="shared" si="11"/>
        <v/>
      </c>
      <c r="K42" s="136" t="str">
        <f t="shared" si="11"/>
        <v/>
      </c>
      <c r="L42" s="134" t="str">
        <f t="shared" ref="L42:N46" si="17">IF(OR($C42="",I42="",ISNA($R27)=TRUE),"",I42/$R27/100)</f>
        <v/>
      </c>
      <c r="M42" s="135" t="str">
        <f t="shared" si="17"/>
        <v/>
      </c>
      <c r="N42" s="136" t="str">
        <f t="shared" si="17"/>
        <v/>
      </c>
      <c r="O42" s="134" t="str">
        <f t="shared" si="13"/>
        <v/>
      </c>
      <c r="P42" s="135" t="str">
        <f t="shared" si="13"/>
        <v/>
      </c>
      <c r="Q42" s="136" t="str">
        <f t="shared" si="13"/>
        <v/>
      </c>
    </row>
    <row r="43" spans="2:18" ht="15.75" customHeight="1">
      <c r="B43" s="106" t="str">
        <f t="shared" si="7"/>
        <v/>
      </c>
      <c r="C43" s="130" t="str">
        <f t="shared" si="8"/>
        <v/>
      </c>
      <c r="D43" s="131" t="str">
        <f t="shared" si="8"/>
        <v/>
      </c>
      <c r="E43" s="132" t="str">
        <f t="shared" si="9"/>
        <v/>
      </c>
      <c r="F43" s="132" t="str">
        <f t="shared" si="10"/>
        <v/>
      </c>
      <c r="G43" s="350" t="str">
        <f t="shared" si="10"/>
        <v/>
      </c>
      <c r="H43" s="133" t="str">
        <f t="shared" si="10"/>
        <v/>
      </c>
      <c r="I43" s="134" t="str">
        <f t="shared" si="11"/>
        <v/>
      </c>
      <c r="J43" s="135" t="str">
        <f t="shared" si="11"/>
        <v/>
      </c>
      <c r="K43" s="136" t="str">
        <f t="shared" si="11"/>
        <v/>
      </c>
      <c r="L43" s="134" t="str">
        <f t="shared" si="17"/>
        <v/>
      </c>
      <c r="M43" s="135" t="str">
        <f t="shared" si="17"/>
        <v/>
      </c>
      <c r="N43" s="136" t="str">
        <f t="shared" si="17"/>
        <v/>
      </c>
      <c r="O43" s="134" t="str">
        <f t="shared" si="13"/>
        <v/>
      </c>
      <c r="P43" s="135" t="str">
        <f t="shared" si="13"/>
        <v/>
      </c>
      <c r="Q43" s="136" t="str">
        <f t="shared" si="13"/>
        <v/>
      </c>
    </row>
    <row r="44" spans="2:18" ht="15.75" customHeight="1">
      <c r="B44" s="106" t="str">
        <f t="shared" si="7"/>
        <v/>
      </c>
      <c r="C44" s="130" t="str">
        <f t="shared" si="8"/>
        <v/>
      </c>
      <c r="D44" s="131" t="str">
        <f t="shared" si="8"/>
        <v/>
      </c>
      <c r="E44" s="132" t="str">
        <f t="shared" si="9"/>
        <v/>
      </c>
      <c r="F44" s="132" t="str">
        <f t="shared" si="10"/>
        <v/>
      </c>
      <c r="G44" s="350" t="str">
        <f t="shared" si="10"/>
        <v/>
      </c>
      <c r="H44" s="133" t="str">
        <f t="shared" si="10"/>
        <v/>
      </c>
      <c r="I44" s="134" t="str">
        <f t="shared" si="11"/>
        <v/>
      </c>
      <c r="J44" s="135" t="str">
        <f t="shared" si="11"/>
        <v/>
      </c>
      <c r="K44" s="136" t="str">
        <f t="shared" si="11"/>
        <v/>
      </c>
      <c r="L44" s="134" t="str">
        <f t="shared" si="17"/>
        <v/>
      </c>
      <c r="M44" s="135" t="str">
        <f t="shared" si="17"/>
        <v/>
      </c>
      <c r="N44" s="136" t="str">
        <f t="shared" si="17"/>
        <v/>
      </c>
      <c r="O44" s="134" t="str">
        <f t="shared" si="13"/>
        <v/>
      </c>
      <c r="P44" s="135" t="str">
        <f t="shared" si="13"/>
        <v/>
      </c>
      <c r="Q44" s="136" t="str">
        <f t="shared" si="13"/>
        <v/>
      </c>
    </row>
    <row r="45" spans="2:18" ht="15.75" customHeight="1">
      <c r="B45" s="106" t="str">
        <f t="shared" si="7"/>
        <v/>
      </c>
      <c r="C45" s="130"/>
      <c r="D45" s="131" t="str">
        <f t="shared" si="8"/>
        <v/>
      </c>
      <c r="E45" s="132" t="str">
        <f t="shared" si="9"/>
        <v/>
      </c>
      <c r="F45" s="132" t="str">
        <f t="shared" si="10"/>
        <v/>
      </c>
      <c r="G45" s="350" t="str">
        <f t="shared" si="10"/>
        <v/>
      </c>
      <c r="H45" s="133" t="str">
        <f t="shared" si="10"/>
        <v/>
      </c>
      <c r="I45" s="134" t="str">
        <f t="shared" si="11"/>
        <v/>
      </c>
      <c r="J45" s="135" t="str">
        <f t="shared" si="11"/>
        <v/>
      </c>
      <c r="K45" s="136" t="str">
        <f t="shared" si="11"/>
        <v/>
      </c>
      <c r="L45" s="134" t="str">
        <f t="shared" si="17"/>
        <v/>
      </c>
      <c r="M45" s="135" t="str">
        <f t="shared" si="17"/>
        <v/>
      </c>
      <c r="N45" s="136" t="str">
        <f t="shared" si="17"/>
        <v/>
      </c>
      <c r="O45" s="134" t="str">
        <f t="shared" si="13"/>
        <v/>
      </c>
      <c r="P45" s="135" t="str">
        <f t="shared" si="13"/>
        <v/>
      </c>
      <c r="Q45" s="136" t="str">
        <f t="shared" si="13"/>
        <v/>
      </c>
    </row>
    <row r="46" spans="2:18" ht="15.75" customHeight="1">
      <c r="B46" s="119" t="str">
        <f t="shared" si="7"/>
        <v>PEPSICO INC/d</v>
      </c>
      <c r="C46" s="137" t="str">
        <f t="shared" si="8"/>
        <v>PEP.O</v>
      </c>
      <c r="D46" s="137">
        <f t="shared" si="8"/>
        <v>130.74</v>
      </c>
      <c r="E46" s="138">
        <f t="shared" si="9"/>
        <v>9.9359757806995184</v>
      </c>
      <c r="F46" s="138">
        <f t="shared" si="10"/>
        <v>1.9513180664200251</v>
      </c>
      <c r="G46" s="139">
        <f t="shared" si="10"/>
        <v>1.8947628281900291</v>
      </c>
      <c r="H46" s="140">
        <f t="shared" si="10"/>
        <v>1.8305795091045793</v>
      </c>
      <c r="I46" s="141">
        <f t="shared" si="11"/>
        <v>16.558799316066114</v>
      </c>
      <c r="J46" s="142">
        <f t="shared" si="11"/>
        <v>15.605677917142135</v>
      </c>
      <c r="K46" s="143">
        <f t="shared" si="11"/>
        <v>14.557107195268328</v>
      </c>
      <c r="L46" s="141">
        <f t="shared" si="17"/>
        <v>4.5742539547143961</v>
      </c>
      <c r="M46" s="142">
        <f t="shared" si="17"/>
        <v>4.3109607505917493</v>
      </c>
      <c r="N46" s="143">
        <f t="shared" si="17"/>
        <v>4.0213003301846211</v>
      </c>
      <c r="O46" s="141">
        <f t="shared" si="13"/>
        <v>12.103304164961973</v>
      </c>
      <c r="P46" s="142">
        <f t="shared" si="13"/>
        <v>12.080994913468604</v>
      </c>
      <c r="Q46" s="143">
        <f t="shared" si="13"/>
        <v>11.478285236953816</v>
      </c>
    </row>
    <row r="48" spans="2:18" ht="15.75" customHeight="1">
      <c r="D48" s="372" t="s">
        <v>227</v>
      </c>
      <c r="E48" s="144">
        <f>AVERAGE(E36:E37,E40:E45)</f>
        <v>7.3044027302448908</v>
      </c>
      <c r="F48" s="144">
        <f>AVERAGE(F36:F45)</f>
        <v>1.8078587017668388</v>
      </c>
      <c r="G48" s="145">
        <f t="shared" ref="G48:Q48" si="18">AVERAGE(G36:G45)</f>
        <v>1.7614365769615894</v>
      </c>
      <c r="H48" s="146">
        <f>AVERAGE(H36:H45)</f>
        <v>1.7180802077617543</v>
      </c>
      <c r="I48" s="147">
        <f>AVERAGE(I36:I45)</f>
        <v>19.141488320903235</v>
      </c>
      <c r="J48" s="148">
        <f>AVERAGE(J36:J45)</f>
        <v>17.766464877058144</v>
      </c>
      <c r="K48" s="149">
        <f t="shared" si="18"/>
        <v>15.946378272083175</v>
      </c>
      <c r="L48" s="147">
        <f>AVERAGE(L36,L38:L39)</f>
        <v>4.7808646900821294</v>
      </c>
      <c r="M48" s="147">
        <f>AVERAGE(M36,M38:M39)</f>
        <v>4.4548099741198923</v>
      </c>
      <c r="N48" s="147">
        <f>AVERAGE(N36,N38:N39)</f>
        <v>4.1691709718294829</v>
      </c>
      <c r="O48" s="147">
        <f t="shared" si="18"/>
        <v>10.286626809609229</v>
      </c>
      <c r="P48" s="148">
        <f t="shared" si="18"/>
        <v>11.787599061460455</v>
      </c>
      <c r="Q48" s="149">
        <f t="shared" si="18"/>
        <v>11.231692511863917</v>
      </c>
    </row>
    <row r="49" spans="2:18" ht="15.75" customHeight="1">
      <c r="D49" s="372" t="s">
        <v>228</v>
      </c>
      <c r="E49" s="150">
        <f>MEDIAN(E36:E45)</f>
        <v>7.3044027302448908</v>
      </c>
      <c r="F49" s="150">
        <f t="shared" ref="F49:Q49" si="19">MEDIAN(F36:F45)</f>
        <v>2.2589208955081914</v>
      </c>
      <c r="G49" s="151">
        <f t="shared" si="19"/>
        <v>2.2086913740253284</v>
      </c>
      <c r="H49" s="152">
        <f>MEDIAN(H36:H45)</f>
        <v>2.152144874856154</v>
      </c>
      <c r="I49" s="153">
        <f>MEDIAN(I36:I45)</f>
        <v>18.693180938221129</v>
      </c>
      <c r="J49" s="154">
        <f t="shared" si="19"/>
        <v>17.418306998808781</v>
      </c>
      <c r="K49" s="155">
        <f t="shared" si="19"/>
        <v>16.301458499853279</v>
      </c>
      <c r="L49" s="153">
        <f>MEDIAN(L36,L38:L39)</f>
        <v>4.7808646900821294</v>
      </c>
      <c r="M49" s="153">
        <f>MEDIAN(M36,M38:M39)</f>
        <v>4.4548099741198923</v>
      </c>
      <c r="N49" s="153">
        <f>MEDIAN(N36,N38:N39)</f>
        <v>4.1691709718294829</v>
      </c>
      <c r="O49" s="153">
        <f t="shared" si="19"/>
        <v>12.569096541805987</v>
      </c>
      <c r="P49" s="154">
        <f t="shared" si="19"/>
        <v>12.561575171690544</v>
      </c>
      <c r="Q49" s="155">
        <f t="shared" si="19"/>
        <v>11.954249918310964</v>
      </c>
    </row>
    <row r="51" spans="2:18" ht="15.75" customHeight="1">
      <c r="D51" s="372" t="s">
        <v>227</v>
      </c>
      <c r="E51" s="156">
        <f>E48*$K$16/$F$16</f>
        <v>96.113118029861397</v>
      </c>
      <c r="F51" s="156">
        <f t="shared" ref="F51:H52" si="20">(F48*E$31)/$F$16</f>
        <v>121.12809835386399</v>
      </c>
      <c r="G51" s="157">
        <f t="shared" si="20"/>
        <v>121.5403926263124</v>
      </c>
      <c r="H51" s="158">
        <f t="shared" si="20"/>
        <v>122.70529919382994</v>
      </c>
      <c r="I51" s="156">
        <f t="shared" ref="I51:K52" si="21">I48*I$31</f>
        <v>151.1316210376915</v>
      </c>
      <c r="J51" s="157">
        <f t="shared" si="21"/>
        <v>148.84246812982755</v>
      </c>
      <c r="K51" s="158">
        <f t="shared" si="21"/>
        <v>143.21729360966796</v>
      </c>
      <c r="L51" s="156">
        <f t="shared" ref="L51:N52" si="22">L48*I$31*$R$31*100</f>
        <v>136.64528812116731</v>
      </c>
      <c r="M51" s="157">
        <f t="shared" si="22"/>
        <v>135.102565231309</v>
      </c>
      <c r="N51" s="158">
        <f t="shared" si="22"/>
        <v>135.54755131456739</v>
      </c>
      <c r="O51" s="156">
        <f t="shared" ref="O51:Q52" si="23">(O48*O$31-($H$16-$I$16))/$F$16</f>
        <v>107.19695429093267</v>
      </c>
      <c r="P51" s="157">
        <f t="shared" si="23"/>
        <v>126.9307448913946</v>
      </c>
      <c r="Q51" s="158">
        <f t="shared" si="23"/>
        <v>127.37029379396965</v>
      </c>
    </row>
    <row r="52" spans="2:18" ht="15.75" customHeight="1">
      <c r="D52" s="372" t="s">
        <v>228</v>
      </c>
      <c r="E52" s="159">
        <f>E49*$K$16/$F$16</f>
        <v>96.113118029861397</v>
      </c>
      <c r="F52" s="159">
        <f t="shared" si="20"/>
        <v>151.34965588699177</v>
      </c>
      <c r="G52" s="160">
        <f t="shared" si="20"/>
        <v>152.40129579484804</v>
      </c>
      <c r="H52" s="161">
        <f t="shared" si="20"/>
        <v>153.70620043503342</v>
      </c>
      <c r="I52" s="159">
        <f t="shared" si="21"/>
        <v>147.59201009772494</v>
      </c>
      <c r="J52" s="160">
        <f t="shared" si="21"/>
        <v>145.92569891006031</v>
      </c>
      <c r="K52" s="161">
        <f t="shared" si="21"/>
        <v>146.40633304971229</v>
      </c>
      <c r="L52" s="159">
        <f t="shared" si="22"/>
        <v>136.64528812116731</v>
      </c>
      <c r="M52" s="160">
        <f t="shared" si="22"/>
        <v>135.102565231309</v>
      </c>
      <c r="N52" s="161">
        <f t="shared" si="22"/>
        <v>135.54755131456739</v>
      </c>
      <c r="O52" s="159">
        <f t="shared" si="23"/>
        <v>136.77638900802197</v>
      </c>
      <c r="P52" s="160">
        <f t="shared" si="23"/>
        <v>136.97953198791637</v>
      </c>
      <c r="Q52" s="161">
        <f t="shared" si="23"/>
        <v>137.24408944560602</v>
      </c>
    </row>
    <row r="53" spans="2:18" s="127" customFormat="1" ht="15.75" customHeight="1">
      <c r="C53" s="162"/>
      <c r="D53" s="63"/>
      <c r="E53" s="163" t="s">
        <v>229</v>
      </c>
      <c r="F53" s="164"/>
      <c r="G53" s="164"/>
      <c r="H53" s="164"/>
      <c r="I53" s="163" t="s">
        <v>230</v>
      </c>
      <c r="J53" s="163" t="s">
        <v>231</v>
      </c>
      <c r="K53" s="163" t="s">
        <v>232</v>
      </c>
      <c r="L53" s="163" t="s">
        <v>233</v>
      </c>
      <c r="M53" s="163" t="s">
        <v>234</v>
      </c>
      <c r="N53" s="163" t="s">
        <v>235</v>
      </c>
      <c r="O53" s="163" t="s">
        <v>236</v>
      </c>
      <c r="P53" s="163" t="s">
        <v>237</v>
      </c>
    </row>
    <row r="54" spans="2:18" ht="15.75" customHeight="1">
      <c r="B54" s="66" t="s">
        <v>238</v>
      </c>
      <c r="C54" s="98"/>
      <c r="D54" s="66"/>
      <c r="E54" s="66"/>
      <c r="F54" s="66"/>
      <c r="G54" s="66"/>
      <c r="H54" s="66"/>
      <c r="I54" s="66"/>
      <c r="J54" s="66"/>
      <c r="K54" s="66"/>
      <c r="L54" s="66"/>
      <c r="M54" s="66"/>
      <c r="N54" s="66"/>
      <c r="O54" s="66"/>
      <c r="P54" s="66"/>
      <c r="Q54" s="99"/>
      <c r="R54" s="68"/>
    </row>
    <row r="55" spans="2:18" s="85" customFormat="1" ht="15.75" customHeight="1" outlineLevel="1">
      <c r="B55" s="165"/>
      <c r="C55" s="166"/>
      <c r="D55" s="167" t="s">
        <v>239</v>
      </c>
      <c r="E55" s="168" t="s">
        <v>240</v>
      </c>
      <c r="F55" s="168" t="s">
        <v>183</v>
      </c>
      <c r="G55" s="168"/>
      <c r="H55" s="169"/>
      <c r="I55" s="167" t="s">
        <v>241</v>
      </c>
      <c r="J55" s="168" t="s">
        <v>242</v>
      </c>
      <c r="K55" s="168" t="s">
        <v>243</v>
      </c>
      <c r="L55" s="167"/>
      <c r="M55" s="169"/>
      <c r="N55" s="167" t="s">
        <v>244</v>
      </c>
      <c r="O55" s="169" t="s">
        <v>245</v>
      </c>
      <c r="P55" s="169" t="s">
        <v>246</v>
      </c>
    </row>
    <row r="56" spans="2:18" s="85" customFormat="1" ht="15.75" customHeight="1" outlineLevel="1">
      <c r="B56" s="170" t="s">
        <v>199</v>
      </c>
      <c r="C56" s="170" t="s">
        <v>200</v>
      </c>
      <c r="D56" s="171" t="s">
        <v>247</v>
      </c>
      <c r="E56" s="172" t="s">
        <v>247</v>
      </c>
      <c r="F56" s="172" t="s">
        <v>247</v>
      </c>
      <c r="G56" s="172" t="s">
        <v>79</v>
      </c>
      <c r="H56" s="173" t="s">
        <v>81</v>
      </c>
      <c r="I56" s="171" t="s">
        <v>248</v>
      </c>
      <c r="J56" s="172" t="s">
        <v>248</v>
      </c>
      <c r="K56" s="172" t="s">
        <v>248</v>
      </c>
      <c r="L56" s="171" t="s">
        <v>249</v>
      </c>
      <c r="M56" s="173" t="s">
        <v>250</v>
      </c>
      <c r="N56" s="171" t="s">
        <v>251</v>
      </c>
      <c r="O56" s="173" t="s">
        <v>251</v>
      </c>
      <c r="P56" s="173" t="s">
        <v>101</v>
      </c>
      <c r="Q56" s="87"/>
    </row>
    <row r="57" spans="2:18" s="85" customFormat="1" ht="15.75" customHeight="1" outlineLevel="1">
      <c r="B57" s="79" t="str">
        <f t="shared" ref="B57:B67" si="24">B6</f>
        <v/>
      </c>
      <c r="C57" s="174" t="str">
        <f t="shared" ref="C57:C67" si="25">IF(C21="","",C36)</f>
        <v/>
      </c>
      <c r="D57" s="182" t="str" cm="1">
        <f t="array" ref="D57">IF($C57="","",_xll.RDP.Data($C57,"TR.GrossMargin")/100)</f>
        <v/>
      </c>
      <c r="E57" s="351" t="str" cm="1">
        <f t="array" ref="E57">IF($C57="","",_xll.RDP.Data($C57,"TR.OperatingMarginPercent")/100)</f>
        <v/>
      </c>
      <c r="F57" s="351" t="str" cm="1">
        <f t="array" ref="F57">IF($C57="","",_xll.RDP.Data($C57,"TR.NetProfitMargin")/100)</f>
        <v/>
      </c>
      <c r="G57" s="351" t="str" cm="1">
        <f t="array" ref="G57">IF($C57="","",_xll.RDP.Data($C57,"TR.ROAActValue")/100)</f>
        <v/>
      </c>
      <c r="H57" s="184" t="str" cm="1">
        <f t="array" ref="H57">IF($C57="","",_xll.RDP.Data($C57,"TR.ROEActValue")/100)</f>
        <v/>
      </c>
      <c r="I57" s="177" t="str">
        <f>IF($C57="","",_xll.RDP.Data($C57,"TR.AssetTurnover"))</f>
        <v/>
      </c>
      <c r="J57" s="178" t="str">
        <f>IF($C57="","",_xll.RDP.Data($C57,"TR.InventoryTurnover"))</f>
        <v/>
      </c>
      <c r="K57" s="178" t="str" cm="1">
        <f t="array" ref="K57">IF($C57="","",_xll.RDP.Data($C57,"TR.Revenue")/_xll.RDP.Data($C57,"TR.TotalReceivablesNet"))</f>
        <v/>
      </c>
      <c r="L57" s="179" t="str">
        <f>IF($C57="","",_xll.RDP.Data($C57,"TR.TtlDebtToTtlEquityPct"))</f>
        <v/>
      </c>
      <c r="M57" s="180" t="str">
        <f>IF($C57="","",_xll.RDP.Data($C57,"TR.LTDebtToTtlCapitalPct"))</f>
        <v/>
      </c>
      <c r="N57" s="179" t="str">
        <f>IF($C57="","",_xll.RDP.Data($C57,"TR.QuickRatio"))</f>
        <v/>
      </c>
      <c r="O57" s="180" t="str">
        <f>IF($C57="","",_xll.RDP.Data($C57,"TR.CurrentRatio"))</f>
        <v/>
      </c>
      <c r="P57" s="181" t="str" cm="1">
        <f t="array" ref="P57">IF($C57="","",_xll.RDP.Data($C57,"TR.EBITDA")/_xll.RDP.Data($C57,"TR.InterestExpense"))</f>
        <v/>
      </c>
      <c r="Q57" s="87"/>
    </row>
    <row r="58" spans="2:18" s="85" customFormat="1" ht="15.75" customHeight="1" outlineLevel="1">
      <c r="B58" s="79" t="str">
        <f t="shared" si="24"/>
        <v>HERSHEY CO/d</v>
      </c>
      <c r="C58" s="174" t="str">
        <f t="shared" si="25"/>
        <v>HSY</v>
      </c>
      <c r="D58" s="182" cm="1">
        <f t="array" ref="D58">IF($C58="","",_xll.RDP.Data($C58,"TR.GrossMargin")/100)</f>
        <v>0.47428420000000004</v>
      </c>
      <c r="E58" s="351" cm="1">
        <f t="array" ref="E58">IF($C58="","",_xll.RDP.Data($C58,"TR.OperatingMarginPercent")/100)</f>
        <v>0.2369986</v>
      </c>
      <c r="F58" s="351" cm="1">
        <f t="array" ref="F58">IF($C58="","",_xll.RDP.Data($C58,"TR.NetProfitMargin")/100)</f>
        <v>0.19828479999999998</v>
      </c>
      <c r="G58" s="351" cm="1">
        <f t="array" ref="G58">IF($C58="","",_xll.RDP.Data($C58,"TR.ROAActValue")/100)</f>
        <v>0.15349000000000002</v>
      </c>
      <c r="H58" s="184" cm="1">
        <f t="array" ref="H58">IF($C58="","",_xll.RDP.Data($C58,"TR.ROEActValue")/100)</f>
        <v>0.43270000000000003</v>
      </c>
      <c r="I58" s="179">
        <f>IF($C58="","",_xll.RDP.Data($C58,"TR.AssetTurnover"))</f>
        <v>0.90159776729999996</v>
      </c>
      <c r="J58" s="352">
        <f>IF($C58="","",_xll.RDP.Data($C58,"TR.InventoryTurnover"))</f>
        <v>4.5387304487</v>
      </c>
      <c r="K58" s="352" cm="1">
        <f t="array" ref="K58">IF($C58="","",_xll.RDP.Data($C58,"TR.Revenue")/_xll.RDP.Data($C58,"TR.TotalReceivablesNet"))</f>
        <v>13.995795862579055</v>
      </c>
      <c r="L58" s="179">
        <f>IF($C58="","",_xll.RDP.Data($C58,"TR.TtlDebtToTtlEquityPct"))</f>
        <v>108.21899125580001</v>
      </c>
      <c r="M58" s="180">
        <f>IF($C58="","",_xll.RDP.Data($C58,"TR.LTDebtToTtlCapitalPct"))</f>
        <v>32.497436793299997</v>
      </c>
      <c r="N58" s="179">
        <f>IF($C58="","",_xll.RDP.Data($C58,"TR.QuickRatio"))</f>
        <v>0.63758000000000004</v>
      </c>
      <c r="O58" s="180">
        <f>IF($C58="","",_xll.RDP.Data($C58,"TR.CurrentRatio"))</f>
        <v>0.95672999999999997</v>
      </c>
      <c r="P58" s="186" cm="1">
        <f t="array" ref="P58">IF($C58="","",_xll.RDP.Data($C58,"TR.EBITDA")/_xll.RDP.Data($C58,"TR.InterestExpense"))</f>
        <v>19.912131346913956</v>
      </c>
    </row>
    <row r="59" spans="2:18" s="85" customFormat="1" ht="15.75" customHeight="1" outlineLevel="1">
      <c r="B59" s="79" t="str">
        <f t="shared" si="24"/>
        <v>ALBRTS COM A O/d</v>
      </c>
      <c r="C59" s="174" t="str">
        <f t="shared" si="25"/>
        <v>ACI</v>
      </c>
      <c r="D59" s="182" cm="1">
        <f t="array" ref="D59">IF($C59="","",_xll.RDP.Data($C59,"TR.GrossMargin")/100)</f>
        <v>0.27684229999999999</v>
      </c>
      <c r="E59" s="351" cm="1">
        <f t="array" ref="E59">IF($C59="","",_xll.RDP.Data($C59,"TR.OperatingMarginPercent")/100)</f>
        <v>1.9232300000000001E-2</v>
      </c>
      <c r="F59" s="351" cm="1">
        <f t="array" ref="F59">IF($C59="","",_xll.RDP.Data($C59,"TR.NetProfitMargin")/100)</f>
        <v>1.29318E-2</v>
      </c>
      <c r="G59" s="351" cm="1">
        <f t="array" ref="G59">IF($C59="","",_xll.RDP.Data($C59,"TR.ROAActValue")/100)</f>
        <v>5.219E-2</v>
      </c>
      <c r="H59" s="184" cm="1">
        <f t="array" ref="H59">IF($C59="","",_xll.RDP.Data($C59,"TR.ROEActValue")/100)</f>
        <v>0.45079000000000002</v>
      </c>
      <c r="I59" s="179">
        <f>IF($C59="","",_xll.RDP.Data($C59,"TR.AssetTurnover"))</f>
        <v>3.0349473732000001</v>
      </c>
      <c r="J59" s="352">
        <f>IF($C59="","",_xll.RDP.Data($C59,"TR.InventoryTurnover"))</f>
        <v>11.704072799</v>
      </c>
      <c r="K59" s="352" cm="1">
        <f t="array" ref="K59">IF($C59="","",_xll.RDP.Data($C59,"TR.Revenue")/_xll.RDP.Data($C59,"TR.TotalReceivablesNet"))</f>
        <v>96.299592716818395</v>
      </c>
      <c r="L59" s="179">
        <f>IF($C59="","",_xll.RDP.Data($C59,"TR.TtlDebtToTtlEquityPct"))</f>
        <v>230.9607489885</v>
      </c>
      <c r="M59" s="180">
        <f>IF($C59="","",_xll.RDP.Data($C59,"TR.LTDebtToTtlCapitalPct"))</f>
        <v>69.270926289499997</v>
      </c>
      <c r="N59" s="179">
        <f>IF($C59="","",_xll.RDP.Data($C59,"TR.QuickRatio"))</f>
        <v>0.21651999999999999</v>
      </c>
      <c r="O59" s="180">
        <f>IF($C59="","",_xll.RDP.Data($C59,"TR.CurrentRatio"))</f>
        <v>0.90456000000000003</v>
      </c>
      <c r="P59" s="186" cm="1">
        <f t="array" ref="P59">IF($C59="","",_xll.RDP.Data($C59,"TR.EBITDA")/_xll.RDP.Data($C59,"TR.InterestExpense"))</f>
        <v>8.1423707171738666</v>
      </c>
    </row>
    <row r="60" spans="2:18" s="85" customFormat="1" ht="15.75" customHeight="1" outlineLevel="1">
      <c r="B60" s="79" t="str">
        <f t="shared" si="24"/>
        <v>KIMBERLY-CLARK/d</v>
      </c>
      <c r="C60" s="174" t="str">
        <f t="shared" si="25"/>
        <v>KMB</v>
      </c>
      <c r="D60" s="182" cm="1">
        <f t="array" ref="D60">IF($C60="","",_xll.RDP.Data($C60,"TR.GrossMargin")/100)</f>
        <v>0.3651411</v>
      </c>
      <c r="E60" s="351" cm="1">
        <f t="array" ref="E60">IF($C60="","",_xll.RDP.Data($C60,"TR.OperatingMarginPercent")/100)</f>
        <v>0.15998599999999999</v>
      </c>
      <c r="F60" s="351" cm="1">
        <f t="array" ref="F60">IF($C60="","",_xll.RDP.Data($C60,"TR.NetProfitMargin")/100)</f>
        <v>0.12688199999999999</v>
      </c>
      <c r="G60" s="351" cm="1">
        <f t="array" ref="G60">IF($C60="","",_xll.RDP.Data($C60,"TR.ROAActValue")/100)</f>
        <v>0.14509</v>
      </c>
      <c r="H60" s="184" cm="1">
        <f t="array" ref="H60">IF($C60="","",_xll.RDP.Data($C60,"TR.ROEActValue")/100)</f>
        <v>2.8023000000000002</v>
      </c>
      <c r="I60" s="179">
        <f>IF($C60="","",_xll.RDP.Data($C60,"TR.AssetTurnover"))</f>
        <v>1.1837120094</v>
      </c>
      <c r="J60" s="352">
        <f>IF($C60="","",_xll.RDP.Data($C60,"TR.InventoryTurnover"))</f>
        <v>6.7429176594999998</v>
      </c>
      <c r="K60" s="352" cm="1">
        <f t="array" ref="K60">IF($C60="","",_xll.RDP.Data($C60,"TR.Revenue")/_xll.RDP.Data($C60,"TR.TotalReceivablesNet"))</f>
        <v>9.9840716774514675</v>
      </c>
      <c r="L60" s="179">
        <f>IF($C60="","",_xll.RDP.Data($C60,"TR.TtlDebtToTtlEquityPct"))</f>
        <v>890.47619047620003</v>
      </c>
      <c r="M60" s="180">
        <f>IF($C60="","",_xll.RDP.Data($C60,"TR.LTDebtToTtlCapitalPct"))</f>
        <v>81.7504435245</v>
      </c>
      <c r="N60" s="179">
        <f>IF($C60="","",_xll.RDP.Data($C60,"TR.QuickRatio"))</f>
        <v>0.53654999999999997</v>
      </c>
      <c r="O60" s="180">
        <f>IF($C60="","",_xll.RDP.Data($C60,"TR.CurrentRatio"))</f>
        <v>0.79669000000000001</v>
      </c>
      <c r="P60" s="186" cm="1">
        <f t="array" ref="P60">IF($C60="","",_xll.RDP.Data($C60,"TR.EBITDA")/_xll.RDP.Data($C60,"TR.InterestExpense"))</f>
        <v>16.829629629629629</v>
      </c>
    </row>
    <row r="61" spans="2:18" s="85" customFormat="1" ht="15.75" customHeight="1" outlineLevel="1">
      <c r="B61" s="79" t="str">
        <f t="shared" si="24"/>
        <v/>
      </c>
      <c r="C61" s="174" t="str">
        <f t="shared" si="25"/>
        <v/>
      </c>
      <c r="D61" s="182" t="str" cm="1">
        <f t="array" ref="D61">IF($C61="","",_xll.RDP.Data($C61,"TR.GrossMargin")/100)</f>
        <v/>
      </c>
      <c r="E61" s="351" t="str" cm="1">
        <f t="array" ref="E61">IF($C61="","",_xll.RDP.Data($C61,"TR.OperatingMarginPercent")/100)</f>
        <v/>
      </c>
      <c r="F61" s="351" t="str" cm="1">
        <f t="array" ref="F61">IF($C61="","",_xll.RDP.Data($C61,"TR.NetProfitMargin")/100)</f>
        <v/>
      </c>
      <c r="G61" s="351" t="str" cm="1">
        <f t="array" ref="G61">IF($C61="","",_xll.RDP.Data($C61,"TR.ROAActValue")/100)</f>
        <v/>
      </c>
      <c r="H61" s="184" t="str" cm="1">
        <f t="array" ref="H61">IF($C61="","",_xll.RDP.Data($C61,"TR.ROEActValue")/100)</f>
        <v/>
      </c>
      <c r="I61" s="179" t="str">
        <f>IF($C61="","",_xll.RDP.Data($C61,"TR.AssetTurnover"))</f>
        <v/>
      </c>
      <c r="J61" s="352" t="str">
        <f>IF($C61="","",_xll.RDP.Data($C61,"TR.InventoryTurnover"))</f>
        <v/>
      </c>
      <c r="K61" s="352" t="str" cm="1">
        <f t="array" ref="K61">IF($C61="","",_xll.RDP.Data($C61,"TR.Revenue")/_xll.RDP.Data($C61,"TR.TotalReceivablesNet"))</f>
        <v/>
      </c>
      <c r="L61" s="179" t="str">
        <f>IF($C61="","",_xll.RDP.Data($C61,"TR.TtlDebtToTtlEquityPct"))</f>
        <v/>
      </c>
      <c r="M61" s="180" t="str">
        <f>IF($C61="","",_xll.RDP.Data($C61,"TR.LTDebtToTtlCapitalPct"))</f>
        <v/>
      </c>
      <c r="N61" s="179" t="str">
        <f>IF($C61="","",_xll.RDP.Data($C61,"TR.QuickRatio"))</f>
        <v/>
      </c>
      <c r="O61" s="180" t="str">
        <f>IF($C61="","",_xll.RDP.Data($C61,"TR.CurrentRatio"))</f>
        <v/>
      </c>
      <c r="P61" s="186" t="str" cm="1">
        <f t="array" ref="P61">IF($C61="","",_xll.RDP.Data($C61,"TR.EBITDA")/_xll.RDP.Data($C61,"TR.InterestExpense"))</f>
        <v/>
      </c>
    </row>
    <row r="62" spans="2:18" s="85" customFormat="1" ht="15.75" customHeight="1" outlineLevel="1">
      <c r="B62" s="79" t="str">
        <f t="shared" si="24"/>
        <v/>
      </c>
      <c r="C62" s="174" t="str">
        <f t="shared" si="25"/>
        <v/>
      </c>
      <c r="D62" s="182" t="str" cm="1">
        <f t="array" ref="D62">IF($C62="","",_xll.RDP.Data($C62,"TR.GrossMargin")/100)</f>
        <v/>
      </c>
      <c r="E62" s="351" t="str" cm="1">
        <f t="array" ref="E62">IF($C62="","",_xll.RDP.Data($C62,"TR.OperatingMarginPercent")/100)</f>
        <v/>
      </c>
      <c r="F62" s="351" t="str" cm="1">
        <f t="array" ref="F62">IF($C62="","",_xll.RDP.Data($C62,"TR.NetProfitMargin")/100)</f>
        <v/>
      </c>
      <c r="G62" s="351" t="str" cm="1">
        <f t="array" ref="G62">IF($C62="","",_xll.RDP.Data($C62,"TR.ROAActValue")/100)</f>
        <v/>
      </c>
      <c r="H62" s="184" t="str" cm="1">
        <f t="array" ref="H62">IF($C62="","",_xll.RDP.Data($C62,"TR.ROEActValue")/100)</f>
        <v/>
      </c>
      <c r="I62" s="179" t="str">
        <f>IF($C62="","",_xll.RDP.Data($C62,"TR.AssetTurnover"))</f>
        <v/>
      </c>
      <c r="J62" s="352" t="str">
        <f>IF($C62="","",_xll.RDP.Data($C62,"TR.InventoryTurnover"))</f>
        <v/>
      </c>
      <c r="K62" s="352" t="str" cm="1">
        <f t="array" ref="K62">IF($C62="","",_xll.RDP.Data($C62,"TR.Revenue")/_xll.RDP.Data($C62,"TR.TotalReceivablesNet"))</f>
        <v/>
      </c>
      <c r="L62" s="179" t="str">
        <f>IF($C62="","",_xll.RDP.Data($C62,"TR.TtlDebtToTtlEquityPct"))</f>
        <v/>
      </c>
      <c r="M62" s="180" t="str">
        <f>IF($C62="","",_xll.RDP.Data($C62,"TR.LTDebtToTtlCapitalPct"))</f>
        <v/>
      </c>
      <c r="N62" s="179" t="str">
        <f>IF($C62="","",_xll.RDP.Data($C62,"TR.QuickRatio"))</f>
        <v/>
      </c>
      <c r="O62" s="180" t="str">
        <f>IF($C62="","",_xll.RDP.Data($C62,"TR.CurrentRatio"))</f>
        <v/>
      </c>
      <c r="P62" s="186" t="str" cm="1">
        <f t="array" ref="P62">IF($C62="","",_xll.RDP.Data($C62,"TR.EBITDA")/_xll.RDP.Data($C62,"TR.InterestExpense"))</f>
        <v/>
      </c>
    </row>
    <row r="63" spans="2:18" s="85" customFormat="1" ht="15.75" customHeight="1" outlineLevel="1">
      <c r="B63" s="79" t="str">
        <f t="shared" si="24"/>
        <v/>
      </c>
      <c r="C63" s="174" t="str">
        <f t="shared" si="25"/>
        <v/>
      </c>
      <c r="D63" s="182" t="str" cm="1">
        <f t="array" ref="D63">IF($C63="","",_xll.RDP.Data($C63,"TR.GrossMargin")/100)</f>
        <v/>
      </c>
      <c r="E63" s="351" t="str" cm="1">
        <f t="array" ref="E63">IF($C63="","",_xll.RDP.Data($C63,"TR.OperatingMarginPercent")/100)</f>
        <v/>
      </c>
      <c r="F63" s="351" t="str" cm="1">
        <f t="array" ref="F63">IF($C63="","",_xll.RDP.Data($C63,"TR.NetProfitMargin")/100)</f>
        <v/>
      </c>
      <c r="G63" s="351" t="str" cm="1">
        <f t="array" ref="G63">IF($C63="","",_xll.RDP.Data($C63,"TR.ROAActValue")/100)</f>
        <v/>
      </c>
      <c r="H63" s="184" t="str" cm="1">
        <f t="array" ref="H63">IF($C63="","",_xll.RDP.Data($C63,"TR.ROEActValue")/100)</f>
        <v/>
      </c>
      <c r="I63" s="179" t="str">
        <f>IF($C63="","",_xll.RDP.Data($C63,"TR.AssetTurnover"))</f>
        <v/>
      </c>
      <c r="J63" s="352" t="str">
        <f>IF($C63="","",_xll.RDP.Data($C63,"TR.InventoryTurnover"))</f>
        <v/>
      </c>
      <c r="K63" s="352" t="str" cm="1">
        <f t="array" ref="K63">IF($C63="","",_xll.RDP.Data($C63,"TR.Revenue")/_xll.RDP.Data($C63,"TR.TotalReceivablesNet"))</f>
        <v/>
      </c>
      <c r="L63" s="179" t="str">
        <f>IF($C63="","",_xll.RDP.Data($C63,"TR.TtlDebtToTtlEquityPct"))</f>
        <v/>
      </c>
      <c r="M63" s="180" t="str">
        <f>IF($C63="","",_xll.RDP.Data($C63,"TR.LTDebtToTtlCapitalPct"))</f>
        <v/>
      </c>
      <c r="N63" s="179" t="str">
        <f>IF($C63="","",_xll.RDP.Data($C63,"TR.QuickRatio"))</f>
        <v/>
      </c>
      <c r="O63" s="180" t="str">
        <f>IF($C63="","",_xll.RDP.Data($C63,"TR.CurrentRatio"))</f>
        <v/>
      </c>
      <c r="P63" s="186" t="str" cm="1">
        <f t="array" ref="P63">IF($C63="","",_xll.RDP.Data($C63,"TR.EBITDA")/_xll.RDP.Data($C63,"TR.InterestExpense"))</f>
        <v/>
      </c>
    </row>
    <row r="64" spans="2:18" s="85" customFormat="1" ht="15.75" customHeight="1" outlineLevel="1">
      <c r="B64" s="79" t="str">
        <f t="shared" si="24"/>
        <v/>
      </c>
      <c r="C64" s="174" t="str">
        <f t="shared" si="25"/>
        <v/>
      </c>
      <c r="D64" s="182" t="str" cm="1">
        <f t="array" ref="D64">IF($C64="","",_xll.RDP.Data($C64,"TR.GrossMargin")/100)</f>
        <v/>
      </c>
      <c r="E64" s="351" t="str" cm="1">
        <f t="array" ref="E64">IF($C64="","",_xll.RDP.Data($C64,"TR.OperatingMarginPercent")/100)</f>
        <v/>
      </c>
      <c r="F64" s="351" t="str" cm="1">
        <f t="array" ref="F64">IF($C64="","",_xll.RDP.Data($C64,"TR.NetProfitMargin")/100)</f>
        <v/>
      </c>
      <c r="G64" s="351" t="str" cm="1">
        <f t="array" ref="G64">IF($C64="","",_xll.RDP.Data($C64,"TR.ROAActValue")/100)</f>
        <v/>
      </c>
      <c r="H64" s="184" t="str" cm="1">
        <f t="array" ref="H64">IF($C64="","",_xll.RDP.Data($C64,"TR.ROEActValue")/100)</f>
        <v/>
      </c>
      <c r="I64" s="179" t="str">
        <f>IF($C64="","",_xll.RDP.Data($C64,"TR.AssetTurnover"))</f>
        <v/>
      </c>
      <c r="J64" s="352" t="str">
        <f>IF($C64="","",_xll.RDP.Data($C64,"TR.InventoryTurnover"))</f>
        <v/>
      </c>
      <c r="K64" s="352" t="str" cm="1">
        <f t="array" ref="K64">IF($C64="","",_xll.RDP.Data($C64,"TR.Revenue")/_xll.RDP.Data($C64,"TR.TotalReceivablesNet"))</f>
        <v/>
      </c>
      <c r="L64" s="179" t="str">
        <f>IF($C64="","",_xll.RDP.Data($C64,"TR.TtlDebtToTtlEquityPct"))</f>
        <v/>
      </c>
      <c r="M64" s="180" t="str">
        <f>IF($C64="","",_xll.RDP.Data($C64,"TR.LTDebtToTtlCapitalPct"))</f>
        <v/>
      </c>
      <c r="N64" s="179" t="str">
        <f>IF($C64="","",_xll.RDP.Data($C64,"TR.QuickRatio"))</f>
        <v/>
      </c>
      <c r="O64" s="180" t="str">
        <f>IF($C64="","",_xll.RDP.Data($C64,"TR.CurrentRatio"))</f>
        <v/>
      </c>
      <c r="P64" s="186" t="str" cm="1">
        <f t="array" ref="P64">IF($C64="","",_xll.RDP.Data($C64,"TR.EBITDA")/_xll.RDP.Data($C64,"TR.InterestExpense"))</f>
        <v/>
      </c>
    </row>
    <row r="65" spans="2:16" s="85" customFormat="1" ht="15.75" customHeight="1" outlineLevel="1">
      <c r="B65" s="79" t="str">
        <f t="shared" si="24"/>
        <v/>
      </c>
      <c r="C65" s="174" t="str">
        <f t="shared" si="25"/>
        <v/>
      </c>
      <c r="D65" s="182" t="str" cm="1">
        <f t="array" ref="D65">IF($C65="","",_xll.RDP.Data($C65,"TR.GrossMargin")/100)</f>
        <v/>
      </c>
      <c r="E65" s="183" t="str" cm="1">
        <f t="array" ref="E65">IF($C65="","",_xll.RDP.Data($C65,"TR.OperatingMarginPercent")/100)</f>
        <v/>
      </c>
      <c r="F65" s="183" t="str" cm="1">
        <f t="array" ref="F65">IF($C65="","",_xll.RDP.Data($C65,"TR.NetProfitMargin")/100)</f>
        <v/>
      </c>
      <c r="G65" s="183" t="str" cm="1">
        <f t="array" ref="G65">IF($C65="","",_xll.RDP.Data($C65,"TR.ROAActValue")/100)</f>
        <v/>
      </c>
      <c r="H65" s="184" t="str" cm="1">
        <f t="array" ref="H65">IF($C65="","",_xll.RDP.Data($C65,"TR.ROEActValue")/100)</f>
        <v/>
      </c>
      <c r="I65" s="179" t="str">
        <f>IF($C65="","",_xll.RDP.Data($C65,"TR.AssetTurnover"))</f>
        <v/>
      </c>
      <c r="J65" s="352" t="str">
        <f>IF($C65="","",_xll.RDP.Data($C65,"TR.InventoryTurnover"))</f>
        <v/>
      </c>
      <c r="K65" s="185" t="str" cm="1">
        <f t="array" ref="K65">IF($C65="","",_xll.RDP.Data($C65,"TR.Revenue")/_xll.RDP.Data($C65,"TR.TotalReceivablesNet"))</f>
        <v/>
      </c>
      <c r="L65" s="179" t="str">
        <f>IF($C65="","",_xll.RDP.Data($C65,"TR.TtlDebtToTtlEquityPct"))</f>
        <v/>
      </c>
      <c r="M65" s="180" t="str">
        <f>IF($C65="","",_xll.RDP.Data($C65,"TR.LTDebtToTtlCapitalPct"))</f>
        <v/>
      </c>
      <c r="N65" s="179" t="str">
        <f>IF($C65="","",_xll.RDP.Data($C65,"TR.QuickRatio"))</f>
        <v/>
      </c>
      <c r="O65" s="180" t="str">
        <f>IF($C65="","",_xll.RDP.Data($C65,"TR.CurrentRatio"))</f>
        <v/>
      </c>
      <c r="P65" s="186" t="str" cm="1">
        <f t="array" ref="P65">IF($C65="","",_xll.RDP.Data($C65,"TR.EBITDA")/_xll.RDP.Data($C65,"TR.InterestExpense"))</f>
        <v/>
      </c>
    </row>
    <row r="66" spans="2:16" s="85" customFormat="1" ht="15.75" customHeight="1" outlineLevel="1">
      <c r="B66" s="79" t="str">
        <f t="shared" si="24"/>
        <v/>
      </c>
      <c r="C66" s="174" t="str">
        <f t="shared" si="25"/>
        <v/>
      </c>
      <c r="D66" s="182" t="str" cm="1">
        <f t="array" ref="D66">IF($C66="","",_xll.RDP.Data($C66,"TR.GrossMargin")/100)</f>
        <v/>
      </c>
      <c r="E66" s="351" t="str" cm="1">
        <f t="array" ref="E66">IF($C66="","",_xll.RDP.Data($C66,"TR.OperatingMarginPercent")/100)</f>
        <v/>
      </c>
      <c r="F66" s="351" t="str" cm="1">
        <f t="array" ref="F66">IF($C66="","",_xll.RDP.Data($C66,"TR.NetProfitMargin")/100)</f>
        <v/>
      </c>
      <c r="G66" s="351" t="str" cm="1">
        <f t="array" ref="G66">IF($C66="","",_xll.RDP.Data($C66,"TR.ROAActValue")/100)</f>
        <v/>
      </c>
      <c r="H66" s="184" t="str" cm="1">
        <f t="array" ref="H66">IF($C66="","",_xll.RDP.Data($C66,"TR.ROEActValue")/100)</f>
        <v/>
      </c>
      <c r="I66" s="179" t="str">
        <f>IF($C66="","",_xll.RDP.Data($C66,"TR.AssetTurnover"))</f>
        <v/>
      </c>
      <c r="J66" s="352" t="str">
        <f>IF($C66="","",_xll.RDP.Data($C66,"TR.InventoryTurnover"))</f>
        <v/>
      </c>
      <c r="K66" s="352" t="str" cm="1">
        <f t="array" ref="K66">IF($C66="","",_xll.RDP.Data($C66,"TR.Revenue")/_xll.RDP.Data($C66,"TR.TotalReceivablesNet"))</f>
        <v/>
      </c>
      <c r="L66" s="179" t="str">
        <f>IF($C66="","",_xll.RDP.Data($C66,"TR.TtlDebtToTtlEquityPct"))</f>
        <v/>
      </c>
      <c r="M66" s="180" t="str">
        <f>IF($C66="","",_xll.RDP.Data($C66,"TR.LTDebtToTtlCapitalPct"))</f>
        <v/>
      </c>
      <c r="N66" s="179" t="str">
        <f>IF($C66="","",_xll.RDP.Data($C66,"TR.QuickRatio"))</f>
        <v/>
      </c>
      <c r="O66" s="180" t="str">
        <f>IF($C66="","",_xll.RDP.Data($C66,"TR.CurrentRatio"))</f>
        <v/>
      </c>
      <c r="P66" s="186" t="str" cm="1">
        <f t="array" ref="P66">IF($C66="","",_xll.RDP.Data($C66,"TR.EBITDA")/_xll.RDP.Data($C66,"TR.InterestExpense"))</f>
        <v/>
      </c>
    </row>
    <row r="67" spans="2:16" s="85" customFormat="1" ht="15.75" customHeight="1" outlineLevel="1">
      <c r="B67" s="92" t="str">
        <f t="shared" si="24"/>
        <v>PEPSICO INC/d</v>
      </c>
      <c r="C67" s="187" t="str">
        <f t="shared" si="25"/>
        <v>PEP.O</v>
      </c>
      <c r="D67" s="188" cm="1">
        <f t="array" ref="D67">IF($C67="","",_xll.RDP.Data($C67,"TR.GrossMargin")/100)</f>
        <v>0.55127700000000002</v>
      </c>
      <c r="E67" s="189" cm="1">
        <f t="array" ref="E67">IF($C67="","",_xll.RDP.Data($C67,"TR.OperatingMarginPercent")/100)</f>
        <v>0.1369456</v>
      </c>
      <c r="F67" s="189" cm="1">
        <f t="array" ref="F67">IF($C67="","",_xll.RDP.Data($C67,"TR.NetProfitMargin")/100)</f>
        <v>0.1042742</v>
      </c>
      <c r="G67" s="189" cm="1">
        <f t="array" ref="G67">IF($C67="","",_xll.RDP.Data($C67,"TR.ROAActValue")/100)</f>
        <v>0.1125</v>
      </c>
      <c r="H67" s="524" cm="1">
        <f t="array" ref="H67">IF($C67="","",_xll.RDP.Data($C67,"TR.ROEActValue")/100)</f>
        <v>0.61548999999999998</v>
      </c>
      <c r="I67" s="525">
        <f>IF($C67="","",_xll.RDP.Data($C67,"TR.AssetTurnover"))</f>
        <v>0.91871455580000005</v>
      </c>
      <c r="J67" s="526">
        <f>IF($C67="","",_xll.RDP.Data($C67,"TR.InventoryTurnover"))</f>
        <v>7.7475563909999998</v>
      </c>
      <c r="K67" s="191" cm="1">
        <f t="array" ref="K67">IF($C67="","",_xll.RDP.Data($C67,"TR.Revenue")/_xll.RDP.Data($C67,"TR.TotalReceivablesNet"))</f>
        <v>8.88938352850092</v>
      </c>
      <c r="L67" s="190">
        <f>IF($C67="","",_xll.RDP.Data($C67,"TR.TtlDebtToTtlEquityPct"))</f>
        <v>245.58505626069999</v>
      </c>
      <c r="M67" s="192">
        <f>IF($C67="","",_xll.RDP.Data($C67,"TR.LTDebtToTtlCapitalPct"))</f>
        <v>59.580325559800002</v>
      </c>
      <c r="N67" s="190">
        <f>IF($C67="","",_xll.RDP.Data($C67,"TR.QuickRatio"))</f>
        <v>0.65068000000000004</v>
      </c>
      <c r="O67" s="192">
        <f>IF($C67="","",_xll.RDP.Data($C67,"TR.CurrentRatio"))</f>
        <v>0.81894</v>
      </c>
      <c r="P67" s="193" cm="1">
        <f t="array" ref="P67">IF($C67="","",_xll.RDP.Data($C67,"TR.EBITDA")/_xll.RDP.Data($C67,"TR.InterestExpense"))</f>
        <v>20.173014145810665</v>
      </c>
    </row>
    <row r="71" spans="2:16" ht="15.75" customHeight="1">
      <c r="E71" s="348"/>
    </row>
  </sheetData>
  <conditionalFormatting sqref="E51:Q52">
    <cfRule type="cellIs" dxfId="1" priority="1" operator="lessThan">
      <formula>$D$46</formula>
    </cfRule>
    <cfRule type="cellIs" dxfId="0" priority="2" operator="greaterThan">
      <formula>$D$46</formula>
    </cfRule>
  </conditionalFormatting>
  <hyperlinks>
    <hyperlink ref="K12" tooltip="Thomson Reuters Click-Thru" xr:uid="{F5B90649-43BB-BA41-BD1C-06DEA3E7574F}"/>
    <hyperlink ref="K63" tooltip="Thomson Reuters Click-Thru" xr:uid="{5A38EE45-037F-8149-932F-168A16FEC330}"/>
    <hyperlink ref="K66" tooltip="Thomson Reuters Click-Thru" xr:uid="{803DD6C9-9F09-AB4D-A67F-30E1982D2479}"/>
    <hyperlink ref="H16" tooltip="Thomson Reuters Click-Thru" xr:uid="{BE79387D-1875-B14F-ADEB-47BF968193BE}"/>
    <hyperlink ref="I16" tooltip="Thomson Reuters Click-Thru" xr:uid="{D6515320-B663-E548-A563-C07C62951456}"/>
    <hyperlink ref="K58" tooltip="Thomson Reuters Click-Thru" xr:uid="{62E6D7C3-A884-4940-BAE8-6BFA37221217}"/>
    <hyperlink ref="H7" tooltip="Thomson Reuters Click-Thru" xr:uid="{A7BF7B11-0852-3E4D-8AD0-D98A7736FF89}"/>
    <hyperlink ref="H8" tooltip="Thomson Reuters Click-Thru" xr:uid="{05F89ABB-B973-8848-9B6B-08E82D05D372}"/>
    <hyperlink ref="K60" tooltip="Thomson Reuters Click-Thru" xr:uid="{FF10100C-1CA3-EF47-931B-BFD6D31158F1}"/>
    <hyperlink ref="H9" tooltip="Thomson Reuters Click-Thru" xr:uid="{99AD0A77-3527-684B-89B2-86904AAEA3C8}"/>
    <hyperlink ref="H10" tooltip="Thomson Reuters Click-Thru" xr:uid="{AE8518B0-A72F-964A-A71B-149D5D07776E}"/>
    <hyperlink ref="K62" tooltip="Thomson Reuters Click-Thru" xr:uid="{F99D3057-42F7-554D-8F46-94236AC66B51}"/>
    <hyperlink ref="H11" tooltip="Thomson Reuters Click-Thru" xr:uid="{65367236-316F-6C4C-9303-54D600B50692}"/>
    <hyperlink ref="I11" tooltip="Thomson Reuters Click-Thru" xr:uid="{A81B90DE-7CCF-9F46-A4E9-5E5961E2776E}"/>
    <hyperlink ref="I7:I8" tooltip="Thomson Reuters Click-Thru" xr:uid="{45A12BF5-6FF8-D247-AF9B-3E4EDD26A678}"/>
    <hyperlink ref="I6" tooltip="Thomson Reuters Click-Thru" xr:uid="{DE128DEA-2400-2D42-9DBB-6A6C1964654B}"/>
    <hyperlink ref="H6" tooltip="Thomson Reuters Click-Thru" xr:uid="{9D9CB712-188B-B340-BEC4-6C065DE122CD}"/>
    <hyperlink ref="K57" tooltip="Thomson Reuters Click-Thru" xr:uid="{BD8A928F-2238-844A-B768-B0191F9E1A12}"/>
    <hyperlink ref="I9" tooltip="Thomson Reuters Click-Thru" xr:uid="{DE9CC866-5B33-4849-A9B2-4E585F504574}"/>
    <hyperlink ref="K13" tooltip="Thomson Reuters Click-Thru" xr:uid="{FEC66318-5208-FA48-8053-8B4B68B63E5F}"/>
    <hyperlink ref="K64" tooltip="Thomson Reuters Click-Thru" xr:uid="{67E1F1B6-CB8C-414E-A499-9020E465C7F4}"/>
    <hyperlink ref="K14" tooltip="Thomson Reuters Click-Thru" xr:uid="{52445959-CAC3-7941-9B52-8303CE407487}"/>
    <hyperlink ref="K15" tooltip="Thomson Reuters Click-Thru" xr:uid="{EA8A8C8D-56A7-D140-A2C5-B8E54598C936}"/>
    <hyperlink ref="K65" tooltip="Thomson Reuters Click-Thru" xr:uid="{28F19C7F-6160-FF4D-A045-82DE10F03E4E}"/>
  </hyperlinks>
  <pageMargins left="0.7" right="0.7" top="0.75" bottom="0.75" header="0.3" footer="0.3"/>
  <pageSetup orientation="portrait"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D5355-615B-3F47-AC0E-8CD99E225DCA}">
  <dimension ref="B2:O15"/>
  <sheetViews>
    <sheetView showGridLines="0" workbookViewId="0">
      <selection activeCell="E35" sqref="E35"/>
    </sheetView>
  </sheetViews>
  <sheetFormatPr baseColWidth="10" defaultRowHeight="16" customHeight="1"/>
  <cols>
    <col min="1" max="1" width="2.125" customWidth="1"/>
    <col min="2" max="2" width="18.75" bestFit="1" customWidth="1"/>
  </cols>
  <sheetData>
    <row r="2" spans="2:15" ht="16" customHeight="1" thickBot="1">
      <c r="B2" s="449" t="s">
        <v>380</v>
      </c>
      <c r="C2" s="450" t="s">
        <v>252</v>
      </c>
      <c r="D2" s="450" t="s">
        <v>381</v>
      </c>
      <c r="E2" s="450" t="s">
        <v>382</v>
      </c>
      <c r="F2" s="451" t="s">
        <v>383</v>
      </c>
    </row>
    <row r="3" spans="2:15" ht="16" customHeight="1" thickBot="1">
      <c r="B3" s="452" t="s">
        <v>252</v>
      </c>
      <c r="C3" s="327">
        <v>1</v>
      </c>
      <c r="D3" s="328">
        <v>0.27654518080000001</v>
      </c>
      <c r="E3" s="329">
        <v>5.0406404490000001E-2</v>
      </c>
      <c r="F3" s="325">
        <v>0.51309930950000004</v>
      </c>
    </row>
    <row r="4" spans="2:15" ht="16" customHeight="1">
      <c r="B4" s="452" t="s">
        <v>381</v>
      </c>
      <c r="C4" s="330">
        <v>0.27654518080000001</v>
      </c>
      <c r="D4" s="327">
        <v>1</v>
      </c>
      <c r="E4" s="329">
        <v>0.19437697239999999</v>
      </c>
      <c r="F4" s="329">
        <v>0.433457333</v>
      </c>
    </row>
    <row r="5" spans="2:15" ht="16" customHeight="1" thickBot="1">
      <c r="B5" s="452" t="s">
        <v>382</v>
      </c>
      <c r="C5" s="332">
        <v>5.0406404490000001E-2</v>
      </c>
      <c r="D5" s="332">
        <v>0.19437697239999999</v>
      </c>
      <c r="E5" s="334">
        <v>1</v>
      </c>
      <c r="F5" s="331">
        <v>8.401924677E-2</v>
      </c>
    </row>
    <row r="6" spans="2:15" ht="16" customHeight="1" thickBot="1">
      <c r="B6" s="453" t="s">
        <v>383</v>
      </c>
      <c r="C6" s="326">
        <v>0.51309930950000004</v>
      </c>
      <c r="D6" s="332">
        <v>0.433457333</v>
      </c>
      <c r="E6" s="333">
        <v>8.401924677E-2</v>
      </c>
      <c r="F6" s="334">
        <v>1</v>
      </c>
    </row>
    <row r="9" spans="2:15" ht="16" customHeight="1">
      <c r="C9" t="s">
        <v>387</v>
      </c>
      <c r="D9" t="s">
        <v>393</v>
      </c>
      <c r="N9" s="446"/>
      <c r="O9" s="445"/>
    </row>
    <row r="10" spans="2:15" ht="16" customHeight="1">
      <c r="B10" t="s">
        <v>373</v>
      </c>
      <c r="C10" s="447">
        <v>193.36</v>
      </c>
    </row>
    <row r="11" spans="2:15" ht="16" customHeight="1">
      <c r="B11" t="s">
        <v>388</v>
      </c>
      <c r="C11" s="447">
        <v>192.03</v>
      </c>
      <c r="D11" s="448">
        <f>C10/C11-1</f>
        <v>6.9260011456544479E-3</v>
      </c>
    </row>
    <row r="12" spans="2:15" ht="16" customHeight="1">
      <c r="B12" t="s">
        <v>389</v>
      </c>
      <c r="C12" s="447">
        <v>199.01</v>
      </c>
      <c r="D12" s="448">
        <f>C10/C12 - 1</f>
        <v>-2.8390533139038165E-2</v>
      </c>
    </row>
    <row r="13" spans="2:15" ht="16" customHeight="1">
      <c r="B13" t="s">
        <v>390</v>
      </c>
      <c r="C13" s="447">
        <v>157.51</v>
      </c>
      <c r="D13" s="448">
        <f>C10/C13 - 1</f>
        <v>0.22760459653355358</v>
      </c>
    </row>
    <row r="14" spans="2:15" ht="16" customHeight="1">
      <c r="B14" t="s">
        <v>391</v>
      </c>
      <c r="C14" s="447">
        <v>211.92</v>
      </c>
      <c r="D14" s="448">
        <f>C10/C14 - 1</f>
        <v>-8.7580218950547239E-2</v>
      </c>
    </row>
    <row r="15" spans="2:15" ht="16" customHeight="1">
      <c r="B15" t="s">
        <v>392</v>
      </c>
      <c r="C15" s="447">
        <v>178.82</v>
      </c>
      <c r="D15" s="448">
        <f>C10/C15-1</f>
        <v>8.1310815345039922E-2</v>
      </c>
    </row>
  </sheetData>
  <conditionalFormatting sqref="C3:F6">
    <cfRule type="colorScale" priority="7">
      <colorScale>
        <cfvo type="min"/>
        <cfvo type="percentile" val="50"/>
        <cfvo type="max"/>
        <color rgb="FF63BE7B"/>
        <color rgb="FFFFEB84"/>
        <color rgb="FFF8696B"/>
      </colorScale>
    </cfRule>
  </conditionalFormatting>
  <pageMargins left="0.7" right="0.7" top="0.75" bottom="0.75" header="0.3" footer="0.3"/>
  <pageSetup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F7398-79DA-A548-8E50-4B19DC9C9EDC}">
  <dimension ref="B1:M40"/>
  <sheetViews>
    <sheetView zoomScale="110" zoomScaleNormal="110" workbookViewId="0">
      <pane xSplit="2" topLeftCell="C1" activePane="topRight" state="frozen"/>
      <selection pane="topRight" activeCell="M13" sqref="M13"/>
    </sheetView>
  </sheetViews>
  <sheetFormatPr baseColWidth="10" defaultRowHeight="16" customHeight="1"/>
  <cols>
    <col min="1" max="1" width="2.125" style="3" customWidth="1"/>
    <col min="2" max="2" width="26.25" style="3" bestFit="1" customWidth="1"/>
    <col min="3" max="3" width="4.125" style="3" customWidth="1"/>
    <col min="4" max="4" width="5.875" style="3" bestFit="1" customWidth="1"/>
    <col min="5" max="5" width="5.375" style="3" bestFit="1" customWidth="1"/>
    <col min="6" max="6" width="4.75" style="3" bestFit="1" customWidth="1"/>
    <col min="7" max="7" width="5.25" style="3" bestFit="1" customWidth="1"/>
    <col min="8" max="11" width="4.75" style="3" bestFit="1" customWidth="1"/>
    <col min="12" max="12" width="10.625" style="3"/>
    <col min="13" max="13" width="43.875" style="3" bestFit="1" customWidth="1"/>
    <col min="14" max="16384" width="10.625" style="3"/>
  </cols>
  <sheetData>
    <row r="1" spans="2:13" ht="16" customHeight="1" thickBot="1">
      <c r="B1" s="237"/>
      <c r="C1" s="237"/>
      <c r="D1" s="63"/>
      <c r="E1" s="63"/>
      <c r="F1" s="63"/>
      <c r="G1" s="63"/>
      <c r="H1" s="63"/>
      <c r="I1" s="63"/>
      <c r="J1" s="63"/>
      <c r="K1" s="63"/>
      <c r="L1" s="63"/>
      <c r="M1" s="63"/>
    </row>
    <row r="2" spans="2:13" ht="16" customHeight="1" thickBot="1">
      <c r="B2" s="435" t="s">
        <v>69</v>
      </c>
      <c r="C2" s="436"/>
      <c r="D2" s="437">
        <v>2016</v>
      </c>
      <c r="E2" s="437">
        <v>2017</v>
      </c>
      <c r="F2" s="437">
        <v>2018</v>
      </c>
      <c r="G2" s="437">
        <v>2019</v>
      </c>
      <c r="H2" s="437">
        <v>2020</v>
      </c>
      <c r="I2" s="437">
        <v>2021</v>
      </c>
      <c r="J2" s="437">
        <v>2022</v>
      </c>
      <c r="K2" s="438">
        <v>2023</v>
      </c>
      <c r="L2" s="439"/>
      <c r="M2" s="440" t="s">
        <v>70</v>
      </c>
    </row>
    <row r="3" spans="2:13" ht="16" customHeight="1">
      <c r="B3" s="441" t="s">
        <v>71</v>
      </c>
      <c r="C3" s="442"/>
      <c r="D3" s="442"/>
      <c r="E3" s="442"/>
      <c r="F3" s="442"/>
      <c r="G3" s="442"/>
      <c r="H3" s="442"/>
      <c r="I3" s="442"/>
      <c r="J3" s="442"/>
      <c r="K3" s="443"/>
      <c r="L3" s="442"/>
      <c r="M3" s="444"/>
    </row>
    <row r="4" spans="2:13" ht="16" customHeight="1">
      <c r="B4" s="238" t="s">
        <v>72</v>
      </c>
      <c r="C4" s="63"/>
      <c r="D4" s="239">
        <f>IS!C5/IS!C3</f>
        <v>0.42600294267034633</v>
      </c>
      <c r="E4" s="239">
        <f>IS!D5/IS!D3</f>
        <v>0.45977114271366654</v>
      </c>
      <c r="F4" s="239">
        <f>IS!E5/IS!E3</f>
        <v>0.45890044100495064</v>
      </c>
      <c r="G4" s="239">
        <f>IS!F5/IS!F3</f>
        <v>0.45358924311429188</v>
      </c>
      <c r="H4" s="239">
        <f>IS!G5/IS!G3</f>
        <v>0.4541590943196937</v>
      </c>
      <c r="I4" s="239">
        <f>IS!H5/IS!H3</f>
        <v>0.45128145336642689</v>
      </c>
      <c r="J4" s="239">
        <f>IS!I5/IS!I3</f>
        <v>0.43177445611957971</v>
      </c>
      <c r="K4" s="240">
        <f>IS!J5/IS!J3</f>
        <v>0.44763274348965049</v>
      </c>
      <c r="L4" s="206"/>
      <c r="M4" s="241" t="s">
        <v>73</v>
      </c>
    </row>
    <row r="5" spans="2:13" ht="16" customHeight="1">
      <c r="B5" s="238" t="s">
        <v>75</v>
      </c>
      <c r="C5" s="63"/>
      <c r="D5" s="206">
        <f>IS!C9/IS!C3</f>
        <v>0.16870194421345394</v>
      </c>
      <c r="E5" s="206">
        <f>IS!D9/IS!D3</f>
        <v>0.17476175003253308</v>
      </c>
      <c r="F5" s="206">
        <f>IS!E9/IS!E3</f>
        <v>0.20840067004925769</v>
      </c>
      <c r="G5" s="206">
        <f>IS!F9/IS!F3</f>
        <v>0.19983742060731366</v>
      </c>
      <c r="H5" s="206">
        <f>IS!G9/IS!G3</f>
        <v>0.21874349287380337</v>
      </c>
      <c r="I5" s="206">
        <f>IS!H9/IS!H3</f>
        <v>0.22780573285787836</v>
      </c>
      <c r="J5" s="206">
        <f>IS!I9/IS!I3</f>
        <v>0.21698082422858977</v>
      </c>
      <c r="K5" s="240">
        <f>IS!J9/IS!J3</f>
        <v>0.2293657711532619</v>
      </c>
      <c r="L5" s="206"/>
      <c r="M5" s="241" t="s">
        <v>74</v>
      </c>
    </row>
    <row r="6" spans="2:13" ht="16" customHeight="1">
      <c r="B6" s="238" t="s">
        <v>123</v>
      </c>
      <c r="C6" s="63"/>
      <c r="D6" s="206">
        <f>IS!C12/IS!C3</f>
        <v>0.14777610921024636</v>
      </c>
      <c r="E6" s="206">
        <f>IS!D12/IS!D3</f>
        <v>0.14778510226832117</v>
      </c>
      <c r="F6" s="206">
        <f>IS!E12/IS!E3</f>
        <v>0.18098427828068267</v>
      </c>
      <c r="G6" s="206">
        <f>IS!F12/IS!F3</f>
        <v>0.17289512026417397</v>
      </c>
      <c r="H6" s="206">
        <f>IS!G12/IS!G3</f>
        <v>0.18344153951811099</v>
      </c>
      <c r="I6" s="209">
        <f>IS!H12/IS!H3</f>
        <v>0.20032956068866881</v>
      </c>
      <c r="J6" s="206">
        <f>IS!I12/IS!I3</f>
        <v>0.18399240869870837</v>
      </c>
      <c r="K6" s="240">
        <f>IS!J12/IS!J3</f>
        <v>0.19452445644385594</v>
      </c>
      <c r="L6" s="206"/>
      <c r="M6" s="241" t="s">
        <v>76</v>
      </c>
    </row>
    <row r="7" spans="2:13" ht="16" customHeight="1">
      <c r="B7" s="238" t="s">
        <v>77</v>
      </c>
      <c r="C7" s="63"/>
      <c r="D7" s="206">
        <f>IS!C16/IS!C3</f>
        <v>9.6777753121866261E-2</v>
      </c>
      <c r="E7" s="206">
        <f>IS!D16/IS!D3</f>
        <v>0.10418318269649651</v>
      </c>
      <c r="F7" s="206">
        <f>IS!E16/IS!E3</f>
        <v>0.15114254539396327</v>
      </c>
      <c r="G7" s="206">
        <f>IS!F16/IS!F3</f>
        <v>0.14395889335823614</v>
      </c>
      <c r="H7" s="206">
        <f>IS!G16/IS!G3</f>
        <v>0.15690209686984299</v>
      </c>
      <c r="I7" s="206">
        <f>IS!H16/IS!H3</f>
        <v>0.16469250904296651</v>
      </c>
      <c r="J7" s="206">
        <f>IS!I16/IS!I3</f>
        <v>0.15786261525972872</v>
      </c>
      <c r="K7" s="240">
        <f>IS!J16/IS!J3</f>
        <v>0.16675220188245546</v>
      </c>
      <c r="L7" s="206"/>
      <c r="M7" s="241" t="s">
        <v>78</v>
      </c>
    </row>
    <row r="8" spans="2:13" ht="16" customHeight="1">
      <c r="B8" s="238" t="s">
        <v>79</v>
      </c>
      <c r="C8" s="63"/>
      <c r="D8" s="206"/>
      <c r="E8" s="206">
        <f>IS!D16/BS!D17</f>
        <v>0.14098300852436724</v>
      </c>
      <c r="F8" s="206">
        <f>IS!E16/BS!E17</f>
        <v>0.15287017299708425</v>
      </c>
      <c r="G8" s="206">
        <f>IS!F16/BS!F17</f>
        <v>0.14123294999812663</v>
      </c>
      <c r="H8" s="206">
        <f>IS!G16/BS!G17</f>
        <v>0.14002734387191199</v>
      </c>
      <c r="I8" s="206">
        <f>IS!H16/BS!H17</f>
        <v>0.14190157709716583</v>
      </c>
      <c r="J8" s="206">
        <f>IS!I16/BS!I17</f>
        <v>0.15022778710399842</v>
      </c>
      <c r="K8" s="240">
        <f>IS!J16/BS!J17</f>
        <v>0.15641403246474969</v>
      </c>
      <c r="L8" s="206"/>
      <c r="M8" s="241" t="s">
        <v>80</v>
      </c>
    </row>
    <row r="9" spans="2:13" ht="16" customHeight="1">
      <c r="B9" s="238" t="s">
        <v>81</v>
      </c>
      <c r="C9" s="63"/>
      <c r="D9" s="206"/>
      <c r="E9" s="206">
        <f>IS!D16/BS!D39</f>
        <v>0.8405006628630316</v>
      </c>
      <c r="F9" s="206">
        <f>IS!E16/BS!E39</f>
        <v>0.83677286312608989</v>
      </c>
      <c r="G9" s="206">
        <f>IS!F16/BS!F39</f>
        <v>0.65885154905976751</v>
      </c>
      <c r="H9" s="206">
        <f>IS!G16/BS!G39</f>
        <v>0.57139180198428607</v>
      </c>
      <c r="I9" s="206">
        <f>IS!H16/BS!H39</f>
        <v>0.5358684389290842</v>
      </c>
      <c r="J9" s="206">
        <f>IS!I16/BS!I39</f>
        <v>0.49849827733771696</v>
      </c>
      <c r="K9" s="240">
        <f>IS!J16/BS!J39</f>
        <v>0.4541956426383833</v>
      </c>
      <c r="L9" s="206"/>
      <c r="M9" s="241" t="s">
        <v>82</v>
      </c>
    </row>
    <row r="10" spans="2:13" ht="16" customHeight="1">
      <c r="B10" s="238"/>
      <c r="C10" s="63"/>
      <c r="D10" s="63"/>
      <c r="E10" s="63"/>
      <c r="F10" s="63"/>
      <c r="G10" s="63"/>
      <c r="H10" s="63"/>
      <c r="I10" s="63"/>
      <c r="J10" s="63"/>
      <c r="K10" s="242"/>
      <c r="L10" s="206"/>
      <c r="M10" s="241"/>
    </row>
    <row r="11" spans="2:13" ht="16" customHeight="1">
      <c r="B11" s="441" t="s">
        <v>83</v>
      </c>
      <c r="C11" s="442"/>
      <c r="D11" s="442"/>
      <c r="E11" s="442"/>
      <c r="F11" s="442"/>
      <c r="G11" s="442"/>
      <c r="H11" s="442"/>
      <c r="I11" s="442"/>
      <c r="J11" s="442"/>
      <c r="K11" s="443"/>
      <c r="L11" s="442"/>
      <c r="M11" s="444"/>
    </row>
    <row r="12" spans="2:13" ht="16" customHeight="1">
      <c r="B12" s="238" t="s">
        <v>84</v>
      </c>
      <c r="C12" s="63"/>
      <c r="D12" s="204"/>
      <c r="E12" s="204">
        <f>BS!D9/BS!D24</f>
        <v>0.96405901539240946</v>
      </c>
      <c r="F12" s="204">
        <f>BS!E9/BS!E24</f>
        <v>0.92583001662968878</v>
      </c>
      <c r="G12" s="204">
        <f>BS!F9/BS!F24</f>
        <v>1.0539174519226222</v>
      </c>
      <c r="H12" s="243">
        <f>BS!G9/BS!G24</f>
        <v>1.5741577221031375</v>
      </c>
      <c r="I12" s="204">
        <f>BS!H9/BS!H24</f>
        <v>0.90089210620567894</v>
      </c>
      <c r="J12" s="204">
        <f>BS!I9/BS!I24</f>
        <v>0.80450786177135003</v>
      </c>
      <c r="K12" s="244">
        <f>BS!J9/BS!J24</f>
        <v>0.96800607109806303</v>
      </c>
      <c r="L12" s="206"/>
      <c r="M12" s="241" t="s">
        <v>85</v>
      </c>
    </row>
    <row r="13" spans="2:13" ht="16" customHeight="1">
      <c r="B13" s="238" t="s">
        <v>86</v>
      </c>
      <c r="C13" s="63"/>
      <c r="D13" s="204"/>
      <c r="E13" s="204">
        <f>BS!D5/BS!D24</f>
        <v>0.1830826522735142</v>
      </c>
      <c r="F13" s="204">
        <f>BS!E5/BS!E24</f>
        <v>0.2431184429120396</v>
      </c>
      <c r="G13" s="204">
        <f>BS!F5/BS!F24</f>
        <v>0.24555143312426916</v>
      </c>
      <c r="H13" s="243">
        <f>BS!G5/BS!G24</f>
        <v>0.60472579549569316</v>
      </c>
      <c r="I13" s="204">
        <f>BS!H5/BS!H24</f>
        <v>0.13205963310663363</v>
      </c>
      <c r="J13" s="204">
        <f>BS!I5/BS!I24</f>
        <v>0.14242157417180765</v>
      </c>
      <c r="K13" s="244">
        <f>BS!J5/BS!J24</f>
        <v>0.13359540372935083</v>
      </c>
      <c r="L13" s="206"/>
      <c r="M13" s="241" t="s">
        <v>87</v>
      </c>
    </row>
    <row r="14" spans="2:13" ht="16" customHeight="1">
      <c r="B14" s="238"/>
      <c r="C14" s="200"/>
      <c r="D14" s="200"/>
      <c r="E14" s="200"/>
      <c r="F14" s="200"/>
      <c r="G14" s="200"/>
      <c r="H14" s="200"/>
      <c r="I14" s="200"/>
      <c r="J14" s="200"/>
      <c r="K14" s="244"/>
      <c r="L14" s="206"/>
      <c r="M14" s="241"/>
    </row>
    <row r="15" spans="2:13" ht="16" customHeight="1">
      <c r="B15" s="441" t="s">
        <v>88</v>
      </c>
      <c r="C15" s="442"/>
      <c r="D15" s="442"/>
      <c r="E15" s="442"/>
      <c r="F15" s="442"/>
      <c r="G15" s="442"/>
      <c r="H15" s="442"/>
      <c r="I15" s="442"/>
      <c r="J15" s="442"/>
      <c r="K15" s="443"/>
      <c r="L15" s="442"/>
      <c r="M15" s="444"/>
    </row>
    <row r="16" spans="2:13" ht="16" customHeight="1">
      <c r="B16" s="238" t="s">
        <v>89</v>
      </c>
      <c r="C16" s="63"/>
      <c r="D16" s="200"/>
      <c r="E16" s="200">
        <f>BS!D17/BS!D39</f>
        <v>5.9617160369915139</v>
      </c>
      <c r="F16" s="200">
        <f>BS!E17/BS!E39</f>
        <v>5.4737483887196881</v>
      </c>
      <c r="G16" s="200">
        <f>BS!F17/BS!F39</f>
        <v>4.6649988481335756</v>
      </c>
      <c r="H16" s="200">
        <f>BS!G17/BS!G39</f>
        <v>4.0805730237014179</v>
      </c>
      <c r="I16" s="200">
        <f>BS!H17/BS!H39</f>
        <v>3.7763388532472275</v>
      </c>
      <c r="J16" s="200">
        <f>BS!I17/BS!I39</f>
        <v>3.3182827687704726</v>
      </c>
      <c r="K16" s="244">
        <f>BS!J17/BS!J39</f>
        <v>2.9038036772099929</v>
      </c>
      <c r="L16" s="206"/>
      <c r="M16" s="241" t="s">
        <v>90</v>
      </c>
    </row>
    <row r="17" spans="2:13" ht="16" customHeight="1">
      <c r="B17" s="238" t="s">
        <v>91</v>
      </c>
      <c r="C17" s="63"/>
      <c r="D17" s="200"/>
      <c r="E17" s="200">
        <f>(BS!D22+BS!D23+BS!D25)/BS!D39</f>
        <v>3.1350254678954235</v>
      </c>
      <c r="F17" s="200">
        <f>(BS!E22+BS!E23+BS!E25)/BS!E39</f>
        <v>3.1675575193318108</v>
      </c>
      <c r="G17" s="200">
        <f>(BS!F22+BS!F23+BS!F25)/BS!F39</f>
        <v>2.4449854841907768</v>
      </c>
      <c r="H17" s="200">
        <f>(BS!G22+BS!G23+BS!G25)/BS!G39</f>
        <v>2.0566870564725681</v>
      </c>
      <c r="I17" s="200">
        <f>(BS!H22+BS!H23+BS!H25)/BS!H39</f>
        <v>1.8238942068286674</v>
      </c>
      <c r="J17" s="200">
        <f>(BS!I22+BS!I23+BS!I25)/BS!I39</f>
        <v>1.4521233843221972</v>
      </c>
      <c r="K17" s="244">
        <f>(BS!J22+BS!J23+BS!J25)/BS!J39</f>
        <v>1.1744152232961202</v>
      </c>
      <c r="L17" s="206"/>
      <c r="M17" s="241" t="s">
        <v>92</v>
      </c>
    </row>
    <row r="18" spans="2:13" ht="16" customHeight="1">
      <c r="B18" s="238" t="s">
        <v>93</v>
      </c>
      <c r="C18" s="63"/>
      <c r="D18" s="200"/>
      <c r="E18" s="200">
        <f>BS!D25/(BS!D25+BS!D39)</f>
        <v>0.68870923762308744</v>
      </c>
      <c r="F18" s="200">
        <f>BS!E25/(BS!E25+BS!E39)</f>
        <v>0.69811174232754536</v>
      </c>
      <c r="G18" s="200">
        <f>BS!F25/(BS!F25+BS!F39)</f>
        <v>0.66924605088851807</v>
      </c>
      <c r="H18" s="200">
        <f>BS!G25/(BS!G25+BS!G39)</f>
        <v>0.64633201203987967</v>
      </c>
      <c r="I18" s="200">
        <f>BS!H25/(BS!H25+BS!H39)</f>
        <v>0.59712346373155722</v>
      </c>
      <c r="J18" s="200">
        <f>BS!I25/(BS!I25+BS!I39)</f>
        <v>0.50334408516206997</v>
      </c>
      <c r="K18" s="244">
        <f>BS!J25/(BS!J25+BS!J39)</f>
        <v>0.48035335737425106</v>
      </c>
      <c r="L18" s="206"/>
      <c r="M18" s="241" t="s">
        <v>94</v>
      </c>
    </row>
    <row r="19" spans="2:13" ht="16" customHeight="1">
      <c r="B19" s="238" t="s">
        <v>95</v>
      </c>
      <c r="C19" s="63"/>
      <c r="D19" s="200"/>
      <c r="E19" s="200">
        <f>BS!D28/BS!D39</f>
        <v>4.9617160369915139</v>
      </c>
      <c r="F19" s="200">
        <f>BS!E28/BS!E39</f>
        <v>4.4737483887196881</v>
      </c>
      <c r="G19" s="200">
        <f>BS!F28/BS!F39</f>
        <v>0</v>
      </c>
      <c r="H19" s="200">
        <f>BS!G28/BS!G39</f>
        <v>3.0805730237014179</v>
      </c>
      <c r="I19" s="200">
        <f>BS!H28/BS!H39</f>
        <v>2.7763388532472275</v>
      </c>
      <c r="J19" s="200">
        <f>BS!I28/BS!I39</f>
        <v>2.3182827687704726</v>
      </c>
      <c r="K19" s="244">
        <f>BS!J28/BS!J39</f>
        <v>1.9038036772099927</v>
      </c>
      <c r="L19" s="206"/>
      <c r="M19" s="241" t="s">
        <v>96</v>
      </c>
    </row>
    <row r="20" spans="2:13" ht="16" customHeight="1">
      <c r="B20" s="238" t="s">
        <v>97</v>
      </c>
      <c r="C20" s="63"/>
      <c r="D20" s="200"/>
      <c r="E20" s="200">
        <f>1 - BS!D39/(BS!D39+BS!D25+BS!D23+BS!D22)</f>
        <v>0.75816352093498385</v>
      </c>
      <c r="F20" s="200">
        <f>1 - BS!E39/(BS!E39+BS!E25+BS!E23+BS!E22)</f>
        <v>0.76005130214487571</v>
      </c>
      <c r="G20" s="200">
        <f>1 - BS!F39/(BS!F39+BS!F25+BS!F23+BS!F22)</f>
        <v>0.70972301491862488</v>
      </c>
      <c r="H20" s="200">
        <f>1 - BS!G39/(BS!G39+BS!G25+BS!G23+BS!G22)</f>
        <v>0.67284842002962353</v>
      </c>
      <c r="I20" s="200">
        <f>1 - BS!H39/(BS!H39+BS!H25+BS!H23+BS!H22)</f>
        <v>0.64587908513646652</v>
      </c>
      <c r="J20" s="200">
        <f>1 - BS!I39/(BS!I39+BS!I25+BS!I23+BS!I22)</f>
        <v>0.59219017835988108</v>
      </c>
      <c r="K20" s="244">
        <f>1 - BS!J39/(BS!J39+BS!J25+BS!J23+BS!J22)</f>
        <v>0.54010623670849078</v>
      </c>
      <c r="L20" s="206"/>
      <c r="M20" s="241" t="s">
        <v>98</v>
      </c>
    </row>
    <row r="21" spans="2:13" ht="16" customHeight="1">
      <c r="B21" s="238" t="s">
        <v>99</v>
      </c>
      <c r="C21" s="63"/>
      <c r="D21" s="200"/>
      <c r="E21" s="200">
        <f>(BS!D9-BS!D24)/(BS!D39+BS!D25+BS!D23+BS!D22)</f>
        <v>-1.9374903460369752E-2</v>
      </c>
      <c r="F21" s="200">
        <f>(BS!E9-BS!E24)/(BS!E39+BS!E25+BS!E23+BS!E22)</f>
        <v>-3.0586397429300128E-2</v>
      </c>
      <c r="G21" s="200">
        <f>(BS!F9-BS!F24)/(BS!F39+BS!F25+BS!F23+BS!F22)</f>
        <v>1.8017030417972018E-2</v>
      </c>
      <c r="H21" s="200">
        <f>(BS!G9-BS!G24)/(BS!G39+BS!G25+BS!G23+BS!G22)</f>
        <v>0.15878352894258729</v>
      </c>
      <c r="I21" s="200">
        <f>(BS!H9-BS!H24)/(BS!H39+BS!H25+BS!H23+BS!H22)</f>
        <v>-3.1736847722544329E-2</v>
      </c>
      <c r="J21" s="200">
        <f>(BS!I9-BS!I24)/(BS!I39+BS!I25+BS!I23+BS!I22)</f>
        <v>-7.8699386433307886E-2</v>
      </c>
      <c r="K21" s="244">
        <f>(BS!J9-BS!J24)/(BS!J39+BS!J25+BS!J23+BS!J22)</f>
        <v>-1.0798581640649762E-2</v>
      </c>
      <c r="L21" s="206"/>
      <c r="M21" s="245" t="s">
        <v>100</v>
      </c>
    </row>
    <row r="22" spans="2:13" ht="16" customHeight="1">
      <c r="B22" s="238" t="s">
        <v>351</v>
      </c>
      <c r="C22" s="63"/>
      <c r="D22" s="200"/>
      <c r="E22" s="200">
        <f>(BS!D22+BS!D23+BS!D25)/IS!D9</f>
        <v>2.2235876257890728</v>
      </c>
      <c r="F22" s="200">
        <f>(BS!E22+BS!E23+BS!E25)/IS!E9</f>
        <v>2.7453931355255765</v>
      </c>
      <c r="G22" s="200">
        <f>(BS!F22+BS!F23+BS!F25)/IS!F9</f>
        <v>2.6733166160385777</v>
      </c>
      <c r="H22" s="200">
        <f>(BS!G22+BS!G23+BS!G25)/IS!G9</f>
        <v>2.5818310224165844</v>
      </c>
      <c r="I22" s="200">
        <f>(BS!H22+BS!H23+BS!H25)/IS!H9</f>
        <v>2.4606546291521059</v>
      </c>
      <c r="J22" s="200">
        <f>(BS!I22+BS!I23+BS!I25)/IS!I9</f>
        <v>2.1193261461606068</v>
      </c>
      <c r="K22" s="244">
        <f>(BS!J22+BS!J23+BS!J25)/IS!J9</f>
        <v>1.8798434280265239</v>
      </c>
      <c r="L22" s="206"/>
      <c r="M22" s="245"/>
    </row>
    <row r="23" spans="2:13" ht="16" customHeight="1">
      <c r="B23" s="238" t="s">
        <v>349</v>
      </c>
      <c r="C23" s="200"/>
      <c r="D23" s="200"/>
      <c r="E23" s="200">
        <f>(BS!D22+BS!D23+BS!D25-BS!D5)/IS!D9</f>
        <v>1.9341279068439459</v>
      </c>
      <c r="F23" s="200">
        <f>(BS!E22+BS!E23+BS!E25-BS!E5)/IS!E9</f>
        <v>2.3832504754678308</v>
      </c>
      <c r="G23" s="200">
        <f>(BS!F22+BS!F23+BS!F25-BS!F5)/IS!F9</f>
        <v>2.3642459171704413</v>
      </c>
      <c r="H23" s="200">
        <f>(BS!G22+BS!G23+BS!G25-BS!G5)/IS!G9</f>
        <v>1.9401143659778606</v>
      </c>
      <c r="I23" s="200">
        <f>(BS!H22+BS!H23+BS!H25-BS!H5)/IS!H9</f>
        <v>2.299543675705404</v>
      </c>
      <c r="J23" s="200">
        <f>(BS!I22+BS!I23+BS!I25-BS!I5)/IS!I9</f>
        <v>1.9141369797331638</v>
      </c>
      <c r="K23" s="244">
        <f>(BS!J22+BS!J23+BS!J25-BS!J5)/IS!J9</f>
        <v>1.7229036103788287</v>
      </c>
      <c r="L23" s="206"/>
      <c r="M23" s="241"/>
    </row>
    <row r="24" spans="2:13" ht="16" customHeight="1">
      <c r="B24" s="441" t="s">
        <v>101</v>
      </c>
      <c r="C24" s="442"/>
      <c r="D24" s="442"/>
      <c r="E24" s="442"/>
      <c r="F24" s="442"/>
      <c r="G24" s="442"/>
      <c r="H24" s="442"/>
      <c r="I24" s="442"/>
      <c r="J24" s="442"/>
      <c r="K24" s="443"/>
      <c r="L24" s="442"/>
      <c r="M24" s="444"/>
    </row>
    <row r="25" spans="2:13" ht="16" customHeight="1">
      <c r="B25" s="238" t="s">
        <v>102</v>
      </c>
      <c r="C25" s="200"/>
      <c r="D25" s="246"/>
      <c r="E25" s="246">
        <f>'Historical Cashflows'!B20/BS!D28</f>
        <v>0.21925415406343482</v>
      </c>
      <c r="F25" s="246">
        <f>'Historical Cashflows'!C20/BS!E28</f>
        <v>0.19846947641219781</v>
      </c>
      <c r="G25" s="246"/>
      <c r="H25" s="246">
        <f>'Historical Cashflows'!E20/BS!G28</f>
        <v>0.25585766211069921</v>
      </c>
      <c r="I25" s="246">
        <f>'Historical Cashflows'!F20/BS!H28</f>
        <v>0.22203220848276722</v>
      </c>
      <c r="J25" s="246">
        <f>'Historical Cashflows'!G20/BS!I28</f>
        <v>0.27229818874361444</v>
      </c>
      <c r="K25" s="244">
        <f>'Historical Cashflows'!H20/BS!J28</f>
        <v>0.29829321534036701</v>
      </c>
      <c r="L25" s="206"/>
      <c r="M25" s="241" t="s">
        <v>103</v>
      </c>
    </row>
    <row r="26" spans="2:13" ht="16" customHeight="1">
      <c r="B26" s="238" t="s">
        <v>104</v>
      </c>
      <c r="C26" s="200"/>
      <c r="D26" s="246"/>
      <c r="E26" s="246">
        <f>'Historical Cashflows'!B20/(BS!D25+BS!D23+BS!D22)</f>
        <v>0.34700734125897115</v>
      </c>
      <c r="F26" s="246">
        <f>'Historical Cashflows'!C20/(BS!E25+BS!E23+BS!E22)</f>
        <v>0.280311405519926</v>
      </c>
      <c r="G26" s="246">
        <f>'Historical Cashflows'!D20/(BS!F25+BS!F23+BS!F22)</f>
        <v>0.37501432678188251</v>
      </c>
      <c r="H26" s="246">
        <f>'Historical Cashflows'!E20/(BS!G25+BS!G23+BS!G22)</f>
        <v>0.38323196002281307</v>
      </c>
      <c r="I26" s="246">
        <f>'Historical Cashflows'!F20/(BS!H25+BS!H23+BS!H22)</f>
        <v>0.3379782910516706</v>
      </c>
      <c r="J26" s="246">
        <f>'Historical Cashflows'!G20/(BS!I25+BS!I23+BS!I22)</f>
        <v>0.43471801759213746</v>
      </c>
      <c r="K26" s="244">
        <f>'Historical Cashflows'!H20/(BS!J25+BS!J23+BS!J22)</f>
        <v>0.48355275799127923</v>
      </c>
      <c r="L26" s="206"/>
      <c r="M26" s="241" t="s">
        <v>105</v>
      </c>
    </row>
    <row r="27" spans="2:13" ht="16" customHeight="1">
      <c r="B27" s="238" t="s">
        <v>106</v>
      </c>
      <c r="C27" s="200"/>
      <c r="D27" s="246"/>
      <c r="E27" s="246">
        <f>-'Historical Cashflows'!B20/'Historical Cashflows'!B22</f>
        <v>3.7607356499280082</v>
      </c>
      <c r="F27" s="246">
        <f>-'Historical Cashflows'!C20/'Historical Cashflows'!C22</f>
        <v>4.8491898709614825</v>
      </c>
      <c r="G27" s="246">
        <f>-'Historical Cashflows'!D20/'Historical Cashflows'!D22</f>
        <v>4.8691056935310604</v>
      </c>
      <c r="H27" s="246">
        <f>-'Historical Cashflows'!E20/'Historical Cashflows'!E22</f>
        <v>5.5434234675918939</v>
      </c>
      <c r="I27" s="246">
        <f>-'Historical Cashflows'!F20/'Historical Cashflows'!F22</f>
        <v>3.8486343648245347</v>
      </c>
      <c r="J27" s="246">
        <f>-'Historical Cashflows'!G20/'Historical Cashflows'!G22</f>
        <v>4.2004045358022255</v>
      </c>
      <c r="K27" s="244">
        <f>-'Historical Cashflows'!H20/'Historical Cashflows'!H22</f>
        <v>4.4810820799990756</v>
      </c>
      <c r="L27" s="206"/>
      <c r="M27" s="241" t="s">
        <v>107</v>
      </c>
    </row>
    <row r="28" spans="2:13" ht="16" customHeight="1">
      <c r="B28" s="238" t="s">
        <v>108</v>
      </c>
      <c r="C28" s="200"/>
      <c r="D28" s="246"/>
      <c r="E28" s="246">
        <f>IS!C9/IS!C10</f>
        <v>13.924242592325527</v>
      </c>
      <c r="F28" s="246">
        <f>IS!D9/IS!D10</f>
        <v>13.363677987830936</v>
      </c>
      <c r="G28" s="246">
        <f>IS!E9/IS!E10</f>
        <v>11.694749958584527</v>
      </c>
      <c r="H28" s="246">
        <f>IS!F9/IS!F10</f>
        <v>11.073387684301821</v>
      </c>
      <c r="I28" s="246">
        <f>IS!G9/IS!G10</f>
        <v>11.934459812283261</v>
      </c>
      <c r="J28" s="246">
        <f>IS!H9/IS!H10</f>
        <v>16.039633643862278</v>
      </c>
      <c r="K28" s="244">
        <f>IS!I9/IS!I10</f>
        <v>16.43527410455302</v>
      </c>
      <c r="L28" s="206"/>
      <c r="M28" s="241" t="s">
        <v>109</v>
      </c>
    </row>
    <row r="29" spans="2:13" ht="16" customHeight="1">
      <c r="B29" s="238"/>
      <c r="C29" s="200"/>
      <c r="D29" s="200"/>
      <c r="E29" s="200"/>
      <c r="F29" s="200"/>
      <c r="G29" s="200"/>
      <c r="H29" s="200"/>
      <c r="I29" s="200"/>
      <c r="J29" s="200"/>
      <c r="K29" s="244"/>
      <c r="L29" s="206"/>
      <c r="M29" s="241"/>
    </row>
    <row r="30" spans="2:13" ht="16" customHeight="1">
      <c r="B30" s="441" t="s">
        <v>110</v>
      </c>
      <c r="C30" s="442"/>
      <c r="D30" s="442"/>
      <c r="E30" s="442"/>
      <c r="F30" s="442"/>
      <c r="G30" s="442"/>
      <c r="H30" s="442"/>
      <c r="I30" s="442"/>
      <c r="J30" s="442"/>
      <c r="K30" s="443"/>
      <c r="L30" s="442"/>
      <c r="M30" s="444"/>
    </row>
    <row r="31" spans="2:13" ht="16" customHeight="1">
      <c r="B31" s="238" t="s">
        <v>110</v>
      </c>
      <c r="C31" s="200"/>
      <c r="D31" s="200"/>
      <c r="E31" s="200"/>
      <c r="F31" s="200"/>
      <c r="G31" s="200"/>
      <c r="H31" s="200"/>
      <c r="I31" s="200"/>
      <c r="J31" s="200"/>
      <c r="K31" s="244"/>
      <c r="L31" s="206"/>
      <c r="M31" s="241" t="s">
        <v>111</v>
      </c>
    </row>
    <row r="32" spans="2:13" ht="16" customHeight="1">
      <c r="B32" s="238"/>
      <c r="C32" s="200"/>
      <c r="D32" s="200"/>
      <c r="E32" s="200"/>
      <c r="F32" s="200"/>
      <c r="G32" s="200"/>
      <c r="H32" s="200"/>
      <c r="I32" s="200"/>
      <c r="J32" s="200"/>
      <c r="K32" s="244"/>
      <c r="L32" s="206"/>
      <c r="M32" s="241"/>
    </row>
    <row r="33" spans="2:13" ht="16" customHeight="1">
      <c r="B33" s="441" t="s">
        <v>112</v>
      </c>
      <c r="C33" s="442"/>
      <c r="D33" s="442"/>
      <c r="E33" s="442"/>
      <c r="F33" s="442"/>
      <c r="G33" s="442"/>
      <c r="H33" s="442"/>
      <c r="I33" s="442"/>
      <c r="J33" s="442"/>
      <c r="K33" s="443"/>
      <c r="L33" s="442"/>
      <c r="M33" s="444"/>
    </row>
    <row r="34" spans="2:13" ht="16" customHeight="1">
      <c r="B34" s="238" t="s">
        <v>113</v>
      </c>
      <c r="C34" s="200"/>
      <c r="D34" s="246"/>
      <c r="E34" s="246">
        <f>IS!D3/BS!D17</f>
        <v>1.3532223231754681</v>
      </c>
      <c r="F34" s="246">
        <f>IS!E3/BS!E17</f>
        <v>1.0114304519526107</v>
      </c>
      <c r="G34" s="246">
        <f>IS!F3/BS!F17</f>
        <v>0.98106443237705299</v>
      </c>
      <c r="H34" s="246">
        <f>IS!G3/BS!G17</f>
        <v>0.89245043033472427</v>
      </c>
      <c r="I34" s="246">
        <f>IS!H3/BS!H17</f>
        <v>0.86161524845155668</v>
      </c>
      <c r="J34" s="246">
        <f>IS!I3/BS!I17</f>
        <v>0.95163624938577851</v>
      </c>
      <c r="K34" s="244">
        <f>IS!J3/BS!J17</f>
        <v>0.93800280115645374</v>
      </c>
      <c r="L34" s="206"/>
      <c r="M34" s="241" t="s">
        <v>114</v>
      </c>
    </row>
    <row r="35" spans="2:13" ht="16" customHeight="1">
      <c r="B35" s="238" t="s">
        <v>115</v>
      </c>
      <c r="C35" s="200"/>
      <c r="D35" s="246"/>
      <c r="E35" s="246">
        <f>IS!D3/BS!D6</f>
        <v>12.775644185753967</v>
      </c>
      <c r="F35" s="246">
        <f>2*IS!E3/(BS!D6+BS!E6)</f>
        <v>13.1783201554118</v>
      </c>
      <c r="G35" s="246">
        <f>2*IS!F3/(BS!E6+BS!F6)</f>
        <v>13.737968475573988</v>
      </c>
      <c r="H35" s="246">
        <f>2*IS!G3/(BS!F6+BS!G6)</f>
        <v>13.769417660267187</v>
      </c>
      <c r="I35" s="246">
        <f>2*IS!H3/(BS!G6+BS!H6)</f>
        <v>13.944754670291452</v>
      </c>
      <c r="J35" s="246">
        <f>2*IS!I3/(BS!H6+BS!I6)</f>
        <v>15.071299163139065</v>
      </c>
      <c r="K35" s="244">
        <f>2*IS!J3/(BS!I6+BS!J6)</f>
        <v>14.548926909995961</v>
      </c>
      <c r="L35" s="206"/>
      <c r="M35" s="241" t="s">
        <v>116</v>
      </c>
    </row>
    <row r="36" spans="2:13" ht="16" customHeight="1">
      <c r="B36" s="238" t="s">
        <v>117</v>
      </c>
      <c r="C36" s="200"/>
      <c r="D36" s="246"/>
      <c r="E36" s="246">
        <f>IS!D4/BS!D7</f>
        <v>5.3930072419491095</v>
      </c>
      <c r="F36" s="246">
        <f>IS!E4/BS!E7</f>
        <v>5.3712024401213432</v>
      </c>
      <c r="G36" s="246">
        <f>IS!F4/BS!F7</f>
        <v>5.3526754337007869</v>
      </c>
      <c r="H36" s="246">
        <f>IS!G4/BS!G7</f>
        <v>4.6135840125616179</v>
      </c>
      <c r="I36" s="246">
        <f>IS!H4/BS!H7</f>
        <v>4.9799536879205188</v>
      </c>
      <c r="J36" s="246">
        <f>IS!I4/BS!I7</f>
        <v>5.0468102553960854</v>
      </c>
      <c r="K36" s="244">
        <f>IS!J4/BS!J7</f>
        <v>4.5989518238682292</v>
      </c>
      <c r="L36" s="206"/>
      <c r="M36" s="241" t="s">
        <v>118</v>
      </c>
    </row>
    <row r="37" spans="2:13" ht="16" customHeight="1">
      <c r="B37" s="238" t="s">
        <v>124</v>
      </c>
      <c r="C37" s="200"/>
      <c r="D37" s="246"/>
      <c r="E37" s="246"/>
      <c r="F37" s="246"/>
      <c r="G37" s="246"/>
      <c r="H37" s="246"/>
      <c r="I37" s="246"/>
      <c r="J37" s="246"/>
      <c r="K37" s="244"/>
      <c r="L37" s="206"/>
      <c r="M37" s="241"/>
    </row>
    <row r="38" spans="2:13" ht="16" customHeight="1">
      <c r="B38" s="238" t="s">
        <v>119</v>
      </c>
      <c r="C38" s="200"/>
      <c r="D38" s="246"/>
      <c r="E38" s="246">
        <f>365/E35</f>
        <v>28.56998791552202</v>
      </c>
      <c r="F38" s="246">
        <f t="shared" ref="F38:K38" si="0">365/F35</f>
        <v>27.697005057970863</v>
      </c>
      <c r="G38" s="246">
        <f t="shared" si="0"/>
        <v>26.568702690573751</v>
      </c>
      <c r="H38" s="246">
        <f t="shared" si="0"/>
        <v>26.508020092471899</v>
      </c>
      <c r="I38" s="246">
        <f t="shared" si="0"/>
        <v>26.174716488746324</v>
      </c>
      <c r="J38" s="246">
        <f t="shared" si="0"/>
        <v>24.218217424328365</v>
      </c>
      <c r="K38" s="244">
        <f t="shared" si="0"/>
        <v>25.087760922712707</v>
      </c>
      <c r="L38" s="206"/>
      <c r="M38" s="247" t="s">
        <v>120</v>
      </c>
    </row>
    <row r="39" spans="2:13" ht="16" customHeight="1" thickBot="1">
      <c r="B39" s="248" t="s">
        <v>121</v>
      </c>
      <c r="C39" s="249"/>
      <c r="D39" s="250"/>
      <c r="E39" s="250">
        <f>365/E36</f>
        <v>67.680235465080486</v>
      </c>
      <c r="F39" s="250">
        <f t="shared" ref="F39:K39" si="1">365/F36</f>
        <v>67.954988490762247</v>
      </c>
      <c r="G39" s="250">
        <f t="shared" si="1"/>
        <v>68.190198438324259</v>
      </c>
      <c r="H39" s="250">
        <f t="shared" si="1"/>
        <v>79.114198203868767</v>
      </c>
      <c r="I39" s="250">
        <f t="shared" si="1"/>
        <v>73.293854295342484</v>
      </c>
      <c r="J39" s="250">
        <f t="shared" si="1"/>
        <v>72.322909229594956</v>
      </c>
      <c r="K39" s="244">
        <f t="shared" si="1"/>
        <v>79.365910750722861</v>
      </c>
      <c r="L39" s="250"/>
      <c r="M39" s="251" t="s">
        <v>122</v>
      </c>
    </row>
    <row r="40" spans="2:13" ht="16" customHeight="1" thickTop="1"/>
  </sheetData>
  <pageMargins left="0.7" right="0.7" top="0.75" bottom="0.75" header="0.3" footer="0.3"/>
  <pageSetup orientation="portrait" horizontalDpi="0" verticalDpi="0"/>
  <extLst>
    <ext xmlns:x14="http://schemas.microsoft.com/office/spreadsheetml/2009/9/main" uri="{05C60535-1F16-4fd2-B633-F4F36F0B64E0}">
      <x14:sparklineGroups xmlns:xm="http://schemas.microsoft.com/office/excel/2006/main">
        <x14:sparklineGroup manualMax="0" manualMin="0" type="column" displayEmptyCellsAs="gap" xr2:uid="{4319D6C3-2A10-FE4F-83B1-8612FD6C7CD8}">
          <x14:colorSeries rgb="FF376092"/>
          <x14:sparklines>
            <x14:sparkline>
              <xm:f>Ratios!D38:K38</xm:f>
              <xm:sqref>L38</xm:sqref>
            </x14:sparkline>
          </x14:sparklines>
        </x14:sparklineGroup>
        <x14:sparklineGroup manualMax="0" manualMin="0" type="column" displayEmptyCellsAs="gap" xr2:uid="{8022DC9E-4408-A544-A0B0-059CE56F3959}">
          <x14:colorSeries rgb="FF376092"/>
          <x14:sparklines>
            <x14:sparkline>
              <xm:f>Ratios!D36:K36</xm:f>
              <xm:sqref>L36</xm:sqref>
            </x14:sparkline>
          </x14:sparklines>
        </x14:sparklineGroup>
        <x14:sparklineGroup manualMax="0" manualMin="0" type="column" displayEmptyCellsAs="gap" xr2:uid="{6205CF4B-DEBF-DE4F-B683-8DC401BE5904}">
          <x14:colorSeries rgb="FF376092"/>
          <x14:sparklines>
            <x14:sparkline>
              <xm:f>Ratios!D35:K35</xm:f>
              <xm:sqref>L35</xm:sqref>
            </x14:sparkline>
          </x14:sparklines>
        </x14:sparklineGroup>
        <x14:sparklineGroup manualMax="0" manualMin="0" type="column" displayEmptyCellsAs="gap" xr2:uid="{D770A924-3534-1E41-8148-FFE447A372F0}">
          <x14:colorSeries rgb="FF376092"/>
          <x14:sparklines>
            <x14:sparkline>
              <xm:f>Ratios!D34:K34</xm:f>
              <xm:sqref>L34</xm:sqref>
            </x14:sparkline>
          </x14:sparklines>
        </x14:sparklineGroup>
        <x14:sparklineGroup manualMax="0" manualMin="0" type="column" displayEmptyCellsAs="gap" xr2:uid="{D8AF23F5-B7D5-5842-80B3-28141EAFA543}">
          <x14:colorSeries rgb="FF376092"/>
          <x14:sparklines>
            <x14:sparkline>
              <xm:f>Ratios!D28:K28</xm:f>
              <xm:sqref>L28</xm:sqref>
            </x14:sparkline>
          </x14:sparklines>
        </x14:sparklineGroup>
        <x14:sparklineGroup manualMax="0" manualMin="0" type="column" displayEmptyCellsAs="gap" xr2:uid="{22B74836-85E2-3D4B-9DF4-03A34AA2E1CA}">
          <x14:colorSeries rgb="FF376092"/>
          <x14:sparklines>
            <x14:sparkline>
              <xm:f>Ratios!D27:K27</xm:f>
              <xm:sqref>L27</xm:sqref>
            </x14:sparkline>
          </x14:sparklines>
        </x14:sparklineGroup>
        <x14:sparklineGroup manualMax="0" manualMin="0" type="column" displayEmptyCellsAs="gap" xr2:uid="{B108A29C-FA26-334E-BBCA-C12AEDC084C7}">
          <x14:colorSeries rgb="FF376092"/>
          <x14:sparklines>
            <x14:sparkline>
              <xm:f>Ratios!D26:K26</xm:f>
              <xm:sqref>L26</xm:sqref>
            </x14:sparkline>
          </x14:sparklines>
        </x14:sparklineGroup>
        <x14:sparklineGroup manualMax="0" manualMin="0" type="column" displayEmptyCellsAs="gap" xr2:uid="{822DCD04-7016-454A-83E3-F119A3024D38}">
          <x14:colorSeries rgb="FF376092"/>
          <x14:sparklines>
            <x14:sparkline>
              <xm:f>Ratios!D25:K25</xm:f>
              <xm:sqref>L25</xm:sqref>
            </x14:sparkline>
          </x14:sparklines>
        </x14:sparklineGroup>
        <x14:sparklineGroup manualMax="0" manualMin="0" type="column" displayEmptyCellsAs="gap" xr2:uid="{45D23289-BB75-2141-B027-03BB6B477E61}">
          <x14:colorSeries rgb="FF376092"/>
          <x14:sparklines>
            <x14:sparkline>
              <xm:f>Ratios!D21:K21</xm:f>
              <xm:sqref>L21</xm:sqref>
            </x14:sparkline>
            <x14:sparkline>
              <xm:f>Ratios!D22:K22</xm:f>
              <xm:sqref>L22</xm:sqref>
            </x14:sparkline>
          </x14:sparklines>
        </x14:sparklineGroup>
        <x14:sparklineGroup manualMax="0" manualMin="0" type="column" displayEmptyCellsAs="gap" xr2:uid="{7EDAFDA7-B158-584C-BC8F-3F151B202B72}">
          <x14:colorSeries rgb="FF376092"/>
          <x14:sparklines>
            <x14:sparkline>
              <xm:f>Ratios!D20:K20</xm:f>
              <xm:sqref>L20</xm:sqref>
            </x14:sparkline>
          </x14:sparklines>
        </x14:sparklineGroup>
        <x14:sparklineGroup manualMax="0" manualMin="0" type="column" displayEmptyCellsAs="gap" xr2:uid="{DAE44221-A2F2-EA41-BC1A-6E811702214F}">
          <x14:colorSeries rgb="FF376092"/>
          <x14:sparklines>
            <x14:sparkline>
              <xm:f>Ratios!D19:K19</xm:f>
              <xm:sqref>L19</xm:sqref>
            </x14:sparkline>
          </x14:sparklines>
        </x14:sparklineGroup>
        <x14:sparklineGroup manualMax="0" manualMin="0" type="column" displayEmptyCellsAs="gap" xr2:uid="{5875D453-E8B4-7E42-96FD-5AE05CABF925}">
          <x14:colorSeries rgb="FF376092"/>
          <x14:sparklines>
            <x14:sparkline>
              <xm:f>Ratios!D18:K18</xm:f>
              <xm:sqref>L18</xm:sqref>
            </x14:sparkline>
          </x14:sparklines>
        </x14:sparklineGroup>
        <x14:sparklineGroup manualMax="0" manualMin="0" type="column" displayEmptyCellsAs="gap" xr2:uid="{F32EF4B4-68EA-FF47-9C0B-D9E381E62149}">
          <x14:colorSeries rgb="FF376092"/>
          <x14:sparklines>
            <x14:sparkline>
              <xm:f>Ratios!D17:K17</xm:f>
              <xm:sqref>L17</xm:sqref>
            </x14:sparkline>
          </x14:sparklines>
        </x14:sparklineGroup>
        <x14:sparklineGroup manualMax="0" manualMin="0" type="column" displayEmptyCellsAs="gap" xr2:uid="{F8A44402-B4D8-0543-85EE-12846E68ECAC}">
          <x14:colorSeries rgb="FF376092"/>
          <x14:sparklines>
            <x14:sparkline>
              <xm:f>Ratios!D16:K16</xm:f>
              <xm:sqref>L16</xm:sqref>
            </x14:sparkline>
          </x14:sparklines>
        </x14:sparklineGroup>
        <x14:sparklineGroup manualMax="0" manualMin="0" type="column" displayEmptyCellsAs="gap" xr2:uid="{E99D0BAB-8CBC-AC4D-8D1E-3E092E708454}">
          <x14:colorSeries rgb="FF376092"/>
          <x14:sparklines>
            <x14:sparkline>
              <xm:f>Ratios!D13:K13</xm:f>
              <xm:sqref>L13</xm:sqref>
            </x14:sparkline>
          </x14:sparklines>
        </x14:sparklineGroup>
        <x14:sparklineGroup manualMax="0" manualMin="0" type="column" displayEmptyCellsAs="gap" xr2:uid="{C20504AE-C272-1D43-8F40-185B267EAC29}">
          <x14:colorSeries rgb="FF376092"/>
          <x14:sparklines>
            <x14:sparkline>
              <xm:f>Ratios!D12:K12</xm:f>
              <xm:sqref>L12</xm:sqref>
            </x14:sparkline>
          </x14:sparklines>
        </x14:sparklineGroup>
        <x14:sparklineGroup manualMax="0" manualMin="0" type="column" displayEmptyCellsAs="gap" xr2:uid="{2334614F-08B3-1D4F-9235-361EC4FA158E}">
          <x14:colorSeries rgb="FF376092"/>
          <x14:sparklines>
            <x14:sparkline>
              <xm:f>Ratios!D9:K9</xm:f>
              <xm:sqref>L9</xm:sqref>
            </x14:sparkline>
          </x14:sparklines>
        </x14:sparklineGroup>
        <x14:sparklineGroup manualMax="0" manualMin="0" type="column" displayEmptyCellsAs="gap" xr2:uid="{483733AC-7A13-0049-A386-DF7928CE03AB}">
          <x14:colorSeries rgb="FF376092"/>
          <x14:sparklines>
            <x14:sparkline>
              <xm:f>Ratios!D8:K8</xm:f>
              <xm:sqref>L8</xm:sqref>
            </x14:sparkline>
          </x14:sparklines>
        </x14:sparklineGroup>
        <x14:sparklineGroup manualMax="0" manualMin="0" type="column" displayEmptyCellsAs="gap" xr2:uid="{825B7EAC-53D9-494D-8293-4317C131C50A}">
          <x14:colorSeries rgb="FF376092"/>
          <x14:sparklines>
            <x14:sparkline>
              <xm:f>Ratios!D7:K7</xm:f>
              <xm:sqref>L7</xm:sqref>
            </x14:sparkline>
          </x14:sparklines>
        </x14:sparklineGroup>
        <x14:sparklineGroup manualMax="0" manualMin="0" type="column" displayEmptyCellsAs="gap" xr2:uid="{34575DD2-37E9-5C40-B7CF-E948E0CE16AC}">
          <x14:colorSeries rgb="FF376092"/>
          <x14:sparklines>
            <x14:sparkline>
              <xm:f>Ratios!D6:K6</xm:f>
              <xm:sqref>L6</xm:sqref>
            </x14:sparkline>
          </x14:sparklines>
        </x14:sparklineGroup>
        <x14:sparklineGroup manualMax="0" manualMin="0" type="column" displayEmptyCellsAs="gap" xr2:uid="{C2D9897F-081A-7849-B0DE-BA14346803A6}">
          <x14:colorSeries rgb="FF376092"/>
          <x14:sparklines>
            <x14:sparkline>
              <xm:f>Ratios!D5:K5</xm:f>
              <xm:sqref>L5</xm:sqref>
            </x14:sparkline>
          </x14:sparklines>
        </x14:sparklineGroup>
        <x14:sparklineGroup manualMax="0" manualMin="0" type="column" displayEmptyCellsAs="gap" xr2:uid="{4D17A139-6905-384F-86D8-9B29A1DB16C9}">
          <x14:colorSeries rgb="FF376092"/>
          <x14:sparklines>
            <x14:sparkline>
              <xm:f>Ratios!D4:F4</xm:f>
              <xm:sqref>L4</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6D172-427A-9643-8E0D-8035C46E9A1A}">
  <dimension ref="A1:P50"/>
  <sheetViews>
    <sheetView workbookViewId="0">
      <selection activeCell="K21" sqref="K21"/>
    </sheetView>
  </sheetViews>
  <sheetFormatPr baseColWidth="10" defaultRowHeight="13"/>
  <cols>
    <col min="1" max="1" width="50.875" style="63" bestFit="1" customWidth="1"/>
    <col min="2" max="11" width="10.625" style="63"/>
    <col min="12" max="12" width="8.75" style="63" bestFit="1" customWidth="1"/>
    <col min="13" max="16384" width="10.625" style="63"/>
  </cols>
  <sheetData>
    <row r="1" spans="1:13">
      <c r="A1" s="521" t="s">
        <v>136</v>
      </c>
      <c r="B1" s="523" t="s">
        <v>137</v>
      </c>
      <c r="C1" s="522"/>
      <c r="D1" s="522"/>
    </row>
    <row r="2" spans="1:13" ht="14">
      <c r="A2" s="522"/>
      <c r="B2" s="214" t="s">
        <v>62</v>
      </c>
      <c r="C2" s="214" t="s">
        <v>61</v>
      </c>
      <c r="D2" s="214" t="s">
        <v>60</v>
      </c>
      <c r="E2" s="214" t="s">
        <v>56</v>
      </c>
      <c r="F2" s="214" t="s">
        <v>55</v>
      </c>
      <c r="G2" s="236" t="s">
        <v>23</v>
      </c>
      <c r="H2" s="236" t="s">
        <v>22</v>
      </c>
      <c r="I2" s="236" t="s">
        <v>21</v>
      </c>
    </row>
    <row r="3" spans="1:13">
      <c r="A3" s="226" t="s">
        <v>138</v>
      </c>
      <c r="G3" s="215" t="s">
        <v>24</v>
      </c>
      <c r="H3" s="215" t="s">
        <v>24</v>
      </c>
      <c r="I3" s="215" t="s">
        <v>24</v>
      </c>
    </row>
    <row r="4" spans="1:13">
      <c r="A4" s="215" t="s">
        <v>10</v>
      </c>
      <c r="B4" s="216">
        <v>720044</v>
      </c>
      <c r="C4" s="216">
        <v>756537</v>
      </c>
      <c r="D4" s="216">
        <v>1171051</v>
      </c>
      <c r="E4" s="216">
        <v>1146752</v>
      </c>
      <c r="F4" s="216">
        <v>1275413</v>
      </c>
      <c r="G4" s="216">
        <v>1482819</v>
      </c>
      <c r="H4" s="216">
        <v>1644817</v>
      </c>
      <c r="I4" s="216">
        <v>1861787</v>
      </c>
    </row>
    <row r="5" spans="1:13">
      <c r="A5" s="226" t="s">
        <v>139</v>
      </c>
      <c r="G5" s="215" t="s">
        <v>24</v>
      </c>
      <c r="H5" s="215" t="s">
        <v>24</v>
      </c>
      <c r="I5" s="215" t="s">
        <v>24</v>
      </c>
    </row>
    <row r="6" spans="1:13">
      <c r="A6" s="215" t="s">
        <v>140</v>
      </c>
      <c r="B6" s="217">
        <v>301837</v>
      </c>
      <c r="C6" s="217">
        <v>261853</v>
      </c>
      <c r="D6" s="217">
        <v>295144</v>
      </c>
      <c r="E6" s="217">
        <v>291544</v>
      </c>
      <c r="F6" s="217">
        <v>294907</v>
      </c>
      <c r="G6" s="217">
        <v>315002</v>
      </c>
      <c r="H6" s="217">
        <v>378959</v>
      </c>
      <c r="I6" s="217">
        <v>419815</v>
      </c>
    </row>
    <row r="7" spans="1:13">
      <c r="A7" s="215" t="s">
        <v>141</v>
      </c>
      <c r="B7" s="217">
        <v>54785</v>
      </c>
      <c r="C7" s="217">
        <v>51061</v>
      </c>
      <c r="D7" s="217">
        <v>49286</v>
      </c>
      <c r="E7" s="217">
        <v>51899</v>
      </c>
      <c r="F7" s="217">
        <v>57584</v>
      </c>
      <c r="G7" s="217">
        <v>66711</v>
      </c>
      <c r="H7" s="217">
        <v>65991</v>
      </c>
      <c r="I7" s="217">
        <v>81021</v>
      </c>
    </row>
    <row r="8" spans="1:13">
      <c r="A8" s="215" t="s">
        <v>35</v>
      </c>
      <c r="B8" s="217">
        <v>-38097</v>
      </c>
      <c r="C8" s="217">
        <v>18582</v>
      </c>
      <c r="D8" s="217">
        <v>36255</v>
      </c>
      <c r="E8" s="217">
        <v>-15072</v>
      </c>
      <c r="F8" s="217">
        <v>26880</v>
      </c>
      <c r="G8" s="217">
        <v>13374</v>
      </c>
      <c r="H8" s="217">
        <v>36889</v>
      </c>
      <c r="I8" s="217">
        <v>16233</v>
      </c>
    </row>
    <row r="9" spans="1:13" ht="14">
      <c r="A9" s="223" t="s">
        <v>174</v>
      </c>
      <c r="B9" s="217">
        <v>4204</v>
      </c>
      <c r="C9" s="217">
        <v>208712</v>
      </c>
      <c r="D9" s="217">
        <v>57729</v>
      </c>
      <c r="E9" s="217">
        <v>112485</v>
      </c>
      <c r="F9" s="217">
        <v>9143</v>
      </c>
      <c r="I9" s="217"/>
    </row>
    <row r="10" spans="1:13">
      <c r="A10" s="215" t="s">
        <v>142</v>
      </c>
      <c r="B10" s="217">
        <v>43482</v>
      </c>
      <c r="C10" s="217">
        <v>66209</v>
      </c>
      <c r="D10" s="217">
        <v>50329</v>
      </c>
      <c r="E10" s="217">
        <v>50457</v>
      </c>
      <c r="F10" s="217">
        <v>125579</v>
      </c>
      <c r="G10" s="217">
        <v>113756</v>
      </c>
      <c r="H10" s="217">
        <v>188286</v>
      </c>
      <c r="I10" s="217">
        <v>210484</v>
      </c>
    </row>
    <row r="11" spans="1:13">
      <c r="A11" s="215" t="s">
        <v>143</v>
      </c>
      <c r="B11" s="217">
        <v>24725</v>
      </c>
      <c r="C11" s="217">
        <v>77291</v>
      </c>
      <c r="D11" s="217">
        <v>37278</v>
      </c>
      <c r="E11" s="217">
        <v>57426</v>
      </c>
      <c r="F11" s="217">
        <v>113470</v>
      </c>
      <c r="G11" s="217">
        <v>96016</v>
      </c>
      <c r="H11" s="217">
        <v>120818</v>
      </c>
      <c r="I11" s="217">
        <v>103287</v>
      </c>
      <c r="M11" s="233"/>
    </row>
    <row r="12" spans="1:13">
      <c r="A12" s="226" t="s">
        <v>144</v>
      </c>
      <c r="B12" s="217"/>
      <c r="G12" s="215" t="s">
        <v>24</v>
      </c>
      <c r="H12" s="215" t="s">
        <v>24</v>
      </c>
      <c r="I12" s="215" t="s">
        <v>24</v>
      </c>
    </row>
    <row r="13" spans="1:13">
      <c r="A13" s="215" t="s">
        <v>27</v>
      </c>
      <c r="B13" s="217">
        <v>21096</v>
      </c>
      <c r="C13" s="217">
        <v>-6881</v>
      </c>
      <c r="D13" s="217">
        <v>8585</v>
      </c>
      <c r="E13" s="217">
        <v>40252</v>
      </c>
      <c r="F13" s="217">
        <v>-55537</v>
      </c>
      <c r="G13" s="217">
        <v>-14642</v>
      </c>
      <c r="H13" s="217">
        <v>-38165</v>
      </c>
      <c r="I13" s="217">
        <v>-102080</v>
      </c>
    </row>
    <row r="14" spans="1:13">
      <c r="A14" s="215" t="s">
        <v>28</v>
      </c>
      <c r="B14" s="217">
        <v>13965</v>
      </c>
      <c r="C14" s="217">
        <v>-71404</v>
      </c>
      <c r="D14" s="217">
        <v>-12746</v>
      </c>
      <c r="E14" s="217">
        <v>-21194</v>
      </c>
      <c r="F14" s="217">
        <v>-151918</v>
      </c>
      <c r="G14" s="217">
        <v>21457</v>
      </c>
      <c r="H14" s="217">
        <v>-186963</v>
      </c>
      <c r="I14" s="217">
        <v>-157153</v>
      </c>
    </row>
    <row r="15" spans="1:13">
      <c r="A15" s="215" t="s">
        <v>145</v>
      </c>
      <c r="B15" s="217">
        <v>-42955</v>
      </c>
      <c r="C15" s="217">
        <v>18214</v>
      </c>
      <c r="D15" s="217">
        <v>-39899</v>
      </c>
      <c r="E15" s="217">
        <v>13593</v>
      </c>
      <c r="F15" s="217">
        <v>2493</v>
      </c>
      <c r="G15" s="217">
        <v>8619</v>
      </c>
      <c r="H15" s="217">
        <v>-14507</v>
      </c>
      <c r="I15" s="217">
        <v>-22444</v>
      </c>
    </row>
    <row r="16" spans="1:13">
      <c r="A16" s="215" t="s">
        <v>146</v>
      </c>
      <c r="B16" s="217">
        <v>-63467</v>
      </c>
      <c r="C16" s="217">
        <v>-52960</v>
      </c>
      <c r="D16" s="217">
        <v>-100252</v>
      </c>
      <c r="E16" s="217">
        <v>41101</v>
      </c>
      <c r="F16" s="217">
        <v>41470</v>
      </c>
      <c r="G16" s="217">
        <v>39732</v>
      </c>
      <c r="H16" s="217">
        <v>216479</v>
      </c>
      <c r="I16" s="217">
        <v>50234</v>
      </c>
    </row>
    <row r="17" spans="1:16">
      <c r="A17" s="215" t="s">
        <v>40</v>
      </c>
      <c r="B17" s="217">
        <v>-937</v>
      </c>
      <c r="C17" s="217">
        <v>-71027</v>
      </c>
      <c r="D17" s="217">
        <v>75568</v>
      </c>
      <c r="E17" s="217">
        <v>-9544</v>
      </c>
      <c r="F17" s="217">
        <v>-16158</v>
      </c>
      <c r="G17" s="217">
        <v>-29682</v>
      </c>
      <c r="H17" s="217">
        <v>5005</v>
      </c>
      <c r="I17" s="217">
        <v>-32481</v>
      </c>
    </row>
    <row r="18" spans="1:16">
      <c r="A18" s="215" t="s">
        <v>147</v>
      </c>
      <c r="B18" s="217">
        <v>-41697</v>
      </c>
      <c r="C18" s="217">
        <v>-56433</v>
      </c>
      <c r="D18" s="217">
        <v>-25864</v>
      </c>
      <c r="E18" s="217">
        <v>-20134</v>
      </c>
      <c r="F18" s="217">
        <v>-11671</v>
      </c>
      <c r="G18" s="217">
        <v>-51100</v>
      </c>
      <c r="H18" s="217">
        <v>-78547</v>
      </c>
      <c r="I18" s="217">
        <v>-27581</v>
      </c>
    </row>
    <row r="19" spans="1:16">
      <c r="A19" s="215" t="s">
        <v>148</v>
      </c>
      <c r="B19" s="217">
        <v>16443</v>
      </c>
      <c r="C19" s="217">
        <v>49761</v>
      </c>
      <c r="D19" s="217">
        <v>-2471</v>
      </c>
      <c r="E19" s="217">
        <v>24308</v>
      </c>
      <c r="F19" s="217">
        <v>-11998</v>
      </c>
      <c r="G19" s="217">
        <v>20822</v>
      </c>
      <c r="H19" s="217">
        <v>-11225</v>
      </c>
      <c r="I19" s="217">
        <v>-77932</v>
      </c>
    </row>
    <row r="20" spans="1:16">
      <c r="A20" s="215" t="s">
        <v>149</v>
      </c>
      <c r="B20" s="217">
        <v>1013428</v>
      </c>
      <c r="C20" s="217">
        <v>1249515</v>
      </c>
      <c r="D20" s="217">
        <v>1599993</v>
      </c>
      <c r="E20" s="217">
        <v>1763873</v>
      </c>
      <c r="F20" s="217">
        <v>1699657</v>
      </c>
      <c r="G20" s="217">
        <v>2082884</v>
      </c>
      <c r="H20" s="217">
        <v>2327837</v>
      </c>
      <c r="I20" s="217">
        <v>2323190</v>
      </c>
    </row>
    <row r="21" spans="1:16">
      <c r="A21" s="226" t="s">
        <v>150</v>
      </c>
      <c r="G21" s="215" t="s">
        <v>24</v>
      </c>
      <c r="H21" s="215" t="s">
        <v>24</v>
      </c>
      <c r="I21" s="215" t="s">
        <v>24</v>
      </c>
    </row>
    <row r="22" spans="1:16">
      <c r="A22" s="215" t="s">
        <v>151</v>
      </c>
      <c r="B22" s="217">
        <v>-269476</v>
      </c>
      <c r="C22" s="217">
        <v>-257675</v>
      </c>
      <c r="D22" s="217">
        <v>-328601</v>
      </c>
      <c r="E22" s="217">
        <v>-318192</v>
      </c>
      <c r="F22" s="217">
        <v>-441626</v>
      </c>
      <c r="G22" s="217">
        <v>-495877</v>
      </c>
      <c r="H22" s="217">
        <v>-519481</v>
      </c>
      <c r="I22" s="217">
        <v>-771109</v>
      </c>
      <c r="K22" s="211">
        <f>D22/IS!E$3</f>
        <v>-4.2176625569610535E-2</v>
      </c>
      <c r="L22" s="211">
        <f>E22/IS!F$3</f>
        <v>-3.9842469283463633E-2</v>
      </c>
      <c r="M22" s="211">
        <f>F22/IS!G$3</f>
        <v>-5.4189107624446932E-2</v>
      </c>
      <c r="N22" s="211">
        <f>G22/IS!H$3</f>
        <v>-5.5273478189482791E-2</v>
      </c>
      <c r="O22" s="211">
        <f>H22/IS!I$3</f>
        <v>-4.9857600716516876E-2</v>
      </c>
      <c r="P22" s="211">
        <f>I22/IS!J$3</f>
        <v>-6.9064894986042083E-2</v>
      </c>
    </row>
    <row r="23" spans="1:16">
      <c r="A23" s="215" t="s">
        <v>152</v>
      </c>
      <c r="B23" s="217">
        <v>-44255</v>
      </c>
      <c r="C23" s="217">
        <v>-78598</v>
      </c>
      <c r="D23" s="217">
        <v>-52641</v>
      </c>
      <c r="E23" s="217">
        <v>-80230</v>
      </c>
      <c r="F23" s="217">
        <v>-87211</v>
      </c>
      <c r="G23" s="217">
        <v>-128417</v>
      </c>
      <c r="H23" s="217">
        <v>-275534</v>
      </c>
      <c r="I23" s="217">
        <v>-256815</v>
      </c>
      <c r="K23" s="211">
        <f>D23/IS!E$3</f>
        <v>-6.7565824407408021E-3</v>
      </c>
      <c r="L23" s="211">
        <f>E23/IS!F$3</f>
        <v>-1.0046014075188211E-2</v>
      </c>
      <c r="M23" s="211">
        <f>F23/IS!G$3</f>
        <v>-1.0701105154668523E-2</v>
      </c>
      <c r="N23" s="211">
        <f>G23/IS!H$3</f>
        <v>-1.431414291983458E-2</v>
      </c>
      <c r="O23" s="211">
        <f>H23/IS!I$3</f>
        <v>-2.644459403871318E-2</v>
      </c>
      <c r="P23" s="211">
        <f>I23/IS!J$3</f>
        <v>-2.300180779350312E-2</v>
      </c>
    </row>
    <row r="24" spans="1:16">
      <c r="A24" s="215" t="s">
        <v>153</v>
      </c>
      <c r="B24" s="217">
        <v>-285374</v>
      </c>
      <c r="C24" s="217">
        <v>0</v>
      </c>
      <c r="D24" s="217">
        <v>-1338459</v>
      </c>
      <c r="E24" s="217">
        <v>-402160</v>
      </c>
      <c r="F24" s="217">
        <v>0</v>
      </c>
      <c r="G24" s="217">
        <v>-1601073</v>
      </c>
      <c r="H24" s="217">
        <v>0</v>
      </c>
      <c r="I24" s="217">
        <v>-165818</v>
      </c>
      <c r="K24" s="211">
        <f>D24/IS!E$3</f>
        <v>-0.17179401183585974</v>
      </c>
      <c r="L24" s="211">
        <f>E24/IS!F$3</f>
        <v>-5.035653771005473E-2</v>
      </c>
      <c r="M24" s="211">
        <f>F24/IS!G$3</f>
        <v>0</v>
      </c>
      <c r="N24" s="211">
        <f>G24/IS!H$3</f>
        <v>-0.17846537255260839</v>
      </c>
      <c r="O24" s="211">
        <f>H24/IS!I$3</f>
        <v>0</v>
      </c>
      <c r="P24" s="211">
        <f>I24/IS!J$3</f>
        <v>-1.4851600431061662E-2</v>
      </c>
    </row>
    <row r="25" spans="1:16">
      <c r="A25" s="215" t="s">
        <v>154</v>
      </c>
      <c r="B25" s="217">
        <v>3651</v>
      </c>
      <c r="C25" s="63">
        <v>7609</v>
      </c>
      <c r="D25" s="63">
        <v>216807</v>
      </c>
      <c r="E25" s="217">
        <v>20102</v>
      </c>
      <c r="F25" s="217">
        <v>-2443</v>
      </c>
      <c r="G25" s="217">
        <v>2539</v>
      </c>
      <c r="H25" s="217">
        <v>7639</v>
      </c>
      <c r="I25" s="217">
        <v>-4934</v>
      </c>
    </row>
    <row r="26" spans="1:16">
      <c r="A26" s="215" t="s">
        <v>155</v>
      </c>
      <c r="B26" s="217">
        <v>-595454</v>
      </c>
      <c r="C26" s="217">
        <v>-328664</v>
      </c>
      <c r="D26" s="217">
        <v>-1502894</v>
      </c>
      <c r="E26" s="217">
        <v>-780480</v>
      </c>
      <c r="F26" s="217">
        <v>-531280</v>
      </c>
      <c r="G26" s="217">
        <v>-2222828</v>
      </c>
      <c r="H26" s="217">
        <v>-787376</v>
      </c>
      <c r="I26" s="217">
        <v>-1198676</v>
      </c>
    </row>
    <row r="27" spans="1:16">
      <c r="A27" s="226" t="s">
        <v>156</v>
      </c>
      <c r="G27" s="215" t="s">
        <v>24</v>
      </c>
      <c r="H27" s="215" t="s">
        <v>24</v>
      </c>
      <c r="I27" s="215" t="s">
        <v>24</v>
      </c>
    </row>
    <row r="28" spans="1:16">
      <c r="A28" s="215" t="s">
        <v>157</v>
      </c>
      <c r="B28" s="217">
        <v>275607</v>
      </c>
      <c r="C28" s="217">
        <v>-81426</v>
      </c>
      <c r="D28" s="217">
        <v>645805</v>
      </c>
      <c r="E28" s="217">
        <v>-1168205</v>
      </c>
      <c r="F28" s="217">
        <v>41759</v>
      </c>
      <c r="G28" s="217">
        <v>869030</v>
      </c>
      <c r="H28" s="217">
        <v>-245633</v>
      </c>
      <c r="I28" s="217">
        <v>26049</v>
      </c>
    </row>
    <row r="29" spans="1:16">
      <c r="A29" s="215" t="s">
        <v>158</v>
      </c>
      <c r="B29" s="217">
        <v>792953</v>
      </c>
      <c r="C29" s="217">
        <v>954</v>
      </c>
      <c r="D29" s="217">
        <v>1199845</v>
      </c>
      <c r="E29" s="217">
        <v>989618</v>
      </c>
      <c r="F29" s="217">
        <v>989876</v>
      </c>
      <c r="G29" s="217">
        <v>0</v>
      </c>
      <c r="H29" s="217">
        <v>0</v>
      </c>
      <c r="I29" s="217">
        <v>744092</v>
      </c>
    </row>
    <row r="30" spans="1:16">
      <c r="A30" s="215" t="s">
        <v>159</v>
      </c>
      <c r="B30" s="217">
        <v>-500000</v>
      </c>
      <c r="C30" s="217">
        <v>0</v>
      </c>
      <c r="D30" s="217">
        <v>-910844</v>
      </c>
      <c r="E30" s="217">
        <v>-6151</v>
      </c>
      <c r="F30" s="217">
        <v>-704467</v>
      </c>
      <c r="G30" s="217">
        <v>-439444</v>
      </c>
      <c r="H30" s="217">
        <v>-4741</v>
      </c>
      <c r="I30" s="217">
        <v>-755414</v>
      </c>
    </row>
    <row r="31" spans="1:16" ht="14">
      <c r="A31" s="223" t="s">
        <v>175</v>
      </c>
      <c r="B31" s="217">
        <v>35762</v>
      </c>
      <c r="C31" s="217">
        <v>0</v>
      </c>
      <c r="D31" s="217">
        <v>-72000</v>
      </c>
      <c r="E31" s="217">
        <v>0</v>
      </c>
      <c r="F31" s="217">
        <v>0</v>
      </c>
      <c r="G31" s="217">
        <v>0</v>
      </c>
      <c r="H31" s="217">
        <v>0</v>
      </c>
      <c r="I31" s="217">
        <v>0</v>
      </c>
    </row>
    <row r="32" spans="1:16">
      <c r="A32" s="215" t="s">
        <v>160</v>
      </c>
      <c r="B32" s="217">
        <v>-499475</v>
      </c>
      <c r="C32" s="217">
        <v>-526272</v>
      </c>
      <c r="D32" s="217">
        <v>-562521</v>
      </c>
      <c r="E32" s="217">
        <v>-610312</v>
      </c>
      <c r="F32" s="217">
        <v>-640732</v>
      </c>
      <c r="G32" s="217">
        <v>-685987</v>
      </c>
      <c r="H32" s="217">
        <v>-775030</v>
      </c>
      <c r="I32" s="217">
        <v>-889071</v>
      </c>
    </row>
    <row r="33" spans="1:9">
      <c r="A33" s="215" t="s">
        <v>161</v>
      </c>
      <c r="B33" s="217">
        <v>-592550</v>
      </c>
      <c r="C33" s="217">
        <v>-300312</v>
      </c>
      <c r="D33" s="217">
        <v>-247500</v>
      </c>
      <c r="E33" s="217">
        <v>-527211</v>
      </c>
      <c r="F33" s="217">
        <v>-211196</v>
      </c>
      <c r="G33" s="217">
        <v>-457946</v>
      </c>
      <c r="H33" s="217">
        <v>-388964</v>
      </c>
      <c r="I33" s="217">
        <v>-264913</v>
      </c>
    </row>
    <row r="34" spans="1:9">
      <c r="A34" s="215" t="s">
        <v>162</v>
      </c>
      <c r="B34" s="217">
        <v>94831</v>
      </c>
      <c r="C34" s="217">
        <v>63288</v>
      </c>
      <c r="D34" s="217">
        <v>63323</v>
      </c>
      <c r="E34" s="217">
        <v>240806</v>
      </c>
      <c r="F34" s="217">
        <v>25532</v>
      </c>
      <c r="G34" s="217">
        <v>49821</v>
      </c>
      <c r="H34" s="217">
        <v>34158</v>
      </c>
      <c r="I34" s="217">
        <v>26015</v>
      </c>
    </row>
    <row r="35" spans="1:9">
      <c r="A35" s="215" t="s">
        <v>163</v>
      </c>
      <c r="B35" s="217">
        <v>0</v>
      </c>
      <c r="C35" s="217">
        <v>0</v>
      </c>
      <c r="D35" s="217">
        <v>0</v>
      </c>
      <c r="E35" s="217">
        <v>0</v>
      </c>
      <c r="F35" s="217">
        <v>0</v>
      </c>
      <c r="G35" s="217">
        <v>-16610</v>
      </c>
      <c r="H35" s="217">
        <v>-35515</v>
      </c>
      <c r="I35" s="217">
        <v>-35009</v>
      </c>
    </row>
    <row r="36" spans="1:9">
      <c r="A36" s="215" t="s">
        <v>164</v>
      </c>
      <c r="B36" s="217">
        <v>-464396</v>
      </c>
      <c r="C36" s="217">
        <v>-843768</v>
      </c>
      <c r="D36" s="217">
        <v>116108</v>
      </c>
      <c r="E36" s="217">
        <v>-1081455</v>
      </c>
      <c r="F36" s="217">
        <v>-499228</v>
      </c>
      <c r="G36" s="217">
        <v>-681136</v>
      </c>
      <c r="H36" s="217">
        <v>-1415725</v>
      </c>
      <c r="I36" s="217">
        <v>-1148251</v>
      </c>
    </row>
    <row r="37" spans="1:9">
      <c r="A37" s="215" t="s">
        <v>165</v>
      </c>
      <c r="B37" s="217">
        <v>-3140</v>
      </c>
      <c r="C37" s="217">
        <v>6129</v>
      </c>
      <c r="D37" s="217">
        <v>-5388</v>
      </c>
      <c r="E37" s="217">
        <v>3326</v>
      </c>
      <c r="F37" s="217">
        <v>-6990</v>
      </c>
      <c r="G37" s="217">
        <v>-5075</v>
      </c>
      <c r="H37" s="217">
        <v>9887</v>
      </c>
      <c r="I37" s="217">
        <v>-38250</v>
      </c>
    </row>
    <row r="38" spans="1:9">
      <c r="A38" s="215" t="s">
        <v>166</v>
      </c>
      <c r="B38" s="217">
        <v>-49562</v>
      </c>
      <c r="C38" s="217">
        <v>83212</v>
      </c>
      <c r="D38" s="217">
        <v>207819</v>
      </c>
      <c r="E38" s="217">
        <v>-94736</v>
      </c>
      <c r="F38" s="217">
        <v>662159</v>
      </c>
      <c r="G38" s="217">
        <v>-826155</v>
      </c>
      <c r="H38" s="217">
        <v>134623</v>
      </c>
      <c r="I38" s="217">
        <v>-61987</v>
      </c>
    </row>
    <row r="39" spans="1:9">
      <c r="A39" s="215" t="s">
        <v>167</v>
      </c>
      <c r="B39" s="217">
        <v>0</v>
      </c>
      <c r="C39" s="217">
        <v>0</v>
      </c>
      <c r="D39" s="217">
        <v>0</v>
      </c>
      <c r="E39" s="217">
        <v>0</v>
      </c>
      <c r="F39" s="217">
        <v>-11434</v>
      </c>
      <c r="G39" s="217">
        <v>11434</v>
      </c>
      <c r="H39" s="217">
        <v>0</v>
      </c>
      <c r="I39" s="217">
        <v>0</v>
      </c>
    </row>
    <row r="40" spans="1:9">
      <c r="A40" s="215" t="s">
        <v>168</v>
      </c>
      <c r="B40" s="233">
        <f>B38</f>
        <v>-49562</v>
      </c>
      <c r="C40" s="233">
        <f>C38</f>
        <v>83212</v>
      </c>
      <c r="D40" s="233">
        <f>D38</f>
        <v>207819</v>
      </c>
      <c r="E40" s="217">
        <v>-94736</v>
      </c>
      <c r="F40" s="217">
        <v>650725</v>
      </c>
      <c r="G40" s="217">
        <v>-814721</v>
      </c>
      <c r="H40" s="217">
        <v>134623</v>
      </c>
      <c r="I40" s="217">
        <v>-61987</v>
      </c>
    </row>
    <row r="41" spans="1:9">
      <c r="A41" s="215" t="s">
        <v>169</v>
      </c>
      <c r="B41" s="217">
        <v>346529</v>
      </c>
      <c r="C41" s="217">
        <v>296967</v>
      </c>
      <c r="D41" s="217">
        <v>380179</v>
      </c>
      <c r="E41" s="217">
        <v>587998</v>
      </c>
      <c r="F41" s="217">
        <v>493262</v>
      </c>
      <c r="G41" s="217">
        <v>1143987</v>
      </c>
      <c r="H41" s="217">
        <v>329266</v>
      </c>
      <c r="I41" s="217">
        <v>463889</v>
      </c>
    </row>
    <row r="42" spans="1:9">
      <c r="A42" s="215" t="s">
        <v>170</v>
      </c>
      <c r="B42" s="217">
        <v>296967</v>
      </c>
      <c r="C42" s="217">
        <v>380179</v>
      </c>
      <c r="D42" s="217">
        <v>587998</v>
      </c>
      <c r="E42" s="217">
        <v>493262</v>
      </c>
      <c r="F42" s="217">
        <v>1143987</v>
      </c>
      <c r="G42" s="217">
        <v>329266</v>
      </c>
      <c r="H42" s="217">
        <v>463889</v>
      </c>
      <c r="I42" s="217">
        <v>401902</v>
      </c>
    </row>
    <row r="43" spans="1:9">
      <c r="A43" s="226" t="s">
        <v>171</v>
      </c>
      <c r="G43" s="215" t="s">
        <v>24</v>
      </c>
      <c r="H43" s="215" t="s">
        <v>24</v>
      </c>
      <c r="I43" s="215" t="s">
        <v>24</v>
      </c>
    </row>
    <row r="44" spans="1:9">
      <c r="A44" s="215" t="s">
        <v>172</v>
      </c>
      <c r="B44" s="217">
        <v>90951</v>
      </c>
      <c r="C44" s="217">
        <v>101874</v>
      </c>
      <c r="D44" s="217">
        <v>132486</v>
      </c>
      <c r="E44" s="217">
        <v>139504</v>
      </c>
      <c r="F44" s="217">
        <v>150930</v>
      </c>
      <c r="G44" s="217">
        <v>127726</v>
      </c>
      <c r="H44" s="217">
        <v>131757</v>
      </c>
      <c r="I44" s="217">
        <v>160729</v>
      </c>
    </row>
    <row r="45" spans="1:9">
      <c r="A45" s="215" t="s">
        <v>173</v>
      </c>
      <c r="B45" s="216">
        <v>425539</v>
      </c>
      <c r="C45" s="216">
        <v>351832</v>
      </c>
      <c r="D45" s="216">
        <v>118842</v>
      </c>
      <c r="E45" s="216">
        <v>238067</v>
      </c>
      <c r="F45" s="216">
        <v>215491</v>
      </c>
      <c r="G45" s="216">
        <v>275171</v>
      </c>
      <c r="H45" s="216">
        <v>221321</v>
      </c>
      <c r="I45" s="216">
        <v>303942</v>
      </c>
    </row>
    <row r="47" spans="1:9">
      <c r="A47" s="215" t="s">
        <v>176</v>
      </c>
      <c r="D47" s="217">
        <v>7609</v>
      </c>
      <c r="E47" s="217">
        <v>49759</v>
      </c>
      <c r="G47" s="217"/>
    </row>
    <row r="48" spans="1:9">
      <c r="A48" s="215" t="s">
        <v>177</v>
      </c>
      <c r="D48" s="217">
        <v>0</v>
      </c>
      <c r="E48" s="217">
        <v>167048</v>
      </c>
      <c r="G48" s="217"/>
    </row>
    <row r="49" spans="1:10">
      <c r="A49" s="215" t="s">
        <v>154</v>
      </c>
      <c r="D49" s="217">
        <v>0</v>
      </c>
      <c r="E49" s="217">
        <v>0</v>
      </c>
      <c r="G49" s="217"/>
    </row>
    <row r="50" spans="1:10">
      <c r="H50" s="233"/>
      <c r="I50" s="233"/>
      <c r="J50" s="233"/>
    </row>
  </sheetData>
  <mergeCells count="2">
    <mergeCell ref="A1:A2"/>
    <mergeCell ref="B1:D1"/>
  </mergeCell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Cover</vt:lpstr>
      <vt:lpstr>Ke</vt:lpstr>
      <vt:lpstr>DCF FCFE</vt:lpstr>
      <vt:lpstr>Debt</vt:lpstr>
      <vt:lpstr>Revenue</vt:lpstr>
      <vt:lpstr>IS</vt:lpstr>
      <vt:lpstr>BS</vt:lpstr>
      <vt:lpstr>Sheet1</vt:lpstr>
      <vt:lpstr>Derived Cashflows</vt:lpstr>
      <vt:lpstr>Extra information collected</vt:lpstr>
      <vt:lpstr>Comps</vt:lpstr>
      <vt:lpstr>Comps-2</vt:lpstr>
      <vt:lpstr>Comps-2 (2)</vt:lpstr>
      <vt:lpstr>Correlations &amp; Stats</vt:lpstr>
      <vt:lpstr>Ratios</vt:lpstr>
      <vt:lpstr>Historical Cashflows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Kshitiz Udainiya</dc:creator>
  <cp:lastModifiedBy>Kshitiz Udainiya</cp:lastModifiedBy>
  <dcterms:created xsi:type="dcterms:W3CDTF">2024-08-16T10:48:20Z</dcterms:created>
  <dcterms:modified xsi:type="dcterms:W3CDTF">2025-05-07T17:59:50Z</dcterms:modified>
</cp:coreProperties>
</file>